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s" sheetId="1" r:id="rId4"/>
    <sheet name="The List" sheetId="2" r:id="rId5"/>
    <sheet name="Team Comparison" sheetId="3" r:id="rId6"/>
    <sheet name="F" sheetId="4" r:id="rId7"/>
    <sheet name="C" sheetId="5" r:id="rId8"/>
    <sheet name="LW" sheetId="6" r:id="rId9"/>
    <sheet name="RW" sheetId="7" r:id="rId10"/>
    <sheet name="D" sheetId="8" r:id="rId11"/>
    <sheet name="G" sheetId="9" r:id="rId12"/>
    <sheet name="ADP" sheetId="10" r:id="rId13"/>
    <sheet name="Player Data" sheetId="11" r:id="rId14"/>
    <sheet name="Standard Deviations" sheetId="12" r:id="rId15"/>
  </sheets>
</workbook>
</file>

<file path=xl/sharedStrings.xml><?xml version="1.0" encoding="utf-8"?>
<sst xmlns="http://schemas.openxmlformats.org/spreadsheetml/2006/main" uniqueCount="975">
  <si>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</si>
  <si>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</si>
  <si>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</si>
  <si>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</si>
  <si>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</si>
  <si>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</si>
  <si>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</si>
  <si>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</si>
  <si>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Goals</t>
  </si>
  <si>
    <r>
      <rPr>
        <b val="1"/>
        <sz val="10"/>
        <color indexed="8"/>
        <rFont val="Helvetica Neue"/>
      </rPr>
      <t>C</t>
    </r>
  </si>
  <si>
    <t>Assists</t>
  </si>
  <si>
    <r>
      <rPr>
        <b val="1"/>
        <sz val="10"/>
        <color indexed="8"/>
        <rFont val="Helvetica Neue"/>
      </rPr>
      <t>LW</t>
    </r>
  </si>
  <si>
    <r>
      <rPr>
        <b val="1"/>
        <sz val="10"/>
        <color indexed="8"/>
        <rFont val="Helvetica Neue"/>
      </rPr>
      <t>RW</t>
    </r>
  </si>
  <si>
    <t>Shots</t>
  </si>
  <si>
    <r>
      <rPr>
        <b val="1"/>
        <sz val="10"/>
        <color indexed="8"/>
        <rFont val="Helvetica Neue"/>
      </rPr>
      <t>D</t>
    </r>
  </si>
  <si>
    <t>Blocks</t>
  </si>
  <si>
    <r>
      <rPr>
        <b val="1"/>
        <sz val="10"/>
        <color indexed="8"/>
        <rFont val="Helvetica Neue"/>
      </rPr>
      <t>G</t>
    </r>
  </si>
  <si>
    <t>Hits</t>
  </si>
  <si>
    <t>Powerplay Goals</t>
  </si>
  <si>
    <t>Average Draft Position</t>
  </si>
  <si>
    <t>“Yahoo” or “ESPN” or “Fantrax” or “Average”</t>
  </si>
  <si>
    <t>Powerplay Points</t>
  </si>
  <si>
    <t>FANTRAX</t>
  </si>
  <si>
    <t>Shorthanded Goals</t>
  </si>
  <si>
    <t>Shorthanded Points</t>
  </si>
  <si>
    <t>Games Played Projection</t>
  </si>
  <si>
    <t>“Yes” or “No”</t>
  </si>
  <si>
    <t>Time On Ice</t>
  </si>
  <si>
    <t>YES</t>
  </si>
  <si>
    <t>Defensemen Points</t>
  </si>
  <si>
    <t>Plus-Minus</t>
  </si>
  <si>
    <t>League Type</t>
  </si>
  <si>
    <t>“Points” or “Categories”</t>
  </si>
  <si>
    <t>Penalty Minutes</t>
  </si>
  <si>
    <t>Game-Winning Goals</t>
  </si>
  <si>
    <t>Faceoff Wins</t>
  </si>
  <si>
    <t>Forward Separation</t>
  </si>
  <si>
    <t>“C/LW/RW” or “Forwards”</t>
  </si>
  <si>
    <t>Faceoff Losses</t>
  </si>
  <si>
    <t>C/LW/RW</t>
  </si>
  <si>
    <t>Faceoff Percentage</t>
  </si>
  <si>
    <t>Replacement Level</t>
  </si>
  <si>
    <t>“Position” or “Draft” or “Blend”</t>
  </si>
  <si>
    <t>Wins</t>
  </si>
  <si>
    <t>Draft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</si>
  <si>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</si>
  <si>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</si>
  <si>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</si>
  <si>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</si>
  <si>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</si>
  <si>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</si>
  <si>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</si>
  <si>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</si>
  <si>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</si>
  <si>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</si>
  <si>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</si>
  <si>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</si>
  <si>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</si>
  <si>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</si>
  <si>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</si>
  <si>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</si>
  <si>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</si>
  <si>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</si>
  <si>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</si>
  <si>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</si>
  <si>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</si>
  <si>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</si>
  <si>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</si>
  <si>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</si>
  <si>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</si>
  <si>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</si>
  <si>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</si>
  <si>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</si>
  <si>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</si>
  <si>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</si>
  <si>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</si>
  <si>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</si>
  <si>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</si>
  <si>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</si>
  <si>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</si>
  <si>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TOI</t>
  </si>
  <si>
    <t>G</t>
  </si>
  <si>
    <t>A</t>
  </si>
  <si>
    <t>PTS</t>
  </si>
  <si>
    <t>SOG</t>
  </si>
  <si>
    <t>PPG</t>
  </si>
  <si>
    <t>PPP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</si>
  <si>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</si>
  <si>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</si>
  <si>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</si>
  <si>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</si>
  <si>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</si>
  <si>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</si>
  <si>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</si>
  <si>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</si>
  <si>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</si>
  <si>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</si>
  <si>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</si>
  <si>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</si>
  <si>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</si>
  <si>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</si>
  <si>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</si>
  <si>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</si>
  <si>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</si>
  <si>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</si>
  <si>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</si>
  <si>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</si>
  <si>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r>
      <rPr>
        <sz val="10"/>
        <color indexed="8"/>
        <rFont val="Helvetica Neue Medium"/>
      </rPr>
      <t>C</t>
    </r>
  </si>
  <si>
    <r>
      <rPr>
        <sz val="10"/>
        <color indexed="8"/>
        <rFont val="Helvetica Neue Light"/>
      </rPr>
      <t>EDM</t>
    </r>
  </si>
  <si>
    <r>
      <rPr>
        <b val="1"/>
        <sz val="10"/>
        <color indexed="8"/>
        <rFont val="Helvetica Neue"/>
      </rPr>
      <t xml:space="preserve"> </t>
    </r>
  </si>
  <si>
    <t>Leon Draisaitl</t>
  </si>
  <si>
    <r>
      <rPr>
        <sz val="10"/>
        <color indexed="8"/>
        <rFont val="Helvetica Neue Medium"/>
      </rPr>
      <t>C,LW</t>
    </r>
  </si>
  <si>
    <t>Nathan MacKinnon</t>
  </si>
  <si>
    <r>
      <rPr>
        <sz val="10"/>
        <color indexed="8"/>
        <rFont val="Helvetica Neue Light"/>
      </rPr>
      <t>COL</t>
    </r>
  </si>
  <si>
    <t>Auston Matthews</t>
  </si>
  <si>
    <r>
      <rPr>
        <sz val="10"/>
        <color indexed="8"/>
        <rFont val="Helvetica Neue Light"/>
      </rPr>
      <t>TOR</t>
    </r>
  </si>
  <si>
    <r>
      <rPr>
        <b val="1"/>
        <sz val="10"/>
        <color indexed="8"/>
        <rFont val="Helvetica Neue"/>
      </rPr>
      <t>+</t>
    </r>
  </si>
  <si>
    <t>Matthew Tkachuk</t>
  </si>
  <si>
    <r>
      <rPr>
        <sz val="10"/>
        <color indexed="8"/>
        <rFont val="Helvetica Neue Medium"/>
      </rPr>
      <t>LW,RW</t>
    </r>
  </si>
  <si>
    <r>
      <rPr>
        <sz val="10"/>
        <color indexed="8"/>
        <rFont val="Helvetica Neue Light"/>
      </rPr>
      <t>FLA</t>
    </r>
  </si>
  <si>
    <t>David Pastrnak</t>
  </si>
  <si>
    <r>
      <rPr>
        <sz val="10"/>
        <color indexed="8"/>
        <rFont val="Helvetica Neue Medium"/>
      </rPr>
      <t>RW</t>
    </r>
  </si>
  <si>
    <r>
      <rPr>
        <sz val="10"/>
        <color indexed="8"/>
        <rFont val="Helvetica Neue Light"/>
      </rPr>
      <t>BOS</t>
    </r>
  </si>
  <si>
    <t>Nikita Kucherov</t>
  </si>
  <si>
    <r>
      <rPr>
        <sz val="10"/>
        <color indexed="8"/>
        <rFont val="Helvetica Neue Light"/>
      </rPr>
      <t>TBL</t>
    </r>
  </si>
  <si>
    <t>Mikko Rantanen</t>
  </si>
  <si>
    <t>Jack Hughes</t>
  </si>
  <si>
    <r>
      <rPr>
        <sz val="10"/>
        <color indexed="8"/>
        <rFont val="Helvetica Neue Light"/>
      </rPr>
      <t>NJD</t>
    </r>
  </si>
  <si>
    <t>Cale Makar</t>
  </si>
  <si>
    <r>
      <rPr>
        <sz val="10"/>
        <color indexed="8"/>
        <rFont val="Helvetica Neue Medium"/>
      </rPr>
      <t>D</t>
    </r>
  </si>
  <si>
    <t>Roman Josi</t>
  </si>
  <si>
    <r>
      <rPr>
        <sz val="10"/>
        <color indexed="8"/>
        <rFont val="Helvetica Neue Light"/>
      </rPr>
      <t>NSH</t>
    </r>
  </si>
  <si>
    <t>Kirill Kaprizov</t>
  </si>
  <si>
    <r>
      <rPr>
        <sz val="10"/>
        <color indexed="8"/>
        <rFont val="Helvetica Neue Medium"/>
      </rPr>
      <t>LW</t>
    </r>
  </si>
  <si>
    <r>
      <rPr>
        <sz val="10"/>
        <color indexed="8"/>
        <rFont val="Helvetica Neue Light"/>
      </rPr>
      <t>MIN</t>
    </r>
  </si>
  <si>
    <t>Jason Robertson</t>
  </si>
  <si>
    <r>
      <rPr>
        <sz val="10"/>
        <color indexed="8"/>
        <rFont val="Helvetica Neue Light"/>
      </rPr>
      <t>DAL</t>
    </r>
  </si>
  <si>
    <t>Mitch Marner</t>
  </si>
  <si>
    <t>Tage Thompson</t>
  </si>
  <si>
    <r>
      <rPr>
        <sz val="10"/>
        <color indexed="8"/>
        <rFont val="Helvetica Neue Light"/>
      </rPr>
      <t>BUF</t>
    </r>
  </si>
  <si>
    <t>Erik Karlsson</t>
  </si>
  <si>
    <r>
      <rPr>
        <sz val="10"/>
        <color indexed="8"/>
        <rFont val="Helvetica Neue Light"/>
      </rPr>
      <t>SJS</t>
    </r>
  </si>
  <si>
    <r>
      <rPr>
        <b val="1"/>
        <sz val="10"/>
        <color indexed="8"/>
        <rFont val="Helvetica Neue"/>
      </rPr>
      <t>+ +</t>
    </r>
  </si>
  <si>
    <t>Rasmus Dahlin</t>
  </si>
  <si>
    <t>William Nylander</t>
  </si>
  <si>
    <t>Andrei Vasilevskiy</t>
  </si>
  <si>
    <r>
      <rPr>
        <sz val="10"/>
        <color indexed="8"/>
        <rFont val="Helvetica Neue Medium"/>
      </rPr>
      <t>G</t>
    </r>
  </si>
  <si>
    <t>Dougie Hamilton</t>
  </si>
  <si>
    <t>Ilya Sorokin</t>
  </si>
  <si>
    <r>
      <rPr>
        <sz val="10"/>
        <color indexed="8"/>
        <rFont val="Helvetica Neue Light"/>
      </rPr>
      <t>NYI</t>
    </r>
  </si>
  <si>
    <t>Adam Fox</t>
  </si>
  <si>
    <r>
      <rPr>
        <sz val="10"/>
        <color indexed="8"/>
        <rFont val="Helvetica Neue Light"/>
      </rPr>
      <t>NYR</t>
    </r>
  </si>
  <si>
    <t>Miro Heiskanen</t>
  </si>
  <si>
    <t>Igor Shesterkin</t>
  </si>
  <si>
    <t>Jake Oettinger</t>
  </si>
  <si>
    <t>Quinn Hughes</t>
  </si>
  <si>
    <r>
      <rPr>
        <sz val="10"/>
        <color indexed="8"/>
        <rFont val="Helvetica Neue Light"/>
      </rPr>
      <t>VAN</t>
    </r>
  </si>
  <si>
    <t>Evan Bouchard</t>
  </si>
  <si>
    <t>N/A</t>
  </si>
  <si>
    <r>
      <rPr>
        <b val="1"/>
        <sz val="10"/>
        <color indexed="8"/>
        <rFont val="Helvetica Neue"/>
      </rPr>
      <t>+ + +</t>
    </r>
  </si>
  <si>
    <t>Mika Zibanejad</t>
  </si>
  <si>
    <t>Aleksander Barkov</t>
  </si>
  <si>
    <t>Elias Pettersson</t>
  </si>
  <si>
    <t>Kyle Connor</t>
  </si>
  <si>
    <r>
      <rPr>
        <sz val="10"/>
        <color indexed="8"/>
        <rFont val="Helvetica Neue Light"/>
      </rPr>
      <t>WPG</t>
    </r>
  </si>
  <si>
    <t>Alex Ovechkin</t>
  </si>
  <si>
    <r>
      <rPr>
        <sz val="10"/>
        <color indexed="8"/>
        <rFont val="Helvetica Neue Light"/>
      </rPr>
      <t>WSH</t>
    </r>
  </si>
  <si>
    <t>Connor Hellebuyck</t>
  </si>
  <si>
    <t>Artemi Panarin</t>
  </si>
  <si>
    <t>Sidney Crosby</t>
  </si>
  <si>
    <r>
      <rPr>
        <sz val="10"/>
        <color indexed="8"/>
        <rFont val="Helvetica Neue Light"/>
      </rPr>
      <t>PIT</t>
    </r>
  </si>
  <si>
    <t>Brayden Point</t>
  </si>
  <si>
    <t>Tim Stützle</t>
  </si>
  <si>
    <r>
      <rPr>
        <sz val="10"/>
        <color indexed="8"/>
        <rFont val="Helvetica Neue Light"/>
      </rPr>
      <t>OTT</t>
    </r>
  </si>
  <si>
    <t>Juuse Saros</t>
  </si>
  <si>
    <r>
      <rPr>
        <b val="1"/>
        <sz val="10"/>
        <color indexed="8"/>
        <rFont val="Helvetica Neue"/>
      </rPr>
      <t>-</t>
    </r>
  </si>
  <si>
    <t>Timo Meier</t>
  </si>
  <si>
    <t>Victor Hedman</t>
  </si>
  <si>
    <t>Steven Stamkos</t>
  </si>
  <si>
    <t>Brady Tkachuk</t>
  </si>
  <si>
    <t>Matt Boldy</t>
  </si>
  <si>
    <t>John Tavares</t>
  </si>
  <si>
    <t>Jake Guentzel</t>
  </si>
  <si>
    <t>Moritz Seider</t>
  </si>
  <si>
    <r>
      <rPr>
        <sz val="10"/>
        <color indexed="8"/>
        <rFont val="Helvetica Neue Light"/>
      </rPr>
      <t>DET</t>
    </r>
  </si>
  <si>
    <t>Ryan Nugent-Hopkins</t>
  </si>
  <si>
    <t>J.T. Miller</t>
  </si>
  <si>
    <r>
      <rPr>
        <sz val="10"/>
        <color indexed="8"/>
        <rFont val="Helvetica Neue Medium"/>
      </rPr>
      <t>C,RW</t>
    </r>
  </si>
  <si>
    <t>Johnny Gaudreau</t>
  </si>
  <si>
    <r>
      <rPr>
        <sz val="10"/>
        <color indexed="8"/>
        <rFont val="Helvetica Neue Light"/>
      </rPr>
      <t>CBJ</t>
    </r>
  </si>
  <si>
    <t>Dylan Larkin</t>
  </si>
  <si>
    <t>Josh Morrissey</t>
  </si>
  <si>
    <t>Nico Hischier</t>
  </si>
  <si>
    <t>Jordan Kyrou</t>
  </si>
  <si>
    <r>
      <rPr>
        <sz val="10"/>
        <color indexed="8"/>
        <rFont val="Helvetica Neue Light"/>
      </rPr>
      <t>STL</t>
    </r>
  </si>
  <si>
    <t>Clayton Keller</t>
  </si>
  <si>
    <r>
      <rPr>
        <sz val="10"/>
        <color indexed="8"/>
        <rFont val="Helvetica Neue Light"/>
      </rPr>
      <t>ARI</t>
    </r>
  </si>
  <si>
    <t>Mikhail Sergachev</t>
  </si>
  <si>
    <t>Zach Hyman</t>
  </si>
  <si>
    <t>Alex Debrincat</t>
  </si>
  <si>
    <t>Thatcher Demko</t>
  </si>
  <si>
    <t>Andrei Svechnikov</t>
  </si>
  <si>
    <r>
      <rPr>
        <sz val="10"/>
        <color indexed="8"/>
        <rFont val="Helvetica Neue Light"/>
      </rPr>
      <t>CAR</t>
    </r>
  </si>
  <si>
    <t>Kevin Fiala</t>
  </si>
  <si>
    <r>
      <rPr>
        <sz val="10"/>
        <color indexed="8"/>
        <rFont val="Helvetica Neue Light"/>
      </rPr>
      <t>LAK</t>
    </r>
  </si>
  <si>
    <t>Alexandar Georgiev</t>
  </si>
  <si>
    <t>Sebastian Aho</t>
  </si>
  <si>
    <t>Brandon Montour</t>
  </si>
  <si>
    <t>Dylan Cozens</t>
  </si>
  <si>
    <t>Alex Tuch</t>
  </si>
  <si>
    <t>Roope Hintz</t>
  </si>
  <si>
    <t>Noah Dobson</t>
  </si>
  <si>
    <t>Brent Burns</t>
  </si>
  <si>
    <t>Filip Gustavsson</t>
  </si>
  <si>
    <t>Charlie McAvoy</t>
  </si>
  <si>
    <t>Jesper Bratt</t>
  </si>
  <si>
    <t>Pavel Buchnevich</t>
  </si>
  <si>
    <t>Jack Eichel</t>
  </si>
  <si>
    <r>
      <rPr>
        <sz val="10"/>
        <color indexed="8"/>
        <rFont val="Helvetica Neue Light"/>
      </rPr>
      <t>VGK</t>
    </r>
  </si>
  <si>
    <t>Tristan Jarry</t>
  </si>
  <si>
    <t>Morgan Rielly</t>
  </si>
  <si>
    <t>Patrik Laine</t>
  </si>
  <si>
    <t>John Carlson</t>
  </si>
  <si>
    <t>Brad Marchand</t>
  </si>
  <si>
    <t>Seth Jones</t>
  </si>
  <si>
    <r>
      <rPr>
        <sz val="10"/>
        <color indexed="8"/>
        <rFont val="Helvetica Neue Light"/>
      </rPr>
      <t>CHI</t>
    </r>
  </si>
  <si>
    <t>Carter Verhaeghe</t>
  </si>
  <si>
    <t>Shea Theodore</t>
  </si>
  <si>
    <t>Bo Horvat</t>
  </si>
  <si>
    <t>Zach Werenski</t>
  </si>
  <si>
    <t>Mark Scheifele</t>
  </si>
  <si>
    <t>Jeff Skinner</t>
  </si>
  <si>
    <t>Sam Reinhart</t>
  </si>
  <si>
    <t>Trevor Zegras</t>
  </si>
  <si>
    <r>
      <rPr>
        <sz val="10"/>
        <color indexed="8"/>
        <rFont val="Helvetica Neue Light"/>
      </rPr>
      <t>ANA</t>
    </r>
  </si>
  <si>
    <t>Travis Konecny</t>
  </si>
  <si>
    <r>
      <rPr>
        <sz val="10"/>
        <color indexed="8"/>
        <rFont val="Helvetica Neue Light"/>
      </rPr>
      <t>PHI</t>
    </r>
  </si>
  <si>
    <t>Rasmus Andersson</t>
  </si>
  <si>
    <r>
      <rPr>
        <sz val="10"/>
        <color indexed="8"/>
        <rFont val="Helvetica Neue Light"/>
      </rPr>
      <t>CGY</t>
    </r>
  </si>
  <si>
    <t>Connor Bedard</t>
  </si>
  <si>
    <t>Mathew Barzal</t>
  </si>
  <si>
    <t>Troy Terry</t>
  </si>
  <si>
    <t>Joel Eriksson Ek</t>
  </si>
  <si>
    <t>Evgeni Malkin</t>
  </si>
  <si>
    <t>Joe Pavelski</t>
  </si>
  <si>
    <t>Jonathan Marchessault</t>
  </si>
  <si>
    <t>Alex Pietrangelo</t>
  </si>
  <si>
    <t>Vince Dunn</t>
  </si>
  <si>
    <r>
      <rPr>
        <sz val="10"/>
        <color indexed="8"/>
        <rFont val="Helvetica Neue Light"/>
      </rPr>
      <t>SEA</t>
    </r>
  </si>
  <si>
    <t>Martin Necas</t>
  </si>
  <si>
    <t>Filip Forsberg</t>
  </si>
  <si>
    <t>Elias Lindholm</t>
  </si>
  <si>
    <t>Valeri Nichushkin</t>
  </si>
  <si>
    <t>Jonathan Huberdeau</t>
  </si>
  <si>
    <t>Kris Letang</t>
  </si>
  <si>
    <t>Mats Zuccarello</t>
  </si>
  <si>
    <t>Adrian Kempe</t>
  </si>
  <si>
    <t>Cole Caufield</t>
  </si>
  <si>
    <r>
      <rPr>
        <sz val="10"/>
        <color indexed="8"/>
        <rFont val="Helvetica Neue Light"/>
      </rPr>
      <t>MTL</t>
    </r>
  </si>
  <si>
    <t>Drake Batherson</t>
  </si>
  <si>
    <t>Brock Nelson</t>
  </si>
  <si>
    <t>Jacob Markstrom</t>
  </si>
  <si>
    <t>Justin Faulk</t>
  </si>
  <si>
    <t>John Gibson</t>
  </si>
  <si>
    <t>Drew Doughty</t>
  </si>
  <si>
    <t>Thomas Chabot</t>
  </si>
  <si>
    <t>Pierre-Luc Dubois</t>
  </si>
  <si>
    <t>Devon Toews</t>
  </si>
  <si>
    <t>Matty Beniers</t>
  </si>
  <si>
    <t>Ilya Samsonov</t>
  </si>
  <si>
    <t>Cam Fowler</t>
  </si>
  <si>
    <t>Jordan Binnington</t>
  </si>
  <si>
    <t>Chris Kreider</t>
  </si>
  <si>
    <t>Nikolaj Ehlers</t>
  </si>
  <si>
    <t>Nazem Kadri</t>
  </si>
  <si>
    <t>Nick Suzuki</t>
  </si>
  <si>
    <t>Sean Durzi</t>
  </si>
  <si>
    <t>Adin Hill</t>
  </si>
  <si>
    <t>Jared McCann</t>
  </si>
  <si>
    <t>Mike Matheson</t>
  </si>
  <si>
    <t>Sergei Bobrovsky</t>
  </si>
  <si>
    <t>Nick Schmaltz</t>
  </si>
  <si>
    <t>Darcy Kuemper</t>
  </si>
  <si>
    <t>Jakob Chychrun</t>
  </si>
  <si>
    <t>Anze Kopitar</t>
  </si>
  <si>
    <t>Tomas Hertl</t>
  </si>
  <si>
    <t>Robert Thomas</t>
  </si>
  <si>
    <t>Stuart Skinner</t>
  </si>
  <si>
    <t>Brandon Hagel</t>
  </si>
  <si>
    <t>Claude Giroux</t>
  </si>
  <si>
    <t>Taylor Hall</t>
  </si>
  <si>
    <t>Patrick Kane</t>
  </si>
  <si>
    <r>
      <rPr>
        <sz val="10"/>
        <color indexed="8"/>
        <rFont val="Helvetica Neue Light"/>
      </rPr>
      <t>UFA</t>
    </r>
  </si>
  <si>
    <t>Noah Hanifin</t>
  </si>
  <si>
    <t>Linus Ullmark</t>
  </si>
  <si>
    <t>Lucas Raymond</t>
  </si>
  <si>
    <t>Torey Krug</t>
  </si>
  <si>
    <t>Jake DeBrusk</t>
  </si>
  <si>
    <t>Brandt Clarke</t>
  </si>
  <si>
    <t>Rickard Rakell</t>
  </si>
  <si>
    <t>Artturi Lehkonen</t>
  </si>
  <si>
    <t>Logan Couture</t>
  </si>
  <si>
    <t>David Perron</t>
  </si>
  <si>
    <t>Gustav Forsling</t>
  </si>
  <si>
    <t>Mark Stone</t>
  </si>
  <si>
    <t>Andrei Kuzmenko</t>
  </si>
  <si>
    <t>Hampus Lindholm</t>
  </si>
  <si>
    <t>Viktor Arvidsson</t>
  </si>
  <si>
    <t>Owen Tippett</t>
  </si>
  <si>
    <t>Pavel Zacha</t>
  </si>
  <si>
    <t>Andre Burakovsky</t>
  </si>
  <si>
    <t>Jamie Benn</t>
  </si>
  <si>
    <t>Tyler Toffoli</t>
  </si>
  <si>
    <t>Dawson Mercer</t>
  </si>
  <si>
    <t>Darnell Nurse</t>
  </si>
  <si>
    <t>Mason McTavish</t>
  </si>
  <si>
    <t>Owen Power</t>
  </si>
  <si>
    <t>Elvis Merzlikins</t>
  </si>
  <si>
    <t>Luke Hughes</t>
  </si>
  <si>
    <t>Filip Hronek</t>
  </si>
  <si>
    <t>Vitek Vanecek</t>
  </si>
  <si>
    <t>Tyson Barrie</t>
  </si>
  <si>
    <t>Vincent Trocheck</t>
  </si>
  <si>
    <t>Jake Sanderson</t>
  </si>
  <si>
    <t>John Klingberg</t>
  </si>
  <si>
    <t>Vladimir Tarasenko</t>
  </si>
  <si>
    <t>Chandler Stephenson</t>
  </si>
  <si>
    <t>Aaron Ekblad</t>
  </si>
  <si>
    <t>Olen Zellweger</t>
  </si>
  <si>
    <r>
      <rPr>
        <sz val="10"/>
        <color indexed="8"/>
        <rFont val="Helvetica Neue Light"/>
      </rPr>
      <t>-</t>
    </r>
  </si>
  <si>
    <t>MacKenzie Weegar</t>
  </si>
  <si>
    <t>Evgeny Kuznetsov</t>
  </si>
  <si>
    <t>Alex Killorn</t>
  </si>
  <si>
    <t>Brayden Schenn</t>
  </si>
  <si>
    <t>Brock Boeser</t>
  </si>
  <si>
    <t>Andrew Mangiapane</t>
  </si>
  <si>
    <t>Dmitry Orlov</t>
  </si>
  <si>
    <t>Neal Pionk</t>
  </si>
  <si>
    <t>Devon Levi</t>
  </si>
  <si>
    <t>Josh Norris</t>
  </si>
  <si>
    <t>Jared Spurgeon</t>
  </si>
  <si>
    <t>Carter Hart</t>
  </si>
  <si>
    <t>Jacob Trouba</t>
  </si>
  <si>
    <t>Kevin Korchinski</t>
  </si>
  <si>
    <t>Jordan Eberle</t>
  </si>
  <si>
    <t>Seth Jarvis</t>
  </si>
  <si>
    <t>Logan Cooley</t>
  </si>
  <si>
    <t>Mattias Ekholm</t>
  </si>
  <si>
    <t>Bryan Rust</t>
  </si>
  <si>
    <t>Damon Severson</t>
  </si>
  <si>
    <t>Sam Bennett</t>
  </si>
  <si>
    <t>Thomas Novak</t>
  </si>
  <si>
    <t>Anders Lee</t>
  </si>
  <si>
    <t>Mikael Backlund</t>
  </si>
  <si>
    <t>Matt Duchene</t>
  </si>
  <si>
    <t>Thomas Harley</t>
  </si>
  <si>
    <t>Casey Mittelstadt</t>
  </si>
  <si>
    <t>Janis Moser</t>
  </si>
  <si>
    <t>Shayne Gostisbehere</t>
  </si>
  <si>
    <t>Philipp Grubauer</t>
  </si>
  <si>
    <t>Jeff Petry</t>
  </si>
  <si>
    <t>Jamie Drysdale</t>
  </si>
  <si>
    <t>Lukas Reichel</t>
  </si>
  <si>
    <t>Joonas Korpisalo</t>
  </si>
  <si>
    <t>Colton Parayko</t>
  </si>
  <si>
    <t>Brett Pesce</t>
  </si>
  <si>
    <t>Oliver Bjorkstrand</t>
  </si>
  <si>
    <t>Samuel Girard</t>
  </si>
  <si>
    <t>Luke Evangelista</t>
  </si>
  <si>
    <t>Mario Ferraro</t>
  </si>
  <si>
    <t>Anthony Beauvillier</t>
  </si>
  <si>
    <t>Boone Jenner</t>
  </si>
  <si>
    <t>Reilly Smith</t>
  </si>
  <si>
    <t>Jaccob Slavin</t>
  </si>
  <si>
    <t>Adam Larsson</t>
  </si>
  <si>
    <t>Brady Skjei</t>
  </si>
  <si>
    <t>Cam York</t>
  </si>
  <si>
    <t>Ryan Hartman</t>
  </si>
  <si>
    <t>Kent Johnson</t>
  </si>
  <si>
    <t>Ville Husso</t>
  </si>
  <si>
    <t>Kevin Shattenkirk</t>
  </si>
  <si>
    <t>Phillip Danault</t>
  </si>
  <si>
    <t>Frederik Andersen</t>
  </si>
  <si>
    <t>Adam Fantilli</t>
  </si>
  <si>
    <t>K'Andre Miller</t>
  </si>
  <si>
    <t>Conor Garland</t>
  </si>
  <si>
    <t>Juuso Valimaki</t>
  </si>
  <si>
    <t>Justin Schultz</t>
  </si>
  <si>
    <t>Wyatt Johnston</t>
  </si>
  <si>
    <t>Ryan Graves</t>
  </si>
  <si>
    <t>Adam Henrique</t>
  </si>
  <si>
    <t>Ivan Provorov</t>
  </si>
  <si>
    <t>Pavel Mintyukov</t>
  </si>
  <si>
    <t>Matias Maccelli</t>
  </si>
  <si>
    <t>Jakub Vrana</t>
  </si>
  <si>
    <t>Teuvo Teravainen</t>
  </si>
  <si>
    <t>Calen Addison</t>
  </si>
  <si>
    <t>Michael Bunting</t>
  </si>
  <si>
    <t>Travis Sanheim</t>
  </si>
  <si>
    <t>Brock Faber</t>
  </si>
  <si>
    <t>Tyler Bertuzzi</t>
  </si>
  <si>
    <t>Kaiden Guhle</t>
  </si>
  <si>
    <t>Bowen Byram</t>
  </si>
  <si>
    <t>Kirill Marchenko</t>
  </si>
  <si>
    <t>Kirby Dach</t>
  </si>
  <si>
    <t>Tyler Seguin</t>
  </si>
  <si>
    <t>Alex Barabanov</t>
  </si>
  <si>
    <t>Ryan Pulock</t>
  </si>
  <si>
    <t>Tom Wilson</t>
  </si>
  <si>
    <t>Nino NIederreiter</t>
  </si>
  <si>
    <t>Sean Couturier</t>
  </si>
  <si>
    <t>William Eklund</t>
  </si>
  <si>
    <t>Ivan Barbashev</t>
  </si>
  <si>
    <t>Jonas Brodin</t>
  </si>
  <si>
    <t>Trevor Moore</t>
  </si>
  <si>
    <t>Adam Pelech</t>
  </si>
  <si>
    <t>William Karlsson</t>
  </si>
  <si>
    <t>Karel Vejmelka</t>
  </si>
  <si>
    <t>Jack Roslovic</t>
  </si>
  <si>
    <t>Evander Kane</t>
  </si>
  <si>
    <t>Blake Wheeler</t>
  </si>
  <si>
    <t>Ryan O'Reilly</t>
  </si>
  <si>
    <t>T.J. Oshie</t>
  </si>
  <si>
    <t>Pheonix Copley</t>
  </si>
  <si>
    <t>Dylan Strome</t>
  </si>
  <si>
    <t>Frank Vatrano</t>
  </si>
  <si>
    <t>Jeremy Swayman</t>
  </si>
  <si>
    <t>Jake Walman</t>
  </si>
  <si>
    <t>Barrett Hayton</t>
  </si>
  <si>
    <t>Rasmus Sandin</t>
  </si>
  <si>
    <t>Vladislav Gavrikov</t>
  </si>
  <si>
    <t>Nick Perbix</t>
  </si>
  <si>
    <t>Esa Lindell</t>
  </si>
  <si>
    <t>Daniel Sprong</t>
  </si>
  <si>
    <t>Anton Lundell</t>
  </si>
  <si>
    <t>Rasmus Ristolainen</t>
  </si>
  <si>
    <t>Nick Jensen</t>
  </si>
  <si>
    <t>Matt Dumba</t>
  </si>
  <si>
    <t>Kevin Hayes</t>
  </si>
  <si>
    <t>Dillon Dube</t>
  </si>
  <si>
    <t>Joel Farabee</t>
  </si>
  <si>
    <t>Dominik Kubalik</t>
  </si>
  <si>
    <t>Gabriel Vilardi</t>
  </si>
  <si>
    <t>Matt Roy</t>
  </si>
  <si>
    <t>Kaapo Kahkonen</t>
  </si>
  <si>
    <t>J.T. Compher</t>
  </si>
  <si>
    <t>Cam Atkinson</t>
  </si>
  <si>
    <t>Cody Glass</t>
  </si>
  <si>
    <t>Radko Gudas</t>
  </si>
  <si>
    <t>Charlie Coyle</t>
  </si>
  <si>
    <t>Tony DeAngelo</t>
  </si>
  <si>
    <t>Ilya Mikheyev</t>
  </si>
  <si>
    <t>Marcus Pettersson</t>
  </si>
  <si>
    <t>Quinton Byfield</t>
  </si>
  <si>
    <t>Scott Mayfield</t>
  </si>
  <si>
    <t>Scott Laughton</t>
  </si>
  <si>
    <t>Nate Schmidt</t>
  </si>
  <si>
    <t>Filip Chytil</t>
  </si>
  <si>
    <t>Victor Olofsson</t>
  </si>
  <si>
    <t>Adam Boqvist</t>
  </si>
  <si>
    <t>Anthony Duclair</t>
  </si>
  <si>
    <t>Evan Rodrigues</t>
  </si>
  <si>
    <t>Matt Grzelcyk</t>
  </si>
  <si>
    <t>Lawson Crouse</t>
  </si>
  <si>
    <t>Timothy Liljegren</t>
  </si>
  <si>
    <t>Brandon Saad</t>
  </si>
  <si>
    <t>Max Domi</t>
  </si>
  <si>
    <t>Taylor Raddysh</t>
  </si>
  <si>
    <t>Matt Benning</t>
  </si>
  <si>
    <t>Jesperi Kotkaniemi</t>
  </si>
  <si>
    <t>Ryan McDonagh</t>
  </si>
  <si>
    <t>Erik Cernak</t>
  </si>
  <si>
    <t>Josh Anderson</t>
  </si>
  <si>
    <t>Ross Colton</t>
  </si>
  <si>
    <t>Alexis Lafrenière</t>
  </si>
  <si>
    <t>Martin Fehervary</t>
  </si>
  <si>
    <t>Erik Gustafsson (D)</t>
  </si>
  <si>
    <t>Ryan Strome</t>
  </si>
  <si>
    <t>Carson Soucy</t>
  </si>
  <si>
    <t>Anthony Cirelli</t>
  </si>
  <si>
    <t>David Jiricek</t>
  </si>
  <si>
    <t>John Marino</t>
  </si>
  <si>
    <t>Brayden McNabb</t>
  </si>
  <si>
    <t>Ben Chiarot</t>
  </si>
  <si>
    <t>Yanni Gourde</t>
  </si>
  <si>
    <t>Alec Martinez</t>
  </si>
  <si>
    <t>Nikita Zadorov</t>
  </si>
  <si>
    <t>Blake Coleman</t>
  </si>
  <si>
    <t>Alex Iafallo</t>
  </si>
  <si>
    <t>Connor Clifton</t>
  </si>
  <si>
    <t>Jake McCabe</t>
  </si>
  <si>
    <t>Kyle Palmieri</t>
  </si>
  <si>
    <t>Nicolas Hague</t>
  </si>
  <si>
    <t>Morgan Frost</t>
  </si>
  <si>
    <t>Conor Sheary</t>
  </si>
  <si>
    <t>Jonas Siegenthaler</t>
  </si>
  <si>
    <t>Nicklas Backstrom</t>
  </si>
  <si>
    <t>Cody Ceci</t>
  </si>
  <si>
    <t>Andreas Athanasiou</t>
  </si>
  <si>
    <t>Cole Perfetti</t>
  </si>
  <si>
    <t>Mikey Anderson</t>
  </si>
  <si>
    <t>Tomas Tatar</t>
  </si>
  <si>
    <t>Jake Bean</t>
  </si>
  <si>
    <t>Noah Cates</t>
  </si>
  <si>
    <t>Alex Romanov</t>
  </si>
  <si>
    <t>Dylan Demelo</t>
  </si>
  <si>
    <t>Mark Giordano</t>
  </si>
  <si>
    <t>Jamie Oleksiak</t>
  </si>
  <si>
    <t>Oliver Ekman-Larsson</t>
  </si>
  <si>
    <t>Dante Fabbro</t>
  </si>
  <si>
    <t>Chris Tanev</t>
  </si>
  <si>
    <t>Travis Hamonic</t>
  </si>
  <si>
    <t>Mikael Granlund</t>
  </si>
  <si>
    <t>Gustav Nyquist</t>
  </si>
  <si>
    <t>James van Riemsdyk</t>
  </si>
  <si>
    <t>Ian Cole</t>
  </si>
  <si>
    <t>Kaapo Kakko</t>
  </si>
  <si>
    <t>TJ Brodie</t>
  </si>
  <si>
    <t>Mattias Samuelsson</t>
  </si>
  <si>
    <t>Jason Zucker</t>
  </si>
  <si>
    <t>Trevor van Riemsdyk</t>
  </si>
  <si>
    <t>Jaden Schwartz</t>
  </si>
  <si>
    <t>Brett Kulak</t>
  </si>
  <si>
    <t>Pierre-Olivier Joseph</t>
  </si>
  <si>
    <t>Philip Tomasino</t>
  </si>
  <si>
    <t>Anton Forsberg</t>
  </si>
  <si>
    <t>Eeli Tolvanen</t>
  </si>
  <si>
    <t>Andrew Copp</t>
  </si>
  <si>
    <t>Erik Brannstrom</t>
  </si>
  <si>
    <t>Ryan Lindgren</t>
  </si>
  <si>
    <t>Zach Whitecloud</t>
  </si>
  <si>
    <t>Max Pacioretty</t>
  </si>
  <si>
    <t>Connor Murphy</t>
  </si>
  <si>
    <t>Brenden Dillon</t>
  </si>
  <si>
    <t>Alex Carrier</t>
  </si>
  <si>
    <t>Jean-Gabriel Pageau</t>
  </si>
  <si>
    <t>David Savard</t>
  </si>
  <si>
    <t>Logan Thompson</t>
  </si>
  <si>
    <t>Sean Walker</t>
  </si>
  <si>
    <t>Nick Paul</t>
  </si>
  <si>
    <t>Colin Miller</t>
  </si>
  <si>
    <t>Nicolas Roy</t>
  </si>
  <si>
    <t>Ryan Suter</t>
  </si>
  <si>
    <t>Matthew Knies</t>
  </si>
  <si>
    <t>Erik Johnson</t>
  </si>
  <si>
    <t>Connor Ingram</t>
  </si>
  <si>
    <t>Luke Schenn</t>
  </si>
  <si>
    <t>Tyler Myers</t>
  </si>
  <si>
    <t>Jordan Harris</t>
  </si>
  <si>
    <t>Brandon Carlo</t>
  </si>
  <si>
    <t>Kasperi Kapanen</t>
  </si>
  <si>
    <t>Justin Holl</t>
  </si>
  <si>
    <t>Ondrej Palat</t>
  </si>
  <si>
    <t>Sebastian Aho (D)</t>
  </si>
  <si>
    <t>Tanner Jeannot</t>
  </si>
  <si>
    <t>Jacob Middleton</t>
  </si>
  <si>
    <t>Dmitry Kulikov</t>
  </si>
  <si>
    <t>Erik Haula</t>
  </si>
  <si>
    <t>Brian Dumoulin</t>
  </si>
  <si>
    <t>Alex Vlasic</t>
  </si>
  <si>
    <t>Sean Monahan</t>
  </si>
  <si>
    <t>Pierre Engvall</t>
  </si>
  <si>
    <t>Phil Kessel</t>
  </si>
  <si>
    <t>Artem Zub</t>
  </si>
  <si>
    <t>Arvid Soderblom</t>
  </si>
  <si>
    <t>Nick Seeler</t>
  </si>
  <si>
    <t>Akira Schmid</t>
  </si>
  <si>
    <t>Alex Newhook</t>
  </si>
  <si>
    <t>Mike Hoffman</t>
  </si>
  <si>
    <t>Ryan Johansen</t>
  </si>
  <si>
    <t>Mike Reilly</t>
  </si>
  <si>
    <t>Morgan Geekie</t>
  </si>
  <si>
    <t>Josh Manson</t>
  </si>
  <si>
    <t>Rafael Harvey-Pinard</t>
  </si>
  <si>
    <t>Stefan Noesen</t>
  </si>
  <si>
    <t>Jan Rutta</t>
  </si>
  <si>
    <t>Nick Leddy</t>
  </si>
  <si>
    <t>Alex Goligoski</t>
  </si>
  <si>
    <t>Troy Stecher</t>
  </si>
  <si>
    <t>Marcus Johansson</t>
  </si>
  <si>
    <t>Erik Gudbranson</t>
  </si>
  <si>
    <t>JJ Peterka</t>
  </si>
  <si>
    <t>Nils Lundkvist</t>
  </si>
  <si>
    <t>Calle Rosen</t>
  </si>
  <si>
    <t>Yegor Sharangovich</t>
  </si>
  <si>
    <t>Marc-Edouard Vlasic</t>
  </si>
  <si>
    <t>Braden Schneider</t>
  </si>
  <si>
    <t>Tyler Johnson</t>
  </si>
  <si>
    <t>Mason Marchment</t>
  </si>
  <si>
    <t>Juuso Parssinen</t>
  </si>
  <si>
    <t>Connor Brown</t>
  </si>
  <si>
    <t>Leo Carlsson</t>
  </si>
  <si>
    <t>Johnathan Kovacevic</t>
  </si>
  <si>
    <t>Jani Hakanpaa</t>
  </si>
  <si>
    <t>Jacob Peterson</t>
  </si>
  <si>
    <t>Oliver Kylington</t>
  </si>
  <si>
    <t>Frederick Gaudreau</t>
  </si>
  <si>
    <t>Joel Edmundson</t>
  </si>
  <si>
    <t>Petr Mrazek</t>
  </si>
  <si>
    <t>Jack Campbell</t>
  </si>
  <si>
    <t>Evgeny Dadonov</t>
  </si>
  <si>
    <t>Dylan Samberg</t>
  </si>
  <si>
    <t>Josh Mahura</t>
  </si>
  <si>
    <t>Jake Allen</t>
  </si>
  <si>
    <t>Alex Wennberg</t>
  </si>
  <si>
    <t>Zach Parise</t>
  </si>
  <si>
    <t>Arber Xhekaj</t>
  </si>
  <si>
    <t>Ryan Donato</t>
  </si>
  <si>
    <t>Brendan Gallagher</t>
  </si>
  <si>
    <t>Eetu Luostarinen</t>
  </si>
  <si>
    <t>Derek Forbort</t>
  </si>
  <si>
    <t>Philipp Kurashev</t>
  </si>
  <si>
    <t>Anthony Mantha</t>
  </si>
  <si>
    <t>Robert Hagg</t>
  </si>
  <si>
    <t>William Borgen</t>
  </si>
  <si>
    <t>Dylan Coghlan</t>
  </si>
  <si>
    <t>Kevin Labanc</t>
  </si>
  <si>
    <t>Kyle Burroughs</t>
  </si>
  <si>
    <t>Alex Kerfoot</t>
  </si>
  <si>
    <t>Jeremy Lauzon</t>
  </si>
  <si>
    <t>Olli Maatta</t>
  </si>
  <si>
    <t>Oliver Wahlstrom</t>
  </si>
  <si>
    <t>Jakob Pelletier</t>
  </si>
  <si>
    <t>Cam Talbot</t>
  </si>
  <si>
    <t>Ethan Bear</t>
  </si>
  <si>
    <t>Henri Jokiharju</t>
  </si>
  <si>
    <t>Cole Guttman</t>
  </si>
  <si>
    <t>Marc Staal</t>
  </si>
  <si>
    <t>Calle Jarnkrok</t>
  </si>
  <si>
    <t>Trent Frederic</t>
  </si>
  <si>
    <t>Pavel Dorofeyev</t>
  </si>
  <si>
    <t>Samuel Bolduc</t>
  </si>
  <si>
    <t>Dylan Guenther</t>
  </si>
  <si>
    <t>Conor Timmins</t>
  </si>
  <si>
    <t>Christian Dvorak</t>
  </si>
  <si>
    <t>Michael Rasmussen</t>
  </si>
  <si>
    <t>Jon Merrill</t>
  </si>
  <si>
    <t>Sam Montembeault</t>
  </si>
  <si>
    <t>Jeff Carter</t>
  </si>
  <si>
    <t>Victor Soderstrom</t>
  </si>
  <si>
    <t>Marco Scandella</t>
  </si>
  <si>
    <t>William Carrier</t>
  </si>
  <si>
    <t>Arthur Kaliyev</t>
  </si>
  <si>
    <t>Nikita Zaitsev</t>
  </si>
  <si>
    <t>Luke Kunin</t>
  </si>
  <si>
    <t>Jordan Oesterle</t>
  </si>
  <si>
    <t>Kevin Bahl</t>
  </si>
  <si>
    <t>Radim Simek</t>
  </si>
  <si>
    <t>Warren Foegele</t>
  </si>
  <si>
    <t>Jordan Martinook</t>
  </si>
  <si>
    <t>Christian Wolanin</t>
  </si>
  <si>
    <t>Ben Hutton</t>
  </si>
  <si>
    <t>Jacob MacDonald</t>
  </si>
  <si>
    <t>Miles Wood</t>
  </si>
  <si>
    <t>Jalen Chatfield</t>
  </si>
  <si>
    <t>Jaycob Megna</t>
  </si>
  <si>
    <t>Niko Mikkola</t>
  </si>
  <si>
    <t>Filip Roos</t>
  </si>
  <si>
    <t>Ilya Lyubushkin</t>
  </si>
  <si>
    <t>Logan Stanley</t>
  </si>
  <si>
    <t>Jonathan Drouin</t>
  </si>
  <si>
    <t>Jakob Silfverberg</t>
  </si>
  <si>
    <t>Josh Brown</t>
  </si>
  <si>
    <t>Kailer Yamamoto</t>
  </si>
  <si>
    <t>Shane Wright</t>
  </si>
  <si>
    <t>Shane Pinto</t>
  </si>
  <si>
    <t>Zach Bogosian</t>
  </si>
  <si>
    <t>Jordan Staal</t>
  </si>
  <si>
    <t>Cole Sillinger</t>
  </si>
  <si>
    <t>Marc-Andre Fleury</t>
  </si>
  <si>
    <t>Urho Vaakanainen</t>
  </si>
  <si>
    <t>Yegor Chinakhov</t>
  </si>
  <si>
    <t>Josh Bailey</t>
  </si>
  <si>
    <t>Haydn Fleury</t>
  </si>
  <si>
    <t>Jarred Tinordi</t>
  </si>
  <si>
    <t>Pius Suter</t>
  </si>
  <si>
    <t>Jonatan Berggren</t>
  </si>
  <si>
    <t>Alex Alexeyev</t>
  </si>
  <si>
    <t>Adam Lowry</t>
  </si>
  <si>
    <t>MacKenzie Blackwood</t>
  </si>
  <si>
    <t>Colton White</t>
  </si>
  <si>
    <t>Michael Eyssimont</t>
  </si>
  <si>
    <t>Chris Wideman</t>
  </si>
  <si>
    <t>Yakov Trenin</t>
  </si>
  <si>
    <t>Chad Ruhwedel</t>
  </si>
  <si>
    <t>Corey Perry</t>
  </si>
  <si>
    <t>Matt Irwin</t>
  </si>
  <si>
    <t>Brad Hunt</t>
  </si>
  <si>
    <t>Brendan Smith</t>
  </si>
  <si>
    <t>Jonathan Toews</t>
  </si>
  <si>
    <t>Kyle Okposo</t>
  </si>
  <si>
    <t>Filip Zadina</t>
  </si>
  <si>
    <t>Zac Jones</t>
  </si>
  <si>
    <t>Jacob Bernard-Docker</t>
  </si>
  <si>
    <t>Ryan McLeod</t>
  </si>
  <si>
    <t>Jack Johnson</t>
  </si>
  <si>
    <t>Brandon Tanev</t>
  </si>
  <si>
    <t>Blake Lizotte</t>
  </si>
  <si>
    <t>Marcus Foligno</t>
  </si>
  <si>
    <t>Jack Quinn</t>
  </si>
  <si>
    <t>Robby Fabbri</t>
  </si>
  <si>
    <t>Logan O'Connor</t>
  </si>
  <si>
    <t>Philip Broberg</t>
  </si>
  <si>
    <t>Nico Sturm</t>
  </si>
  <si>
    <t>Alex Texier</t>
  </si>
  <si>
    <t>Jason Dickinson</t>
  </si>
  <si>
    <t>Mason Appleton</t>
  </si>
  <si>
    <t>Sonny Milano</t>
  </si>
  <si>
    <t>Tobias Bjornfot</t>
  </si>
  <si>
    <t>Jesper Fast</t>
  </si>
  <si>
    <t>Nick Ritchie</t>
  </si>
  <si>
    <t>Nick Bjugstad</t>
  </si>
  <si>
    <t>Colton Sissons</t>
  </si>
  <si>
    <t>Fabian Zetterlund</t>
  </si>
  <si>
    <t>Eric Robinson</t>
  </si>
  <si>
    <t>Vincent Desharnais</t>
  </si>
  <si>
    <t>Mathieu Joseph</t>
  </si>
  <si>
    <t>Juraj Slafkovsky</t>
  </si>
  <si>
    <t>Noah Gregor</t>
  </si>
  <si>
    <t>Egor Zamula</t>
  </si>
  <si>
    <t>Alex Holtz</t>
  </si>
  <si>
    <t>Robert Bortuzzo</t>
  </si>
  <si>
    <t>Phillip Di Giuseppe</t>
  </si>
  <si>
    <t>Wade Allison</t>
  </si>
  <si>
    <t>Barclay Goodrow</t>
  </si>
  <si>
    <t>Jakub Zboril</t>
  </si>
  <si>
    <t>Joel Hanley</t>
  </si>
  <si>
    <t>David Kampf</t>
  </si>
  <si>
    <t>Garnet Hathaway</t>
  </si>
  <si>
    <t>Kiefer Sherwood</t>
  </si>
  <si>
    <t>Hudson Fasching</t>
  </si>
  <si>
    <t>Emil Bemstrom</t>
  </si>
  <si>
    <t>Walker Duehr</t>
  </si>
  <si>
    <t>Lars Eller</t>
  </si>
  <si>
    <t>Mattias Janmark</t>
  </si>
  <si>
    <t>Danton Heinen</t>
  </si>
  <si>
    <t>Nick Cousins</t>
  </si>
  <si>
    <t>Joseph Woll</t>
  </si>
  <si>
    <t>Sam Lafferty</t>
  </si>
  <si>
    <t>Adam Ruzicka</t>
  </si>
  <si>
    <t>Michael Amadio</t>
  </si>
  <si>
    <t>Nathan Bastian</t>
  </si>
  <si>
    <t>Vladislav Namestnikov</t>
  </si>
  <si>
    <t>Jordan Greenway</t>
  </si>
  <si>
    <t>Carl Grundstrom</t>
  </si>
  <si>
    <t>Andreas Englund</t>
  </si>
  <si>
    <t>Sammy Blais</t>
  </si>
  <si>
    <t>Craig Smith</t>
  </si>
  <si>
    <t>Nicolas Aube-Kubel</t>
  </si>
  <si>
    <t>Daniil Tarasov (G)</t>
  </si>
  <si>
    <t>Jake Evans</t>
  </si>
  <si>
    <t>Joel Armia</t>
  </si>
  <si>
    <t>Tyler Motte</t>
  </si>
  <si>
    <t>Jake Neighbours</t>
  </si>
  <si>
    <t>Vasily Podkolzin</t>
  </si>
  <si>
    <t>Teddy Blueger</t>
  </si>
  <si>
    <t>Tyson Jost</t>
  </si>
  <si>
    <t>Keegan Kolesar</t>
  </si>
  <si>
    <t>Alex Nedeljkovic</t>
  </si>
  <si>
    <t>Christian Fischer</t>
  </si>
  <si>
    <t>Nic Dowd</t>
  </si>
  <si>
    <t>Sean Kuraly</t>
  </si>
  <si>
    <t>Pavel Francouz</t>
  </si>
  <si>
    <t>Ty Dellandrea</t>
  </si>
  <si>
    <t>Peyton Krebs</t>
  </si>
  <si>
    <t>Jack McBain</t>
  </si>
  <si>
    <t>Ryan Lomberg</t>
  </si>
  <si>
    <t>Brock McGinn</t>
  </si>
  <si>
    <t>Michael McLeod</t>
  </si>
  <si>
    <t>Isac Lundestrom</t>
  </si>
  <si>
    <t>Jimmy Vesey</t>
  </si>
  <si>
    <t>Matt Nieto</t>
  </si>
  <si>
    <t>Charlie Lindgren</t>
  </si>
  <si>
    <t>Ridly Greig</t>
  </si>
  <si>
    <t>Noel Acciari</t>
  </si>
  <si>
    <t>Morgan Barron</t>
  </si>
  <si>
    <t>Brett Howden</t>
  </si>
  <si>
    <t>Alexei Toropchenko</t>
  </si>
  <si>
    <t>Oskar Lindblom</t>
  </si>
  <si>
    <t>Paul Cotter</t>
  </si>
  <si>
    <t>Zach Sanford</t>
  </si>
  <si>
    <t>Casey Cizikas</t>
  </si>
  <si>
    <t>Michael Carcone</t>
  </si>
  <si>
    <t>Nick Foligno</t>
  </si>
  <si>
    <t>Zemgus Girgensons</t>
  </si>
  <si>
    <t>Travis Boyd</t>
  </si>
  <si>
    <t>Aliaksei Protas</t>
  </si>
  <si>
    <t>Brandon Duhaime</t>
  </si>
  <si>
    <t>Klim Kostin</t>
  </si>
  <si>
    <t>Max Jones</t>
  </si>
  <si>
    <t>Nicholas Robertson</t>
  </si>
  <si>
    <t>Radek Faksa</t>
  </si>
  <si>
    <t>Sam Steel</t>
  </si>
  <si>
    <t>Nils Hoglander</t>
  </si>
  <si>
    <t>Jonathan Quick</t>
  </si>
  <si>
    <t>Ryan Poehling</t>
  </si>
  <si>
    <t>Joe Snively</t>
  </si>
  <si>
    <t>Nick Bonino</t>
  </si>
  <si>
    <t>Calvin Petersen</t>
  </si>
  <si>
    <t>Boris Katchouk</t>
  </si>
  <si>
    <t>Pyotr Kochetkov</t>
  </si>
  <si>
    <t>Alex Belzile</t>
  </si>
  <si>
    <t>Steven Lorentz</t>
  </si>
  <si>
    <t>A.J. Greer</t>
  </si>
  <si>
    <t>Eric Comrie</t>
  </si>
  <si>
    <t>Milan Lucic</t>
  </si>
  <si>
    <t>Antti Raanta</t>
  </si>
  <si>
    <t>Tomas Nosek</t>
  </si>
  <si>
    <t>Derek Ryan</t>
  </si>
  <si>
    <t>Andrew Cogliano</t>
  </si>
  <si>
    <t>Cal Clutterbuck</t>
  </si>
  <si>
    <t>Zach Aston-Reese</t>
  </si>
  <si>
    <t>Joe Veleno</t>
  </si>
  <si>
    <t>Dakota Joshua</t>
  </si>
  <si>
    <t>Patrick Brown</t>
  </si>
  <si>
    <t>Sheldon Dries</t>
  </si>
  <si>
    <t>Cole Smith</t>
  </si>
  <si>
    <t>Connor Dewar</t>
  </si>
  <si>
    <t>Semyon Varlamov</t>
  </si>
  <si>
    <t>Matthew Highmore</t>
  </si>
  <si>
    <t>Matt Martin</t>
  </si>
  <si>
    <t>Jakub Lauko</t>
  </si>
  <si>
    <t>Brett Leason</t>
  </si>
  <si>
    <t>Jack Drury</t>
  </si>
  <si>
    <t>Michael McCarron</t>
  </si>
  <si>
    <t>Andreas Johnsson</t>
  </si>
  <si>
    <t>Josh Archibald</t>
  </si>
  <si>
    <t>Dylan Holloway</t>
  </si>
  <si>
    <t>Pontus Holmberg</t>
  </si>
  <si>
    <t>Patrick Maroon</t>
  </si>
  <si>
    <t>Zack MacEwen</t>
  </si>
  <si>
    <t>Vinnie Hinostroza</t>
  </si>
  <si>
    <t>Jaret Anderson-Dolan</t>
  </si>
  <si>
    <t>Parker Kelly</t>
  </si>
  <si>
    <t>Joel Hofer</t>
  </si>
  <si>
    <t>Nils Aman</t>
  </si>
  <si>
    <t>Scott Wedgewood</t>
  </si>
  <si>
    <t>Nicolas Deslauriers</t>
  </si>
  <si>
    <t>Mathieu Olivier</t>
  </si>
  <si>
    <t>Lukas Dostal</t>
  </si>
  <si>
    <t>Trevor Lewis</t>
  </si>
  <si>
    <t>James Reimer</t>
  </si>
  <si>
    <t>Joey Daccord</t>
  </si>
  <si>
    <t>Nathan Walker</t>
  </si>
  <si>
    <t>Rasmus Kupari</t>
  </si>
  <si>
    <t>Ryan Reaves</t>
  </si>
  <si>
    <t>Rasmus Asplund</t>
  </si>
  <si>
    <t>Nikita Alexandrov</t>
  </si>
  <si>
    <t>Sam Carrick</t>
  </si>
  <si>
    <t>Marco Rossi</t>
  </si>
  <si>
    <t>Mark Kastelic</t>
  </si>
  <si>
    <t>Laurent Brossoit</t>
  </si>
  <si>
    <t>Dan Vladar</t>
  </si>
  <si>
    <t>Pierre-Edouard Bellemare</t>
  </si>
  <si>
    <t>Alex Lyon</t>
  </si>
  <si>
    <t>Jonas Johansson</t>
  </si>
  <si>
    <t>Tyler Pitlick</t>
  </si>
  <si>
    <t>Luke Glendening</t>
  </si>
  <si>
    <t>Fredrik Olofsson</t>
  </si>
  <si>
    <t>Kevin Rooney</t>
  </si>
  <si>
    <t>Grigori Denisenko</t>
  </si>
  <si>
    <t>Logan Brown</t>
  </si>
  <si>
    <t>Givani Smith</t>
  </si>
  <si>
    <t>Nic Petan</t>
  </si>
  <si>
    <t>Curtis Lazar</t>
  </si>
  <si>
    <t>Nolan Foote</t>
  </si>
  <si>
    <t>Anthony Stolarz</t>
  </si>
  <si>
    <t>Kevin Lankinen</t>
  </si>
  <si>
    <t>Spencer Knight</t>
  </si>
  <si>
    <t>Lane Pederson</t>
  </si>
  <si>
    <t>David Gustafsson</t>
  </si>
  <si>
    <t>Ryan Carpenter</t>
  </si>
  <si>
    <t>Jayson Megna</t>
  </si>
  <si>
    <t>Ben Meyers</t>
  </si>
  <si>
    <t>Tanner Laczynski</t>
  </si>
  <si>
    <t>Chris Driedger</t>
  </si>
  <si>
    <t>Ross Johnston</t>
  </si>
  <si>
    <t>Casey DeSmith</t>
  </si>
  <si>
    <t>Ukko-Pekka Luukkonen</t>
  </si>
  <si>
    <t>Felix Sandstrom</t>
  </si>
  <si>
    <t>Dustin Wolf</t>
  </si>
  <si>
    <t>Martin Jones</t>
  </si>
  <si>
    <t>Spencer Martin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</si>
  <si>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</si>
  <si>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</si>
  <si>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</si>
  <si>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</si>
  <si>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</si>
  <si>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</si>
  <si>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</si>
  <si>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</si>
  <si>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</si>
  <si>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</si>
  <si>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</si>
  <si>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</si>
  <si>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</si>
  <si>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</si>
  <si>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</si>
  <si>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</si>
  <si>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</si>
  <si>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</si>
  <si>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TOTAL FP</t>
  </si>
  <si>
    <t>TOTAL VORP</t>
  </si>
  <si>
    <r>
      <rPr>
        <sz val="10"/>
        <color indexed="17"/>
        <rFont val="Helvetica Neue Light"/>
      </rPr>
      <t>TEAM 1</t>
    </r>
  </si>
  <si>
    <r>
      <rPr>
        <sz val="10"/>
        <color indexed="17"/>
        <rFont val="Helvetica Neue Light"/>
      </rPr>
      <t>TEAM 2</t>
    </r>
  </si>
  <si>
    <r>
      <rPr>
        <sz val="10"/>
        <color indexed="17"/>
        <rFont val="Helvetica Neue Light"/>
      </rPr>
      <t>TEAM 3</t>
    </r>
  </si>
  <si>
    <r>
      <rPr>
        <sz val="10"/>
        <color indexed="17"/>
        <rFont val="Helvetica Neue Light"/>
      </rPr>
      <t>TEAM 4</t>
    </r>
  </si>
  <si>
    <r>
      <rPr>
        <sz val="10"/>
        <color indexed="17"/>
        <rFont val="Helvetica Neue Light"/>
      </rPr>
      <t>TEAM 5</t>
    </r>
  </si>
  <si>
    <r>
      <rPr>
        <sz val="10"/>
        <color indexed="17"/>
        <rFont val="Helvetica Neue Light"/>
      </rPr>
      <t>TEAM 6</t>
    </r>
  </si>
  <si>
    <r>
      <rPr>
        <sz val="10"/>
        <color indexed="17"/>
        <rFont val="Helvetica Neue Light"/>
      </rPr>
      <t>TEAM 7</t>
    </r>
  </si>
  <si>
    <r>
      <rPr>
        <sz val="10"/>
        <color indexed="17"/>
        <rFont val="Helvetica Neue Light"/>
      </rPr>
      <t>TEAM 8</t>
    </r>
  </si>
  <si>
    <r>
      <rPr>
        <sz val="10"/>
        <color indexed="17"/>
        <rFont val="Helvetica Neue Light"/>
      </rPr>
      <t>TEAM 9</t>
    </r>
  </si>
  <si>
    <r>
      <rPr>
        <sz val="10"/>
        <color indexed="17"/>
        <rFont val="Helvetica Neue Light"/>
      </rPr>
      <t>TEAM 10</t>
    </r>
  </si>
  <si>
    <r>
      <rPr>
        <sz val="10"/>
        <color indexed="17"/>
        <rFont val="Helvetica Neue Light"/>
      </rPr>
      <t>TEAM 11</t>
    </r>
  </si>
  <si>
    <r>
      <rPr>
        <sz val="10"/>
        <color indexed="17"/>
        <rFont val="Helvetica Neue Light"/>
      </rPr>
      <t>TEAM 12</t>
    </r>
  </si>
  <si>
    <r>
      <rPr>
        <sz val="10"/>
        <color indexed="17"/>
        <rFont val="Helvetica Neue Light"/>
      </rPr>
      <t>TEAM 13</t>
    </r>
  </si>
  <si>
    <r>
      <rPr>
        <sz val="10"/>
        <color indexed="17"/>
        <rFont val="Helvetica Neue Light"/>
      </rPr>
      <t>TEAM 14</t>
    </r>
  </si>
  <si>
    <r>
      <rPr>
        <sz val="10"/>
        <color indexed="17"/>
        <rFont val="Helvetica Neue Light"/>
      </rPr>
      <t>TEAM 15</t>
    </r>
  </si>
  <si>
    <r>
      <rPr>
        <sz val="10"/>
        <color indexed="17"/>
        <rFont val="Helvetica Neue Light"/>
      </rPr>
      <t>TEAM 16</t>
    </r>
  </si>
  <si>
    <t>Name</t>
  </si>
  <si>
    <t>F</t>
  </si>
  <si>
    <t>Team</t>
  </si>
  <si>
    <t>Fantasy Points</t>
  </si>
  <si>
    <t>Standard Deviation</t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</si>
  <si>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</si>
  <si>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</si>
  <si>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</si>
  <si>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</si>
  <si>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</si>
  <si>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</si>
  <si>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</si>
  <si>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</si>
  <si>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</si>
  <si>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30.6</t>
  </si>
  <si>
    <t>—</t>
  </si>
  <si>
    <t>PLAYER STATS</t>
  </si>
  <si>
    <t>GOALIE STATS</t>
  </si>
  <si>
    <t>Player</t>
  </si>
  <si>
    <t>Age</t>
  </si>
  <si>
    <t>EDM</t>
  </si>
  <si>
    <t>C,LW</t>
  </si>
  <si>
    <t>COL</t>
  </si>
  <si>
    <t>TBL</t>
  </si>
  <si>
    <t>FLA</t>
  </si>
  <si>
    <t>LW,RW</t>
  </si>
  <si>
    <t>TOR</t>
  </si>
  <si>
    <t>MIN</t>
  </si>
  <si>
    <t>NJD</t>
  </si>
  <si>
    <t>DAL</t>
  </si>
  <si>
    <t>BOS</t>
  </si>
  <si>
    <t>NYR</t>
  </si>
  <si>
    <t>BUF</t>
  </si>
  <si>
    <t>VAN</t>
  </si>
  <si>
    <t>PIT</t>
  </si>
  <si>
    <t>CBJ</t>
  </si>
  <si>
    <t>STL</t>
  </si>
  <si>
    <t>WPG</t>
  </si>
  <si>
    <t>ARI</t>
  </si>
  <si>
    <t>OTT</t>
  </si>
  <si>
    <t>C,RW</t>
  </si>
  <si>
    <t>CHI</t>
  </si>
  <si>
    <t>WSH</t>
  </si>
  <si>
    <t>LAK</t>
  </si>
  <si>
    <t>CAR</t>
  </si>
  <si>
    <t>CGY</t>
  </si>
  <si>
    <t>SJS</t>
  </si>
  <si>
    <t>VGK</t>
  </si>
  <si>
    <t>ANA</t>
  </si>
  <si>
    <t>NSH</t>
  </si>
  <si>
    <t>DET</t>
  </si>
  <si>
    <t>PHI</t>
  </si>
  <si>
    <t>NYI</t>
  </si>
  <si>
    <t>SEA</t>
  </si>
  <si>
    <t>MTL</t>
  </si>
  <si>
    <t>UFA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</si>
</sst>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[$CAD]#,##0.0"/>
    <numFmt numFmtId="60" formatCode="#,##0.0"/>
    <numFmt numFmtId="61" formatCode="#,##0%"/>
    <numFmt numFmtId="62" formatCode="#,##0.000"/>
    <numFmt numFmtId="63" formatCode="0.0"/>
    <numFmt numFmtId="64" formatCode="[$CAD]#,##0"/>
  </numFmts>
  <fonts count="18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 Light"/>
    </font>
    <font>
      <b val="1"/>
      <i val="1"/>
      <sz val="8"/>
      <color indexed="8"/>
      <name val="Helvetica Neue"/>
    </font>
    <font>
      <i val="1"/>
      <sz val="8"/>
      <color indexed="8"/>
      <name val="Helvetica Neue"/>
    </font>
    <font>
      <b val="1"/>
      <sz val="12"/>
      <color indexed="8"/>
      <name val="Helvetica Neue"/>
    </font>
    <font>
      <sz val="10"/>
      <color indexed="15"/>
      <name val="Helvetica Neue Medium"/>
    </font>
    <font>
      <sz val="10"/>
      <color indexed="8"/>
      <name val="Helvetica Neue Medium"/>
    </font>
    <font>
      <b val="1"/>
      <sz val="11"/>
      <color indexed="8"/>
      <name val="Helvetica Neue"/>
    </font>
    <font>
      <sz val="10"/>
      <color indexed="17"/>
      <name val="Helvetica Neue Light"/>
    </font>
    <font>
      <sz val="16"/>
      <color indexed="8"/>
      <name val="Helvetica Neue Light"/>
    </font>
    <font>
      <b val="1"/>
      <sz val="10"/>
      <color indexed="17"/>
      <name val="Helvetica Neue"/>
    </font>
    <font>
      <sz val="8"/>
      <color indexed="8"/>
      <name val="Helvetica Neue Light"/>
    </font>
    <font>
      <sz val="8"/>
      <color indexed="17"/>
      <name val="Helvetica Neue Light"/>
    </font>
    <font>
      <sz val="10"/>
      <color indexed="17"/>
      <name val="Helvetica Neue Medium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</fills>
  <borders count="9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2" applyNumberFormat="1" applyFont="1" applyFill="1" applyBorder="1" applyAlignment="1" applyProtection="0">
      <alignment horizontal="center" vertical="bottom" wrapText="1"/>
    </xf>
    <xf numFmtId="49" fontId="5" borderId="3" applyNumberFormat="1" applyFont="1" applyFill="0" applyBorder="1" applyAlignment="1" applyProtection="0">
      <alignment horizontal="left" vertical="center"/>
    </xf>
    <xf numFmtId="0" fontId="5" borderId="3" applyNumberFormat="1" applyFont="1" applyFill="0" applyBorder="1" applyAlignment="1" applyProtection="0">
      <alignment horizontal="center" vertical="center"/>
    </xf>
    <xf numFmtId="0" fontId="5" borderId="1" applyNumberFormat="1" applyFont="1" applyFill="0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horizontal="center" vertical="center"/>
    </xf>
    <xf numFmtId="49" fontId="4" fillId="3" borderId="2" applyNumberFormat="1" applyFont="1" applyFill="1" applyBorder="1" applyAlignment="1" applyProtection="0">
      <alignment horizontal="center" vertical="center"/>
    </xf>
    <xf numFmtId="49" fontId="4" fillId="4" borderId="2" applyNumberFormat="1" applyFont="1" applyFill="1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center" vertical="center"/>
    </xf>
    <xf numFmtId="49" fontId="4" fillId="5" borderId="2" applyNumberFormat="1" applyFont="1" applyFill="1" applyBorder="1" applyAlignment="1" applyProtection="0">
      <alignment horizontal="center" vertical="center"/>
    </xf>
    <xf numFmtId="49" fontId="4" fillId="6" borderId="2" applyNumberFormat="1" applyFont="1" applyFill="1" applyBorder="1" applyAlignment="1" applyProtection="0">
      <alignment horizontal="center" vertical="center"/>
    </xf>
    <xf numFmtId="49" fontId="4" fillId="7" borderId="2" applyNumberFormat="1" applyFont="1" applyFill="1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horizontal="center" vertical="center"/>
    </xf>
    <xf numFmtId="0" fontId="2" borderId="2" applyNumberFormat="0" applyFont="1" applyFill="0" applyBorder="1" applyAlignment="1" applyProtection="0">
      <alignment vertical="bottom"/>
    </xf>
    <xf numFmtId="0" fontId="6" borderId="2" applyNumberFormat="0" applyFont="1" applyFill="0" applyBorder="1" applyAlignment="1" applyProtection="0">
      <alignment horizontal="center" vertical="bottom" wrapText="1"/>
    </xf>
    <xf numFmtId="49" fontId="7" borderId="2" applyNumberFormat="1" applyFont="1" applyFill="0" applyBorder="1" applyAlignment="1" applyProtection="0">
      <alignment horizontal="center" vertical="center" wrapText="1"/>
    </xf>
    <xf numFmtId="49" fontId="5" borderId="2" applyNumberFormat="1" applyFont="1" applyFill="0" applyBorder="1" applyAlignment="1" applyProtection="0">
      <alignment horizontal="center" vertical="center"/>
    </xf>
    <xf numFmtId="0" fontId="7" borderId="2" applyNumberFormat="0" applyFont="1" applyFill="0" applyBorder="1" applyAlignment="1" applyProtection="0">
      <alignment horizontal="center" vertical="center" wrapText="1"/>
    </xf>
    <xf numFmtId="0" fontId="5" borderId="2" applyNumberFormat="1" applyFont="1" applyFill="0" applyBorder="1" applyAlignment="1" applyProtection="0">
      <alignment horizontal="center" vertical="center"/>
    </xf>
    <xf numFmtId="0" fontId="2" borderId="1" applyNumberFormat="0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horizontal="center" vertical="center"/>
    </xf>
    <xf numFmtId="0" fontId="2" borderId="4" applyNumberFormat="0" applyFont="1" applyFill="0" applyBorder="1" applyAlignment="1" applyProtection="0">
      <alignment vertical="bottom"/>
    </xf>
    <xf numFmtId="9" fontId="5" borderId="2" applyNumberFormat="1" applyFont="1" applyFill="0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8" fillId="2" borderId="2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right" vertical="center"/>
    </xf>
    <xf numFmtId="0" fontId="8" fillId="2" borderId="1" applyNumberFormat="0" applyFont="1" applyFill="1" applyBorder="1" applyAlignment="1" applyProtection="0">
      <alignment horizontal="righ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left" vertical="center"/>
    </xf>
    <xf numFmtId="49" fontId="9" borderId="3" applyNumberFormat="1" applyFont="1" applyFill="0" applyBorder="1" applyAlignment="1" applyProtection="0">
      <alignment horizontal="center" vertical="center"/>
    </xf>
    <xf numFmtId="49" fontId="10" fillId="8" borderId="3" applyNumberFormat="1" applyFont="1" applyFill="1" applyBorder="1" applyAlignment="1" applyProtection="0">
      <alignment horizontal="right" vertical="center"/>
    </xf>
    <xf numFmtId="3" fontId="10" fillId="8" borderId="3" applyNumberFormat="1" applyFont="1" applyFill="1" applyBorder="1" applyAlignment="1" applyProtection="0">
      <alignment horizontal="left" vertical="center"/>
    </xf>
    <xf numFmtId="49" fontId="5" borderId="3" applyNumberFormat="1" applyFont="1" applyFill="0" applyBorder="1" applyAlignment="1" applyProtection="0">
      <alignment horizontal="center" vertical="center"/>
    </xf>
    <xf numFmtId="59" fontId="5" borderId="3" applyNumberFormat="1" applyFont="1" applyFill="0" applyBorder="1" applyAlignment="1" applyProtection="0">
      <alignment horizontal="center" vertical="center"/>
    </xf>
    <xf numFmtId="60" fontId="11" borderId="3" applyNumberFormat="1" applyFont="1" applyFill="0" applyBorder="1" applyAlignment="1" applyProtection="0">
      <alignment horizontal="right" vertical="center"/>
    </xf>
    <xf numFmtId="60" fontId="11" borderId="3" applyNumberFormat="1" applyFont="1" applyFill="0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right" vertical="center"/>
    </xf>
    <xf numFmtId="49" fontId="4" borderId="3" applyNumberFormat="1" applyFont="1" applyFill="0" applyBorder="1" applyAlignment="1" applyProtection="0">
      <alignment horizontal="center" vertical="center"/>
    </xf>
    <xf numFmtId="3" fontId="5" borderId="3" applyNumberFormat="1" applyFont="1" applyFill="0" applyBorder="1" applyAlignment="1" applyProtection="0">
      <alignment horizontal="right" vertical="center"/>
    </xf>
    <xf numFmtId="61" fontId="5" borderId="3" applyNumberFormat="1" applyFont="1" applyFill="0" applyBorder="1" applyAlignment="1" applyProtection="0">
      <alignment horizontal="right" vertical="center"/>
    </xf>
    <xf numFmtId="1" fontId="5" borderId="3" applyNumberFormat="1" applyFont="1" applyFill="0" applyBorder="1" applyAlignment="1" applyProtection="0">
      <alignment horizontal="right" vertical="center"/>
    </xf>
    <xf numFmtId="62" fontId="5" borderId="3" applyNumberFormat="1" applyFont="1" applyFill="0" applyBorder="1" applyAlignment="1" applyProtection="0">
      <alignment horizontal="right" vertical="center"/>
    </xf>
    <xf numFmtId="4" fontId="5" borderId="3" applyNumberFormat="1" applyFont="1" applyFill="0" applyBorder="1" applyAlignment="1" applyProtection="0">
      <alignment horizontal="right" vertical="center"/>
    </xf>
    <xf numFmtId="3" fontId="5" borderId="3" applyNumberFormat="1" applyFont="1" applyFill="0" applyBorder="1" applyAlignment="1" applyProtection="0">
      <alignment horizontal="left" vertical="center"/>
    </xf>
    <xf numFmtId="3" fontId="10" fillId="9" borderId="3" applyNumberFormat="1" applyFont="1" applyFill="1" applyBorder="1" applyAlignment="1" applyProtection="0">
      <alignment horizontal="left" vertical="center"/>
    </xf>
    <xf numFmtId="3" fontId="10" fillId="10" borderId="3" applyNumberFormat="1" applyFont="1" applyFill="1" applyBorder="1" applyAlignment="1" applyProtection="0">
      <alignment horizontal="left" vertical="center"/>
    </xf>
    <xf numFmtId="3" fontId="10" fillId="11" borderId="3" applyNumberFormat="1" applyFont="1" applyFill="1" applyBorder="1" applyAlignment="1" applyProtection="0">
      <alignment horizontal="left" vertical="center"/>
    </xf>
    <xf numFmtId="3" fontId="10" fillId="12" borderId="3" applyNumberFormat="1" applyFont="1" applyFill="1" applyBorder="1" applyAlignment="1" applyProtection="0">
      <alignment horizontal="left" vertical="center"/>
    </xf>
    <xf numFmtId="3" fontId="10" fillId="13" borderId="3" applyNumberFormat="1" applyFont="1" applyFill="1" applyBorder="1" applyAlignment="1" applyProtection="0">
      <alignment horizontal="left" vertical="center"/>
    </xf>
    <xf numFmtId="0" fontId="5" borderId="3" applyNumberFormat="0" applyFont="1" applyFill="0" applyBorder="1" applyAlignment="1" applyProtection="0">
      <alignment horizontal="right" vertical="center"/>
    </xf>
    <xf numFmtId="49" fontId="11" borderId="3" applyNumberFormat="1" applyFont="1" applyFill="0" applyBorder="1" applyAlignment="1" applyProtection="0">
      <alignment horizontal="right" vertical="center"/>
    </xf>
    <xf numFmtId="49" fontId="5" borderId="3" applyNumberFormat="1" applyFont="1" applyFill="0" applyBorder="1" applyAlignment="1" applyProtection="0">
      <alignment horizontal="right" vertical="center"/>
    </xf>
    <xf numFmtId="60" fontId="5" borderId="4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5" borderId="2" applyNumberFormat="0" applyFont="1" applyFill="0" applyBorder="1" applyAlignment="1" applyProtection="0">
      <alignment horizontal="right" vertical="center"/>
    </xf>
    <xf numFmtId="0" fontId="4" borderId="2" applyNumberFormat="0" applyFont="1" applyFill="0" applyBorder="1" applyAlignment="1" applyProtection="0">
      <alignment horizontal="right" vertical="center"/>
    </xf>
    <xf numFmtId="49" fontId="10" fillId="14" borderId="3" applyNumberFormat="1" applyFont="1" applyFill="1" applyBorder="1" applyAlignment="1" applyProtection="0">
      <alignment horizontal="right" vertical="center"/>
    </xf>
    <xf numFmtId="3" fontId="10" fillId="14" borderId="3" applyNumberFormat="1" applyFont="1" applyFill="1" applyBorder="1" applyAlignment="1" applyProtection="0">
      <alignment horizontal="left" vertical="center"/>
    </xf>
    <xf numFmtId="3" fontId="5" borderId="3" applyNumberFormat="1" applyFont="1" applyFill="0" applyBorder="1" applyAlignment="1" applyProtection="0">
      <alignment horizontal="center" vertical="center"/>
    </xf>
    <xf numFmtId="61" fontId="5" borderId="2" applyNumberFormat="1" applyFont="1" applyFill="0" applyBorder="1" applyAlignment="1" applyProtection="0">
      <alignment horizontal="right" vertical="center"/>
    </xf>
    <xf numFmtId="49" fontId="10" fillId="14" borderId="3" applyNumberFormat="1" applyFont="1" applyFill="1" applyBorder="1" applyAlignment="1" applyProtection="0">
      <alignment horizontal="left" vertical="center"/>
    </xf>
    <xf numFmtId="49" fontId="10" fillId="15" borderId="3" applyNumberFormat="1" applyFont="1" applyFill="1" applyBorder="1" applyAlignment="1" applyProtection="0">
      <alignment horizontal="right" vertical="center"/>
    </xf>
    <xf numFmtId="3" fontId="10" fillId="15" borderId="3" applyNumberFormat="1" applyFont="1" applyFill="1" applyBorder="1" applyAlignment="1" applyProtection="0">
      <alignment horizontal="left" vertical="center"/>
    </xf>
    <xf numFmtId="49" fontId="10" fillId="15" borderId="3" applyNumberFormat="1" applyFont="1" applyFill="1" applyBorder="1" applyAlignment="1" applyProtection="0">
      <alignment horizontal="left" vertical="center"/>
    </xf>
    <xf numFmtId="49" fontId="10" fillId="16" borderId="3" applyNumberFormat="1" applyFont="1" applyFill="1" applyBorder="1" applyAlignment="1" applyProtection="0">
      <alignment horizontal="right" vertical="center"/>
    </xf>
    <xf numFmtId="3" fontId="10" fillId="16" borderId="3" applyNumberFormat="1" applyFont="1" applyFill="1" applyBorder="1" applyAlignment="1" applyProtection="0">
      <alignment horizontal="left" vertical="center"/>
    </xf>
    <xf numFmtId="49" fontId="10" fillId="16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right" vertical="center"/>
    </xf>
    <xf numFmtId="3" fontId="10" fillId="17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left" vertical="center"/>
    </xf>
    <xf numFmtId="61" fontId="5" borderId="4" applyNumberFormat="1" applyFont="1" applyFill="0" applyBorder="1" applyAlignment="1" applyProtection="0">
      <alignment horizontal="right" vertical="center"/>
    </xf>
    <xf numFmtId="0" fontId="5" borderId="5" applyNumberFormat="0" applyFont="1" applyFill="0" applyBorder="1" applyAlignment="1" applyProtection="0">
      <alignment horizontal="left" vertical="center"/>
    </xf>
    <xf numFmtId="49" fontId="10" fillId="17" borderId="5" applyNumberFormat="1" applyFont="1" applyFill="1" applyBorder="1" applyAlignment="1" applyProtection="0">
      <alignment horizontal="right" vertical="center"/>
    </xf>
    <xf numFmtId="49" fontId="10" fillId="17" borderId="5" applyNumberFormat="1" applyFont="1" applyFill="1" applyBorder="1" applyAlignment="1" applyProtection="0">
      <alignment horizontal="left" vertical="center"/>
    </xf>
    <xf numFmtId="49" fontId="5" borderId="5" applyNumberFormat="1" applyFont="1" applyFill="0" applyBorder="1" applyAlignment="1" applyProtection="0">
      <alignment horizontal="center" vertical="center"/>
    </xf>
    <xf numFmtId="49" fontId="11" borderId="5" applyNumberFormat="1" applyFont="1" applyFill="0" applyBorder="1" applyAlignment="1" applyProtection="0">
      <alignment horizontal="right" vertical="center"/>
    </xf>
    <xf numFmtId="60" fontId="5" borderId="5" applyNumberFormat="1" applyFont="1" applyFill="0" applyBorder="1" applyAlignment="1" applyProtection="0">
      <alignment horizontal="right" vertical="center"/>
    </xf>
    <xf numFmtId="49" fontId="5" borderId="5" applyNumberFormat="1" applyFont="1" applyFill="0" applyBorder="1" applyAlignment="1" applyProtection="0">
      <alignment horizontal="right" vertical="center"/>
    </xf>
    <xf numFmtId="0" fontId="5" borderId="6" applyNumberFormat="0" applyFont="1" applyFill="0" applyBorder="1" applyAlignment="1" applyProtection="0">
      <alignment horizontal="left" vertical="center"/>
    </xf>
    <xf numFmtId="0" fontId="10" borderId="6" applyNumberFormat="0" applyFont="1" applyFill="0" applyBorder="1" applyAlignment="1" applyProtection="0">
      <alignment horizontal="right" vertical="center"/>
    </xf>
    <xf numFmtId="0" fontId="10" borderId="6" applyNumberFormat="0" applyFont="1" applyFill="0" applyBorder="1" applyAlignment="1" applyProtection="0">
      <alignment horizontal="left" vertical="center"/>
    </xf>
    <xf numFmtId="0" fontId="5" borderId="6" applyNumberFormat="0" applyFont="1" applyFill="0" applyBorder="1" applyAlignment="1" applyProtection="0">
      <alignment horizontal="center" vertical="center"/>
    </xf>
    <xf numFmtId="63" fontId="5" borderId="6" applyNumberFormat="1" applyFont="1" applyFill="0" applyBorder="1" applyAlignment="1" applyProtection="0">
      <alignment horizontal="center" vertical="center"/>
    </xf>
    <xf numFmtId="60" fontId="11" borderId="6" applyNumberFormat="1" applyFont="1" applyFill="0" applyBorder="1" applyAlignment="1" applyProtection="0">
      <alignment horizontal="right" vertical="center"/>
    </xf>
    <xf numFmtId="60" fontId="4" borderId="6" applyNumberFormat="1" applyFont="1" applyFill="0" applyBorder="1" applyAlignment="1" applyProtection="0">
      <alignment horizontal="right" vertical="center"/>
    </xf>
    <xf numFmtId="3" fontId="4" borderId="6" applyNumberFormat="1" applyFont="1" applyFill="0" applyBorder="1" applyAlignment="1" applyProtection="0">
      <alignment horizontal="right" vertical="center"/>
    </xf>
    <xf numFmtId="61" fontId="4" borderId="6" applyNumberFormat="1" applyFont="1" applyFill="0" applyBorder="1" applyAlignment="1" applyProtection="0">
      <alignment horizontal="right" vertical="center"/>
    </xf>
    <xf numFmtId="61" fontId="4" borderId="2" applyNumberFormat="1" applyFont="1" applyFill="0" applyBorder="1" applyAlignment="1" applyProtection="0">
      <alignment horizontal="right" vertical="center"/>
    </xf>
    <xf numFmtId="0" fontId="5" borderId="2" applyNumberFormat="0" applyFont="1" applyFill="0" applyBorder="1" applyAlignment="1" applyProtection="0">
      <alignment horizontal="left" vertical="center"/>
    </xf>
    <xf numFmtId="0" fontId="10" borderId="2" applyNumberFormat="0" applyFont="1" applyFill="0" applyBorder="1" applyAlignment="1" applyProtection="0">
      <alignment horizontal="right" vertical="center"/>
    </xf>
    <xf numFmtId="0" fontId="10" borderId="2" applyNumberFormat="0" applyFont="1" applyFill="0" applyBorder="1" applyAlignment="1" applyProtection="0">
      <alignment horizontal="left" vertical="center"/>
    </xf>
    <xf numFmtId="0" fontId="11" borderId="2" applyNumberFormat="0" applyFont="1" applyFill="0" applyBorder="1" applyAlignment="1" applyProtection="0">
      <alignment horizontal="right" vertical="center"/>
    </xf>
    <xf numFmtId="60" fontId="11" borderId="2" applyNumberFormat="1" applyFont="1" applyFill="0" applyBorder="1" applyAlignment="1" applyProtection="0">
      <alignment horizontal="right" vertical="center"/>
    </xf>
    <xf numFmtId="60" fontId="5" borderId="2" applyNumberFormat="1" applyFont="1" applyFill="0" applyBorder="1" applyAlignment="1" applyProtection="0">
      <alignment horizontal="right" vertical="center"/>
    </xf>
    <xf numFmtId="3" fontId="5" borderId="2" applyNumberFormat="1" applyFont="1" applyFill="0" applyBorder="1" applyAlignment="1" applyProtection="0">
      <alignment horizontal="right" vertical="center"/>
    </xf>
    <xf numFmtId="49" fontId="8" fillId="2" borderId="2" applyNumberFormat="1" applyFont="1" applyFill="1" applyBorder="1" applyAlignment="1" applyProtection="0">
      <alignment horizontal="center" vertical="center"/>
    </xf>
    <xf numFmtId="49" fontId="8" fillId="2" borderId="2" applyNumberFormat="1" applyFont="1" applyFill="1" applyBorder="1" applyAlignment="1" applyProtection="0">
      <alignment horizontal="right" vertical="center"/>
    </xf>
    <xf numFmtId="0" fontId="8" fillId="2" borderId="2" applyNumberFormat="0" applyFont="1" applyFill="1" applyBorder="1" applyAlignment="1" applyProtection="0">
      <alignment horizontal="right" vertical="center"/>
    </xf>
    <xf numFmtId="49" fontId="4" fillId="2" borderId="2" applyNumberFormat="1" applyFont="1" applyFill="1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left" vertical="center"/>
    </xf>
    <xf numFmtId="49" fontId="10" fillId="7" borderId="1" applyNumberFormat="1" applyFont="1" applyFill="1" applyBorder="1" applyAlignment="1" applyProtection="0">
      <alignment horizontal="right" vertical="center"/>
    </xf>
    <xf numFmtId="3" fontId="10" fillId="18" borderId="1" applyNumberFormat="1" applyFont="1" applyFill="1" applyBorder="1" applyAlignment="1" applyProtection="0">
      <alignment horizontal="left" vertical="center"/>
    </xf>
    <xf numFmtId="49" fontId="5" borderId="1" applyNumberFormat="1" applyFont="1" applyFill="0" applyBorder="1" applyAlignment="1" applyProtection="0">
      <alignment horizontal="center" vertical="center"/>
    </xf>
    <xf numFmtId="3" fontId="5" borderId="1" applyNumberFormat="1" applyFont="1" applyFill="0" applyBorder="1" applyAlignment="1" applyProtection="0">
      <alignment horizontal="center" vertical="center"/>
    </xf>
    <xf numFmtId="60" fontId="11" borderId="1" applyNumberFormat="1" applyFont="1" applyFill="0" applyBorder="1" applyAlignment="1" applyProtection="0">
      <alignment horizontal="right" vertical="center"/>
    </xf>
    <xf numFmtId="60" fontId="5" borderId="1" applyNumberFormat="1" applyFont="1" applyFill="0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right" vertical="center"/>
    </xf>
    <xf numFmtId="62" fontId="5" borderId="1" applyNumberFormat="1" applyFont="1" applyFill="0" applyBorder="1" applyAlignment="1" applyProtection="0">
      <alignment horizontal="right" vertical="center"/>
    </xf>
    <xf numFmtId="4" fontId="5" borderId="1" applyNumberFormat="1" applyFont="1" applyFill="0" applyBorder="1" applyAlignment="1" applyProtection="0">
      <alignment horizontal="right" vertical="center"/>
    </xf>
    <xf numFmtId="49" fontId="12" borderId="2" applyNumberFormat="1" applyFont="1" applyFill="0" applyBorder="1" applyAlignment="1" applyProtection="0">
      <alignment horizontal="right" vertical="center"/>
    </xf>
    <xf numFmtId="60" fontId="13" borderId="2" applyNumberFormat="1" applyFont="1" applyFill="0" applyBorder="1" applyAlignment="1" applyProtection="0">
      <alignment horizontal="center" vertical="center"/>
    </xf>
    <xf numFmtId="49" fontId="10" fillId="7" borderId="3" applyNumberFormat="1" applyFont="1" applyFill="1" applyBorder="1" applyAlignment="1" applyProtection="0">
      <alignment horizontal="right" vertical="center"/>
    </xf>
    <xf numFmtId="49" fontId="10" fillId="18" borderId="3" applyNumberFormat="1" applyFont="1" applyFill="1" applyBorder="1" applyAlignment="1" applyProtection="0">
      <alignment horizontal="left" vertical="center"/>
    </xf>
    <xf numFmtId="49" fontId="10" fillId="7" borderId="5" applyNumberFormat="1" applyFont="1" applyFill="1" applyBorder="1" applyAlignment="1" applyProtection="0">
      <alignment horizontal="right" vertical="center"/>
    </xf>
    <xf numFmtId="49" fontId="10" fillId="18" borderId="5" applyNumberFormat="1" applyFont="1" applyFill="1" applyBorder="1" applyAlignment="1" applyProtection="0">
      <alignment horizontal="left" vertical="center"/>
    </xf>
    <xf numFmtId="62" fontId="4" borderId="6" applyNumberFormat="1" applyFont="1" applyFill="0" applyBorder="1" applyAlignment="1" applyProtection="0">
      <alignment horizontal="right" vertical="center"/>
    </xf>
    <xf numFmtId="4" fontId="4" borderId="6" applyNumberFormat="1" applyFont="1" applyFill="0" applyBorder="1" applyAlignment="1" applyProtection="0">
      <alignment horizontal="right" vertical="center"/>
    </xf>
    <xf numFmtId="49" fontId="5" borderId="6" applyNumberFormat="1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horizontal="left" vertical="center"/>
    </xf>
    <xf numFmtId="49" fontId="10" fillId="18" borderId="1" applyNumberFormat="1" applyFont="1" applyFill="1" applyBorder="1" applyAlignment="1" applyProtection="0">
      <alignment horizontal="left" vertical="center"/>
    </xf>
    <xf numFmtId="49" fontId="11" borderId="1" applyNumberFormat="1" applyFont="1" applyFill="0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/>
    </xf>
    <xf numFmtId="0" fontId="4" fillId="2" borderId="2" applyNumberFormat="0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 wrapText="1"/>
    </xf>
    <xf numFmtId="0" fontId="4" fillId="2" borderId="2" applyNumberFormat="0" applyFont="1" applyFill="1" applyBorder="1" applyAlignment="1" applyProtection="0">
      <alignment horizontal="right" vertical="bottom"/>
    </xf>
    <xf numFmtId="0" fontId="14" fillId="2" borderId="2" applyNumberFormat="0" applyFont="1" applyFill="1" applyBorder="1" applyAlignment="1" applyProtection="0">
      <alignment horizontal="center" vertical="bottom"/>
    </xf>
    <xf numFmtId="49" fontId="14" fillId="2" borderId="2" applyNumberFormat="1" applyFont="1" applyFill="1" applyBorder="1" applyAlignment="1" applyProtection="0">
      <alignment horizontal="right" vertical="bottom" wrapText="1"/>
    </xf>
    <xf numFmtId="49" fontId="14" fillId="2" borderId="2" applyNumberFormat="1" applyFont="1" applyFill="1" applyBorder="1" applyAlignment="1" applyProtection="0">
      <alignment horizontal="right" vertical="bottom"/>
    </xf>
    <xf numFmtId="49" fontId="15" fillId="2" borderId="1" applyNumberFormat="1" applyFont="1" applyFill="1" applyBorder="1" applyAlignment="1" applyProtection="0">
      <alignment horizontal="left" vertical="top"/>
    </xf>
    <xf numFmtId="0" fontId="15" fillId="2" borderId="1" applyNumberFormat="1" applyFont="1" applyFill="1" applyBorder="1" applyAlignment="1" applyProtection="0">
      <alignment horizontal="right" vertical="top"/>
    </xf>
    <xf numFmtId="0" fontId="15" fillId="2" borderId="1" applyNumberFormat="0" applyFont="1" applyFill="1" applyBorder="1" applyAlignment="1" applyProtection="0">
      <alignment horizontal="left" vertical="top"/>
    </xf>
    <xf numFmtId="0" fontId="15" fillId="2" borderId="1" applyNumberFormat="0" applyFont="1" applyFill="1" applyBorder="1" applyAlignment="1" applyProtection="0">
      <alignment horizontal="center" vertical="top"/>
    </xf>
    <xf numFmtId="0" fontId="15" fillId="2" borderId="1" applyNumberFormat="0" applyFont="1" applyFill="1" applyBorder="1" applyAlignment="1" applyProtection="0">
      <alignment horizontal="right" vertical="top"/>
    </xf>
    <xf numFmtId="0" fontId="16" fillId="2" borderId="1" applyNumberFormat="0" applyFont="1" applyFill="1" applyBorder="1" applyAlignment="1" applyProtection="0">
      <alignment horizontal="center" vertical="top"/>
    </xf>
    <xf numFmtId="0" fontId="16" fillId="2" borderId="1" applyNumberFormat="0" applyFont="1" applyFill="1" applyBorder="1" applyAlignment="1" applyProtection="0">
      <alignment horizontal="right" vertical="top"/>
    </xf>
    <xf numFmtId="49" fontId="10" fillId="9" borderId="3" applyNumberFormat="1" applyFont="1" applyFill="1" applyBorder="1" applyAlignment="1" applyProtection="0">
      <alignment horizontal="right" vertical="center"/>
    </xf>
    <xf numFmtId="3" fontId="17" fillId="19" borderId="3" applyNumberFormat="1" applyFont="1" applyFill="1" applyBorder="1" applyAlignment="1" applyProtection="0">
      <alignment horizontal="center" vertical="center"/>
    </xf>
    <xf numFmtId="60" fontId="12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16" fillId="2" borderId="2" applyNumberFormat="0" applyFont="1" applyFill="1" applyBorder="1" applyAlignment="1" applyProtection="0">
      <alignment horizontal="center" vertical="top"/>
    </xf>
    <xf numFmtId="0" fontId="16" fillId="2" borderId="2" applyNumberFormat="0" applyFont="1" applyFill="1" applyBorder="1" applyAlignment="1" applyProtection="0">
      <alignment horizontal="right" vertical="top"/>
    </xf>
    <xf numFmtId="3" fontId="17" fillId="19" borderId="1" applyNumberFormat="1" applyFont="1" applyFill="1" applyBorder="1" applyAlignment="1" applyProtection="0">
      <alignment horizontal="center" vertical="center"/>
    </xf>
    <xf numFmtId="60" fontId="12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49" fontId="10" fillId="6" borderId="3" applyNumberFormat="1" applyFont="1" applyFill="1" applyBorder="1" applyAlignment="1" applyProtection="0">
      <alignment horizontal="right" vertical="center"/>
    </xf>
    <xf numFmtId="3" fontId="10" fillId="6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3" fontId="10" fillId="7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 wrapText="1"/>
    </xf>
    <xf numFmtId="0" fontId="4" fillId="2" borderId="1" applyNumberFormat="0" applyFont="1" applyFill="1" applyBorder="1" applyAlignment="1" applyProtection="0">
      <alignment horizontal="right" vertical="bottom" wrapText="1"/>
    </xf>
    <xf numFmtId="63" fontId="5" borderId="3" applyNumberFormat="1" applyFont="1" applyFill="0" applyBorder="1" applyAlignment="1" applyProtection="0">
      <alignment horizontal="right" vertical="center"/>
    </xf>
    <xf numFmtId="63" fontId="5" borderId="1" applyNumberFormat="1" applyFont="1" applyFill="0" applyBorder="1" applyAlignment="1" applyProtection="0">
      <alignment horizontal="right" vertical="center"/>
    </xf>
    <xf numFmtId="64" fontId="5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8" fillId="2" borderId="2" applyNumberFormat="0" applyFont="1" applyFill="1" applyBorder="1" applyAlignment="1" applyProtection="0">
      <alignment horizontal="left" vertical="bottom"/>
    </xf>
    <xf numFmtId="0" fontId="8" fillId="2" borderId="2" applyNumberFormat="0" applyFont="1" applyFill="1" applyBorder="1" applyAlignment="1" applyProtection="0">
      <alignment horizontal="center" vertical="bottom"/>
    </xf>
    <xf numFmtId="1" fontId="8" fillId="2" borderId="7" applyNumberFormat="1" applyFont="1" applyFill="1" applyBorder="1" applyAlignment="1" applyProtection="0">
      <alignment horizontal="center" vertical="bottom"/>
    </xf>
    <xf numFmtId="49" fontId="8" fillId="2" borderId="7" applyNumberFormat="1" applyFont="1" applyFill="1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10" fillId="19" borderId="3" applyNumberFormat="1" applyFont="1" applyFill="1" applyBorder="1" applyAlignment="1" applyProtection="0">
      <alignment horizontal="center" vertical="center"/>
    </xf>
    <xf numFmtId="0" fontId="10" fillId="19" borderId="3" applyNumberFormat="1" applyFont="1" applyFill="1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center" vertical="center"/>
    </xf>
    <xf numFmtId="4" fontId="5" borderId="3" applyNumberFormat="1" applyFont="1" applyFill="0" applyBorder="1" applyAlignment="1" applyProtection="0">
      <alignment horizontal="center" vertical="center"/>
    </xf>
    <xf numFmtId="62" fontId="5" borderId="3" applyNumberFormat="1" applyFont="1" applyFill="0" applyBorder="1" applyAlignment="1" applyProtection="0">
      <alignment horizontal="center" vertical="center"/>
    </xf>
    <xf numFmtId="1" fontId="10" fillId="19" borderId="3" applyNumberFormat="1" applyFont="1" applyFill="1" applyBorder="1" applyAlignment="1" applyProtection="0">
      <alignment horizontal="center" vertical="center"/>
    </xf>
    <xf numFmtId="0" fontId="10" fillId="19" borderId="3" applyNumberFormat="0" applyFont="1" applyFill="1" applyBorder="1" applyAlignment="1" applyProtection="0">
      <alignment horizontal="center" vertical="center"/>
    </xf>
    <xf numFmtId="4" fontId="10" fillId="19" borderId="3" applyNumberFormat="1" applyFont="1" applyFill="1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59"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489bc9"/>
      </font>
    </dxf>
    <dxf>
      <font>
        <color rgb="ffff6861"/>
      </font>
    </dxf>
    <dxf>
      <font>
        <b val="1"/>
        <color rgb="ff489bc9"/>
      </font>
    </dxf>
    <dxf>
      <font>
        <b val="1"/>
        <color rgb="ffff6861"/>
      </font>
    </dxf>
    <dxf>
      <font>
        <color rgb="ffd5d5d5"/>
      </font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94d06f"/>
      <rgbColor rgb="fff5dd6b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be6b"/>
      <rgbColor rgb="ffff6158"/>
      <rgbColor rgb="ff76b4d6"/>
      <rgbColor rgb="fff4dc64"/>
      <rgbColor rgb="ffb573c9"/>
      <rgbColor rgb="ffa1ce7a"/>
      <rgbColor rgb="fff1dd7c"/>
      <rgbColor rgb="ffed7266"/>
      <rgbColor rgb="ff87b2d4"/>
      <rgbColor rgb="ffae7bc6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3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18.9141" style="1" customWidth="1"/>
    <col min="2" max="3" width="9.45312" style="1" customWidth="1"/>
    <col min="4" max="4" width="4.72656" style="1" customWidth="1"/>
    <col min="5" max="5" width="9.45312" style="1" customWidth="1"/>
    <col min="6" max="6" width="18.9141" style="1" customWidth="1"/>
    <col min="7" max="7" width="4.72656" style="1" customWidth="1"/>
    <col min="8" max="10" width="9.45312" style="1" customWidth="1"/>
    <col min="11" max="16384" width="8" style="1" customWidth="1"/>
  </cols>
  <sheetData>
    <row r="1" ht="42.5" customHeight="1">
      <c r="A1" t="s" s="2">
        <v>0</v>
      </c>
      <c r="B1" t="s" s="3">
        <v>1</v>
      </c>
      <c r="C1" t="s" s="4">
        <v>2</v>
      </c>
      <c r="D1" s="5"/>
      <c r="E1" t="s" s="4">
        <v>3</v>
      </c>
      <c r="F1" t="s" s="6">
        <v>4</v>
      </c>
      <c r="G1" s="5"/>
      <c r="H1" t="s" s="7">
        <v>5</v>
      </c>
      <c r="I1" t="s" s="7">
        <v>6</v>
      </c>
      <c r="J1" t="s" s="7">
        <v>7</v>
      </c>
    </row>
    <row r="2" ht="21.25" customHeight="1">
      <c r="A2" t="s" s="8">
        <v>8</v>
      </c>
      <c r="B2" s="9">
        <v>4.5</v>
      </c>
      <c r="C2" s="10">
        <v>1</v>
      </c>
      <c r="D2" s="11"/>
      <c r="E2" t="s" s="12">
        <v>9</v>
      </c>
      <c r="F2" s="9">
        <f>ROUND(IF(E$21="Position",I2,IF(E$21="Draft",ROUND(J2*(H2/2)*($E$24/12),0),AVERAGE(I2,ROUND(J2*(H2/2)*($E$24/12),0)))),0)</f>
        <v>36</v>
      </c>
      <c r="G2" s="5"/>
      <c r="H2" s="10">
        <v>2.66</v>
      </c>
      <c r="I2" s="10">
        <f>H2*E$24</f>
        <v>37.24</v>
      </c>
      <c r="J2" s="10">
        <v>23</v>
      </c>
    </row>
    <row r="3" ht="21.25" customHeight="1">
      <c r="A3" t="s" s="8">
        <v>10</v>
      </c>
      <c r="B3" s="9">
        <v>3</v>
      </c>
      <c r="C3" s="9">
        <v>1</v>
      </c>
      <c r="D3" s="11"/>
      <c r="E3" t="s" s="13">
        <v>11</v>
      </c>
      <c r="F3" s="9">
        <f>ROUND(IF(E$21="Position",I3,IF(E$21="Draft",ROUND(J3*(H3/2)*($E$24/12),0),AVERAGE(I3,ROUND(J3*(H3/2)*($E$24/12),0)))),0)</f>
        <v>34</v>
      </c>
      <c r="G3" s="5"/>
      <c r="H3" s="9">
        <v>2.66</v>
      </c>
      <c r="I3" s="9">
        <f>H3*E$24</f>
        <v>37.24</v>
      </c>
      <c r="J3" s="9">
        <v>22</v>
      </c>
    </row>
    <row r="4" ht="21.25" customHeight="1">
      <c r="A4" t="s" s="8">
        <v>1</v>
      </c>
      <c r="B4" s="14"/>
      <c r="C4" s="14"/>
      <c r="D4" s="11"/>
      <c r="E4" t="s" s="15">
        <v>12</v>
      </c>
      <c r="F4" s="9">
        <f>ROUND(IF(E$21="Position",I4,IF(E$21="Draft",ROUND(J4*(H4/2)*($E$24/12),0),AVERAGE(I4,ROUND(J4*(H4/2)*($E$24/12),0)))),0)</f>
        <v>26</v>
      </c>
      <c r="G4" s="5"/>
      <c r="H4" s="9">
        <v>2.66</v>
      </c>
      <c r="I4" s="9">
        <f>H4*E$24</f>
        <v>37.24</v>
      </c>
      <c r="J4" s="9">
        <v>17</v>
      </c>
    </row>
    <row r="5" ht="21.25" customHeight="1">
      <c r="A5" t="s" s="8">
        <v>13</v>
      </c>
      <c r="B5" s="9">
        <v>0.5</v>
      </c>
      <c r="C5" s="9">
        <v>1</v>
      </c>
      <c r="D5" s="11"/>
      <c r="E5" t="s" s="16">
        <v>14</v>
      </c>
      <c r="F5" s="9">
        <f>ROUND(IF(E$21="Position",I5,IF(E$21="Draft",ROUND(J5*(H5/4)*($E$24/12),0),AVERAGE(I5,ROUND(J5*(H5/4)*($E$24/12),0)))),0)</f>
        <v>21</v>
      </c>
      <c r="G5" s="5"/>
      <c r="H5" s="9">
        <v>4</v>
      </c>
      <c r="I5" s="9">
        <f>H5*E$24</f>
        <v>56</v>
      </c>
      <c r="J5" s="9">
        <v>18</v>
      </c>
    </row>
    <row r="6" ht="21.25" customHeight="1">
      <c r="A6" t="s" s="8">
        <v>15</v>
      </c>
      <c r="B6" s="9">
        <v>0.5</v>
      </c>
      <c r="C6" s="9">
        <v>1</v>
      </c>
      <c r="D6" s="11"/>
      <c r="E6" t="s" s="17">
        <v>16</v>
      </c>
      <c r="F6" s="9">
        <f>ROUND(IF(E$21="Position",I6,IF(E$21="Draft",ROUND(J6*(H6/2)*($E$24/12),0),AVERAGE(I6,ROUND(J6*(H6/2)*($E$24/12),0)))),0)</f>
        <v>23</v>
      </c>
      <c r="G6" s="5"/>
      <c r="H6" s="9">
        <v>2</v>
      </c>
      <c r="I6" s="9">
        <f>H6*E$24</f>
        <v>28</v>
      </c>
      <c r="J6" s="9">
        <v>20</v>
      </c>
    </row>
    <row r="7" ht="21.25" customHeight="1">
      <c r="A7" t="s" s="8">
        <v>17</v>
      </c>
      <c r="B7" s="9">
        <v>0.25</v>
      </c>
      <c r="C7" s="14"/>
      <c r="D7" s="11"/>
      <c r="E7" s="11"/>
      <c r="F7" s="18"/>
      <c r="G7" s="5"/>
      <c r="H7" s="18"/>
      <c r="I7" s="18"/>
      <c r="J7" s="18"/>
    </row>
    <row r="8" ht="21.25" customHeight="1">
      <c r="A8" t="s" s="8">
        <v>18</v>
      </c>
      <c r="B8" s="14"/>
      <c r="C8" s="14"/>
      <c r="D8" s="11"/>
      <c r="E8" t="s" s="4">
        <v>19</v>
      </c>
      <c r="F8" s="19"/>
      <c r="G8" s="20"/>
      <c r="H8" t="s" s="21">
        <v>20</v>
      </c>
      <c r="I8" s="19"/>
      <c r="J8" s="19"/>
    </row>
    <row r="9" ht="21.25" customHeight="1">
      <c r="A9" t="s" s="8">
        <v>21</v>
      </c>
      <c r="B9" s="14"/>
      <c r="C9" s="9">
        <v>1</v>
      </c>
      <c r="D9" s="11"/>
      <c r="E9" t="s" s="22">
        <v>22</v>
      </c>
      <c r="F9" s="19"/>
      <c r="G9" s="20"/>
      <c r="H9" s="23"/>
      <c r="I9" s="23"/>
      <c r="J9" s="23"/>
    </row>
    <row r="10" ht="21.25" customHeight="1">
      <c r="A10" t="s" s="8">
        <v>23</v>
      </c>
      <c r="B10" s="14"/>
      <c r="C10" s="14"/>
      <c r="D10" s="11"/>
      <c r="E10" s="11"/>
      <c r="F10" s="11"/>
      <c r="G10" s="20"/>
      <c r="H10" s="23"/>
      <c r="I10" s="23"/>
      <c r="J10" s="23"/>
    </row>
    <row r="11" ht="21.25" customHeight="1">
      <c r="A11" t="s" s="8">
        <v>24</v>
      </c>
      <c r="B11" s="9">
        <v>2</v>
      </c>
      <c r="C11" s="14"/>
      <c r="D11" s="11"/>
      <c r="E11" t="s" s="4">
        <v>25</v>
      </c>
      <c r="F11" s="19"/>
      <c r="G11" s="20"/>
      <c r="H11" t="s" s="21">
        <v>26</v>
      </c>
      <c r="I11" s="19"/>
      <c r="J11" s="19"/>
    </row>
    <row r="12" ht="21.25" customHeight="1">
      <c r="A12" t="s" s="8">
        <v>27</v>
      </c>
      <c r="B12" s="14"/>
      <c r="C12" s="14"/>
      <c r="D12" s="11"/>
      <c r="E12" t="s" s="22">
        <v>28</v>
      </c>
      <c r="F12" s="19"/>
      <c r="G12" s="20"/>
      <c r="H12" s="23"/>
      <c r="I12" s="23"/>
      <c r="J12" s="23"/>
    </row>
    <row r="13" ht="21.25" customHeight="1">
      <c r="A13" t="s" s="8">
        <v>29</v>
      </c>
      <c r="B13" s="14"/>
      <c r="C13" s="14"/>
      <c r="D13" s="11"/>
      <c r="E13" s="11"/>
      <c r="F13" s="11"/>
      <c r="G13" s="20"/>
      <c r="H13" s="23"/>
      <c r="I13" s="23"/>
      <c r="J13" s="23"/>
    </row>
    <row r="14" ht="21.25" customHeight="1">
      <c r="A14" t="s" s="8">
        <v>30</v>
      </c>
      <c r="B14" s="14"/>
      <c r="C14" s="9">
        <v>1</v>
      </c>
      <c r="D14" s="11"/>
      <c r="E14" t="s" s="4">
        <v>31</v>
      </c>
      <c r="F14" s="19"/>
      <c r="G14" s="20"/>
      <c r="H14" t="s" s="21">
        <v>32</v>
      </c>
      <c r="I14" s="19"/>
      <c r="J14" s="19"/>
    </row>
    <row r="15" ht="21.25" customHeight="1">
      <c r="A15" t="s" s="8">
        <v>33</v>
      </c>
      <c r="B15" s="14"/>
      <c r="C15" s="14"/>
      <c r="D15" s="11"/>
      <c r="E15" t="s" s="22">
        <v>1</v>
      </c>
      <c r="F15" s="19"/>
      <c r="G15" s="20"/>
      <c r="H15" s="23"/>
      <c r="I15" s="23"/>
      <c r="J15" s="23"/>
    </row>
    <row r="16" ht="21.25" customHeight="1">
      <c r="A16" t="s" s="8">
        <v>34</v>
      </c>
      <c r="B16" s="14"/>
      <c r="C16" s="14"/>
      <c r="D16" s="11"/>
      <c r="E16" s="11"/>
      <c r="F16" s="11"/>
      <c r="G16" s="23"/>
      <c r="H16" s="23"/>
      <c r="I16" s="23"/>
      <c r="J16" s="23"/>
    </row>
    <row r="17" ht="21.25" customHeight="1">
      <c r="A17" t="s" s="8">
        <v>35</v>
      </c>
      <c r="B17" s="14"/>
      <c r="C17" s="14"/>
      <c r="D17" s="11"/>
      <c r="E17" t="s" s="4">
        <v>36</v>
      </c>
      <c r="F17" s="19"/>
      <c r="G17" s="23"/>
      <c r="H17" t="s" s="21">
        <v>37</v>
      </c>
      <c r="I17" s="19"/>
      <c r="J17" s="19"/>
    </row>
    <row r="18" ht="21.25" customHeight="1">
      <c r="A18" t="s" s="8">
        <v>38</v>
      </c>
      <c r="B18" s="14"/>
      <c r="C18" s="14"/>
      <c r="D18" s="11"/>
      <c r="E18" t="s" s="22">
        <v>39</v>
      </c>
      <c r="F18" s="19"/>
      <c r="G18" s="23"/>
      <c r="H18" s="23"/>
      <c r="I18" s="23"/>
      <c r="J18" s="23"/>
    </row>
    <row r="19" ht="21.25" customHeight="1">
      <c r="A19" t="s" s="8">
        <v>40</v>
      </c>
      <c r="B19" s="14"/>
      <c r="C19" s="14"/>
      <c r="D19" s="11"/>
      <c r="E19" s="11"/>
      <c r="F19" s="11"/>
      <c r="G19" s="23"/>
      <c r="H19" s="23"/>
      <c r="I19" s="23"/>
      <c r="J19" s="23"/>
    </row>
    <row r="20" ht="21.25" customHeight="1">
      <c r="A20" t="s" s="8"/>
      <c r="B20" s="14"/>
      <c r="C20" s="14"/>
      <c r="D20" s="11"/>
      <c r="E20" t="s" s="4">
        <v>41</v>
      </c>
      <c r="F20" s="19"/>
      <c r="G20" s="23"/>
      <c r="H20" t="s" s="21">
        <v>42</v>
      </c>
      <c r="I20" s="19"/>
      <c r="J20" s="19"/>
    </row>
    <row r="21" ht="21.25" customHeight="1">
      <c r="A21" t="s" s="8">
        <v>43</v>
      </c>
      <c r="B21" s="9">
        <v>3</v>
      </c>
      <c r="C21" s="9">
        <v>1</v>
      </c>
      <c r="D21" s="11"/>
      <c r="E21" t="s" s="22">
        <v>44</v>
      </c>
      <c r="F21" s="19"/>
      <c r="G21" s="23"/>
      <c r="H21" s="23"/>
      <c r="I21" s="23"/>
      <c r="J21" s="23"/>
    </row>
    <row r="22" ht="21.25" customHeight="1">
      <c r="A22" t="s" s="8">
        <v>45</v>
      </c>
      <c r="B22" s="14"/>
      <c r="C22" s="14"/>
      <c r="D22" s="11"/>
      <c r="E22" s="11"/>
      <c r="F22" s="11"/>
      <c r="G22" s="23"/>
      <c r="H22" s="23"/>
      <c r="I22" s="23"/>
      <c r="J22" s="23"/>
    </row>
    <row r="23" ht="21.25" customHeight="1">
      <c r="A23" t="s" s="8">
        <v>46</v>
      </c>
      <c r="B23" s="14"/>
      <c r="C23" s="14"/>
      <c r="D23" s="11"/>
      <c r="E23" t="s" s="4">
        <v>47</v>
      </c>
      <c r="F23" s="19"/>
      <c r="G23" s="11"/>
      <c r="H23" s="11"/>
      <c r="I23" s="11"/>
      <c r="J23" s="11"/>
    </row>
    <row r="24" ht="21.25" customHeight="1">
      <c r="A24" t="s" s="8">
        <v>48</v>
      </c>
      <c r="B24" s="9">
        <v>3</v>
      </c>
      <c r="C24" s="9">
        <v>1</v>
      </c>
      <c r="D24" s="11"/>
      <c r="E24" s="24">
        <v>14</v>
      </c>
      <c r="F24" s="19"/>
      <c r="G24" s="11"/>
      <c r="H24" s="11"/>
      <c r="I24" s="11"/>
      <c r="J24" s="11"/>
    </row>
    <row r="25" ht="21.25" customHeight="1">
      <c r="A25" t="s" s="8">
        <v>49</v>
      </c>
      <c r="B25" s="9">
        <v>0.3</v>
      </c>
      <c r="C25" s="14"/>
      <c r="D25" s="11"/>
      <c r="E25" s="11"/>
      <c r="F25" s="11"/>
      <c r="G25" s="11"/>
      <c r="H25" s="11"/>
      <c r="I25" s="11"/>
      <c r="J25" s="11"/>
    </row>
    <row r="26" ht="21.25" customHeight="1">
      <c r="A26" t="s" s="8">
        <v>50</v>
      </c>
      <c r="B26" s="14"/>
      <c r="C26" s="9">
        <v>1</v>
      </c>
      <c r="D26" s="11"/>
      <c r="E26" t="s" s="3">
        <v>51</v>
      </c>
      <c r="F26" s="25"/>
      <c r="G26" s="11"/>
      <c r="H26" t="s" s="21">
        <v>52</v>
      </c>
      <c r="I26" s="19"/>
      <c r="J26" s="19"/>
    </row>
    <row r="27" ht="21.25" customHeight="1">
      <c r="A27" t="s" s="8">
        <v>53</v>
      </c>
      <c r="B27" s="9">
        <v>-1.5</v>
      </c>
      <c r="C27" s="14"/>
      <c r="D27" s="11"/>
      <c r="E27" t="s" s="26">
        <v>54</v>
      </c>
      <c r="F27" s="27"/>
      <c r="G27" s="11"/>
      <c r="H27" s="19"/>
      <c r="I27" s="19"/>
      <c r="J27" s="19"/>
    </row>
    <row r="28" ht="21.25" customHeight="1">
      <c r="A28" t="s" s="8">
        <v>55</v>
      </c>
      <c r="B28" s="14"/>
      <c r="C28" s="9">
        <v>1</v>
      </c>
      <c r="D28" s="11"/>
      <c r="E28" t="s" s="22">
        <v>56</v>
      </c>
      <c r="F28" s="28">
        <v>0.2</v>
      </c>
      <c r="G28" s="11"/>
      <c r="H28" t="s" s="21">
        <v>57</v>
      </c>
      <c r="I28" s="19"/>
      <c r="J28" s="19"/>
    </row>
    <row r="29" ht="21.25" customHeight="1">
      <c r="A29" t="s" s="8">
        <v>58</v>
      </c>
      <c r="B29" s="14"/>
      <c r="C29" s="14"/>
      <c r="D29" s="11"/>
      <c r="E29" t="s" s="22">
        <v>59</v>
      </c>
      <c r="F29" s="28">
        <v>0.1</v>
      </c>
      <c r="G29" s="11"/>
      <c r="H29" s="19"/>
      <c r="I29" s="19"/>
      <c r="J29" s="19"/>
    </row>
    <row r="30" ht="21.25" customHeight="1">
      <c r="A30" s="29"/>
      <c r="B30" s="14"/>
      <c r="C30" s="14"/>
      <c r="D30" s="11"/>
      <c r="E30" t="s" s="22">
        <v>60</v>
      </c>
      <c r="F30" s="28">
        <v>0.05</v>
      </c>
      <c r="G30" s="11"/>
      <c r="H30" t="s" s="21">
        <v>61</v>
      </c>
      <c r="I30" s="19"/>
      <c r="J30" s="19"/>
    </row>
    <row r="31" ht="21.25" customHeight="1">
      <c r="A31" s="29"/>
      <c r="B31" s="14"/>
      <c r="C31" s="14"/>
      <c r="D31" s="11"/>
      <c r="E31" t="s" s="22">
        <v>62</v>
      </c>
      <c r="F31" s="28">
        <v>-0.05</v>
      </c>
      <c r="G31" s="11"/>
      <c r="H31" s="19"/>
      <c r="I31" s="19"/>
      <c r="J31" s="19"/>
    </row>
    <row r="32" ht="21.25" customHeight="1">
      <c r="A32" s="29"/>
      <c r="B32" s="14"/>
      <c r="C32" s="14"/>
      <c r="D32" s="11"/>
      <c r="E32" t="s" s="22">
        <v>63</v>
      </c>
      <c r="F32" s="28">
        <v>-0.1</v>
      </c>
      <c r="G32" s="11"/>
      <c r="H32" s="19"/>
      <c r="I32" s="19"/>
      <c r="J32" s="19"/>
    </row>
    <row r="33" ht="21.25" customHeight="1">
      <c r="A33" s="29"/>
      <c r="B33" s="14"/>
      <c r="C33" s="14"/>
      <c r="D33" s="11"/>
      <c r="E33" t="s" s="22">
        <v>64</v>
      </c>
      <c r="F33" s="28">
        <v>-0.2</v>
      </c>
      <c r="G33" s="11"/>
      <c r="H33" s="23"/>
      <c r="I33" s="23"/>
      <c r="J33" s="23"/>
    </row>
  </sheetData>
  <mergeCells count="22">
    <mergeCell ref="E8:F8"/>
    <mergeCell ref="E9:F9"/>
    <mergeCell ref="E11:F11"/>
    <mergeCell ref="E12:F12"/>
    <mergeCell ref="E14:F14"/>
    <mergeCell ref="E15:F15"/>
    <mergeCell ref="E17:F17"/>
    <mergeCell ref="E18:F18"/>
    <mergeCell ref="H8:J8"/>
    <mergeCell ref="H11:J11"/>
    <mergeCell ref="H14:J14"/>
    <mergeCell ref="H17:J17"/>
    <mergeCell ref="E23:F23"/>
    <mergeCell ref="E24:F24"/>
    <mergeCell ref="E20:F20"/>
    <mergeCell ref="E21:F21"/>
    <mergeCell ref="H20:J20"/>
    <mergeCell ref="E26:F26"/>
    <mergeCell ref="H26:J27"/>
    <mergeCell ref="H28:J29"/>
    <mergeCell ref="H30:J32"/>
    <mergeCell ref="E27:F2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63" customWidth="1"/>
    <col min="2" max="6" width="9.45312" style="163" customWidth="1"/>
    <col min="7" max="8" width="11.8359" style="163" customWidth="1"/>
    <col min="9" max="16384" width="8" style="163" customWidth="1"/>
  </cols>
  <sheetData>
    <row r="1" ht="42.5" customHeight="1">
      <c r="A1" t="s" s="2">
        <v>66</v>
      </c>
      <c r="B1" t="s" s="164">
        <v>928</v>
      </c>
      <c r="C1" t="s" s="164">
        <v>929</v>
      </c>
      <c r="D1" t="s" s="136">
        <v>930</v>
      </c>
      <c r="E1" t="s" s="164">
        <v>931</v>
      </c>
      <c r="F1" s="165"/>
      <c r="G1" t="s" s="164">
        <v>71</v>
      </c>
      <c r="H1" t="s" s="164">
        <v>932</v>
      </c>
    </row>
    <row r="2" ht="21.25" customHeight="1">
      <c r="A2" t="s" s="8">
        <v>105</v>
      </c>
      <c r="B2" s="166">
        <v>1</v>
      </c>
      <c r="C2" s="166"/>
      <c r="D2" s="167">
        <v>1.03</v>
      </c>
      <c r="E2" s="166">
        <f>_xlfn.IFERROR(AVERAGE(B2:D2),"—")</f>
        <v>1.015</v>
      </c>
      <c r="F2" s="166"/>
      <c r="G2" s="168">
        <v>12500000</v>
      </c>
      <c r="H2" t="s" s="61">
        <v>885</v>
      </c>
    </row>
    <row r="3" ht="21.25" customHeight="1">
      <c r="A3" t="s" s="8">
        <v>110</v>
      </c>
      <c r="B3" s="166">
        <v>2.3</v>
      </c>
      <c r="C3" s="166"/>
      <c r="D3" s="166">
        <v>2.49</v>
      </c>
      <c r="E3" s="166">
        <f>_xlfn.IFERROR(AVERAGE(B3:D3),"—")</f>
        <v>2.395</v>
      </c>
      <c r="F3" s="166"/>
      <c r="G3" s="168">
        <v>8500000</v>
      </c>
      <c r="H3" t="s" s="61">
        <v>885</v>
      </c>
    </row>
    <row r="4" ht="21.25" customHeight="1">
      <c r="A4" t="s" s="8">
        <v>112</v>
      </c>
      <c r="B4" s="166">
        <v>3.9</v>
      </c>
      <c r="C4" s="166"/>
      <c r="D4" s="166">
        <v>2.8</v>
      </c>
      <c r="E4" s="166">
        <f>_xlfn.IFERROR(AVERAGE(B4:D4),"—")</f>
        <v>3.35</v>
      </c>
      <c r="F4" s="166"/>
      <c r="G4" s="168">
        <v>12600000</v>
      </c>
      <c r="H4" t="s" s="61">
        <v>885</v>
      </c>
    </row>
    <row r="5" ht="21.25" customHeight="1">
      <c r="A5" t="s" s="8">
        <v>123</v>
      </c>
      <c r="B5" s="166">
        <v>8</v>
      </c>
      <c r="C5" s="166"/>
      <c r="D5" s="166">
        <v>9.49</v>
      </c>
      <c r="E5" s="166">
        <f>_xlfn.IFERROR(AVERAGE(B5:D5),"—")</f>
        <v>8.744999999999999</v>
      </c>
      <c r="F5" s="166"/>
      <c r="G5" s="168">
        <v>9500000</v>
      </c>
      <c r="H5" t="s" s="61">
        <v>885</v>
      </c>
    </row>
    <row r="6" ht="21.25" customHeight="1">
      <c r="A6" t="s" s="8">
        <v>117</v>
      </c>
      <c r="B6" s="166">
        <v>6</v>
      </c>
      <c r="C6" s="166"/>
      <c r="D6" s="166">
        <v>7.55</v>
      </c>
      <c r="E6" s="166">
        <f>_xlfn.IFERROR(AVERAGE(B6:D6),"—")</f>
        <v>6.775</v>
      </c>
      <c r="F6" s="166"/>
      <c r="G6" s="168">
        <v>9500000</v>
      </c>
      <c r="H6" t="s" s="61">
        <v>885</v>
      </c>
    </row>
    <row r="7" ht="21.25" customHeight="1">
      <c r="A7" t="s" s="8">
        <v>125</v>
      </c>
      <c r="B7" s="166">
        <v>8.800000000000001</v>
      </c>
      <c r="C7" s="166"/>
      <c r="D7" s="166">
        <v>6.09</v>
      </c>
      <c r="E7" s="166">
        <f>_xlfn.IFERROR(AVERAGE(B7:D7),"—")</f>
        <v>7.445</v>
      </c>
      <c r="F7" s="166"/>
      <c r="G7" s="168">
        <v>9250000</v>
      </c>
      <c r="H7" t="s" s="61">
        <v>885</v>
      </c>
    </row>
    <row r="8" ht="21.25" customHeight="1">
      <c r="A8" t="s" s="8">
        <v>114</v>
      </c>
      <c r="B8" s="166">
        <v>7.7</v>
      </c>
      <c r="C8" s="166"/>
      <c r="D8" s="166">
        <v>4.68</v>
      </c>
      <c r="E8" s="166">
        <f>_xlfn.IFERROR(AVERAGE(B8:D8),"—")</f>
        <v>6.19</v>
      </c>
      <c r="F8" s="166"/>
      <c r="G8" s="168">
        <v>11640250</v>
      </c>
      <c r="H8" t="s" s="61">
        <v>60</v>
      </c>
    </row>
    <row r="9" ht="21.25" customHeight="1">
      <c r="A9" t="s" s="8">
        <v>137</v>
      </c>
      <c r="B9" s="166">
        <v>17.3</v>
      </c>
      <c r="C9" s="166"/>
      <c r="D9" s="166">
        <v>18.21</v>
      </c>
      <c r="E9" s="166">
        <f>_xlfn.IFERROR(AVERAGE(B9:D9),"—")</f>
        <v>17.755</v>
      </c>
      <c r="F9" s="166"/>
      <c r="G9" s="168">
        <v>10903000</v>
      </c>
      <c r="H9" t="s" s="61">
        <v>885</v>
      </c>
    </row>
    <row r="10" ht="21.25" customHeight="1">
      <c r="A10" t="s" s="8">
        <v>132</v>
      </c>
      <c r="B10" s="166">
        <v>15.2</v>
      </c>
      <c r="C10" s="166"/>
      <c r="D10" s="166">
        <v>14.27</v>
      </c>
      <c r="E10" s="166">
        <f>_xlfn.IFERROR(AVERAGE(B10:D10),"—")</f>
        <v>14.735</v>
      </c>
      <c r="F10" s="166"/>
      <c r="G10" s="168">
        <v>9000000</v>
      </c>
      <c r="H10" t="s" s="61">
        <v>885</v>
      </c>
    </row>
    <row r="11" ht="21.25" customHeight="1">
      <c r="A11" t="s" s="8">
        <v>126</v>
      </c>
      <c r="B11" s="166">
        <v>12.7</v>
      </c>
      <c r="C11" s="166"/>
      <c r="D11" s="166">
        <v>9.01</v>
      </c>
      <c r="E11" s="166">
        <f>_xlfn.IFERROR(AVERAGE(B11:D11),"—")</f>
        <v>10.855</v>
      </c>
      <c r="F11" s="166"/>
      <c r="G11" s="168">
        <v>8000000</v>
      </c>
      <c r="H11" t="s" s="61">
        <v>60</v>
      </c>
    </row>
    <row r="12" ht="21.25" customHeight="1">
      <c r="A12" t="s" s="8">
        <v>135</v>
      </c>
      <c r="B12" s="166">
        <v>8.300000000000001</v>
      </c>
      <c r="C12" s="166"/>
      <c r="D12" s="166">
        <v>9.81</v>
      </c>
      <c r="E12" s="166">
        <f>_xlfn.IFERROR(AVERAGE(B12:D12),"—")</f>
        <v>9.055</v>
      </c>
      <c r="F12" s="166"/>
      <c r="G12" s="168">
        <v>7750000</v>
      </c>
      <c r="H12" t="s" s="61">
        <v>885</v>
      </c>
    </row>
    <row r="13" ht="21.25" customHeight="1">
      <c r="A13" t="s" s="8">
        <v>120</v>
      </c>
      <c r="B13" s="166">
        <v>3.6</v>
      </c>
      <c r="C13" s="166"/>
      <c r="D13" s="166">
        <v>5.05</v>
      </c>
      <c r="E13" s="166">
        <f>_xlfn.IFERROR(AVERAGE(B13:D13),"—")</f>
        <v>4.325</v>
      </c>
      <c r="F13" s="166"/>
      <c r="G13" s="168">
        <v>11250000</v>
      </c>
      <c r="H13" t="s" s="61">
        <v>885</v>
      </c>
    </row>
    <row r="14" ht="21.25" customHeight="1">
      <c r="A14" t="s" s="8">
        <v>168</v>
      </c>
      <c r="B14" s="166">
        <v>35.3</v>
      </c>
      <c r="C14" s="166"/>
      <c r="D14" s="166">
        <v>39.72</v>
      </c>
      <c r="E14" s="166">
        <f>_xlfn.IFERROR(AVERAGE(B14:D14),"—")</f>
        <v>37.51</v>
      </c>
      <c r="F14" s="166"/>
      <c r="G14" s="168">
        <v>11642857</v>
      </c>
      <c r="H14" t="s" s="61">
        <v>885</v>
      </c>
    </row>
    <row r="15" ht="21.25" customHeight="1">
      <c r="A15" t="s" s="8">
        <v>161</v>
      </c>
      <c r="B15" s="166">
        <v>58.1</v>
      </c>
      <c r="C15" s="166"/>
      <c r="D15" s="166">
        <v>28.81</v>
      </c>
      <c r="E15" s="166">
        <f>_xlfn.IFERROR(AVERAGE(B15:D15),"—")</f>
        <v>43.455</v>
      </c>
      <c r="F15" s="166"/>
      <c r="G15" s="168">
        <v>10000000</v>
      </c>
      <c r="H15" t="s" s="61">
        <v>885</v>
      </c>
    </row>
    <row r="16" ht="21.25" customHeight="1">
      <c r="A16" t="s" s="8">
        <v>138</v>
      </c>
      <c r="B16" s="166">
        <v>12.6</v>
      </c>
      <c r="C16" s="166"/>
      <c r="D16" s="166">
        <v>14.66</v>
      </c>
      <c r="E16" s="166">
        <f>_xlfn.IFERROR(AVERAGE(B16:D16),"—")</f>
        <v>13.63</v>
      </c>
      <c r="F16" s="166"/>
      <c r="G16" s="168">
        <v>7140000</v>
      </c>
      <c r="H16" t="s" s="61">
        <v>885</v>
      </c>
    </row>
    <row r="17" ht="21.25" customHeight="1">
      <c r="A17" t="s" s="8">
        <v>162</v>
      </c>
      <c r="B17" s="166">
        <v>29.1</v>
      </c>
      <c r="C17" s="166"/>
      <c r="D17" s="166">
        <v>12.39</v>
      </c>
      <c r="E17" s="166">
        <f>_xlfn.IFERROR(AVERAGE(B17:D17),"—")</f>
        <v>20.745</v>
      </c>
      <c r="F17" s="166"/>
      <c r="G17" s="168">
        <v>7350000</v>
      </c>
      <c r="H17" t="s" s="61">
        <v>60</v>
      </c>
    </row>
    <row r="18" ht="21.25" customHeight="1">
      <c r="A18" t="s" s="8">
        <v>169</v>
      </c>
      <c r="B18" s="166">
        <v>19.1</v>
      </c>
      <c r="C18" s="166"/>
      <c r="D18" s="166">
        <v>22.75</v>
      </c>
      <c r="E18" s="166">
        <f>_xlfn.IFERROR(AVERAGE(B18:D18),"—")</f>
        <v>20.925</v>
      </c>
      <c r="F18" s="166"/>
      <c r="G18" s="168">
        <v>8700000</v>
      </c>
      <c r="H18" t="s" s="61">
        <v>885</v>
      </c>
    </row>
    <row r="19" ht="21.25" customHeight="1">
      <c r="A19" t="s" s="8">
        <v>188</v>
      </c>
      <c r="B19" s="166">
        <v>81</v>
      </c>
      <c r="C19" s="166"/>
      <c r="D19" s="166">
        <v>59.74</v>
      </c>
      <c r="E19" s="166">
        <f>_xlfn.IFERROR(AVERAGE(B19:D19),"—")</f>
        <v>70.37</v>
      </c>
      <c r="F19" s="166"/>
      <c r="G19" s="168">
        <v>9750000</v>
      </c>
      <c r="H19" t="s" s="61">
        <v>62</v>
      </c>
    </row>
    <row r="20" ht="21.25" customHeight="1">
      <c r="A20" t="s" s="8">
        <v>178</v>
      </c>
      <c r="B20" s="166">
        <v>34</v>
      </c>
      <c r="C20" s="166"/>
      <c r="D20" s="166">
        <v>29.4</v>
      </c>
      <c r="E20" s="166">
        <f>_xlfn.IFERROR(AVERAGE(B20:D20),"—")</f>
        <v>31.7</v>
      </c>
      <c r="F20" s="166"/>
      <c r="G20" s="168">
        <v>8500000</v>
      </c>
      <c r="H20" t="s" s="61">
        <v>62</v>
      </c>
    </row>
    <row r="21" ht="21.25" customHeight="1">
      <c r="A21" t="s" s="8">
        <v>216</v>
      </c>
      <c r="B21" s="166">
        <v>146.4</v>
      </c>
      <c r="C21" s="166"/>
      <c r="D21" s="166">
        <v>86.40000000000001</v>
      </c>
      <c r="E21" s="166">
        <f>_xlfn.IFERROR(AVERAGE(B21:D21),"—")</f>
        <v>116.4</v>
      </c>
      <c r="F21" s="166"/>
      <c r="G21" s="168">
        <v>5800000</v>
      </c>
      <c r="H21" t="s" s="61">
        <v>62</v>
      </c>
    </row>
    <row r="22" ht="21.25" customHeight="1">
      <c r="A22" t="s" s="8">
        <v>128</v>
      </c>
      <c r="B22" s="166">
        <v>13.3</v>
      </c>
      <c r="C22" s="166"/>
      <c r="D22" s="166">
        <v>14.96</v>
      </c>
      <c r="E22" s="166">
        <f>_xlfn.IFERROR(AVERAGE(B22:D22),"—")</f>
        <v>14.13</v>
      </c>
      <c r="F22" s="166"/>
      <c r="G22" s="168">
        <v>9000000</v>
      </c>
      <c r="H22" t="s" s="61">
        <v>60</v>
      </c>
    </row>
    <row r="23" ht="21.25" customHeight="1">
      <c r="A23" t="s" s="8">
        <v>160</v>
      </c>
      <c r="B23" s="166">
        <v>26.3</v>
      </c>
      <c r="C23" s="166"/>
      <c r="D23" s="166">
        <v>26.47</v>
      </c>
      <c r="E23" s="166">
        <f>_xlfn.IFERROR(AVERAGE(B23:D23),"—")</f>
        <v>26.385</v>
      </c>
      <c r="F23" s="166"/>
      <c r="G23" s="168">
        <v>8500000</v>
      </c>
      <c r="H23" t="s" s="61">
        <v>885</v>
      </c>
    </row>
    <row r="24" ht="21.25" customHeight="1">
      <c r="A24" t="s" s="8">
        <v>171</v>
      </c>
      <c r="B24" s="166">
        <v>29.9</v>
      </c>
      <c r="C24" s="166"/>
      <c r="D24" s="166">
        <v>27.76</v>
      </c>
      <c r="E24" s="166">
        <f>_xlfn.IFERROR(AVERAGE(B24:D24),"—")</f>
        <v>28.83</v>
      </c>
      <c r="F24" s="166"/>
      <c r="G24" s="168">
        <v>9500000</v>
      </c>
      <c r="H24" t="s" s="61">
        <v>60</v>
      </c>
    </row>
    <row r="25" ht="21.25" customHeight="1">
      <c r="A25" t="s" s="8">
        <v>163</v>
      </c>
      <c r="B25" s="166">
        <v>44</v>
      </c>
      <c r="C25" s="166"/>
      <c r="D25" s="166">
        <v>28.95</v>
      </c>
      <c r="E25" s="166">
        <f>_xlfn.IFERROR(AVERAGE(B25:D25),"—")</f>
        <v>36.475</v>
      </c>
      <c r="F25" s="166"/>
      <c r="G25" s="168">
        <v>7142857</v>
      </c>
      <c r="H25" t="s" s="61">
        <v>885</v>
      </c>
    </row>
    <row r="26" ht="21.25" customHeight="1">
      <c r="A26" t="s" s="8">
        <v>195</v>
      </c>
      <c r="B26" s="166">
        <v>60.8</v>
      </c>
      <c r="C26" s="166"/>
      <c r="D26" s="166">
        <v>38.32</v>
      </c>
      <c r="E26" s="166">
        <f>_xlfn.IFERROR(AVERAGE(B26:D26),"—")</f>
        <v>49.56</v>
      </c>
      <c r="F26" s="166"/>
      <c r="G26" s="168">
        <v>7150000</v>
      </c>
      <c r="H26" t="s" s="61">
        <v>885</v>
      </c>
    </row>
    <row r="27" ht="21.25" customHeight="1">
      <c r="A27" t="s" s="8">
        <v>172</v>
      </c>
      <c r="B27" t="s" s="61">
        <v>933</v>
      </c>
      <c r="C27" s="166"/>
      <c r="D27" s="166">
        <v>18.13</v>
      </c>
      <c r="E27" s="166">
        <f>_xlfn.IFERROR(AVERAGE(B27:D27),"—")</f>
        <v>18.13</v>
      </c>
      <c r="F27" s="166"/>
      <c r="G27" s="168">
        <v>8350000</v>
      </c>
      <c r="H27" t="s" s="61">
        <v>60</v>
      </c>
    </row>
    <row r="28" ht="21.25" customHeight="1">
      <c r="A28" t="s" s="8">
        <v>144</v>
      </c>
      <c r="B28" s="166">
        <v>25.7</v>
      </c>
      <c r="C28" s="166"/>
      <c r="D28" s="166">
        <v>25.58</v>
      </c>
      <c r="E28" s="166">
        <f>_xlfn.IFERROR(AVERAGE(B28:D28),"—")</f>
        <v>25.64</v>
      </c>
      <c r="F28" s="166"/>
      <c r="G28" s="168">
        <v>6962000</v>
      </c>
      <c r="H28" t="s" s="61">
        <v>60</v>
      </c>
    </row>
    <row r="29" ht="21.25" customHeight="1">
      <c r="A29" t="s" s="8">
        <v>186</v>
      </c>
      <c r="B29" s="166">
        <v>42.6</v>
      </c>
      <c r="C29" s="166"/>
      <c r="D29" s="166">
        <v>24.28</v>
      </c>
      <c r="E29" s="166">
        <f>_xlfn.IFERROR(AVERAGE(B29:D29),"—")</f>
        <v>33.44</v>
      </c>
      <c r="F29" s="166"/>
      <c r="G29" s="168">
        <v>8000000</v>
      </c>
      <c r="H29" t="s" s="61">
        <v>62</v>
      </c>
    </row>
    <row r="30" ht="21.25" customHeight="1">
      <c r="A30" t="s" s="8">
        <v>185</v>
      </c>
      <c r="B30" s="166">
        <v>32.5</v>
      </c>
      <c r="C30" s="166"/>
      <c r="D30" s="166">
        <v>43.43</v>
      </c>
      <c r="E30" s="166">
        <f>_xlfn.IFERROR(AVERAGE(B30:D30),"—")</f>
        <v>37.965</v>
      </c>
      <c r="F30" s="166"/>
      <c r="G30" s="168">
        <v>5125000</v>
      </c>
      <c r="H30" t="s" s="61">
        <v>885</v>
      </c>
    </row>
    <row r="31" ht="21.25" customHeight="1">
      <c r="A31" t="s" s="8">
        <v>286</v>
      </c>
      <c r="B31" s="166">
        <v>161.5</v>
      </c>
      <c r="C31" s="166"/>
      <c r="D31" s="166">
        <v>161.27</v>
      </c>
      <c r="E31" s="166">
        <f>_xlfn.IFERROR(AVERAGE(B31:D31),"—")</f>
        <v>161.385</v>
      </c>
      <c r="F31" s="166"/>
      <c r="G31" s="168">
        <v>8125000</v>
      </c>
      <c r="H31" t="s" s="61">
        <v>885</v>
      </c>
    </row>
    <row r="32" ht="21.25" customHeight="1">
      <c r="A32" t="s" s="8">
        <v>210</v>
      </c>
      <c r="B32" s="166">
        <v>25.9</v>
      </c>
      <c r="C32" s="166"/>
      <c r="D32" s="166">
        <v>39.11</v>
      </c>
      <c r="E32" s="166">
        <f>_xlfn.IFERROR(AVERAGE(B32:D32),"—")</f>
        <v>32.505</v>
      </c>
      <c r="F32" s="166"/>
      <c r="G32" s="168">
        <v>8000000</v>
      </c>
      <c r="H32" t="s" s="61">
        <v>885</v>
      </c>
    </row>
    <row r="33" ht="21.25" customHeight="1">
      <c r="A33" t="s" s="8">
        <v>239</v>
      </c>
      <c r="B33" s="166">
        <v>37.3</v>
      </c>
      <c r="C33" s="166"/>
      <c r="D33" s="166">
        <v>50.17</v>
      </c>
      <c r="E33" s="166">
        <f>_xlfn.IFERROR(AVERAGE(B33:D33),"—")</f>
        <v>43.735</v>
      </c>
      <c r="F33" s="166"/>
      <c r="G33" s="168"/>
      <c r="H33" t="s" s="61">
        <v>62</v>
      </c>
    </row>
    <row r="34" ht="21.25" customHeight="1">
      <c r="A34" t="s" s="8">
        <v>182</v>
      </c>
      <c r="B34" s="166">
        <v>64.3</v>
      </c>
      <c r="C34" s="166"/>
      <c r="D34" s="166">
        <v>38.2</v>
      </c>
      <c r="E34" s="166">
        <f>_xlfn.IFERROR(AVERAGE(B34:D34),"—")</f>
        <v>51.25</v>
      </c>
      <c r="F34" s="166"/>
      <c r="G34" s="168">
        <v>6000000</v>
      </c>
      <c r="H34" t="s" s="61">
        <v>885</v>
      </c>
    </row>
    <row r="35" ht="21.25" customHeight="1">
      <c r="A35" t="s" s="8">
        <v>193</v>
      </c>
      <c r="B35" s="166">
        <v>102.6</v>
      </c>
      <c r="C35" s="166"/>
      <c r="D35" s="166">
        <v>62.27</v>
      </c>
      <c r="E35" s="166">
        <f>_xlfn.IFERROR(AVERAGE(B35:D35),"—")</f>
        <v>82.435</v>
      </c>
      <c r="F35" s="166"/>
      <c r="G35" s="168">
        <v>8125000</v>
      </c>
      <c r="H35" t="s" s="61">
        <v>62</v>
      </c>
    </row>
    <row r="36" ht="21.25" customHeight="1">
      <c r="A36" t="s" s="8">
        <v>165</v>
      </c>
      <c r="B36" s="166">
        <v>18</v>
      </c>
      <c r="C36" s="166"/>
      <c r="D36" s="166">
        <v>17.68</v>
      </c>
      <c r="E36" s="166">
        <f>_xlfn.IFERROR(AVERAGE(B36:D36),"—")</f>
        <v>17.84</v>
      </c>
      <c r="F36" s="166"/>
      <c r="G36" s="168">
        <v>9500000</v>
      </c>
      <c r="H36" t="s" s="61">
        <v>885</v>
      </c>
    </row>
    <row r="37" ht="21.25" customHeight="1">
      <c r="A37" t="s" s="8">
        <v>203</v>
      </c>
      <c r="B37" s="166">
        <v>76.90000000000001</v>
      </c>
      <c r="C37" s="166"/>
      <c r="D37" s="166">
        <v>47.7</v>
      </c>
      <c r="E37" s="166">
        <f>_xlfn.IFERROR(AVERAGE(B37:D37),"—")</f>
        <v>62.3</v>
      </c>
      <c r="F37" s="166"/>
      <c r="G37" s="168">
        <v>7875000</v>
      </c>
      <c r="H37" t="s" s="61">
        <v>885</v>
      </c>
    </row>
    <row r="38" ht="21.25" customHeight="1">
      <c r="A38" t="s" s="8">
        <v>206</v>
      </c>
      <c r="B38" s="166">
        <v>41.9</v>
      </c>
      <c r="C38" s="166"/>
      <c r="D38" s="166">
        <v>49.32</v>
      </c>
      <c r="E38" s="166">
        <f>_xlfn.IFERROR(AVERAGE(B38:D38),"—")</f>
        <v>45.61</v>
      </c>
      <c r="F38" s="166"/>
      <c r="G38" s="168">
        <v>9606600</v>
      </c>
      <c r="H38" t="s" s="61">
        <v>885</v>
      </c>
    </row>
    <row r="39" ht="21.25" customHeight="1">
      <c r="A39" t="s" s="8">
        <v>192</v>
      </c>
      <c r="B39" s="166">
        <v>64.2</v>
      </c>
      <c r="C39" s="166"/>
      <c r="D39" s="166">
        <v>45.3</v>
      </c>
      <c r="E39" s="166">
        <f>_xlfn.IFERROR(AVERAGE(B39:D39),"—")</f>
        <v>54.75</v>
      </c>
      <c r="F39" s="166"/>
      <c r="G39" s="168">
        <v>7250000</v>
      </c>
      <c r="H39" t="s" s="61">
        <v>60</v>
      </c>
    </row>
    <row r="40" ht="21.25" customHeight="1">
      <c r="A40" t="s" s="8">
        <v>209</v>
      </c>
      <c r="B40" s="166">
        <v>50.5</v>
      </c>
      <c r="C40" s="166"/>
      <c r="D40" s="166">
        <v>47.37</v>
      </c>
      <c r="E40" s="166">
        <f>_xlfn.IFERROR(AVERAGE(B40:D40),"—")</f>
        <v>48.935</v>
      </c>
      <c r="F40" s="166"/>
      <c r="G40" s="168">
        <v>4750000</v>
      </c>
      <c r="H40" t="s" s="61">
        <v>885</v>
      </c>
    </row>
    <row r="41" ht="21.25" customHeight="1">
      <c r="A41" t="s" s="8">
        <v>221</v>
      </c>
      <c r="B41" s="166">
        <v>158.1</v>
      </c>
      <c r="C41" s="166"/>
      <c r="D41" s="166">
        <v>69.31999999999999</v>
      </c>
      <c r="E41" s="166">
        <f>_xlfn.IFERROR(AVERAGE(B41:D41),"—")</f>
        <v>113.71</v>
      </c>
      <c r="F41" s="166"/>
      <c r="G41" s="168">
        <v>8700000</v>
      </c>
      <c r="H41" t="s" s="61">
        <v>885</v>
      </c>
    </row>
    <row r="42" ht="21.25" customHeight="1">
      <c r="A42" t="s" s="8">
        <v>253</v>
      </c>
      <c r="B42" s="166">
        <v>122.7</v>
      </c>
      <c r="C42" s="166"/>
      <c r="D42" s="166">
        <v>79.75</v>
      </c>
      <c r="E42" s="166">
        <f>_xlfn.IFERROR(AVERAGE(B42:D42),"—")</f>
        <v>101.225</v>
      </c>
      <c r="F42" s="166"/>
      <c r="G42" s="168">
        <v>10500000</v>
      </c>
      <c r="H42" t="s" s="61">
        <v>885</v>
      </c>
    </row>
    <row r="43" ht="21.25" customHeight="1">
      <c r="A43" t="s" s="8">
        <v>140</v>
      </c>
      <c r="B43" s="166">
        <v>39.7</v>
      </c>
      <c r="C43" s="166"/>
      <c r="D43" s="166">
        <v>34.07</v>
      </c>
      <c r="E43" s="166">
        <f>_xlfn.IFERROR(AVERAGE(B43:D43),"—")</f>
        <v>36.885</v>
      </c>
      <c r="F43" s="166"/>
      <c r="G43" s="168">
        <v>10000000</v>
      </c>
      <c r="H43" t="s" s="61">
        <v>59</v>
      </c>
    </row>
    <row r="44" ht="21.25" customHeight="1">
      <c r="A44" t="s" s="8">
        <v>281</v>
      </c>
      <c r="B44" s="166">
        <v>175.9</v>
      </c>
      <c r="C44" s="166"/>
      <c r="D44" s="166">
        <v>133.25</v>
      </c>
      <c r="E44" s="166">
        <f>_xlfn.IFERROR(AVERAGE(B44:D44),"—")</f>
        <v>154.575</v>
      </c>
      <c r="F44" s="166"/>
      <c r="G44" s="168">
        <v>5850000</v>
      </c>
      <c r="H44" t="s" s="61">
        <v>885</v>
      </c>
    </row>
    <row r="45" ht="21.25" customHeight="1">
      <c r="A45" t="s" s="8">
        <v>223</v>
      </c>
      <c r="B45" s="166">
        <v>38.5</v>
      </c>
      <c r="C45" s="166"/>
      <c r="D45" s="166">
        <v>58.89</v>
      </c>
      <c r="E45" s="166">
        <f>_xlfn.IFERROR(AVERAGE(B45:D45),"—")</f>
        <v>48.695</v>
      </c>
      <c r="F45" s="166"/>
      <c r="G45" s="168">
        <v>6125000</v>
      </c>
      <c r="H45" t="s" s="61">
        <v>885</v>
      </c>
    </row>
    <row r="46" ht="21.25" customHeight="1">
      <c r="A46" t="s" s="8">
        <v>217</v>
      </c>
      <c r="B46" s="166">
        <v>59.4</v>
      </c>
      <c r="C46" s="166"/>
      <c r="D46" s="166">
        <v>29.21</v>
      </c>
      <c r="E46" s="166">
        <f>_xlfn.IFERROR(AVERAGE(B46:D46),"—")</f>
        <v>44.305</v>
      </c>
      <c r="F46" s="166"/>
      <c r="G46" s="168">
        <v>10000000</v>
      </c>
      <c r="H46" t="s" s="61">
        <v>60</v>
      </c>
    </row>
    <row r="47" ht="21.25" customHeight="1">
      <c r="A47" t="s" s="8">
        <v>241</v>
      </c>
      <c r="B47" s="166">
        <v>146.5</v>
      </c>
      <c r="C47" s="166"/>
      <c r="D47" s="166">
        <v>117.35</v>
      </c>
      <c r="E47" s="166">
        <f>_xlfn.IFERROR(AVERAGE(B47:D47),"—")</f>
        <v>131.925</v>
      </c>
      <c r="F47" s="166"/>
      <c r="G47" s="168">
        <v>7000000</v>
      </c>
      <c r="H47" t="s" s="61">
        <v>885</v>
      </c>
    </row>
    <row r="48" ht="21.25" customHeight="1">
      <c r="A48" t="s" s="8">
        <v>198</v>
      </c>
      <c r="B48" s="166">
        <v>45.7</v>
      </c>
      <c r="C48" s="166"/>
      <c r="D48" s="166">
        <v>45.18</v>
      </c>
      <c r="E48" s="166">
        <f>_xlfn.IFERROR(AVERAGE(B48:D48),"—")</f>
        <v>45.44</v>
      </c>
      <c r="F48" s="166"/>
      <c r="G48" s="168">
        <v>5500000</v>
      </c>
      <c r="H48" t="s" s="61">
        <v>885</v>
      </c>
    </row>
    <row r="49" ht="21.25" customHeight="1">
      <c r="A49" t="s" s="8">
        <v>130</v>
      </c>
      <c r="B49" s="166">
        <v>50.1</v>
      </c>
      <c r="C49" s="166"/>
      <c r="D49" s="166">
        <v>20.84</v>
      </c>
      <c r="E49" s="166">
        <f>_xlfn.IFERROR(AVERAGE(B49:D49),"—")</f>
        <v>35.47</v>
      </c>
      <c r="F49" s="166"/>
      <c r="G49" s="168">
        <v>9059000</v>
      </c>
      <c r="H49" t="s" s="61">
        <v>885</v>
      </c>
    </row>
    <row r="50" ht="21.25" customHeight="1">
      <c r="A50" t="s" s="8">
        <v>155</v>
      </c>
      <c r="B50" s="166">
        <v>56.3</v>
      </c>
      <c r="C50" s="166"/>
      <c r="D50" s="166">
        <v>68.05</v>
      </c>
      <c r="E50" s="166">
        <f>_xlfn.IFERROR(AVERAGE(B50:D50),"—")</f>
        <v>62.175</v>
      </c>
      <c r="F50" s="166"/>
      <c r="G50" s="168">
        <v>7850000</v>
      </c>
      <c r="H50" t="s" s="61">
        <v>885</v>
      </c>
    </row>
    <row r="51" ht="21.25" customHeight="1">
      <c r="A51" t="s" s="8">
        <v>215</v>
      </c>
      <c r="B51" s="166">
        <v>76.2</v>
      </c>
      <c r="C51" s="166"/>
      <c r="D51" s="166">
        <v>76.76000000000001</v>
      </c>
      <c r="E51" s="166">
        <f>_xlfn.IFERROR(AVERAGE(B51:D51),"—")</f>
        <v>76.48</v>
      </c>
      <c r="F51" s="166"/>
      <c r="G51" s="168">
        <v>7850000</v>
      </c>
      <c r="H51" t="s" s="61">
        <v>885</v>
      </c>
    </row>
    <row r="52" ht="21.25" customHeight="1">
      <c r="A52" t="s" s="8">
        <v>181</v>
      </c>
      <c r="B52" s="166">
        <v>38</v>
      </c>
      <c r="C52" s="166"/>
      <c r="D52" s="166">
        <v>37.36</v>
      </c>
      <c r="E52" s="166">
        <f>_xlfn.IFERROR(AVERAGE(B52:D52),"—")</f>
        <v>37.68</v>
      </c>
      <c r="F52" s="166"/>
      <c r="G52" s="168">
        <v>11000000</v>
      </c>
      <c r="H52" t="s" s="61">
        <v>885</v>
      </c>
    </row>
    <row r="53" ht="21.25" customHeight="1">
      <c r="A53" t="s" s="8">
        <v>180</v>
      </c>
      <c r="B53" s="166">
        <v>57.2</v>
      </c>
      <c r="C53" s="166"/>
      <c r="D53" s="166">
        <v>82.92</v>
      </c>
      <c r="E53" s="166">
        <f>_xlfn.IFERROR(AVERAGE(B53:D53),"—")</f>
        <v>70.06</v>
      </c>
      <c r="F53" s="166"/>
      <c r="G53" s="168">
        <v>7000000</v>
      </c>
      <c r="H53" t="s" s="61">
        <v>60</v>
      </c>
    </row>
    <row r="54" ht="21.25" customHeight="1">
      <c r="A54" t="s" s="8">
        <v>190</v>
      </c>
      <c r="B54" s="166">
        <v>61.3</v>
      </c>
      <c r="C54" s="166"/>
      <c r="D54" s="166">
        <v>59.12</v>
      </c>
      <c r="E54" s="166">
        <f>_xlfn.IFERROR(AVERAGE(B54:D54),"—")</f>
        <v>60.21</v>
      </c>
      <c r="F54" s="166"/>
      <c r="G54" s="168">
        <v>8700000</v>
      </c>
      <c r="H54" t="s" s="61">
        <v>59</v>
      </c>
    </row>
    <row r="55" ht="21.25" customHeight="1">
      <c r="A55" t="s" s="8">
        <v>230</v>
      </c>
      <c r="B55" s="166">
        <v>145.6</v>
      </c>
      <c r="C55" s="166"/>
      <c r="D55" s="166">
        <v>95.68000000000001</v>
      </c>
      <c r="E55" s="166">
        <f>_xlfn.IFERROR(AVERAGE(B55:D55),"—")</f>
        <v>120.64</v>
      </c>
      <c r="F55" s="166"/>
      <c r="G55" s="168">
        <v>6125000</v>
      </c>
      <c r="H55" t="s" s="61">
        <v>60</v>
      </c>
    </row>
    <row r="56" ht="21.25" customHeight="1">
      <c r="A56" t="s" s="8">
        <v>235</v>
      </c>
      <c r="B56" s="166">
        <v>108.9</v>
      </c>
      <c r="C56" s="166"/>
      <c r="D56" s="166">
        <v>61.81</v>
      </c>
      <c r="E56" s="166">
        <f>_xlfn.IFERROR(AVERAGE(B56:D56),"—")</f>
        <v>85.355</v>
      </c>
      <c r="F56" s="166"/>
      <c r="G56" s="168">
        <v>5500000</v>
      </c>
      <c r="H56" t="s" s="61">
        <v>885</v>
      </c>
    </row>
    <row r="57" ht="21.25" customHeight="1">
      <c r="A57" t="s" s="8">
        <v>179</v>
      </c>
      <c r="B57" s="166">
        <v>12</v>
      </c>
      <c r="C57" s="166"/>
      <c r="D57" s="166">
        <v>12.41</v>
      </c>
      <c r="E57" s="166">
        <f>_xlfn.IFERROR(AVERAGE(B57:D57),"—")</f>
        <v>12.205</v>
      </c>
      <c r="F57" s="166"/>
      <c r="G57" s="168">
        <v>8205714</v>
      </c>
      <c r="H57" t="s" s="61">
        <v>885</v>
      </c>
    </row>
    <row r="58" ht="21.25" customHeight="1">
      <c r="A58" t="s" s="8">
        <v>304</v>
      </c>
      <c r="B58" s="166">
        <v>62.8</v>
      </c>
      <c r="C58" s="166"/>
      <c r="D58" s="166">
        <v>111</v>
      </c>
      <c r="E58" s="166">
        <f>_xlfn.IFERROR(AVERAGE(B58:D58),"—")</f>
        <v>86.90000000000001</v>
      </c>
      <c r="F58" s="166"/>
      <c r="G58" s="168">
        <v>9500000</v>
      </c>
      <c r="H58" t="s" s="61">
        <v>885</v>
      </c>
    </row>
    <row r="59" ht="21.25" customHeight="1">
      <c r="A59" t="s" s="8">
        <v>250</v>
      </c>
      <c r="B59" s="166">
        <v>139.7</v>
      </c>
      <c r="C59" s="166"/>
      <c r="D59" s="166">
        <v>64.88</v>
      </c>
      <c r="E59" s="166">
        <f>_xlfn.IFERROR(AVERAGE(B59:D59),"—")</f>
        <v>102.29</v>
      </c>
      <c r="F59" s="166"/>
      <c r="G59" s="168">
        <v>8500000</v>
      </c>
      <c r="H59" t="s" s="61">
        <v>60</v>
      </c>
    </row>
    <row r="60" ht="21.25" customHeight="1">
      <c r="A60" t="s" s="8">
        <v>201</v>
      </c>
      <c r="B60" s="166">
        <v>81.59999999999999</v>
      </c>
      <c r="C60" s="166"/>
      <c r="D60" s="166">
        <v>51.24</v>
      </c>
      <c r="E60" s="166">
        <f>_xlfn.IFERROR(AVERAGE(B60:D60),"—")</f>
        <v>66.42</v>
      </c>
      <c r="F60" s="166"/>
      <c r="G60" s="168">
        <v>7750000</v>
      </c>
      <c r="H60" t="s" s="61">
        <v>60</v>
      </c>
    </row>
    <row r="61" ht="21.25" customHeight="1">
      <c r="A61" t="s" s="8">
        <v>150</v>
      </c>
      <c r="B61" s="166">
        <v>29.5</v>
      </c>
      <c r="C61" s="166"/>
      <c r="D61" s="166">
        <v>41.61</v>
      </c>
      <c r="E61" s="166">
        <f>_xlfn.IFERROR(AVERAGE(B61:D61),"—")</f>
        <v>35.555</v>
      </c>
      <c r="F61" s="166"/>
      <c r="G61" s="168">
        <v>9500000</v>
      </c>
      <c r="H61" t="s" s="61">
        <v>885</v>
      </c>
    </row>
    <row r="62" ht="21.25" customHeight="1">
      <c r="A62" t="s" s="8">
        <v>243</v>
      </c>
      <c r="B62" s="166">
        <v>94.90000000000001</v>
      </c>
      <c r="C62" s="166"/>
      <c r="D62" s="166">
        <v>70.81</v>
      </c>
      <c r="E62" s="166">
        <f>_xlfn.IFERROR(AVERAGE(B62:D62),"—")</f>
        <v>82.855</v>
      </c>
      <c r="F62" s="166"/>
      <c r="G62" s="168">
        <v>6100000</v>
      </c>
      <c r="H62" t="s" s="61">
        <v>60</v>
      </c>
    </row>
    <row r="63" ht="21.25" customHeight="1">
      <c r="A63" t="s" s="8">
        <v>226</v>
      </c>
      <c r="B63" s="166">
        <v>63.1</v>
      </c>
      <c r="C63" s="166"/>
      <c r="D63" s="166">
        <v>60.18</v>
      </c>
      <c r="E63" s="166">
        <f>_xlfn.IFERROR(AVERAGE(B63:D63),"—")</f>
        <v>61.64</v>
      </c>
      <c r="F63" s="166"/>
      <c r="G63" s="168">
        <v>4166700</v>
      </c>
      <c r="H63" t="s" s="61">
        <v>885</v>
      </c>
    </row>
    <row r="64" ht="21.25" customHeight="1">
      <c r="A64" t="s" s="8">
        <v>233</v>
      </c>
      <c r="B64" s="166">
        <v>149.5</v>
      </c>
      <c r="C64" s="166"/>
      <c r="D64" s="166">
        <v>111.33</v>
      </c>
      <c r="E64" s="166">
        <f>_xlfn.IFERROR(AVERAGE(B64:D64),"—")</f>
        <v>130.415</v>
      </c>
      <c r="F64" s="166"/>
      <c r="G64" s="168"/>
      <c r="H64" t="s" s="61">
        <v>60</v>
      </c>
    </row>
    <row r="65" ht="21.25" customHeight="1">
      <c r="A65" t="s" s="8">
        <v>240</v>
      </c>
      <c r="B65" s="166">
        <v>157.2</v>
      </c>
      <c r="C65" s="166"/>
      <c r="D65" s="166">
        <v>141.65</v>
      </c>
      <c r="E65" s="166">
        <f>_xlfn.IFERROR(AVERAGE(B65:D65),"—")</f>
        <v>149.425</v>
      </c>
      <c r="F65" s="166"/>
      <c r="G65" s="168">
        <v>9150000</v>
      </c>
      <c r="H65" t="s" s="61">
        <v>60</v>
      </c>
    </row>
    <row r="66" ht="21.25" customHeight="1">
      <c r="A66" t="s" s="8">
        <v>255</v>
      </c>
      <c r="B66" s="166">
        <v>103.2</v>
      </c>
      <c r="C66" s="166"/>
      <c r="D66" s="166">
        <v>119.24</v>
      </c>
      <c r="E66" s="166">
        <f>_xlfn.IFERROR(AVERAGE(B66:D66),"—")</f>
        <v>111.22</v>
      </c>
      <c r="F66" s="166"/>
      <c r="G66" s="168">
        <v>6000000</v>
      </c>
      <c r="H66" t="s" s="61">
        <v>62</v>
      </c>
    </row>
    <row r="67" ht="21.25" customHeight="1">
      <c r="A67" t="s" s="8">
        <v>176</v>
      </c>
      <c r="B67" s="166">
        <v>36.6</v>
      </c>
      <c r="C67" s="166"/>
      <c r="D67" s="166">
        <v>21.78</v>
      </c>
      <c r="E67" s="166">
        <f>_xlfn.IFERROR(AVERAGE(B67:D67),"—")</f>
        <v>29.19</v>
      </c>
      <c r="F67" s="166"/>
      <c r="G67" s="168">
        <v>8800000</v>
      </c>
      <c r="H67" t="s" s="61">
        <v>885</v>
      </c>
    </row>
    <row r="68" ht="21.25" customHeight="1">
      <c r="A68" t="s" s="8">
        <v>232</v>
      </c>
      <c r="B68" s="166">
        <v>119</v>
      </c>
      <c r="C68" s="166"/>
      <c r="D68" s="166">
        <v>88.59999999999999</v>
      </c>
      <c r="E68" s="166">
        <f>_xlfn.IFERROR(AVERAGE(B68:D68),"—")</f>
        <v>103.8</v>
      </c>
      <c r="F68" s="166"/>
      <c r="G68" s="168">
        <v>6500000</v>
      </c>
      <c r="H68" t="s" s="61">
        <v>62</v>
      </c>
    </row>
    <row r="69" ht="21.25" customHeight="1">
      <c r="A69" t="s" s="8">
        <v>273</v>
      </c>
      <c r="B69" s="166">
        <v>158.9</v>
      </c>
      <c r="C69" s="166"/>
      <c r="D69" s="166">
        <v>85.81</v>
      </c>
      <c r="E69" s="166">
        <f>_xlfn.IFERROR(AVERAGE(B69:D69),"—")</f>
        <v>122.355</v>
      </c>
      <c r="F69" s="166"/>
      <c r="G69" s="168">
        <v>6000000</v>
      </c>
      <c r="H69" t="s" s="61">
        <v>885</v>
      </c>
    </row>
    <row r="70" ht="21.25" customHeight="1">
      <c r="A70" t="s" s="8">
        <v>305</v>
      </c>
      <c r="B70" s="166">
        <v>111.1</v>
      </c>
      <c r="C70" s="166"/>
      <c r="D70" s="166">
        <v>111</v>
      </c>
      <c r="E70" s="166">
        <f>_xlfn.IFERROR(AVERAGE(B70:D70),"—")</f>
        <v>111.05</v>
      </c>
      <c r="F70" s="166"/>
      <c r="G70" s="168">
        <v>5500000</v>
      </c>
      <c r="H70" t="s" s="61">
        <v>62</v>
      </c>
    </row>
    <row r="71" ht="21.25" customHeight="1">
      <c r="A71" t="s" s="8">
        <v>252</v>
      </c>
      <c r="B71" s="166">
        <v>142</v>
      </c>
      <c r="C71" s="166"/>
      <c r="D71" s="166">
        <v>90.47</v>
      </c>
      <c r="E71" s="166">
        <f>_xlfn.IFERROR(AVERAGE(B71:D71),"—")</f>
        <v>116.235</v>
      </c>
      <c r="F71" s="166"/>
      <c r="G71" s="168">
        <v>6125000</v>
      </c>
      <c r="H71" t="s" s="61">
        <v>885</v>
      </c>
    </row>
    <row r="72" ht="21.25" customHeight="1">
      <c r="A72" t="s" s="8">
        <v>231</v>
      </c>
      <c r="B72" s="166">
        <v>56.2</v>
      </c>
      <c r="C72" s="166"/>
      <c r="D72" s="166">
        <v>79.48</v>
      </c>
      <c r="E72" s="166">
        <f>_xlfn.IFERROR(AVERAGE(B72:D72),"—")</f>
        <v>67.84</v>
      </c>
      <c r="F72" s="166"/>
      <c r="G72" s="168">
        <v>9000000</v>
      </c>
      <c r="H72" t="s" s="61">
        <v>885</v>
      </c>
    </row>
    <row r="73" ht="21.25" customHeight="1">
      <c r="A73" t="s" s="8">
        <v>251</v>
      </c>
      <c r="B73" s="166">
        <v>142.2</v>
      </c>
      <c r="C73" s="166"/>
      <c r="D73" s="166">
        <v>108.84</v>
      </c>
      <c r="E73" s="166">
        <f>_xlfn.IFERROR(AVERAGE(B73:D73),"—")</f>
        <v>125.52</v>
      </c>
      <c r="F73" s="166"/>
      <c r="G73" s="168">
        <v>4850000</v>
      </c>
      <c r="H73" t="s" s="61">
        <v>885</v>
      </c>
    </row>
    <row r="74" ht="21.25" customHeight="1">
      <c r="A74" t="s" s="8">
        <v>268</v>
      </c>
      <c r="B74" s="166">
        <v>142.6</v>
      </c>
      <c r="C74" s="166"/>
      <c r="D74" s="166">
        <v>152.4</v>
      </c>
      <c r="E74" s="166">
        <f>_xlfn.IFERROR(AVERAGE(B74:D74),"—")</f>
        <v>147.5</v>
      </c>
      <c r="F74" s="166"/>
      <c r="G74" s="168">
        <v>897500</v>
      </c>
      <c r="H74" t="s" s="61">
        <v>60</v>
      </c>
    </row>
    <row r="75" ht="21.25" customHeight="1">
      <c r="A75" t="s" s="8">
        <v>260</v>
      </c>
      <c r="B75" s="166">
        <v>145.5</v>
      </c>
      <c r="C75" s="166"/>
      <c r="D75" s="166">
        <v>131.49</v>
      </c>
      <c r="E75" s="166">
        <f>_xlfn.IFERROR(AVERAGE(B75:D75),"—")</f>
        <v>138.495</v>
      </c>
      <c r="F75" s="166"/>
      <c r="G75" s="168">
        <v>6000000</v>
      </c>
      <c r="H75" t="s" s="61">
        <v>885</v>
      </c>
    </row>
    <row r="76" ht="21.25" customHeight="1">
      <c r="A76" t="s" s="8">
        <v>285</v>
      </c>
      <c r="B76" s="166">
        <v>162.3</v>
      </c>
      <c r="C76" s="166"/>
      <c r="D76" s="166">
        <v>160.39</v>
      </c>
      <c r="E76" s="166">
        <f>_xlfn.IFERROR(AVERAGE(B76:D76),"—")</f>
        <v>161.345</v>
      </c>
      <c r="F76" s="166"/>
      <c r="G76" s="168">
        <v>8137500</v>
      </c>
      <c r="H76" t="s" s="61">
        <v>62</v>
      </c>
    </row>
    <row r="77" ht="21.25" customHeight="1">
      <c r="A77" t="s" s="8">
        <v>275</v>
      </c>
      <c r="B77" s="166">
        <v>155.8</v>
      </c>
      <c r="C77" s="166"/>
      <c r="D77" s="166">
        <v>136.04</v>
      </c>
      <c r="E77" s="166">
        <f>_xlfn.IFERROR(AVERAGE(B77:D77),"—")</f>
        <v>145.92</v>
      </c>
      <c r="F77" s="166"/>
      <c r="G77" s="168">
        <v>7875000</v>
      </c>
      <c r="H77" t="s" s="61">
        <v>885</v>
      </c>
    </row>
    <row r="78" ht="21.25" customHeight="1">
      <c r="A78" t="s" s="8">
        <v>228</v>
      </c>
      <c r="B78" s="166">
        <v>123</v>
      </c>
      <c r="C78" s="166"/>
      <c r="D78" s="166">
        <v>108.2</v>
      </c>
      <c r="E78" s="166">
        <f>_xlfn.IFERROR(AVERAGE(B78:D78),"—")</f>
        <v>115.6</v>
      </c>
      <c r="F78" s="166"/>
      <c r="G78" s="168">
        <v>8500000</v>
      </c>
      <c r="H78" t="s" s="61">
        <v>60</v>
      </c>
    </row>
    <row r="79" ht="21.25" customHeight="1">
      <c r="A79" t="s" s="8">
        <v>244</v>
      </c>
      <c r="B79" s="166">
        <v>84.7</v>
      </c>
      <c r="C79" s="166"/>
      <c r="D79" s="166">
        <v>84.37</v>
      </c>
      <c r="E79" s="166">
        <f>_xlfn.IFERROR(AVERAGE(B79:D79),"—")</f>
        <v>84.535</v>
      </c>
      <c r="F79" s="166"/>
      <c r="G79" s="168">
        <v>3500000</v>
      </c>
      <c r="H79" t="s" s="61">
        <v>885</v>
      </c>
    </row>
    <row r="80" ht="21.25" customHeight="1">
      <c r="A80" t="s" s="8">
        <v>208</v>
      </c>
      <c r="B80" s="166">
        <v>132.8</v>
      </c>
      <c r="C80" s="166"/>
      <c r="D80" s="166">
        <v>118.7</v>
      </c>
      <c r="E80" s="166">
        <f>_xlfn.IFERROR(AVERAGE(B80:D80),"—")</f>
        <v>125.75</v>
      </c>
      <c r="F80" s="166"/>
      <c r="G80" s="168">
        <v>7100000</v>
      </c>
      <c r="H80" t="s" s="61">
        <v>59</v>
      </c>
    </row>
    <row r="81" ht="21.25" customHeight="1">
      <c r="A81" t="s" s="8">
        <v>199</v>
      </c>
      <c r="B81" s="166">
        <v>61.9</v>
      </c>
      <c r="C81" s="166"/>
      <c r="D81" s="166">
        <v>44.14</v>
      </c>
      <c r="E81" s="166">
        <f>_xlfn.IFERROR(AVERAGE(B81:D81),"—")</f>
        <v>53.02</v>
      </c>
      <c r="F81" s="166"/>
      <c r="G81" s="168">
        <v>7875000</v>
      </c>
      <c r="H81" t="s" s="61">
        <v>60</v>
      </c>
    </row>
    <row r="82" ht="21.25" customHeight="1">
      <c r="A82" t="s" s="8">
        <v>249</v>
      </c>
      <c r="B82" s="166">
        <v>113.8</v>
      </c>
      <c r="C82" s="166"/>
      <c r="D82" s="166">
        <v>91.31</v>
      </c>
      <c r="E82" s="166">
        <f>_xlfn.IFERROR(AVERAGE(B82:D82),"—")</f>
        <v>102.555</v>
      </c>
      <c r="F82" s="166"/>
      <c r="G82" s="168">
        <v>3000000</v>
      </c>
      <c r="H82" t="s" s="61">
        <v>885</v>
      </c>
    </row>
    <row r="83" ht="21.25" customHeight="1">
      <c r="A83" t="s" s="8">
        <v>278</v>
      </c>
      <c r="B83" s="166">
        <v>87.09999999999999</v>
      </c>
      <c r="C83" s="166"/>
      <c r="D83" s="166">
        <v>107.61</v>
      </c>
      <c r="E83" s="166">
        <f>_xlfn.IFERROR(AVERAGE(B83:D83),"—")</f>
        <v>97.355</v>
      </c>
      <c r="F83" s="166"/>
      <c r="G83" s="168">
        <v>5000000</v>
      </c>
      <c r="H83" t="s" s="61">
        <v>885</v>
      </c>
    </row>
    <row r="84" ht="21.25" customHeight="1">
      <c r="A84" t="s" s="8">
        <v>143</v>
      </c>
      <c r="B84" s="166">
        <v>40.5</v>
      </c>
      <c r="C84" s="166"/>
      <c r="D84" s="166">
        <v>29.68</v>
      </c>
      <c r="E84" s="166">
        <f>_xlfn.IFERROR(AVERAGE(B84:D84),"—")</f>
        <v>35.09</v>
      </c>
      <c r="F84" s="166"/>
      <c r="G84" s="168">
        <v>6000000</v>
      </c>
      <c r="H84" t="s" s="61">
        <v>60</v>
      </c>
    </row>
    <row r="85" ht="21.25" customHeight="1">
      <c r="A85" t="s" s="8">
        <v>266</v>
      </c>
      <c r="B85" s="166">
        <v>94.3</v>
      </c>
      <c r="C85" s="166"/>
      <c r="D85" s="166">
        <v>102.1</v>
      </c>
      <c r="E85" s="166">
        <f>_xlfn.IFERROR(AVERAGE(B85:D85),"—")</f>
        <v>98.2</v>
      </c>
      <c r="F85" s="166"/>
      <c r="G85" s="168">
        <v>8500000</v>
      </c>
      <c r="H85" t="s" s="61">
        <v>885</v>
      </c>
    </row>
    <row r="86" ht="21.25" customHeight="1">
      <c r="A86" t="s" s="8">
        <v>288</v>
      </c>
      <c r="B86" s="166">
        <v>142.8</v>
      </c>
      <c r="C86" s="166"/>
      <c r="D86" s="166">
        <v>147.96</v>
      </c>
      <c r="E86" s="166">
        <f>_xlfn.IFERROR(AVERAGE(B86:D86),"—")</f>
        <v>145.38</v>
      </c>
      <c r="F86" s="166"/>
      <c r="G86" s="168">
        <v>1500000</v>
      </c>
      <c r="H86" t="s" s="61">
        <v>885</v>
      </c>
    </row>
    <row r="87" ht="21.25" customHeight="1">
      <c r="A87" t="s" s="8">
        <v>309</v>
      </c>
      <c r="B87" s="166">
        <v>166.8</v>
      </c>
      <c r="C87" s="166"/>
      <c r="D87" s="166">
        <v>174.92</v>
      </c>
      <c r="E87" s="166">
        <f>_xlfn.IFERROR(AVERAGE(B87:D87),"—")</f>
        <v>170.86</v>
      </c>
      <c r="F87" s="166"/>
      <c r="G87" s="168">
        <v>4750000</v>
      </c>
      <c r="H87" t="s" s="61">
        <v>885</v>
      </c>
    </row>
    <row r="88" ht="21.25" customHeight="1">
      <c r="A88" t="s" s="8">
        <v>257</v>
      </c>
      <c r="B88" s="166">
        <v>139.6</v>
      </c>
      <c r="C88" s="166"/>
      <c r="D88" s="166">
        <v>72.33</v>
      </c>
      <c r="E88" s="166">
        <f>_xlfn.IFERROR(AVERAGE(B88:D88),"—")</f>
        <v>105.965</v>
      </c>
      <c r="F88" s="166"/>
      <c r="G88" s="168">
        <v>7850000</v>
      </c>
      <c r="H88" t="s" s="61">
        <v>60</v>
      </c>
    </row>
    <row r="89" ht="21.25" customHeight="1">
      <c r="A89" t="s" s="8">
        <v>259</v>
      </c>
      <c r="B89" s="166">
        <v>95.09999999999999</v>
      </c>
      <c r="C89" s="166"/>
      <c r="D89" s="166">
        <v>99.59</v>
      </c>
      <c r="E89" s="166">
        <f>_xlfn.IFERROR(AVERAGE(B89:D89),"—")</f>
        <v>97.345</v>
      </c>
      <c r="F89" s="166"/>
      <c r="G89" s="168">
        <v>4975000</v>
      </c>
      <c r="H89" t="s" s="61">
        <v>885</v>
      </c>
    </row>
    <row r="90" ht="21.25" customHeight="1">
      <c r="A90" t="s" s="8">
        <v>310</v>
      </c>
      <c r="B90" s="166">
        <v>175.7</v>
      </c>
      <c r="C90" s="166"/>
      <c r="D90" s="166">
        <v>218.58</v>
      </c>
      <c r="E90" s="166">
        <f>_xlfn.IFERROR(AVERAGE(B90:D90),"—")</f>
        <v>197.14</v>
      </c>
      <c r="F90" s="166"/>
      <c r="G90" s="168">
        <v>5500000</v>
      </c>
      <c r="H90" t="s" s="61">
        <v>885</v>
      </c>
    </row>
    <row r="91" ht="21.25" customHeight="1">
      <c r="A91" t="s" s="8">
        <v>284</v>
      </c>
      <c r="B91" s="166">
        <v>150.8</v>
      </c>
      <c r="C91" s="166"/>
      <c r="D91" s="166">
        <v>108.98</v>
      </c>
      <c r="E91" s="166">
        <f>_xlfn.IFERROR(AVERAGE(B91:D91),"—")</f>
        <v>129.89</v>
      </c>
      <c r="F91" s="166"/>
      <c r="G91" s="168">
        <v>8000000</v>
      </c>
      <c r="H91" t="s" s="61">
        <v>885</v>
      </c>
    </row>
    <row r="92" ht="21.25" customHeight="1">
      <c r="A92" t="s" s="8">
        <v>326</v>
      </c>
      <c r="B92" s="166">
        <v>166.2</v>
      </c>
      <c r="C92" s="166"/>
      <c r="D92" s="166">
        <v>184.94</v>
      </c>
      <c r="E92" s="166">
        <f>_xlfn.IFERROR(AVERAGE(B92:D92),"—")</f>
        <v>175.57</v>
      </c>
      <c r="F92" s="166"/>
      <c r="G92" s="168">
        <v>2750000</v>
      </c>
      <c r="H92" t="s" s="61">
        <v>885</v>
      </c>
    </row>
    <row r="93" ht="21.25" customHeight="1">
      <c r="A93" t="s" s="8">
        <v>245</v>
      </c>
      <c r="B93" s="166">
        <v>104.7</v>
      </c>
      <c r="C93" s="166"/>
      <c r="D93" s="166">
        <v>100.74</v>
      </c>
      <c r="E93" s="166">
        <f>_xlfn.IFERROR(AVERAGE(B93:D93),"—")</f>
        <v>102.72</v>
      </c>
      <c r="F93" s="166"/>
      <c r="G93" s="168">
        <v>5000000</v>
      </c>
      <c r="H93" t="s" s="61">
        <v>885</v>
      </c>
    </row>
    <row r="94" ht="21.25" customHeight="1">
      <c r="A94" t="s" s="8">
        <v>410</v>
      </c>
      <c r="B94" t="s" s="61">
        <v>62</v>
      </c>
      <c r="C94" s="166"/>
      <c r="D94" s="166">
        <v>211.44</v>
      </c>
      <c r="E94" s="166">
        <f>_xlfn.IFERROR(AVERAGE(B94:D94),"—")</f>
        <v>211.44</v>
      </c>
      <c r="F94" s="166"/>
      <c r="G94" s="168">
        <v>7750000</v>
      </c>
      <c r="H94" t="s" s="61">
        <v>885</v>
      </c>
    </row>
    <row r="95" ht="21.25" customHeight="1">
      <c r="A95" t="s" s="8">
        <v>289</v>
      </c>
      <c r="B95" s="166">
        <v>71.3</v>
      </c>
      <c r="C95" s="166"/>
      <c r="D95" s="166">
        <v>80.63</v>
      </c>
      <c r="E95" s="166">
        <f>_xlfn.IFERROR(AVERAGE(B95:D95),"—")</f>
        <v>75.965</v>
      </c>
      <c r="F95" s="59"/>
      <c r="G95" s="168">
        <v>6500000</v>
      </c>
      <c r="H95" t="s" s="61">
        <v>885</v>
      </c>
    </row>
    <row r="96" ht="21.25" customHeight="1">
      <c r="A96" t="s" s="8">
        <v>152</v>
      </c>
      <c r="B96" s="166">
        <v>69.8</v>
      </c>
      <c r="C96" s="166"/>
      <c r="D96" s="166">
        <v>37.32</v>
      </c>
      <c r="E96" s="166">
        <f>_xlfn.IFERROR(AVERAGE(B96:D96),"—")</f>
        <v>53.56</v>
      </c>
      <c r="F96" s="166"/>
      <c r="G96" s="168">
        <v>8450000</v>
      </c>
      <c r="H96" t="s" s="61">
        <v>59</v>
      </c>
    </row>
    <row r="97" ht="21.25" customHeight="1">
      <c r="A97" t="s" s="8">
        <v>207</v>
      </c>
      <c r="B97" s="166">
        <v>80.3</v>
      </c>
      <c r="C97" s="166"/>
      <c r="D97" s="166">
        <v>64.88</v>
      </c>
      <c r="E97" s="166">
        <f>_xlfn.IFERROR(AVERAGE(B97:D97),"—")</f>
        <v>72.59</v>
      </c>
      <c r="F97" s="166"/>
      <c r="G97" s="168">
        <v>3500000</v>
      </c>
      <c r="H97" t="s" s="61">
        <v>885</v>
      </c>
    </row>
    <row r="98" ht="21.25" customHeight="1">
      <c r="A98" t="s" s="8">
        <v>300</v>
      </c>
      <c r="B98" s="166">
        <v>170.5</v>
      </c>
      <c r="C98" s="166"/>
      <c r="D98" s="166">
        <v>145.67</v>
      </c>
      <c r="E98" s="166">
        <f>_xlfn.IFERROR(AVERAGE(B98:D98),"—")</f>
        <v>158.085</v>
      </c>
      <c r="F98" s="166"/>
      <c r="G98" s="168">
        <v>4500000</v>
      </c>
      <c r="H98" t="s" s="61">
        <v>885</v>
      </c>
    </row>
    <row r="99" ht="21.25" customHeight="1">
      <c r="A99" t="s" s="8">
        <v>147</v>
      </c>
      <c r="B99" s="166">
        <v>51.8</v>
      </c>
      <c r="C99" s="166"/>
      <c r="D99" s="166">
        <v>29.9</v>
      </c>
      <c r="E99" s="166">
        <f>_xlfn.IFERROR(AVERAGE(B99:D99),"—")</f>
        <v>40.85</v>
      </c>
      <c r="F99" s="166"/>
      <c r="G99" s="168">
        <v>9000000</v>
      </c>
      <c r="H99" t="s" s="61">
        <v>60</v>
      </c>
    </row>
    <row r="100" ht="21.25" customHeight="1">
      <c r="A100" t="s" s="8">
        <v>242</v>
      </c>
      <c r="B100" s="166">
        <v>153.5</v>
      </c>
      <c r="C100" s="166"/>
      <c r="D100" s="166">
        <v>115.45</v>
      </c>
      <c r="E100" s="166">
        <f>_xlfn.IFERROR(AVERAGE(B100:D100),"—")</f>
        <v>134.475</v>
      </c>
      <c r="F100" s="59"/>
      <c r="G100" s="168">
        <v>5250000</v>
      </c>
      <c r="H100" t="s" s="61">
        <v>60</v>
      </c>
    </row>
    <row r="101" ht="21.25" customHeight="1">
      <c r="A101" t="s" s="8">
        <v>177</v>
      </c>
      <c r="B101" s="166">
        <v>68.5</v>
      </c>
      <c r="C101" s="166"/>
      <c r="D101" s="166">
        <v>80.18000000000001</v>
      </c>
      <c r="E101" s="166">
        <f>_xlfn.IFERROR(AVERAGE(B101:D101),"—")</f>
        <v>74.34</v>
      </c>
      <c r="F101" s="166"/>
      <c r="G101" s="168">
        <v>7875000</v>
      </c>
      <c r="H101" t="s" s="61">
        <v>885</v>
      </c>
    </row>
    <row r="102" ht="21.25" customHeight="1">
      <c r="A102" t="s" s="8">
        <v>256</v>
      </c>
      <c r="B102" s="166">
        <v>90.2</v>
      </c>
      <c r="C102" s="166"/>
      <c r="D102" s="166">
        <v>62.93</v>
      </c>
      <c r="E102" s="166">
        <f>_xlfn.IFERROR(AVERAGE(B102:D102),"—")</f>
        <v>76.565</v>
      </c>
      <c r="F102" s="166"/>
      <c r="G102" s="168">
        <v>5500000</v>
      </c>
      <c r="H102" t="s" s="61">
        <v>885</v>
      </c>
    </row>
    <row r="103" ht="21.25" customHeight="1">
      <c r="A103" t="s" s="8">
        <v>274</v>
      </c>
      <c r="B103" s="166">
        <v>156.9</v>
      </c>
      <c r="C103" s="166"/>
      <c r="D103" s="166">
        <v>144.61</v>
      </c>
      <c r="E103" s="166">
        <f>_xlfn.IFERROR(AVERAGE(B103:D103),"—")</f>
        <v>150.755</v>
      </c>
      <c r="F103" s="59"/>
      <c r="G103" s="168">
        <v>7000000</v>
      </c>
      <c r="H103" t="s" s="61">
        <v>885</v>
      </c>
    </row>
    <row r="104" ht="21.25" customHeight="1">
      <c r="A104" t="s" s="8">
        <v>333</v>
      </c>
      <c r="B104" s="166">
        <v>168.5</v>
      </c>
      <c r="C104" s="166"/>
      <c r="D104" s="166">
        <v>186.83</v>
      </c>
      <c r="E104" s="166">
        <f>_xlfn.IFERROR(AVERAGE(B104:D104),"—")</f>
        <v>177.665</v>
      </c>
      <c r="F104" s="166"/>
      <c r="G104" s="168">
        <v>6500000</v>
      </c>
      <c r="H104" t="s" s="61">
        <v>885</v>
      </c>
    </row>
    <row r="105" ht="21.25" customHeight="1">
      <c r="A105" t="s" s="8">
        <v>393</v>
      </c>
      <c r="B105" t="s" s="61">
        <v>62</v>
      </c>
      <c r="C105" s="166"/>
      <c r="D105" s="166">
        <v>294.7</v>
      </c>
      <c r="E105" s="166">
        <f>_xlfn.IFERROR(AVERAGE(B105:D105),"—")</f>
        <v>294.7</v>
      </c>
      <c r="F105" s="166"/>
      <c r="G105" s="168">
        <v>3425000</v>
      </c>
      <c r="H105" t="s" s="61">
        <v>885</v>
      </c>
    </row>
    <row r="106" ht="21.25" customHeight="1">
      <c r="A106" t="s" s="8">
        <v>351</v>
      </c>
      <c r="B106" t="s" s="61">
        <v>62</v>
      </c>
      <c r="C106" s="166"/>
      <c r="D106" s="166">
        <v>222.87</v>
      </c>
      <c r="E106" s="166">
        <f>_xlfn.IFERROR(AVERAGE(B106:D106),"—")</f>
        <v>222.87</v>
      </c>
      <c r="F106" s="166"/>
      <c r="G106" s="168">
        <v>800000</v>
      </c>
      <c r="H106" t="s" s="61">
        <v>885</v>
      </c>
    </row>
    <row r="107" ht="21.25" customHeight="1">
      <c r="A107" t="s" s="8">
        <v>222</v>
      </c>
      <c r="B107" s="166">
        <v>92.5</v>
      </c>
      <c r="C107" s="166"/>
      <c r="D107" s="166">
        <v>46.84</v>
      </c>
      <c r="E107" s="166">
        <f>_xlfn.IFERROR(AVERAGE(B107:D107),"—")</f>
        <v>69.67</v>
      </c>
      <c r="F107" s="166"/>
      <c r="G107" s="168">
        <v>8000000</v>
      </c>
      <c r="H107" t="s" s="61">
        <v>62</v>
      </c>
    </row>
    <row r="108" ht="21.25" customHeight="1">
      <c r="A108" t="s" s="8">
        <v>339</v>
      </c>
      <c r="B108" s="166">
        <v>172.8</v>
      </c>
      <c r="C108" s="166"/>
      <c r="D108" s="166">
        <v>132.81</v>
      </c>
      <c r="E108" s="166">
        <f>_xlfn.IFERROR(AVERAGE(B108:D108),"—")</f>
        <v>152.805</v>
      </c>
      <c r="F108" s="166"/>
      <c r="G108" s="168">
        <v>7950000</v>
      </c>
      <c r="H108" t="s" s="61">
        <v>885</v>
      </c>
    </row>
    <row r="109" ht="21.25" customHeight="1">
      <c r="A109" t="s" s="8">
        <v>411</v>
      </c>
      <c r="B109" t="s" s="61">
        <v>62</v>
      </c>
      <c r="C109" s="166"/>
      <c r="D109" s="166">
        <v>235.44</v>
      </c>
      <c r="E109" s="166">
        <f>_xlfn.IFERROR(AVERAGE(B109:D109),"—")</f>
        <v>235.44</v>
      </c>
      <c r="F109" s="166"/>
      <c r="G109" s="168">
        <v>894167</v>
      </c>
      <c r="H109" t="s" s="61">
        <v>62</v>
      </c>
    </row>
    <row r="110" ht="21.25" customHeight="1">
      <c r="A110" t="s" s="8">
        <v>325</v>
      </c>
      <c r="B110" s="166">
        <v>135.6</v>
      </c>
      <c r="C110" s="166"/>
      <c r="D110" s="166">
        <v>122.35</v>
      </c>
      <c r="E110" s="166">
        <f>_xlfn.IFERROR(AVERAGE(B110:D110),"—")</f>
        <v>128.975</v>
      </c>
      <c r="F110" s="166"/>
      <c r="G110" s="168">
        <v>5000000</v>
      </c>
      <c r="H110" t="s" s="61">
        <v>885</v>
      </c>
    </row>
    <row r="111" ht="21.25" customHeight="1">
      <c r="A111" t="s" s="8">
        <v>272</v>
      </c>
      <c r="B111" s="166">
        <v>75</v>
      </c>
      <c r="C111" s="166"/>
      <c r="D111" s="166">
        <v>108.4</v>
      </c>
      <c r="E111" s="166">
        <f>_xlfn.IFERROR(AVERAGE(B111:D111),"—")</f>
        <v>91.7</v>
      </c>
      <c r="F111" s="59"/>
      <c r="G111" s="168">
        <v>6500000</v>
      </c>
      <c r="H111" t="s" s="61">
        <v>885</v>
      </c>
    </row>
    <row r="112" ht="21.25" customHeight="1">
      <c r="A112" t="s" s="8">
        <v>295</v>
      </c>
      <c r="B112" s="166">
        <v>166.9</v>
      </c>
      <c r="C112" s="166"/>
      <c r="D112" s="166">
        <v>179.46</v>
      </c>
      <c r="E112" s="166">
        <f>_xlfn.IFERROR(AVERAGE(B112:D112),"—")</f>
        <v>173.18</v>
      </c>
      <c r="F112" s="166"/>
      <c r="G112" s="168">
        <v>925000</v>
      </c>
      <c r="H112" t="s" s="61">
        <v>60</v>
      </c>
    </row>
    <row r="113" ht="21.25" customHeight="1">
      <c r="A113" t="s" s="8">
        <v>297</v>
      </c>
      <c r="B113" s="166">
        <v>153.4</v>
      </c>
      <c r="C113" s="166"/>
      <c r="D113" s="166">
        <v>131.3</v>
      </c>
      <c r="E113" s="166">
        <f>_xlfn.IFERROR(AVERAGE(B113:D113),"—")</f>
        <v>142.35</v>
      </c>
      <c r="F113" s="166"/>
      <c r="G113" s="168">
        <v>4000000</v>
      </c>
      <c r="H113" t="s" s="61">
        <v>885</v>
      </c>
    </row>
    <row r="114" ht="21.25" customHeight="1">
      <c r="A114" t="s" s="8">
        <v>290</v>
      </c>
      <c r="B114" s="166">
        <v>166.4</v>
      </c>
      <c r="C114" s="166"/>
      <c r="D114" s="166">
        <v>155.44</v>
      </c>
      <c r="E114" s="166">
        <f>_xlfn.IFERROR(AVERAGE(B114:D114),"—")</f>
        <v>160.92</v>
      </c>
      <c r="F114" s="166"/>
      <c r="G114" s="168">
        <v>6000000</v>
      </c>
      <c r="H114" t="s" s="61">
        <v>60</v>
      </c>
    </row>
    <row r="115" ht="21.25" customHeight="1">
      <c r="A115" t="s" s="8">
        <v>301</v>
      </c>
      <c r="B115" s="166">
        <v>163.4</v>
      </c>
      <c r="C115" s="166"/>
      <c r="D115" s="166">
        <v>163.29</v>
      </c>
      <c r="E115" s="166">
        <f>_xlfn.IFERROR(AVERAGE(B115:D115),"—")</f>
        <v>163.345</v>
      </c>
      <c r="F115" s="166"/>
      <c r="G115" s="168">
        <v>8000000</v>
      </c>
      <c r="H115" t="s" s="61">
        <v>885</v>
      </c>
    </row>
    <row r="116" ht="21.25" customHeight="1">
      <c r="A116" t="s" s="8">
        <v>291</v>
      </c>
      <c r="B116" s="166">
        <v>158.8</v>
      </c>
      <c r="C116" s="166"/>
      <c r="D116" s="166">
        <v>150.21</v>
      </c>
      <c r="E116" s="166">
        <f>_xlfn.IFERROR(AVERAGE(B116:D116),"—")</f>
        <v>154.505</v>
      </c>
      <c r="F116" s="166"/>
      <c r="G116" s="168">
        <v>6654000</v>
      </c>
      <c r="H116" t="s" s="61">
        <v>885</v>
      </c>
    </row>
    <row r="117" ht="21.25" customHeight="1">
      <c r="A117" t="s" s="8">
        <v>214</v>
      </c>
      <c r="B117" s="166">
        <v>55.8</v>
      </c>
      <c r="C117" s="166"/>
      <c r="D117" s="166">
        <v>94.55</v>
      </c>
      <c r="E117" s="166">
        <f>_xlfn.IFERROR(AVERAGE(B117:D117),"—")</f>
        <v>75.175</v>
      </c>
      <c r="F117" s="166"/>
      <c r="G117" s="168">
        <v>9500000</v>
      </c>
      <c r="H117" t="s" s="61">
        <v>885</v>
      </c>
    </row>
    <row r="118" ht="21.25" customHeight="1">
      <c r="A118" t="s" s="8">
        <v>197</v>
      </c>
      <c r="B118" s="166">
        <v>87.7</v>
      </c>
      <c r="C118" s="166"/>
      <c r="D118" s="166">
        <v>67.55</v>
      </c>
      <c r="E118" s="166">
        <f>_xlfn.IFERROR(AVERAGE(B118:D118),"—")</f>
        <v>77.625</v>
      </c>
      <c r="F118" s="166"/>
      <c r="G118" s="168">
        <v>8088900</v>
      </c>
      <c r="H118" t="s" s="61">
        <v>885</v>
      </c>
    </row>
    <row r="119" ht="21.25" customHeight="1">
      <c r="A119" t="s" s="8">
        <v>331</v>
      </c>
      <c r="B119" s="166">
        <v>166.4</v>
      </c>
      <c r="C119" s="166"/>
      <c r="D119" s="166">
        <v>215.16</v>
      </c>
      <c r="E119" s="166">
        <f>_xlfn.IFERROR(AVERAGE(B119:D119),"—")</f>
        <v>190.78</v>
      </c>
      <c r="F119" s="166"/>
      <c r="G119" s="168">
        <v>7800000</v>
      </c>
      <c r="H119" t="s" s="61">
        <v>885</v>
      </c>
    </row>
    <row r="120" ht="21.25" customHeight="1">
      <c r="A120" t="s" s="8">
        <v>368</v>
      </c>
      <c r="B120" s="166">
        <v>165.8</v>
      </c>
      <c r="C120" s="166"/>
      <c r="D120" s="166">
        <v>346.8</v>
      </c>
      <c r="E120" s="166">
        <f>_xlfn.IFERROR(AVERAGE(B120:D120),"—")</f>
        <v>256.3</v>
      </c>
      <c r="F120" s="166"/>
      <c r="G120" s="168">
        <v>797500</v>
      </c>
      <c r="H120" t="s" s="61">
        <v>62</v>
      </c>
    </row>
    <row r="121" ht="21.25" customHeight="1">
      <c r="A121" t="s" s="8">
        <v>346</v>
      </c>
      <c r="B121" s="166">
        <v>158.9</v>
      </c>
      <c r="C121" s="166"/>
      <c r="D121" s="166">
        <v>226.82</v>
      </c>
      <c r="E121" s="166">
        <f>_xlfn.IFERROR(AVERAGE(B121:D121),"—")</f>
        <v>192.86</v>
      </c>
      <c r="F121" s="166"/>
      <c r="G121" s="168"/>
      <c r="H121" t="s" s="61">
        <v>885</v>
      </c>
    </row>
    <row r="122" ht="21.25" customHeight="1">
      <c r="A122" t="s" s="8">
        <v>332</v>
      </c>
      <c r="B122" s="166">
        <v>171.8</v>
      </c>
      <c r="C122" s="166"/>
      <c r="D122" s="166">
        <v>206.22</v>
      </c>
      <c r="E122" s="166">
        <f>_xlfn.IFERROR(AVERAGE(B122:D122),"—")</f>
        <v>189.01</v>
      </c>
      <c r="F122" s="166"/>
      <c r="G122" s="168">
        <v>6250000</v>
      </c>
      <c r="H122" t="s" s="61">
        <v>885</v>
      </c>
    </row>
    <row r="123" ht="21.25" customHeight="1">
      <c r="A123" t="s" s="8">
        <v>311</v>
      </c>
      <c r="B123" s="166">
        <v>74.90000000000001</v>
      </c>
      <c r="C123" s="166"/>
      <c r="D123" s="166">
        <v>139.41</v>
      </c>
      <c r="E123" s="166">
        <f>_xlfn.IFERROR(AVERAGE(B123:D123),"—")</f>
        <v>107.155</v>
      </c>
      <c r="F123" s="166"/>
      <c r="G123" s="168">
        <v>9500000</v>
      </c>
      <c r="H123" t="s" s="61">
        <v>885</v>
      </c>
    </row>
    <row r="124" ht="21.25" customHeight="1">
      <c r="A124" t="s" s="8">
        <v>312</v>
      </c>
      <c r="B124" s="166">
        <v>79.7</v>
      </c>
      <c r="C124" s="166"/>
      <c r="D124" s="166">
        <v>85.15000000000001</v>
      </c>
      <c r="E124" s="166">
        <f>_xlfn.IFERROR(AVERAGE(B124:D124),"—")</f>
        <v>82.425</v>
      </c>
      <c r="F124" s="166"/>
      <c r="G124" s="168">
        <v>4250000</v>
      </c>
      <c r="H124" t="s" s="61">
        <v>62</v>
      </c>
    </row>
    <row r="125" ht="21.25" customHeight="1">
      <c r="A125" t="s" s="8">
        <v>322</v>
      </c>
      <c r="B125" s="166">
        <v>145.9</v>
      </c>
      <c r="C125" s="166"/>
      <c r="D125" s="166">
        <v>124.58</v>
      </c>
      <c r="E125" s="166">
        <f>_xlfn.IFERROR(AVERAGE(B125:D125),"—")</f>
        <v>135.24</v>
      </c>
      <c r="F125" s="166"/>
      <c r="G125" s="168">
        <v>5625000</v>
      </c>
      <c r="H125" t="s" s="61">
        <v>885</v>
      </c>
    </row>
    <row r="126" ht="21.25" customHeight="1">
      <c r="A126" t="s" s="8">
        <v>302</v>
      </c>
      <c r="B126" s="166">
        <v>148</v>
      </c>
      <c r="C126" s="166"/>
      <c r="D126" s="166">
        <v>177.75</v>
      </c>
      <c r="E126" s="166">
        <f>_xlfn.IFERROR(AVERAGE(B126:D126),"—")</f>
        <v>162.875</v>
      </c>
      <c r="F126" s="166"/>
      <c r="G126" s="168">
        <v>4750000</v>
      </c>
      <c r="H126" t="s" s="61">
        <v>885</v>
      </c>
    </row>
    <row r="127" ht="21.25" customHeight="1">
      <c r="A127" t="s" s="8">
        <v>191</v>
      </c>
      <c r="B127" s="166">
        <v>70</v>
      </c>
      <c r="C127" s="166"/>
      <c r="D127" s="166">
        <v>69.86</v>
      </c>
      <c r="E127" s="166">
        <f>_xlfn.IFERROR(AVERAGE(B127:D127),"—")</f>
        <v>69.93000000000001</v>
      </c>
      <c r="F127" s="166"/>
      <c r="G127" s="168">
        <v>6250000</v>
      </c>
      <c r="H127" t="s" s="61">
        <v>60</v>
      </c>
    </row>
    <row r="128" ht="21.25" customHeight="1">
      <c r="A128" t="s" s="8">
        <v>362</v>
      </c>
      <c r="B128" s="166">
        <v>179.7</v>
      </c>
      <c r="C128" s="166"/>
      <c r="D128" s="166">
        <v>212.66</v>
      </c>
      <c r="E128" s="166">
        <f>_xlfn.IFERROR(AVERAGE(B128:D128),"—")</f>
        <v>196.18</v>
      </c>
      <c r="F128" s="166"/>
      <c r="G128" s="168"/>
      <c r="H128" t="s" s="61">
        <v>885</v>
      </c>
    </row>
    <row r="129" ht="21.25" customHeight="1">
      <c r="A129" t="s" s="8">
        <v>315</v>
      </c>
      <c r="B129" s="166">
        <v>158.7</v>
      </c>
      <c r="C129" s="166"/>
      <c r="D129" s="166">
        <v>223.35</v>
      </c>
      <c r="E129" s="166">
        <f>_xlfn.IFERROR(AVERAGE(B129:D129),"—")</f>
        <v>191.025</v>
      </c>
      <c r="F129" s="166"/>
      <c r="G129" s="168">
        <v>894167</v>
      </c>
      <c r="H129" t="s" s="61">
        <v>885</v>
      </c>
    </row>
    <row r="130" ht="21.25" customHeight="1">
      <c r="A130" t="s" s="8">
        <v>227</v>
      </c>
      <c r="B130" s="166">
        <v>143.1</v>
      </c>
      <c r="C130" s="166"/>
      <c r="D130" s="166">
        <v>106.95</v>
      </c>
      <c r="E130" s="166">
        <f>_xlfn.IFERROR(AVERAGE(B130:D130),"—")</f>
        <v>125.025</v>
      </c>
      <c r="F130" s="166"/>
      <c r="G130" s="168">
        <v>5200000</v>
      </c>
      <c r="H130" t="s" s="61">
        <v>885</v>
      </c>
    </row>
    <row r="131" ht="21.25" customHeight="1">
      <c r="A131" t="s" s="8">
        <v>356</v>
      </c>
      <c r="B131" t="s" s="61">
        <v>62</v>
      </c>
      <c r="C131" s="166"/>
      <c r="D131" s="166">
        <v>222.41</v>
      </c>
      <c r="E131" s="166">
        <f>_xlfn.IFERROR(AVERAGE(B131:D131),"—")</f>
        <v>222.41</v>
      </c>
      <c r="F131" s="166"/>
      <c r="G131" s="168">
        <v>2500000</v>
      </c>
      <c r="H131" t="s" s="61">
        <v>60</v>
      </c>
    </row>
    <row r="132" ht="21.25" customHeight="1">
      <c r="A132" t="s" s="8">
        <v>354</v>
      </c>
      <c r="B132" s="166">
        <v>167.8</v>
      </c>
      <c r="C132" s="166"/>
      <c r="D132" s="166">
        <v>174.04</v>
      </c>
      <c r="E132" s="166">
        <f>_xlfn.IFERROR(AVERAGE(B132:D132),"—")</f>
        <v>170.92</v>
      </c>
      <c r="F132" s="166"/>
      <c r="G132" s="168">
        <v>3000000</v>
      </c>
      <c r="H132" t="s" s="61">
        <v>885</v>
      </c>
    </row>
    <row r="133" ht="21.25" customHeight="1">
      <c r="A133" t="s" s="8">
        <v>313</v>
      </c>
      <c r="B133" s="166">
        <v>150.7</v>
      </c>
      <c r="C133" s="166"/>
      <c r="D133" s="166">
        <v>159.97</v>
      </c>
      <c r="E133" s="166">
        <f>_xlfn.IFERROR(AVERAGE(B133:D133),"—")</f>
        <v>155.335</v>
      </c>
      <c r="F133" s="59"/>
      <c r="G133" s="168">
        <v>894167</v>
      </c>
      <c r="H133" t="s" s="61">
        <v>59</v>
      </c>
    </row>
    <row r="134" ht="21.25" customHeight="1">
      <c r="A134" t="s" s="8">
        <v>247</v>
      </c>
      <c r="B134" s="166">
        <v>98.59999999999999</v>
      </c>
      <c r="C134" s="166"/>
      <c r="D134" s="166">
        <v>101.25</v>
      </c>
      <c r="E134" s="166">
        <f>_xlfn.IFERROR(AVERAGE(B134:D134),"—")</f>
        <v>99.925</v>
      </c>
      <c r="F134" s="166"/>
      <c r="G134" s="168">
        <v>7350000</v>
      </c>
      <c r="H134" t="s" s="61">
        <v>60</v>
      </c>
    </row>
    <row r="135" ht="21.25" customHeight="1">
      <c r="A135" t="s" s="8">
        <v>334</v>
      </c>
      <c r="B135" s="166">
        <v>165.5</v>
      </c>
      <c r="C135" s="166"/>
      <c r="D135" s="166">
        <v>186.59</v>
      </c>
      <c r="E135" s="166">
        <f>_xlfn.IFERROR(AVERAGE(B135:D135),"—")</f>
        <v>176.045</v>
      </c>
      <c r="F135" s="166"/>
      <c r="G135" s="168">
        <v>6500000</v>
      </c>
      <c r="H135" t="s" s="61">
        <v>885</v>
      </c>
    </row>
    <row r="136" ht="21.25" customHeight="1">
      <c r="A136" t="s" s="8">
        <v>299</v>
      </c>
      <c r="B136" s="166">
        <v>118.2</v>
      </c>
      <c r="C136" s="166"/>
      <c r="D136" s="166">
        <v>110.19</v>
      </c>
      <c r="E136" s="166">
        <f>_xlfn.IFERROR(AVERAGE(B136:D136),"—")</f>
        <v>114.195</v>
      </c>
      <c r="F136" s="166"/>
      <c r="G136" s="168">
        <v>5000000</v>
      </c>
      <c r="H136" t="s" s="61">
        <v>885</v>
      </c>
    </row>
    <row r="137" ht="21.25" customHeight="1">
      <c r="A137" t="s" s="8">
        <v>394</v>
      </c>
      <c r="B137" t="s" s="61">
        <v>62</v>
      </c>
      <c r="C137" s="166"/>
      <c r="D137" s="166">
        <v>186.98</v>
      </c>
      <c r="E137" s="166">
        <f>_xlfn.IFERROR(AVERAGE(B137:D137),"—")</f>
        <v>186.98</v>
      </c>
      <c r="F137" s="166"/>
      <c r="G137" s="168">
        <v>2625000</v>
      </c>
      <c r="H137" t="s" s="61">
        <v>885</v>
      </c>
    </row>
    <row r="138" ht="21.25" customHeight="1">
      <c r="A138" t="s" s="8">
        <v>220</v>
      </c>
      <c r="B138" s="166">
        <v>125</v>
      </c>
      <c r="C138" s="166"/>
      <c r="D138" s="166">
        <v>114.63</v>
      </c>
      <c r="E138" s="166">
        <f>_xlfn.IFERROR(AVERAGE(B138:D138),"—")</f>
        <v>119.815</v>
      </c>
      <c r="F138" s="166"/>
      <c r="G138" s="168">
        <v>7500000</v>
      </c>
      <c r="H138" t="s" s="61">
        <v>60</v>
      </c>
    </row>
    <row r="139" ht="21.25" customHeight="1">
      <c r="A139" t="s" s="8">
        <v>460</v>
      </c>
      <c r="B139" t="s" s="61">
        <v>62</v>
      </c>
      <c r="C139" s="166"/>
      <c r="D139" s="166">
        <v>220.75</v>
      </c>
      <c r="E139" s="166">
        <f>_xlfn.IFERROR(AVERAGE(B139:D139),"—")</f>
        <v>220.75</v>
      </c>
      <c r="F139" s="166"/>
      <c r="G139" s="168">
        <v>3000000</v>
      </c>
      <c r="H139" t="s" s="61">
        <v>885</v>
      </c>
    </row>
    <row r="140" ht="21.25" customHeight="1">
      <c r="A140" t="s" s="8">
        <v>307</v>
      </c>
      <c r="B140" s="166">
        <v>146.6</v>
      </c>
      <c r="C140" s="166"/>
      <c r="D140" s="166">
        <v>131.39</v>
      </c>
      <c r="E140" s="166">
        <f>_xlfn.IFERROR(AVERAGE(B140:D140),"—")</f>
        <v>138.995</v>
      </c>
      <c r="F140" s="166"/>
      <c r="G140" s="168">
        <v>4250000</v>
      </c>
      <c r="H140" t="s" s="61">
        <v>885</v>
      </c>
    </row>
    <row r="141" ht="21.25" customHeight="1">
      <c r="A141" t="s" s="8">
        <v>229</v>
      </c>
      <c r="B141" s="166">
        <v>157.9</v>
      </c>
      <c r="C141" s="166"/>
      <c r="D141" s="166">
        <v>70.84</v>
      </c>
      <c r="E141" s="166">
        <f>_xlfn.IFERROR(AVERAGE(B141:D141),"—")</f>
        <v>114.37</v>
      </c>
      <c r="F141" s="166"/>
      <c r="G141" s="168">
        <v>9583330</v>
      </c>
      <c r="H141" t="s" s="61">
        <v>60</v>
      </c>
    </row>
    <row r="142" ht="21.25" customHeight="1">
      <c r="A142" t="s" s="8">
        <v>157</v>
      </c>
      <c r="B142" s="166">
        <v>76.09999999999999</v>
      </c>
      <c r="C142" s="166"/>
      <c r="D142" s="166">
        <v>45.9</v>
      </c>
      <c r="E142" s="166">
        <f>_xlfn.IFERROR(AVERAGE(B142:D142),"—")</f>
        <v>61</v>
      </c>
      <c r="F142" s="166"/>
      <c r="G142" s="168"/>
      <c r="H142" t="s" s="61">
        <v>56</v>
      </c>
    </row>
    <row r="143" ht="21.25" customHeight="1">
      <c r="A143" t="s" s="8">
        <v>308</v>
      </c>
      <c r="B143" s="166">
        <v>164.6</v>
      </c>
      <c r="C143" s="166"/>
      <c r="D143" s="166">
        <v>132.78</v>
      </c>
      <c r="E143" s="166">
        <f>_xlfn.IFERROR(AVERAGE(B143:D143),"—")</f>
        <v>148.69</v>
      </c>
      <c r="F143" s="166"/>
      <c r="G143" s="168">
        <v>1500000</v>
      </c>
      <c r="H143" t="s" s="61">
        <v>885</v>
      </c>
    </row>
    <row r="144" ht="21.25" customHeight="1">
      <c r="A144" t="s" s="8">
        <v>397</v>
      </c>
      <c r="B144" s="166">
        <v>167.9</v>
      </c>
      <c r="C144" s="166"/>
      <c r="D144" s="166">
        <v>229.51</v>
      </c>
      <c r="E144" s="166">
        <f>_xlfn.IFERROR(AVERAGE(B144:D144),"—")</f>
        <v>198.705</v>
      </c>
      <c r="F144" s="166"/>
      <c r="G144" s="168">
        <v>4500000</v>
      </c>
      <c r="H144" t="s" s="61">
        <v>885</v>
      </c>
    </row>
    <row r="145" ht="21.25" customHeight="1">
      <c r="A145" t="s" s="8">
        <v>531</v>
      </c>
      <c r="B145" s="166">
        <v>170.8</v>
      </c>
      <c r="C145" s="166"/>
      <c r="D145" s="166">
        <v>152.51</v>
      </c>
      <c r="E145" s="166">
        <f>_xlfn.IFERROR(AVERAGE(B145:D145),"—")</f>
        <v>161.655</v>
      </c>
      <c r="F145" s="59"/>
      <c r="G145" s="168">
        <v>2000000</v>
      </c>
      <c r="H145" t="s" s="61">
        <v>885</v>
      </c>
    </row>
    <row r="146" ht="21.25" customHeight="1">
      <c r="A146" t="s" s="8">
        <v>264</v>
      </c>
      <c r="B146" s="166">
        <v>116.7</v>
      </c>
      <c r="C146" s="166"/>
      <c r="D146" s="166">
        <v>120.39</v>
      </c>
      <c r="E146" s="166">
        <f>_xlfn.IFERROR(AVERAGE(B146:D146),"—")</f>
        <v>118.545</v>
      </c>
      <c r="F146" s="59"/>
      <c r="G146" s="168">
        <v>11000000</v>
      </c>
      <c r="H146" t="s" s="61">
        <v>62</v>
      </c>
    </row>
    <row r="147" ht="21.25" customHeight="1">
      <c r="A147" t="s" s="8">
        <v>383</v>
      </c>
      <c r="B147" s="166">
        <v>160.9</v>
      </c>
      <c r="C147" s="166"/>
      <c r="D147" s="166">
        <v>222.26</v>
      </c>
      <c r="E147" s="166">
        <f>_xlfn.IFERROR(AVERAGE(B147:D147),"—")</f>
        <v>191.58</v>
      </c>
      <c r="F147" s="166"/>
      <c r="G147" s="168"/>
      <c r="H147" t="s" s="61">
        <v>885</v>
      </c>
    </row>
    <row r="148" ht="21.25" customHeight="1">
      <c r="A148" t="s" s="8">
        <v>408</v>
      </c>
      <c r="B148" s="166">
        <v>157.5</v>
      </c>
      <c r="C148" s="166"/>
      <c r="D148" s="166">
        <v>141.65</v>
      </c>
      <c r="E148" s="166">
        <f>_xlfn.IFERROR(AVERAGE(B148:D148),"—")</f>
        <v>149.575</v>
      </c>
      <c r="F148" s="166"/>
      <c r="G148" s="168">
        <v>6343750</v>
      </c>
      <c r="H148" t="s" s="61">
        <v>885</v>
      </c>
    </row>
    <row r="149" ht="21.25" customHeight="1">
      <c r="A149" t="s" s="8">
        <v>406</v>
      </c>
      <c r="B149" t="s" s="61">
        <v>62</v>
      </c>
      <c r="C149" s="166"/>
      <c r="D149" s="166">
        <v>424.9</v>
      </c>
      <c r="E149" s="166">
        <f>_xlfn.IFERROR(AVERAGE(B149:D149),"—")</f>
        <v>424.9</v>
      </c>
      <c r="F149" s="59"/>
      <c r="G149" s="168">
        <v>2500000</v>
      </c>
      <c r="H149" t="s" s="61">
        <v>885</v>
      </c>
    </row>
    <row r="150" ht="21.25" customHeight="1">
      <c r="A150" t="s" s="8">
        <v>335</v>
      </c>
      <c r="B150" s="166">
        <v>170</v>
      </c>
      <c r="C150" s="166"/>
      <c r="D150" s="166">
        <v>229.84</v>
      </c>
      <c r="E150" s="166">
        <f>_xlfn.IFERROR(AVERAGE(B150:D150),"—")</f>
        <v>199.92</v>
      </c>
      <c r="F150" s="166"/>
      <c r="G150" s="168">
        <v>5800000</v>
      </c>
      <c r="H150" t="s" s="61">
        <v>885</v>
      </c>
    </row>
    <row r="151" ht="21.25" customHeight="1">
      <c r="A151" t="s" s="8">
        <v>442</v>
      </c>
      <c r="B151" t="s" s="61">
        <v>62</v>
      </c>
      <c r="C151" s="166"/>
      <c r="D151" s="166">
        <v>203.3</v>
      </c>
      <c r="E151" s="166">
        <f>_xlfn.IFERROR(AVERAGE(B151:D151),"—")</f>
        <v>203.3</v>
      </c>
      <c r="F151" s="166"/>
      <c r="G151" s="168">
        <v>3437500</v>
      </c>
      <c r="H151" t="s" s="61">
        <v>885</v>
      </c>
    </row>
    <row r="152" ht="21.25" customHeight="1">
      <c r="A152" t="s" s="8">
        <v>350</v>
      </c>
      <c r="B152" s="166">
        <v>162.4</v>
      </c>
      <c r="C152" s="166"/>
      <c r="D152" s="166">
        <v>169.93</v>
      </c>
      <c r="E152" s="166">
        <f>_xlfn.IFERROR(AVERAGE(B152:D152),"—")</f>
        <v>166.165</v>
      </c>
      <c r="F152" s="166"/>
      <c r="G152" s="168">
        <v>4425000</v>
      </c>
      <c r="H152" t="s" s="61">
        <v>885</v>
      </c>
    </row>
    <row r="153" ht="21.25" customHeight="1">
      <c r="A153" t="s" s="8">
        <v>420</v>
      </c>
      <c r="B153" s="166">
        <v>164.9</v>
      </c>
      <c r="C153" s="166"/>
      <c r="D153" s="166">
        <v>180.76</v>
      </c>
      <c r="E153" s="166">
        <f>_xlfn.IFERROR(AVERAGE(B153:D153),"—")</f>
        <v>172.83</v>
      </c>
      <c r="F153" s="166"/>
      <c r="G153" s="168">
        <v>880000</v>
      </c>
      <c r="H153" t="s" s="61">
        <v>62</v>
      </c>
    </row>
    <row r="154" ht="21.25" customHeight="1">
      <c r="A154" t="s" s="8">
        <v>183</v>
      </c>
      <c r="B154" s="166">
        <v>87.3</v>
      </c>
      <c r="C154" s="166"/>
      <c r="D154" s="166">
        <v>77.17</v>
      </c>
      <c r="E154" s="166">
        <f>_xlfn.IFERROR(AVERAGE(B154:D154),"—")</f>
        <v>82.235</v>
      </c>
      <c r="F154" s="166"/>
      <c r="G154" s="168">
        <v>863000</v>
      </c>
      <c r="H154" t="s" s="61">
        <v>59</v>
      </c>
    </row>
    <row r="155" ht="21.25" customHeight="1">
      <c r="A155" t="s" s="8">
        <v>267</v>
      </c>
      <c r="B155" s="166">
        <v>105.8</v>
      </c>
      <c r="C155" s="166"/>
      <c r="D155" s="166">
        <v>130.36</v>
      </c>
      <c r="E155" s="166">
        <f>_xlfn.IFERROR(AVERAGE(B155:D155),"—")</f>
        <v>118.08</v>
      </c>
      <c r="F155" s="166"/>
      <c r="G155" s="168">
        <v>4100000</v>
      </c>
      <c r="H155" t="s" s="61">
        <v>885</v>
      </c>
    </row>
    <row r="156" ht="21.25" customHeight="1">
      <c r="A156" t="s" s="8">
        <v>404</v>
      </c>
      <c r="B156" t="s" s="61">
        <v>62</v>
      </c>
      <c r="C156" s="166"/>
      <c r="D156" s="166">
        <v>223.46</v>
      </c>
      <c r="E156" s="166">
        <f>_xlfn.IFERROR(AVERAGE(B156:D156),"—")</f>
        <v>223.46</v>
      </c>
      <c r="F156" s="166"/>
      <c r="G156" s="168">
        <v>3362500</v>
      </c>
      <c r="H156" t="s" s="61">
        <v>60</v>
      </c>
    </row>
    <row r="157" ht="21.25" customHeight="1">
      <c r="A157" t="s" s="8">
        <v>254</v>
      </c>
      <c r="B157" s="166">
        <v>121.4</v>
      </c>
      <c r="C157" s="166"/>
      <c r="D157" s="166">
        <v>92.48999999999999</v>
      </c>
      <c r="E157" s="166">
        <f>_xlfn.IFERROR(AVERAGE(B157:D157),"—")</f>
        <v>106.945</v>
      </c>
      <c r="F157" s="59"/>
      <c r="G157" s="168">
        <v>6100000</v>
      </c>
      <c r="H157" t="s" s="61">
        <v>62</v>
      </c>
    </row>
    <row r="158" ht="21.25" customHeight="1">
      <c r="A158" t="s" s="8">
        <v>344</v>
      </c>
      <c r="B158" s="166">
        <v>142.8</v>
      </c>
      <c r="C158" s="166"/>
      <c r="D158" s="166">
        <v>216.09</v>
      </c>
      <c r="E158" s="166">
        <f>_xlfn.IFERROR(AVERAGE(B158:D158),"—")</f>
        <v>179.445</v>
      </c>
      <c r="F158" s="59"/>
      <c r="G158" s="168">
        <v>5500000</v>
      </c>
      <c r="H158" t="s" s="61">
        <v>885</v>
      </c>
    </row>
    <row r="159" ht="21.25" customHeight="1">
      <c r="A159" t="s" s="8">
        <v>412</v>
      </c>
      <c r="B159" s="166">
        <v>165.4</v>
      </c>
      <c r="C159" s="166"/>
      <c r="D159" s="166">
        <v>161.62</v>
      </c>
      <c r="E159" s="166">
        <f>_xlfn.IFERROR(AVERAGE(B159:D159),"—")</f>
        <v>163.51</v>
      </c>
      <c r="F159" s="166"/>
      <c r="G159" s="168">
        <v>5000000</v>
      </c>
      <c r="H159" t="s" s="61">
        <v>60</v>
      </c>
    </row>
    <row r="160" ht="21.25" customHeight="1">
      <c r="A160" t="s" s="8">
        <v>424</v>
      </c>
      <c r="B160" s="166">
        <v>163.2</v>
      </c>
      <c r="C160" s="166"/>
      <c r="D160" s="166">
        <v>188.91</v>
      </c>
      <c r="E160" s="166">
        <f>_xlfn.IFERROR(AVERAGE(B160:D160),"—")</f>
        <v>176.055</v>
      </c>
      <c r="F160" s="59"/>
      <c r="G160" s="168">
        <v>5000000</v>
      </c>
      <c r="H160" t="s" s="61">
        <v>885</v>
      </c>
    </row>
    <row r="161" ht="21.25" customHeight="1">
      <c r="A161" t="s" s="8">
        <v>499</v>
      </c>
      <c r="B161" t="s" s="61">
        <v>62</v>
      </c>
      <c r="C161" s="166"/>
      <c r="D161" s="166">
        <v>239.55</v>
      </c>
      <c r="E161" s="166">
        <f>_xlfn.IFERROR(AVERAGE(B161:D161),"—")</f>
        <v>239.55</v>
      </c>
      <c r="F161" s="166"/>
      <c r="G161" s="168">
        <v>849167</v>
      </c>
      <c r="H161" t="s" s="61">
        <v>885</v>
      </c>
    </row>
    <row r="162" ht="21.25" customHeight="1">
      <c r="A162" t="s" s="8">
        <v>372</v>
      </c>
      <c r="B162" s="166">
        <v>161.3</v>
      </c>
      <c r="C162" s="166"/>
      <c r="D162" s="166">
        <v>164.82</v>
      </c>
      <c r="E162" s="166">
        <f>_xlfn.IFERROR(AVERAGE(B162:D162),"—")</f>
        <v>163.06</v>
      </c>
      <c r="F162" s="166"/>
      <c r="G162" s="168">
        <v>5000000</v>
      </c>
      <c r="H162" t="s" s="61">
        <v>885</v>
      </c>
    </row>
    <row r="163" ht="21.25" customHeight="1">
      <c r="A163" t="s" s="8">
        <v>594</v>
      </c>
      <c r="B163" t="s" s="61">
        <v>62</v>
      </c>
      <c r="C163" s="166"/>
      <c r="D163" t="s" s="61">
        <v>62</v>
      </c>
      <c r="E163" t="s" s="61">
        <f>_xlfn.IFERROR(AVERAGE(B163:D163),"—")</f>
        <v>934</v>
      </c>
      <c r="F163" s="166"/>
      <c r="G163" s="168">
        <v>775000</v>
      </c>
      <c r="H163" t="s" s="61">
        <v>885</v>
      </c>
    </row>
    <row r="164" ht="21.25" customHeight="1">
      <c r="A164" t="s" s="8">
        <v>237</v>
      </c>
      <c r="B164" s="166">
        <v>129.4</v>
      </c>
      <c r="C164" s="166"/>
      <c r="D164" s="166">
        <v>131.84</v>
      </c>
      <c r="E164" s="166">
        <f>_xlfn.IFERROR(AVERAGE(B164:D164),"—")</f>
        <v>130.62</v>
      </c>
      <c r="F164" s="166"/>
      <c r="G164" s="168">
        <v>4550000</v>
      </c>
      <c r="H164" t="s" s="61">
        <v>885</v>
      </c>
    </row>
    <row r="165" ht="21.25" customHeight="1">
      <c r="A165" t="s" s="8">
        <v>211</v>
      </c>
      <c r="B165" s="166">
        <v>111.7</v>
      </c>
      <c r="C165" s="166"/>
      <c r="D165" s="166">
        <v>93.98</v>
      </c>
      <c r="E165" s="166">
        <f>_xlfn.IFERROR(AVERAGE(B165:D165),"—")</f>
        <v>102.84</v>
      </c>
      <c r="F165" s="166"/>
      <c r="G165" s="168">
        <v>4000000</v>
      </c>
      <c r="H165" t="s" s="61">
        <v>885</v>
      </c>
    </row>
    <row r="166" ht="21.25" customHeight="1">
      <c r="A166" t="s" s="8">
        <v>377</v>
      </c>
      <c r="B166" s="166">
        <v>178.2</v>
      </c>
      <c r="C166" s="166"/>
      <c r="D166" s="166">
        <v>175.12</v>
      </c>
      <c r="E166" s="166">
        <f>_xlfn.IFERROR(AVERAGE(B166:D166),"—")</f>
        <v>176.66</v>
      </c>
      <c r="F166" s="166"/>
      <c r="G166" s="168">
        <v>1700000</v>
      </c>
      <c r="H166" t="s" s="61">
        <v>885</v>
      </c>
    </row>
    <row r="167" ht="21.25" customHeight="1">
      <c r="A167" t="s" s="8">
        <v>421</v>
      </c>
      <c r="B167" t="s" s="61">
        <v>62</v>
      </c>
      <c r="C167" s="166"/>
      <c r="D167" s="166">
        <v>211.37</v>
      </c>
      <c r="E167" s="166">
        <f>_xlfn.IFERROR(AVERAGE(B167:D167),"—")</f>
        <v>211.37</v>
      </c>
      <c r="F167" s="59"/>
      <c r="G167" s="168">
        <v>4500000</v>
      </c>
      <c r="H167" t="s" s="61">
        <v>885</v>
      </c>
    </row>
    <row r="168" ht="21.25" customHeight="1">
      <c r="A168" t="s" s="8">
        <v>345</v>
      </c>
      <c r="B168" s="166">
        <v>168.4</v>
      </c>
      <c r="C168" s="166"/>
      <c r="D168" s="166">
        <v>201.38</v>
      </c>
      <c r="E168" s="166">
        <f>_xlfn.IFERROR(AVERAGE(B168:D168),"—")</f>
        <v>184.89</v>
      </c>
      <c r="F168" s="166"/>
      <c r="G168" s="168">
        <v>894167</v>
      </c>
      <c r="H168" t="s" s="61">
        <v>60</v>
      </c>
    </row>
    <row r="169" ht="21.25" customHeight="1">
      <c r="A169" t="s" s="8">
        <v>279</v>
      </c>
      <c r="B169" t="s" s="61">
        <v>62</v>
      </c>
      <c r="C169" s="166"/>
      <c r="D169" s="166">
        <v>118.67</v>
      </c>
      <c r="E169" s="166">
        <f>_xlfn.IFERROR(AVERAGE(B169:D169),"—")</f>
        <v>118.67</v>
      </c>
      <c r="F169" s="59"/>
      <c r="G169" s="168">
        <v>4875000</v>
      </c>
      <c r="H169" t="s" s="61">
        <v>62</v>
      </c>
    </row>
    <row r="170" ht="21.25" customHeight="1">
      <c r="A170" t="s" s="8">
        <v>419</v>
      </c>
      <c r="B170" s="166">
        <v>100.6</v>
      </c>
      <c r="C170" s="166"/>
      <c r="D170" s="166">
        <v>50.86</v>
      </c>
      <c r="E170" s="166">
        <f>_xlfn.IFERROR(AVERAGE(B170:D170),"—")</f>
        <v>75.73</v>
      </c>
      <c r="F170" s="59"/>
      <c r="G170" s="168">
        <v>5125000</v>
      </c>
      <c r="H170" t="s" s="61">
        <v>885</v>
      </c>
    </row>
    <row r="171" ht="21.25" customHeight="1">
      <c r="A171" t="s" s="8">
        <v>390</v>
      </c>
      <c r="B171" t="s" s="61">
        <v>62</v>
      </c>
      <c r="C171" s="166"/>
      <c r="D171" s="166">
        <v>350.23</v>
      </c>
      <c r="E171" s="166">
        <f>_xlfn.IFERROR(AVERAGE(B171:D171),"—")</f>
        <v>350.23</v>
      </c>
      <c r="F171" s="59"/>
      <c r="G171" s="168">
        <v>5825000</v>
      </c>
      <c r="H171" t="s" s="61">
        <v>885</v>
      </c>
    </row>
    <row r="172" ht="21.25" customHeight="1">
      <c r="A172" t="s" s="8">
        <v>381</v>
      </c>
      <c r="B172" t="s" s="61">
        <v>62</v>
      </c>
      <c r="C172" s="166"/>
      <c r="D172" s="166">
        <v>226.95</v>
      </c>
      <c r="E172" s="166">
        <f>_xlfn.IFERROR(AVERAGE(B172:D172),"—")</f>
        <v>226.95</v>
      </c>
      <c r="F172" s="166"/>
      <c r="G172" s="168">
        <v>5500000</v>
      </c>
      <c r="H172" t="s" s="61">
        <v>885</v>
      </c>
    </row>
    <row r="173" ht="21.25" customHeight="1">
      <c r="A173" t="s" s="8">
        <v>352</v>
      </c>
      <c r="B173" s="166">
        <v>165.7</v>
      </c>
      <c r="C173" s="166"/>
      <c r="D173" s="166">
        <v>190.51</v>
      </c>
      <c r="E173" s="166">
        <f>_xlfn.IFERROR(AVERAGE(B173:D173),"—")</f>
        <v>178.105</v>
      </c>
      <c r="F173" s="166"/>
      <c r="G173" s="168">
        <v>7000000</v>
      </c>
      <c r="H173" t="s" s="61">
        <v>885</v>
      </c>
    </row>
    <row r="174" ht="21.25" customHeight="1">
      <c r="A174" t="s" s="8">
        <v>400</v>
      </c>
      <c r="B174" s="166">
        <v>147.3</v>
      </c>
      <c r="C174" s="166"/>
      <c r="D174" s="166">
        <v>135.4</v>
      </c>
      <c r="E174" s="166">
        <f>_xlfn.IFERROR(AVERAGE(B174:D174),"—")</f>
        <v>141.35</v>
      </c>
      <c r="F174" s="59"/>
      <c r="G174" s="168">
        <v>5500000</v>
      </c>
      <c r="H174" t="s" s="61">
        <v>56</v>
      </c>
    </row>
    <row r="175" ht="21.25" customHeight="1">
      <c r="A175" t="s" s="8">
        <v>496</v>
      </c>
      <c r="B175" t="s" s="61">
        <v>62</v>
      </c>
      <c r="C175" s="166"/>
      <c r="D175" s="166">
        <v>330.03</v>
      </c>
      <c r="E175" s="166">
        <f>_xlfn.IFERROR(AVERAGE(B175:D175),"—")</f>
        <v>330.03</v>
      </c>
      <c r="F175" s="166"/>
      <c r="G175" s="168">
        <v>9200000</v>
      </c>
      <c r="H175" t="s" s="61">
        <v>885</v>
      </c>
    </row>
    <row r="176" ht="21.25" customHeight="1">
      <c r="A176" t="s" s="8">
        <v>348</v>
      </c>
      <c r="B176" s="166">
        <v>172.1</v>
      </c>
      <c r="C176" s="166"/>
      <c r="D176" s="166">
        <v>189.4</v>
      </c>
      <c r="E176" s="166">
        <f>_xlfn.IFERROR(AVERAGE(B176:D176),"—")</f>
        <v>180.75</v>
      </c>
      <c r="F176" s="59"/>
      <c r="G176" s="168">
        <v>5125000</v>
      </c>
      <c r="H176" t="s" s="61">
        <v>885</v>
      </c>
    </row>
    <row r="177" ht="21.25" customHeight="1">
      <c r="A177" t="s" s="8">
        <v>246</v>
      </c>
      <c r="B177" s="166">
        <v>112.3</v>
      </c>
      <c r="C177" s="166"/>
      <c r="D177" s="166">
        <v>78.56999999999999</v>
      </c>
      <c r="E177" s="166">
        <f>_xlfn.IFERROR(AVERAGE(B177:D177),"—")</f>
        <v>95.435</v>
      </c>
      <c r="F177" s="59"/>
      <c r="G177" s="168">
        <v>8800000</v>
      </c>
      <c r="H177" t="s" s="61">
        <v>885</v>
      </c>
    </row>
    <row r="178" ht="21.25" customHeight="1">
      <c r="A178" t="s" s="8">
        <v>416</v>
      </c>
      <c r="B178" t="s" s="61">
        <v>62</v>
      </c>
      <c r="C178" s="166"/>
      <c r="D178" s="166">
        <v>329.49</v>
      </c>
      <c r="E178" s="166">
        <f>_xlfn.IFERROR(AVERAGE(B178:D178),"—")</f>
        <v>329.49</v>
      </c>
      <c r="F178" s="166"/>
      <c r="G178" s="168">
        <v>5900000</v>
      </c>
      <c r="H178" t="s" s="61">
        <v>885</v>
      </c>
    </row>
    <row r="179" ht="21.25" customHeight="1">
      <c r="A179" t="s" s="8">
        <v>371</v>
      </c>
      <c r="B179" s="166">
        <v>173.3</v>
      </c>
      <c r="C179" s="166"/>
      <c r="D179" s="166">
        <v>144.63</v>
      </c>
      <c r="E179" s="166">
        <f>_xlfn.IFERROR(AVERAGE(B179:D179),"—")</f>
        <v>158.965</v>
      </c>
      <c r="F179" s="59"/>
      <c r="G179" s="168">
        <v>3750000</v>
      </c>
      <c r="H179" t="s" s="61">
        <v>885</v>
      </c>
    </row>
    <row r="180" ht="21.25" customHeight="1">
      <c r="A180" t="s" s="8">
        <v>395</v>
      </c>
      <c r="B180" s="166">
        <v>166.1</v>
      </c>
      <c r="C180" s="166"/>
      <c r="D180" s="166">
        <v>217.68</v>
      </c>
      <c r="E180" s="166">
        <f>_xlfn.IFERROR(AVERAGE(B180:D180),"—")</f>
        <v>191.89</v>
      </c>
      <c r="F180" s="166"/>
      <c r="G180" s="168">
        <v>5400000</v>
      </c>
      <c r="H180" t="s" s="61">
        <v>885</v>
      </c>
    </row>
    <row r="181" ht="21.25" customHeight="1">
      <c r="A181" t="s" s="8">
        <v>385</v>
      </c>
      <c r="B181" s="166">
        <v>181.4</v>
      </c>
      <c r="C181" s="166"/>
      <c r="D181" s="166">
        <v>1210.6</v>
      </c>
      <c r="E181" s="166">
        <f>_xlfn.IFERROR(AVERAGE(B181:D181),"—")</f>
        <v>696</v>
      </c>
      <c r="F181" s="59"/>
      <c r="G181" s="168">
        <v>4950000</v>
      </c>
      <c r="H181" t="s" s="61">
        <v>885</v>
      </c>
    </row>
    <row r="182" ht="21.25" customHeight="1">
      <c r="A182" t="s" s="8">
        <v>283</v>
      </c>
      <c r="B182" s="166">
        <v>144.9</v>
      </c>
      <c r="C182" s="166"/>
      <c r="D182" s="166">
        <v>103.76</v>
      </c>
      <c r="E182" s="166">
        <f>_xlfn.IFERROR(AVERAGE(B182:D182),"—")</f>
        <v>124.33</v>
      </c>
      <c r="F182" s="59"/>
      <c r="G182" s="168">
        <v>4600000</v>
      </c>
      <c r="H182" t="s" s="61">
        <v>885</v>
      </c>
    </row>
    <row r="183" ht="21.25" customHeight="1">
      <c r="A183" t="s" s="8">
        <v>434</v>
      </c>
      <c r="B183" t="s" s="61">
        <v>62</v>
      </c>
      <c r="C183" s="166"/>
      <c r="D183" s="166">
        <v>237.09</v>
      </c>
      <c r="E183" s="166">
        <f>_xlfn.IFERROR(AVERAGE(B183:D183),"—")</f>
        <v>237.09</v>
      </c>
      <c r="F183" s="59"/>
      <c r="G183" s="168">
        <v>925000</v>
      </c>
      <c r="H183" t="s" s="61">
        <v>885</v>
      </c>
    </row>
    <row r="184" ht="21.25" customHeight="1">
      <c r="A184" t="s" s="8">
        <v>265</v>
      </c>
      <c r="B184" s="166">
        <v>134.1</v>
      </c>
      <c r="C184" s="166"/>
      <c r="D184" s="166">
        <v>120.32</v>
      </c>
      <c r="E184" s="166">
        <f>_xlfn.IFERROR(AVERAGE(B184:D184),"—")</f>
        <v>127.21</v>
      </c>
      <c r="F184" s="166"/>
      <c r="G184" s="168">
        <v>8000000</v>
      </c>
      <c r="H184" t="s" s="61">
        <v>885</v>
      </c>
    </row>
    <row r="185" ht="21.25" customHeight="1">
      <c r="A185" t="s" s="8">
        <v>378</v>
      </c>
      <c r="B185" t="s" s="61">
        <v>62</v>
      </c>
      <c r="C185" s="166"/>
      <c r="D185" s="166">
        <v>225.65</v>
      </c>
      <c r="E185" s="166">
        <f>_xlfn.IFERROR(AVERAGE(B185:D185),"—")</f>
        <v>225.65</v>
      </c>
      <c r="F185" s="59"/>
      <c r="G185" s="168">
        <v>925000</v>
      </c>
      <c r="H185" t="s" s="61">
        <v>60</v>
      </c>
    </row>
    <row r="186" ht="21.25" customHeight="1">
      <c r="A186" t="s" s="8">
        <v>270</v>
      </c>
      <c r="B186" s="166">
        <v>147.6</v>
      </c>
      <c r="C186" s="166"/>
      <c r="D186" s="166">
        <v>208.79</v>
      </c>
      <c r="E186" s="166">
        <f>_xlfn.IFERROR(AVERAGE(B186:D186),"—")</f>
        <v>178.195</v>
      </c>
      <c r="F186" s="166"/>
      <c r="G186" s="168">
        <v>6500000</v>
      </c>
      <c r="H186" t="s" s="61">
        <v>885</v>
      </c>
    </row>
    <row r="187" ht="21.25" customHeight="1">
      <c r="A187" t="s" s="8">
        <v>388</v>
      </c>
      <c r="B187" s="166">
        <v>169.1</v>
      </c>
      <c r="C187" s="166"/>
      <c r="D187" s="166">
        <v>221.28</v>
      </c>
      <c r="E187" s="166">
        <f>_xlfn.IFERROR(AVERAGE(B187:D187),"—")</f>
        <v>195.19</v>
      </c>
      <c r="F187" s="59"/>
      <c r="G187" s="168">
        <v>894167</v>
      </c>
      <c r="H187" t="s" s="61">
        <v>60</v>
      </c>
    </row>
    <row r="188" ht="21.25" customHeight="1">
      <c r="A188" t="s" s="8">
        <v>447</v>
      </c>
      <c r="B188" t="s" s="61">
        <v>62</v>
      </c>
      <c r="C188" s="166"/>
      <c r="D188" t="s" s="61">
        <v>62</v>
      </c>
      <c r="E188" t="s" s="61">
        <f>_xlfn.IFERROR(AVERAGE(B188:D188),"—")</f>
        <v>934</v>
      </c>
      <c r="F188" s="59"/>
      <c r="G188" s="168">
        <v>2500000</v>
      </c>
      <c r="H188" t="s" s="61">
        <v>60</v>
      </c>
    </row>
    <row r="189" ht="21.25" customHeight="1">
      <c r="A189" t="s" s="8">
        <v>405</v>
      </c>
      <c r="B189" s="166">
        <v>163</v>
      </c>
      <c r="C189" s="166"/>
      <c r="D189" s="166">
        <v>220.86</v>
      </c>
      <c r="E189" s="166">
        <f>_xlfn.IFERROR(AVERAGE(B189:D189),"—")</f>
        <v>191.93</v>
      </c>
      <c r="F189" s="166"/>
      <c r="G189" s="168">
        <v>9850000</v>
      </c>
      <c r="H189" t="s" s="61">
        <v>885</v>
      </c>
    </row>
    <row r="190" ht="21.25" customHeight="1">
      <c r="A190" t="s" s="8">
        <v>446</v>
      </c>
      <c r="B190" t="s" s="61">
        <v>62</v>
      </c>
      <c r="C190" s="166"/>
      <c r="D190" s="166">
        <v>232.43</v>
      </c>
      <c r="E190" s="166">
        <f>_xlfn.IFERROR(AVERAGE(B190:D190),"—")</f>
        <v>232.43</v>
      </c>
      <c r="F190" s="59"/>
      <c r="G190" s="168">
        <v>5875000</v>
      </c>
      <c r="H190" t="s" s="61">
        <v>885</v>
      </c>
    </row>
    <row r="191" ht="21.25" customHeight="1">
      <c r="A191" t="s" s="8">
        <v>451</v>
      </c>
      <c r="B191" s="166">
        <v>173.6</v>
      </c>
      <c r="C191" s="166"/>
      <c r="D191" s="166">
        <v>446.55</v>
      </c>
      <c r="E191" s="166">
        <f>_xlfn.IFERROR(AVERAGE(B191:D191),"—")</f>
        <v>310.075</v>
      </c>
      <c r="F191" s="59"/>
      <c r="G191" s="168">
        <v>4750000</v>
      </c>
      <c r="H191" t="s" s="61">
        <v>885</v>
      </c>
    </row>
    <row r="192" ht="21.25" customHeight="1">
      <c r="A192" t="s" s="8">
        <v>418</v>
      </c>
      <c r="B192" t="s" s="61">
        <v>62</v>
      </c>
      <c r="C192" s="166"/>
      <c r="D192" t="s" s="61">
        <v>62</v>
      </c>
      <c r="E192" t="s" s="61">
        <f>_xlfn.IFERROR(AVERAGE(B192:D192),"—")</f>
        <v>934</v>
      </c>
      <c r="F192" s="59"/>
      <c r="G192" s="168">
        <v>4000000</v>
      </c>
      <c r="H192" t="s" s="61">
        <v>885</v>
      </c>
    </row>
    <row r="193" ht="21.25" customHeight="1">
      <c r="A193" t="s" s="8">
        <v>440</v>
      </c>
      <c r="B193" t="s" s="61">
        <v>62</v>
      </c>
      <c r="C193" s="166"/>
      <c r="D193" s="166">
        <v>417.5</v>
      </c>
      <c r="E193" s="166">
        <f>_xlfn.IFERROR(AVERAGE(B193:D193),"—")</f>
        <v>417.5</v>
      </c>
      <c r="F193" s="166"/>
      <c r="G193" s="168">
        <v>5000000</v>
      </c>
      <c r="H193" t="s" s="61">
        <v>885</v>
      </c>
    </row>
    <row r="194" ht="21.25" customHeight="1">
      <c r="A194" t="s" s="8">
        <v>224</v>
      </c>
      <c r="B194" s="166">
        <v>112.1</v>
      </c>
      <c r="C194" s="166"/>
      <c r="D194" s="166">
        <v>116.71</v>
      </c>
      <c r="E194" s="166">
        <f>_xlfn.IFERROR(AVERAGE(B194:D194),"—")</f>
        <v>114.405</v>
      </c>
      <c r="F194" s="166"/>
      <c r="G194" s="168">
        <v>9500000</v>
      </c>
      <c r="H194" t="s" s="61">
        <v>60</v>
      </c>
    </row>
    <row r="195" ht="21.25" customHeight="1">
      <c r="A195" t="s" s="8">
        <v>212</v>
      </c>
      <c r="B195" s="166">
        <v>83.2</v>
      </c>
      <c r="C195" s="166"/>
      <c r="D195" s="166">
        <v>73.68000000000001</v>
      </c>
      <c r="E195" s="166">
        <f>_xlfn.IFERROR(AVERAGE(B195:D195),"—")</f>
        <v>78.44</v>
      </c>
      <c r="F195" s="166"/>
      <c r="G195" s="168">
        <v>5280000</v>
      </c>
      <c r="H195" t="s" s="61">
        <v>60</v>
      </c>
    </row>
    <row r="196" ht="21.25" customHeight="1">
      <c r="A196" t="s" s="8">
        <v>262</v>
      </c>
      <c r="B196" s="166">
        <v>119.5</v>
      </c>
      <c r="C196" s="166"/>
      <c r="D196" s="166">
        <v>134.17</v>
      </c>
      <c r="E196" s="166">
        <f>_xlfn.IFERROR(AVERAGE(B196:D196),"—")</f>
        <v>126.835</v>
      </c>
      <c r="F196" s="166"/>
      <c r="G196" s="168">
        <v>6500000</v>
      </c>
      <c r="H196" t="s" s="61">
        <v>885</v>
      </c>
    </row>
    <row r="197" ht="21.25" customHeight="1">
      <c r="A197" t="s" s="8">
        <v>428</v>
      </c>
      <c r="B197" t="s" s="61">
        <v>62</v>
      </c>
      <c r="C197" s="166"/>
      <c r="D197" s="166">
        <v>202.81</v>
      </c>
      <c r="E197" s="166">
        <f>_xlfn.IFERROR(AVERAGE(B197:D197),"—")</f>
        <v>202.81</v>
      </c>
      <c r="F197" s="59"/>
      <c r="G197" s="168">
        <v>1775000</v>
      </c>
      <c r="H197" t="s" s="61">
        <v>885</v>
      </c>
    </row>
    <row r="198" ht="21.25" customHeight="1">
      <c r="A198" t="s" s="8">
        <v>422</v>
      </c>
      <c r="B198" s="166">
        <v>146</v>
      </c>
      <c r="C198" s="166"/>
      <c r="D198" s="166">
        <v>241.34</v>
      </c>
      <c r="E198" s="166">
        <f>_xlfn.IFERROR(AVERAGE(B198:D198),"—")</f>
        <v>193.67</v>
      </c>
      <c r="F198" s="166"/>
      <c r="G198" s="168">
        <v>5750000</v>
      </c>
      <c r="H198" t="s" s="61">
        <v>885</v>
      </c>
    </row>
    <row r="199" ht="21.25" customHeight="1">
      <c r="A199" t="s" s="8">
        <v>276</v>
      </c>
      <c r="B199" s="166">
        <v>157.1</v>
      </c>
      <c r="C199" s="166"/>
      <c r="D199" s="166">
        <v>164.8</v>
      </c>
      <c r="E199" s="166">
        <f>_xlfn.IFERROR(AVERAGE(B199:D199),"—")</f>
        <v>160.95</v>
      </c>
      <c r="F199" s="59"/>
      <c r="G199" s="168">
        <v>1700000</v>
      </c>
      <c r="H199" t="s" s="61">
        <v>885</v>
      </c>
    </row>
    <row r="200" ht="21.25" customHeight="1">
      <c r="A200" t="s" s="8">
        <v>370</v>
      </c>
      <c r="B200" t="s" s="61">
        <v>62</v>
      </c>
      <c r="C200" s="166"/>
      <c r="D200" s="166">
        <v>226.35</v>
      </c>
      <c r="E200" s="166">
        <f>_xlfn.IFERROR(AVERAGE(B200:D200),"—")</f>
        <v>226.35</v>
      </c>
      <c r="F200" s="59"/>
      <c r="G200" s="168">
        <v>4150000</v>
      </c>
      <c r="H200" t="s" s="61">
        <v>885</v>
      </c>
    </row>
    <row r="201" ht="21.25" customHeight="1">
      <c r="A201" t="s" s="8">
        <v>469</v>
      </c>
      <c r="B201" t="s" s="61">
        <v>62</v>
      </c>
      <c r="C201" s="166"/>
      <c r="D201" s="166">
        <v>395.01</v>
      </c>
      <c r="E201" s="166">
        <f>_xlfn.IFERROR(AVERAGE(B201:D201),"—")</f>
        <v>395.01</v>
      </c>
      <c r="F201" s="166"/>
      <c r="G201" s="168">
        <v>4820000</v>
      </c>
      <c r="H201" t="s" s="61">
        <v>885</v>
      </c>
    </row>
    <row r="202" ht="21.25" customHeight="1">
      <c r="A202" t="s" s="8">
        <v>366</v>
      </c>
      <c r="B202" s="166">
        <v>172.1</v>
      </c>
      <c r="C202" s="166"/>
      <c r="D202" s="166">
        <v>218.25</v>
      </c>
      <c r="E202" s="166">
        <f>_xlfn.IFERROR(AVERAGE(B202:D202),"—")</f>
        <v>195.175</v>
      </c>
      <c r="F202" s="59"/>
      <c r="G202" s="168">
        <v>5400000</v>
      </c>
      <c r="H202" t="s" s="61">
        <v>885</v>
      </c>
    </row>
    <row r="203" ht="21.25" customHeight="1">
      <c r="A203" t="s" s="8">
        <v>524</v>
      </c>
      <c r="B203" t="s" s="61">
        <v>62</v>
      </c>
      <c r="C203" s="166"/>
      <c r="D203" s="166">
        <v>502.5</v>
      </c>
      <c r="E203" s="166">
        <f>_xlfn.IFERROR(AVERAGE(B203:D203),"—")</f>
        <v>502.5</v>
      </c>
      <c r="F203" s="166"/>
      <c r="G203" s="168">
        <v>863333</v>
      </c>
      <c r="H203" t="s" s="61">
        <v>885</v>
      </c>
    </row>
    <row r="204" ht="21.25" customHeight="1">
      <c r="A204" t="s" s="8">
        <v>353</v>
      </c>
      <c r="B204" s="166">
        <v>166.8</v>
      </c>
      <c r="C204" s="166"/>
      <c r="D204" s="166">
        <v>209.31</v>
      </c>
      <c r="E204" s="166">
        <f>_xlfn.IFERROR(AVERAGE(B204:D204),"—")</f>
        <v>188.055</v>
      </c>
      <c r="F204" s="59"/>
      <c r="G204" s="168">
        <v>5350000</v>
      </c>
      <c r="H204" t="s" s="61">
        <v>885</v>
      </c>
    </row>
    <row r="205" ht="21.25" customHeight="1">
      <c r="A205" t="s" s="8">
        <v>503</v>
      </c>
      <c r="B205" t="s" s="61">
        <v>62</v>
      </c>
      <c r="C205" s="166"/>
      <c r="D205" t="s" s="61">
        <v>62</v>
      </c>
      <c r="E205" t="s" s="61">
        <f>_xlfn.IFERROR(AVERAGE(B205:D205),"—")</f>
        <v>934</v>
      </c>
      <c r="F205" s="166"/>
      <c r="G205" s="168">
        <v>2625000</v>
      </c>
      <c r="H205" t="s" s="61">
        <v>885</v>
      </c>
    </row>
    <row r="206" ht="21.25" customHeight="1">
      <c r="A206" t="s" s="8">
        <v>409</v>
      </c>
      <c r="B206" s="166">
        <v>178.8</v>
      </c>
      <c r="C206" s="166"/>
      <c r="D206" s="166">
        <v>231.82</v>
      </c>
      <c r="E206" s="166">
        <f>_xlfn.IFERROR(AVERAGE(B206:D206),"—")</f>
        <v>205.31</v>
      </c>
      <c r="F206" s="59"/>
      <c r="G206" s="168">
        <v>4000000</v>
      </c>
      <c r="H206" t="s" s="61">
        <v>885</v>
      </c>
    </row>
    <row r="207" ht="21.25" customHeight="1">
      <c r="A207" t="s" s="8">
        <v>453</v>
      </c>
      <c r="B207" t="s" s="61">
        <v>62</v>
      </c>
      <c r="C207" s="166"/>
      <c r="D207" s="166">
        <v>325.68</v>
      </c>
      <c r="E207" s="166">
        <f>_xlfn.IFERROR(AVERAGE(B207:D207),"—")</f>
        <v>325.68</v>
      </c>
      <c r="F207" s="166"/>
      <c r="G207" s="168">
        <v>894167</v>
      </c>
      <c r="H207" t="s" s="61">
        <v>56</v>
      </c>
    </row>
    <row r="208" ht="21.25" customHeight="1">
      <c r="A208" t="s" s="8">
        <v>457</v>
      </c>
      <c r="B208" t="s" s="61">
        <v>62</v>
      </c>
      <c r="C208" s="166"/>
      <c r="D208" s="166">
        <v>243.41</v>
      </c>
      <c r="E208" s="166">
        <f>_xlfn.IFERROR(AVERAGE(B208:D208),"—")</f>
        <v>243.41</v>
      </c>
      <c r="F208" s="166"/>
      <c r="G208" s="168">
        <v>4437500</v>
      </c>
      <c r="H208" t="s" s="61">
        <v>885</v>
      </c>
    </row>
    <row r="209" ht="21.25" customHeight="1">
      <c r="A209" t="s" s="8">
        <v>449</v>
      </c>
      <c r="B209" s="166">
        <v>158.8</v>
      </c>
      <c r="C209" s="166"/>
      <c r="D209" s="166">
        <v>409.4</v>
      </c>
      <c r="E209" s="166">
        <f>_xlfn.IFERROR(AVERAGE(B209:D209),"—")</f>
        <v>284.1</v>
      </c>
      <c r="F209" s="59"/>
      <c r="G209" s="168">
        <v>5250000</v>
      </c>
      <c r="H209" t="s" s="61">
        <v>885</v>
      </c>
    </row>
    <row r="210" ht="21.25" customHeight="1">
      <c r="A210" t="s" s="8">
        <v>465</v>
      </c>
      <c r="B210" t="s" s="61">
        <v>62</v>
      </c>
      <c r="C210" s="166"/>
      <c r="D210" t="s" s="61">
        <v>62</v>
      </c>
      <c r="E210" t="s" s="61">
        <f>_xlfn.IFERROR(AVERAGE(B210:D210),"—")</f>
        <v>934</v>
      </c>
      <c r="F210" s="59"/>
      <c r="G210" s="168">
        <v>4500000</v>
      </c>
      <c r="H210" t="s" s="61">
        <v>885</v>
      </c>
    </row>
    <row r="211" ht="21.25" customHeight="1">
      <c r="A211" t="s" s="8">
        <v>484</v>
      </c>
      <c r="B211" t="s" s="61">
        <v>62</v>
      </c>
      <c r="C211" s="166"/>
      <c r="D211" s="166">
        <v>465.5</v>
      </c>
      <c r="E211" s="166">
        <f>_xlfn.IFERROR(AVERAGE(B211:D211),"—")</f>
        <v>465.5</v>
      </c>
      <c r="F211" s="166"/>
      <c r="G211" s="168">
        <v>5166600</v>
      </c>
      <c r="H211" t="s" s="61">
        <v>885</v>
      </c>
    </row>
    <row r="212" ht="21.25" customHeight="1">
      <c r="A212" t="s" s="8">
        <v>296</v>
      </c>
      <c r="B212" s="166">
        <v>159</v>
      </c>
      <c r="C212" s="166"/>
      <c r="D212" s="166">
        <v>214.3</v>
      </c>
      <c r="E212" s="166">
        <f>_xlfn.IFERROR(AVERAGE(B212:D212),"—")</f>
        <v>186.65</v>
      </c>
      <c r="F212" s="59"/>
      <c r="G212" s="168">
        <v>6500000</v>
      </c>
      <c r="H212" t="s" s="61">
        <v>885</v>
      </c>
    </row>
    <row r="213" ht="21.25" customHeight="1">
      <c r="A213" t="s" s="8">
        <v>438</v>
      </c>
      <c r="B213" s="166">
        <v>164</v>
      </c>
      <c r="C213" s="166"/>
      <c r="D213" s="166">
        <v>220.12</v>
      </c>
      <c r="E213" s="166">
        <f>_xlfn.IFERROR(AVERAGE(B213:D213),"—")</f>
        <v>192.06</v>
      </c>
      <c r="F213" s="59"/>
      <c r="G213" s="168">
        <v>3571429</v>
      </c>
      <c r="H213" t="s" s="61">
        <v>885</v>
      </c>
    </row>
    <row r="214" ht="21.25" customHeight="1">
      <c r="A214" t="s" s="8">
        <v>439</v>
      </c>
      <c r="B214" t="s" s="61">
        <v>62</v>
      </c>
      <c r="C214" s="166"/>
      <c r="D214" s="166">
        <v>454.4</v>
      </c>
      <c r="E214" s="166">
        <f>_xlfn.IFERROR(AVERAGE(B214:D214),"—")</f>
        <v>454.4</v>
      </c>
      <c r="F214" s="59"/>
      <c r="G214" s="168">
        <v>2300000</v>
      </c>
      <c r="H214" t="s" s="61">
        <v>885</v>
      </c>
    </row>
    <row r="215" ht="21.25" customHeight="1">
      <c r="A215" t="s" s="8">
        <v>433</v>
      </c>
      <c r="B215" s="166">
        <v>185.8</v>
      </c>
      <c r="C215" s="166"/>
      <c r="D215" t="s" s="61">
        <v>62</v>
      </c>
      <c r="E215" s="166">
        <f>_xlfn.IFERROR(AVERAGE(B215:D215),"—")</f>
        <v>185.8</v>
      </c>
      <c r="F215" s="166"/>
      <c r="G215" s="168">
        <v>2000000</v>
      </c>
      <c r="H215" t="s" s="61">
        <v>885</v>
      </c>
    </row>
    <row r="216" ht="21.25" customHeight="1">
      <c r="A216" t="s" s="8">
        <v>466</v>
      </c>
      <c r="B216" s="166">
        <v>155.3</v>
      </c>
      <c r="C216" s="166"/>
      <c r="D216" s="166">
        <v>219.87</v>
      </c>
      <c r="E216" s="166">
        <f>_xlfn.IFERROR(AVERAGE(B216:D216),"—")</f>
        <v>187.585</v>
      </c>
      <c r="F216" s="166"/>
      <c r="G216" s="168">
        <v>2500000</v>
      </c>
      <c r="H216" t="s" s="61">
        <v>885</v>
      </c>
    </row>
    <row r="217" ht="21.25" customHeight="1">
      <c r="A217" t="s" s="8">
        <v>445</v>
      </c>
      <c r="B217" s="166">
        <v>167.9</v>
      </c>
      <c r="C217" s="166"/>
      <c r="D217" s="166">
        <v>319.9</v>
      </c>
      <c r="E217" s="166">
        <f>_xlfn.IFERROR(AVERAGE(B217:D217),"—")</f>
        <v>243.9</v>
      </c>
      <c r="F217" s="166"/>
      <c r="G217" s="168">
        <v>5100000</v>
      </c>
      <c r="H217" t="s" s="61">
        <v>885</v>
      </c>
    </row>
    <row r="218" ht="21.25" customHeight="1">
      <c r="A218" t="s" s="8">
        <v>589</v>
      </c>
      <c r="B218" t="s" s="61">
        <v>62</v>
      </c>
      <c r="C218" s="166"/>
      <c r="D218" t="s" s="61">
        <v>62</v>
      </c>
      <c r="E218" t="s" s="61">
        <f>_xlfn.IFERROR(AVERAGE(B218:D218),"—")</f>
        <v>934</v>
      </c>
      <c r="F218" s="166"/>
      <c r="G218" s="168">
        <v>850833</v>
      </c>
      <c r="H218" t="s" s="61">
        <v>885</v>
      </c>
    </row>
    <row r="219" ht="21.25" customHeight="1">
      <c r="A219" t="s" s="8">
        <v>479</v>
      </c>
      <c r="B219" t="s" s="61">
        <v>62</v>
      </c>
      <c r="C219" s="166"/>
      <c r="D219" s="166">
        <v>417.28</v>
      </c>
      <c r="E219" s="166">
        <f>_xlfn.IFERROR(AVERAGE(B219:D219),"—")</f>
        <v>417.28</v>
      </c>
      <c r="F219" s="59"/>
      <c r="G219" s="168">
        <v>6088890</v>
      </c>
      <c r="H219" t="s" s="61">
        <v>885</v>
      </c>
    </row>
    <row r="220" ht="21.25" customHeight="1">
      <c r="A220" t="s" s="8">
        <v>493</v>
      </c>
      <c r="B220" t="s" s="61">
        <v>62</v>
      </c>
      <c r="C220" s="166"/>
      <c r="D220" s="166">
        <v>223.52</v>
      </c>
      <c r="E220" s="166">
        <f>_xlfn.IFERROR(AVERAGE(B220:D220),"—")</f>
        <v>223.52</v>
      </c>
      <c r="F220" s="59"/>
      <c r="G220" s="168"/>
      <c r="H220" t="s" s="61">
        <v>885</v>
      </c>
    </row>
    <row r="221" ht="21.25" customHeight="1">
      <c r="A221" t="s" s="8">
        <v>414</v>
      </c>
      <c r="B221" t="s" s="61">
        <v>62</v>
      </c>
      <c r="C221" s="166"/>
      <c r="D221" s="166">
        <v>346.16</v>
      </c>
      <c r="E221" s="166">
        <f>_xlfn.IFERROR(AVERAGE(B221:D221),"—")</f>
        <v>346.16</v>
      </c>
      <c r="F221" s="59"/>
      <c r="G221" s="168">
        <v>4200000</v>
      </c>
      <c r="H221" t="s" s="61">
        <v>885</v>
      </c>
    </row>
    <row r="222" ht="21.25" customHeight="1">
      <c r="A222" t="s" s="8">
        <v>327</v>
      </c>
      <c r="B222" s="166">
        <v>116.2</v>
      </c>
      <c r="C222" s="166"/>
      <c r="D222" s="166">
        <v>134.65</v>
      </c>
      <c r="E222" s="166">
        <f>_xlfn.IFERROR(AVERAGE(B222:D222),"—")</f>
        <v>125.425</v>
      </c>
      <c r="F222" s="59"/>
      <c r="G222" s="168">
        <v>7500000</v>
      </c>
      <c r="H222" t="s" s="61">
        <v>885</v>
      </c>
    </row>
    <row r="223" ht="21.25" customHeight="1">
      <c r="A223" t="s" s="8">
        <v>573</v>
      </c>
      <c r="B223" t="s" s="61">
        <v>62</v>
      </c>
      <c r="C223" s="166"/>
      <c r="D223" s="166">
        <v>306.68</v>
      </c>
      <c r="E223" s="166">
        <f>_xlfn.IFERROR(AVERAGE(B223:D223),"—")</f>
        <v>306.68</v>
      </c>
      <c r="F223" s="59"/>
      <c r="G223" s="168">
        <v>1100000</v>
      </c>
      <c r="H223" t="s" s="61">
        <v>885</v>
      </c>
    </row>
    <row r="224" ht="21.25" customHeight="1">
      <c r="A224" t="s" s="8">
        <v>455</v>
      </c>
      <c r="B224" t="s" s="61">
        <v>62</v>
      </c>
      <c r="C224" s="166"/>
      <c r="D224" s="166">
        <v>244.77</v>
      </c>
      <c r="E224" s="166">
        <f>_xlfn.IFERROR(AVERAGE(B224:D224),"—")</f>
        <v>244.77</v>
      </c>
      <c r="F224" s="59"/>
      <c r="G224" s="168">
        <v>3000000</v>
      </c>
      <c r="H224" t="s" s="61">
        <v>885</v>
      </c>
    </row>
    <row r="225" ht="21.25" customHeight="1">
      <c r="A225" t="s" s="8">
        <v>699</v>
      </c>
      <c r="B225" t="s" s="61">
        <v>62</v>
      </c>
      <c r="C225" s="166"/>
      <c r="D225" s="166">
        <v>1226.6</v>
      </c>
      <c r="E225" s="166">
        <f>_xlfn.IFERROR(AVERAGE(B225:D225),"—")</f>
        <v>1226.6</v>
      </c>
      <c r="F225" s="59"/>
      <c r="G225" s="168">
        <v>863333</v>
      </c>
      <c r="H225" t="s" s="61">
        <v>885</v>
      </c>
    </row>
    <row r="226" ht="21.25" customHeight="1">
      <c r="A226" t="s" s="8">
        <v>513</v>
      </c>
      <c r="B226" t="s" s="61">
        <v>62</v>
      </c>
      <c r="C226" s="166"/>
      <c r="D226" t="s" s="61">
        <v>62</v>
      </c>
      <c r="E226" t="s" s="61">
        <f>_xlfn.IFERROR(AVERAGE(B226:D226),"—")</f>
        <v>934</v>
      </c>
      <c r="F226" s="59"/>
      <c r="G226" s="168">
        <v>3185000</v>
      </c>
      <c r="H226" t="s" s="61">
        <v>885</v>
      </c>
    </row>
    <row r="227" ht="21.25" customHeight="1">
      <c r="A227" t="s" s="8">
        <v>498</v>
      </c>
      <c r="B227" t="s" s="61">
        <v>62</v>
      </c>
      <c r="C227" s="166"/>
      <c r="D227" s="166">
        <v>291.1</v>
      </c>
      <c r="E227" s="166">
        <f>_xlfn.IFERROR(AVERAGE(B227:D227),"—")</f>
        <v>291.1</v>
      </c>
      <c r="F227" s="166"/>
      <c r="G227" s="168">
        <v>4250000</v>
      </c>
      <c r="H227" t="s" s="61">
        <v>885</v>
      </c>
    </row>
    <row r="228" ht="21.25" customHeight="1">
      <c r="A228" t="s" s="8">
        <v>527</v>
      </c>
      <c r="B228" t="s" s="61">
        <v>62</v>
      </c>
      <c r="C228" s="166"/>
      <c r="D228" t="s" s="61">
        <v>62</v>
      </c>
      <c r="E228" t="s" s="61">
        <f>_xlfn.IFERROR(AVERAGE(B228:D228),"—")</f>
        <v>934</v>
      </c>
      <c r="F228" s="166"/>
      <c r="G228" s="168">
        <v>5625000</v>
      </c>
      <c r="H228" t="s" s="61">
        <v>885</v>
      </c>
    </row>
    <row r="229" ht="21.25" customHeight="1">
      <c r="A229" t="s" s="8">
        <v>569</v>
      </c>
      <c r="B229" t="s" s="61">
        <v>62</v>
      </c>
      <c r="C229" s="166"/>
      <c r="D229" s="166">
        <v>327.5</v>
      </c>
      <c r="E229" s="166">
        <f>_xlfn.IFERROR(AVERAGE(B229:D229),"—")</f>
        <v>327.5</v>
      </c>
      <c r="F229" s="59"/>
      <c r="G229" s="168">
        <v>4000000</v>
      </c>
      <c r="H229" t="s" s="61">
        <v>885</v>
      </c>
    </row>
    <row r="230" ht="21.25" customHeight="1">
      <c r="A230" t="s" s="8">
        <v>298</v>
      </c>
      <c r="B230" s="166">
        <v>157.5</v>
      </c>
      <c r="C230" s="166"/>
      <c r="D230" s="166">
        <v>243.34</v>
      </c>
      <c r="E230" s="166">
        <f>_xlfn.IFERROR(AVERAGE(B230:D230),"—")</f>
        <v>200.42</v>
      </c>
      <c r="F230" s="59"/>
      <c r="G230" s="168">
        <v>863000</v>
      </c>
      <c r="H230" t="s" s="61">
        <v>885</v>
      </c>
    </row>
    <row r="231" ht="21.25" customHeight="1">
      <c r="A231" t="s" s="8">
        <v>474</v>
      </c>
      <c r="B231" t="s" s="61">
        <v>62</v>
      </c>
      <c r="C231" s="166"/>
      <c r="D231" s="166">
        <v>235.35</v>
      </c>
      <c r="E231" s="166">
        <f>_xlfn.IFERROR(AVERAGE(B231:D231),"—")</f>
        <v>235.35</v>
      </c>
      <c r="F231" s="59"/>
      <c r="G231" s="168"/>
      <c r="H231" t="s" s="61">
        <v>60</v>
      </c>
    </row>
    <row r="232" ht="21.25" customHeight="1">
      <c r="A232" t="s" s="8">
        <v>521</v>
      </c>
      <c r="B232" t="s" s="61">
        <v>62</v>
      </c>
      <c r="C232" s="166"/>
      <c r="D232" s="166">
        <v>456.5</v>
      </c>
      <c r="E232" s="166">
        <f>_xlfn.IFERROR(AVERAGE(B232:D232),"—")</f>
        <v>456.5</v>
      </c>
      <c r="F232" s="59"/>
      <c r="G232" s="168">
        <v>5500000</v>
      </c>
      <c r="H232" t="s" s="61">
        <v>885</v>
      </c>
    </row>
    <row r="233" ht="21.25" customHeight="1">
      <c r="A233" t="s" s="8">
        <v>303</v>
      </c>
      <c r="B233" s="166">
        <v>132.5</v>
      </c>
      <c r="C233" s="166"/>
      <c r="D233" s="166">
        <v>171.45</v>
      </c>
      <c r="E233" s="166">
        <f>_xlfn.IFERROR(AVERAGE(B233:D233),"—")</f>
        <v>151.975</v>
      </c>
      <c r="F233" s="59"/>
      <c r="G233" s="168">
        <v>2667000</v>
      </c>
      <c r="H233" t="s" s="61">
        <v>885</v>
      </c>
    </row>
    <row r="234" ht="21.25" customHeight="1">
      <c r="A234" t="s" s="8">
        <v>293</v>
      </c>
      <c r="B234" s="166">
        <v>150.4</v>
      </c>
      <c r="C234" s="166"/>
      <c r="D234" s="166">
        <v>214.17</v>
      </c>
      <c r="E234" s="166">
        <f>_xlfn.IFERROR(AVERAGE(B234:D234),"—")</f>
        <v>182.285</v>
      </c>
      <c r="F234" s="59"/>
      <c r="G234" s="168">
        <v>4950000</v>
      </c>
      <c r="H234" t="s" s="61">
        <v>885</v>
      </c>
    </row>
    <row r="235" ht="21.25" customHeight="1">
      <c r="A235" t="s" s="8">
        <v>477</v>
      </c>
      <c r="B235" t="s" s="61">
        <v>62</v>
      </c>
      <c r="C235" s="166"/>
      <c r="D235" t="s" s="61">
        <v>62</v>
      </c>
      <c r="E235" t="s" s="61">
        <f>_xlfn.IFERROR(AVERAGE(B235:D235),"—")</f>
        <v>934</v>
      </c>
      <c r="F235" s="59"/>
      <c r="G235" s="168">
        <v>5000000</v>
      </c>
      <c r="H235" t="s" s="61">
        <v>885</v>
      </c>
    </row>
    <row r="236" ht="21.25" customHeight="1">
      <c r="A236" t="s" s="8">
        <v>463</v>
      </c>
      <c r="B236" s="166">
        <v>171.4</v>
      </c>
      <c r="C236" s="166"/>
      <c r="D236" s="166">
        <v>193.25</v>
      </c>
      <c r="E236" s="166">
        <f>_xlfn.IFERROR(AVERAGE(B236:D236),"—")</f>
        <v>182.325</v>
      </c>
      <c r="F236" s="59"/>
      <c r="G236" s="168">
        <v>4300000</v>
      </c>
      <c r="H236" t="s" s="61">
        <v>885</v>
      </c>
    </row>
    <row r="237" ht="21.25" customHeight="1">
      <c r="A237" t="s" s="8">
        <v>403</v>
      </c>
      <c r="B237" s="166">
        <v>170.6</v>
      </c>
      <c r="C237" s="166"/>
      <c r="D237" s="166">
        <v>241.82</v>
      </c>
      <c r="E237" s="166">
        <f>_xlfn.IFERROR(AVERAGE(B237:D237),"—")</f>
        <v>206.21</v>
      </c>
      <c r="F237" s="59"/>
      <c r="G237" s="168">
        <v>925000</v>
      </c>
      <c r="H237" t="s" s="61">
        <v>885</v>
      </c>
    </row>
    <row r="238" ht="21.25" customHeight="1">
      <c r="A238" t="s" s="8">
        <v>516</v>
      </c>
      <c r="B238" s="166">
        <v>170.9</v>
      </c>
      <c r="C238" s="166"/>
      <c r="D238" s="166">
        <v>409.02</v>
      </c>
      <c r="E238" s="166">
        <f>_xlfn.IFERROR(AVERAGE(B238:D238),"—")</f>
        <v>289.96</v>
      </c>
      <c r="F238" s="166"/>
      <c r="G238" s="168">
        <v>2100000</v>
      </c>
      <c r="H238" t="s" s="61">
        <v>60</v>
      </c>
    </row>
    <row r="239" ht="21.25" customHeight="1">
      <c r="A239" t="s" s="8">
        <v>306</v>
      </c>
      <c r="B239" s="166">
        <v>114.2</v>
      </c>
      <c r="C239" s="166"/>
      <c r="D239" s="166">
        <v>156.89</v>
      </c>
      <c r="E239" s="166">
        <f>_xlfn.IFERROR(AVERAGE(B239:D239),"—")</f>
        <v>135.545</v>
      </c>
      <c r="F239" s="166"/>
      <c r="G239" s="168">
        <v>6500000</v>
      </c>
      <c r="H239" t="s" s="61">
        <v>60</v>
      </c>
    </row>
    <row r="240" ht="21.25" customHeight="1">
      <c r="A240" t="s" s="8">
        <v>319</v>
      </c>
      <c r="B240" s="166">
        <v>153.6</v>
      </c>
      <c r="C240" s="166"/>
      <c r="D240" s="166">
        <v>217.26</v>
      </c>
      <c r="E240" s="166">
        <f>_xlfn.IFERROR(AVERAGE(B240:D240),"—")</f>
        <v>185.43</v>
      </c>
      <c r="F240" s="166"/>
      <c r="G240" s="168">
        <v>4400000</v>
      </c>
      <c r="H240" t="s" s="61">
        <v>885</v>
      </c>
    </row>
    <row r="241" ht="21.25" customHeight="1">
      <c r="A241" t="s" s="8">
        <v>402</v>
      </c>
      <c r="B241" s="166">
        <v>167.7</v>
      </c>
      <c r="C241" s="166"/>
      <c r="D241" s="166">
        <v>162.66</v>
      </c>
      <c r="E241" s="166">
        <f>_xlfn.IFERROR(AVERAGE(B241:D241),"—")</f>
        <v>165.18</v>
      </c>
      <c r="F241" s="59"/>
      <c r="G241" s="168">
        <v>3850000</v>
      </c>
      <c r="H241" t="s" s="61">
        <v>885</v>
      </c>
    </row>
    <row r="242" ht="21.25" customHeight="1">
      <c r="A242" t="s" s="8">
        <v>590</v>
      </c>
      <c r="B242" s="166">
        <v>166.9</v>
      </c>
      <c r="C242" s="166"/>
      <c r="D242" s="166">
        <v>195.95</v>
      </c>
      <c r="E242" s="166">
        <f>_xlfn.IFERROR(AVERAGE(B242:D242),"—")</f>
        <v>181.425</v>
      </c>
      <c r="F242" s="59"/>
      <c r="G242" s="168">
        <v>775000</v>
      </c>
      <c r="H242" t="s" s="61">
        <v>885</v>
      </c>
    </row>
    <row r="243" ht="21.25" customHeight="1">
      <c r="A243" t="s" s="8">
        <v>473</v>
      </c>
      <c r="B243" t="s" s="61">
        <v>62</v>
      </c>
      <c r="C243" s="166"/>
      <c r="D243" s="166">
        <v>297.56</v>
      </c>
      <c r="E243" s="166">
        <f>_xlfn.IFERROR(AVERAGE(B243:D243),"—")</f>
        <v>297.56</v>
      </c>
      <c r="F243" s="166"/>
      <c r="G243" s="168">
        <v>4000000</v>
      </c>
      <c r="H243" t="s" s="61">
        <v>885</v>
      </c>
    </row>
    <row r="244" ht="21.25" customHeight="1">
      <c r="A244" t="s" s="8">
        <v>541</v>
      </c>
      <c r="B244" t="s" s="61">
        <v>62</v>
      </c>
      <c r="C244" s="166"/>
      <c r="D244" t="s" s="61">
        <v>62</v>
      </c>
      <c r="E244" t="s" s="61">
        <f>_xlfn.IFERROR(AVERAGE(B244:D244),"—")</f>
        <v>934</v>
      </c>
      <c r="F244" s="166"/>
      <c r="G244" s="168">
        <v>3000000</v>
      </c>
      <c r="H244" t="s" s="61">
        <v>885</v>
      </c>
    </row>
    <row r="245" ht="21.25" customHeight="1">
      <c r="A245" t="s" s="8">
        <v>560</v>
      </c>
      <c r="B245" t="s" s="61">
        <v>62</v>
      </c>
      <c r="C245" s="166"/>
      <c r="D245" s="166">
        <v>461.5</v>
      </c>
      <c r="E245" s="166">
        <f>_xlfn.IFERROR(AVERAGE(B245:D245),"—")</f>
        <v>461.5</v>
      </c>
      <c r="F245" s="59"/>
      <c r="G245" s="168">
        <v>1985000</v>
      </c>
      <c r="H245" t="s" s="61">
        <v>885</v>
      </c>
    </row>
    <row r="246" ht="21.25" customHeight="1">
      <c r="A246" t="s" s="8">
        <v>567</v>
      </c>
      <c r="B246" t="s" s="61">
        <v>62</v>
      </c>
      <c r="C246" s="166"/>
      <c r="D246" t="s" s="61">
        <v>62</v>
      </c>
      <c r="E246" t="s" s="61">
        <f>_xlfn.IFERROR(AVERAGE(B246:D246),"—")</f>
        <v>934</v>
      </c>
      <c r="F246" s="166"/>
      <c r="G246" s="168">
        <v>2900000</v>
      </c>
      <c r="H246" t="s" s="61">
        <v>885</v>
      </c>
    </row>
    <row r="247" ht="21.25" customHeight="1">
      <c r="A247" t="s" s="8">
        <v>343</v>
      </c>
      <c r="B247" t="s" s="61">
        <v>62</v>
      </c>
      <c r="C247" s="166"/>
      <c r="D247" t="s" s="61">
        <v>62</v>
      </c>
      <c r="E247" t="s" s="61">
        <f>_xlfn.IFERROR(AVERAGE(B247:D247),"—")</f>
        <v>934</v>
      </c>
      <c r="F247" s="59"/>
      <c r="G247" s="168"/>
      <c r="H247" t="s" s="61">
        <v>62</v>
      </c>
    </row>
    <row r="248" ht="21.25" customHeight="1">
      <c r="A248" t="s" s="8">
        <v>552</v>
      </c>
      <c r="B248" t="s" s="61">
        <v>62</v>
      </c>
      <c r="C248" s="166"/>
      <c r="D248" t="s" s="61">
        <v>62</v>
      </c>
      <c r="E248" t="s" s="61">
        <f>_xlfn.IFERROR(AVERAGE(B248:D248),"—")</f>
        <v>934</v>
      </c>
      <c r="F248" s="59"/>
      <c r="G248" s="168">
        <v>6000000</v>
      </c>
      <c r="H248" t="s" s="61">
        <v>885</v>
      </c>
    </row>
    <row r="249" ht="21.25" customHeight="1">
      <c r="A249" t="s" s="8">
        <v>458</v>
      </c>
      <c r="B249" s="166">
        <v>155.7</v>
      </c>
      <c r="C249" s="166"/>
      <c r="D249" t="s" s="61">
        <v>62</v>
      </c>
      <c r="E249" s="166">
        <f>_xlfn.IFERROR(AVERAGE(B249:D249),"—")</f>
        <v>155.7</v>
      </c>
      <c r="F249" s="166"/>
      <c r="G249" s="168">
        <v>4750000</v>
      </c>
      <c r="H249" t="s" s="61">
        <v>885</v>
      </c>
    </row>
    <row r="250" ht="21.25" customHeight="1">
      <c r="A250" t="s" s="8">
        <v>491</v>
      </c>
      <c r="B250" t="s" s="61">
        <v>62</v>
      </c>
      <c r="C250" s="166"/>
      <c r="D250" t="s" s="61">
        <v>62</v>
      </c>
      <c r="E250" t="s" s="61">
        <f>_xlfn.IFERROR(AVERAGE(B250:D250),"—")</f>
        <v>934</v>
      </c>
      <c r="F250" s="59"/>
      <c r="G250" s="168">
        <v>5000000</v>
      </c>
      <c r="H250" t="s" s="61">
        <v>885</v>
      </c>
    </row>
    <row r="251" ht="21.25" customHeight="1">
      <c r="A251" t="s" s="8">
        <v>519</v>
      </c>
      <c r="B251" s="166">
        <v>173.5</v>
      </c>
      <c r="C251" s="166"/>
      <c r="D251" s="166">
        <v>218.23</v>
      </c>
      <c r="E251" s="166">
        <f>_xlfn.IFERROR(AVERAGE(B251:D251),"—")</f>
        <v>195.865</v>
      </c>
      <c r="F251" s="59"/>
      <c r="G251" s="168">
        <v>5300000</v>
      </c>
      <c r="H251" t="s" s="61">
        <v>885</v>
      </c>
    </row>
    <row r="252" ht="21.25" customHeight="1">
      <c r="A252" t="s" s="8">
        <v>441</v>
      </c>
      <c r="B252" s="166">
        <v>171.7</v>
      </c>
      <c r="C252" s="166"/>
      <c r="D252" s="166">
        <v>281.03</v>
      </c>
      <c r="E252" s="166">
        <f>_xlfn.IFERROR(AVERAGE(B252:D252),"—")</f>
        <v>226.365</v>
      </c>
      <c r="F252" s="59"/>
      <c r="G252" s="168">
        <v>2500000</v>
      </c>
      <c r="H252" t="s" s="61">
        <v>885</v>
      </c>
    </row>
    <row r="253" ht="21.25" customHeight="1">
      <c r="A253" t="s" s="8">
        <v>632</v>
      </c>
      <c r="B253" t="s" s="61">
        <v>62</v>
      </c>
      <c r="C253" s="166"/>
      <c r="D253" s="166">
        <v>484.5</v>
      </c>
      <c r="E253" s="166">
        <f>_xlfn.IFERROR(AVERAGE(B253:D253),"—")</f>
        <v>484.5</v>
      </c>
      <c r="F253" s="166"/>
      <c r="G253" s="168">
        <v>894167</v>
      </c>
      <c r="H253" t="s" s="61">
        <v>885</v>
      </c>
    </row>
    <row r="254" ht="21.25" customHeight="1">
      <c r="A254" t="s" s="8">
        <v>571</v>
      </c>
      <c r="B254" t="s" s="61">
        <v>62</v>
      </c>
      <c r="C254" s="166"/>
      <c r="D254" t="s" s="61">
        <v>62</v>
      </c>
      <c r="E254" t="s" s="61">
        <f>_xlfn.IFERROR(AVERAGE(B254:D254),"—")</f>
        <v>934</v>
      </c>
      <c r="F254" s="59"/>
      <c r="G254" s="168">
        <v>2000000</v>
      </c>
      <c r="H254" t="s" s="61">
        <v>885</v>
      </c>
    </row>
    <row r="255" ht="21.25" customHeight="1">
      <c r="A255" t="s" s="8">
        <v>588</v>
      </c>
      <c r="B255" t="s" s="61">
        <v>62</v>
      </c>
      <c r="C255" s="166"/>
      <c r="D255" t="s" s="61">
        <v>62</v>
      </c>
      <c r="E255" t="s" s="61">
        <f>_xlfn.IFERROR(AVERAGE(B255:D255),"—")</f>
        <v>934</v>
      </c>
      <c r="F255" s="59"/>
      <c r="G255" s="168">
        <v>4500000</v>
      </c>
      <c r="H255" t="s" s="61">
        <v>885</v>
      </c>
    </row>
    <row r="256" ht="21.25" customHeight="1">
      <c r="A256" t="s" s="8">
        <v>316</v>
      </c>
      <c r="B256" s="166">
        <v>165.6</v>
      </c>
      <c r="C256" s="166"/>
      <c r="D256" s="166">
        <v>206.65</v>
      </c>
      <c r="E256" s="166">
        <f>_xlfn.IFERROR(AVERAGE(B256:D256),"—")</f>
        <v>186.125</v>
      </c>
      <c r="F256" s="59"/>
      <c r="G256" s="168">
        <v>916667</v>
      </c>
      <c r="H256" t="s" s="61">
        <v>60</v>
      </c>
    </row>
    <row r="257" ht="21.25" customHeight="1">
      <c r="A257" t="s" s="8">
        <v>461</v>
      </c>
      <c r="B257" t="s" s="61">
        <v>62</v>
      </c>
      <c r="C257" s="166"/>
      <c r="D257" s="166">
        <v>223.01</v>
      </c>
      <c r="E257" s="166">
        <f>_xlfn.IFERROR(AVERAGE(B257:D257),"—")</f>
        <v>223.01</v>
      </c>
      <c r="F257" s="166"/>
      <c r="G257" s="168">
        <v>3000000</v>
      </c>
      <c r="H257" t="s" s="61">
        <v>885</v>
      </c>
    </row>
    <row r="258" ht="21.25" customHeight="1">
      <c r="A258" t="s" s="8">
        <v>664</v>
      </c>
      <c r="B258" t="s" s="61">
        <v>62</v>
      </c>
      <c r="C258" s="166"/>
      <c r="D258" t="s" s="61">
        <v>62</v>
      </c>
      <c r="E258" t="s" s="61">
        <f>_xlfn.IFERROR(AVERAGE(B258:D258),"—")</f>
        <v>934</v>
      </c>
      <c r="F258" s="59"/>
      <c r="G258" s="168"/>
      <c r="H258" t="s" s="61">
        <v>885</v>
      </c>
    </row>
    <row r="259" ht="21.25" customHeight="1">
      <c r="A259" t="s" s="8">
        <v>318</v>
      </c>
      <c r="B259" s="166">
        <v>119.6</v>
      </c>
      <c r="C259" s="166"/>
      <c r="D259" s="166">
        <v>182.35</v>
      </c>
      <c r="E259" s="166">
        <f>_xlfn.IFERROR(AVERAGE(B259:D259),"—")</f>
        <v>150.975</v>
      </c>
      <c r="F259" s="59"/>
      <c r="G259" s="168"/>
      <c r="H259" t="s" s="61">
        <v>885</v>
      </c>
    </row>
    <row r="260" ht="21.25" customHeight="1">
      <c r="A260" t="s" s="8">
        <v>535</v>
      </c>
      <c r="B260" t="s" s="61">
        <v>62</v>
      </c>
      <c r="C260" s="166"/>
      <c r="D260" t="s" s="61">
        <v>62</v>
      </c>
      <c r="E260" t="s" s="61">
        <f>_xlfn.IFERROR(AVERAGE(B260:D260),"—")</f>
        <v>934</v>
      </c>
      <c r="F260" s="59"/>
      <c r="G260" s="168">
        <v>5000000</v>
      </c>
      <c r="H260" t="s" s="61">
        <v>885</v>
      </c>
    </row>
    <row r="261" ht="21.25" customHeight="1">
      <c r="A261" t="s" s="8">
        <v>467</v>
      </c>
      <c r="B261" t="s" s="61">
        <v>62</v>
      </c>
      <c r="C261" s="166"/>
      <c r="D261" s="166">
        <v>389.01</v>
      </c>
      <c r="E261" s="166">
        <f>_xlfn.IFERROR(AVERAGE(B261:D261),"—")</f>
        <v>389.01</v>
      </c>
      <c r="F261" s="59"/>
      <c r="G261" s="168">
        <v>758333</v>
      </c>
      <c r="H261" t="s" s="61">
        <v>885</v>
      </c>
    </row>
    <row r="262" ht="21.25" customHeight="1">
      <c r="A262" t="s" s="8">
        <v>512</v>
      </c>
      <c r="B262" t="s" s="61">
        <v>62</v>
      </c>
      <c r="C262" s="166"/>
      <c r="D262" t="s" s="61">
        <v>62</v>
      </c>
      <c r="E262" t="s" s="61">
        <f>_xlfn.IFERROR(AVERAGE(B262:D262),"—")</f>
        <v>934</v>
      </c>
      <c r="F262" s="59"/>
      <c r="G262" s="168">
        <v>5000000</v>
      </c>
      <c r="H262" t="s" s="61">
        <v>885</v>
      </c>
    </row>
    <row r="263" ht="21.25" customHeight="1">
      <c r="A263" t="s" s="8">
        <v>336</v>
      </c>
      <c r="B263" s="166">
        <v>165.9</v>
      </c>
      <c r="C263" s="166"/>
      <c r="D263" s="166">
        <v>215.21</v>
      </c>
      <c r="E263" s="166">
        <f>_xlfn.IFERROR(AVERAGE(B263:D263),"—")</f>
        <v>190.555</v>
      </c>
      <c r="F263" s="59"/>
      <c r="G263" s="168">
        <v>7750000</v>
      </c>
      <c r="H263" t="s" s="61">
        <v>885</v>
      </c>
    </row>
    <row r="264" ht="21.25" customHeight="1">
      <c r="A264" t="s" s="8">
        <v>488</v>
      </c>
      <c r="B264" t="s" s="61">
        <v>62</v>
      </c>
      <c r="C264" s="166"/>
      <c r="D264" t="s" s="61">
        <v>62</v>
      </c>
      <c r="E264" t="s" s="61">
        <f>_xlfn.IFERROR(AVERAGE(B264:D264),"—")</f>
        <v>934</v>
      </c>
      <c r="F264" s="166"/>
      <c r="G264" s="168">
        <v>4000000</v>
      </c>
      <c r="H264" t="s" s="61">
        <v>885</v>
      </c>
    </row>
    <row r="265" ht="21.25" customHeight="1">
      <c r="A265" t="s" s="8">
        <v>596</v>
      </c>
      <c r="B265" t="s" s="61">
        <v>62</v>
      </c>
      <c r="C265" s="166"/>
      <c r="D265" t="s" s="61">
        <v>62</v>
      </c>
      <c r="E265" t="s" s="61">
        <f>_xlfn.IFERROR(AVERAGE(B265:D265),"—")</f>
        <v>934</v>
      </c>
      <c r="F265" s="166"/>
      <c r="G265" s="168">
        <v>2100000</v>
      </c>
      <c r="H265" t="s" s="61">
        <v>885</v>
      </c>
    </row>
    <row r="266" ht="21.25" customHeight="1">
      <c r="A266" t="s" s="8">
        <v>324</v>
      </c>
      <c r="B266" s="166">
        <v>165.3</v>
      </c>
      <c r="C266" s="166"/>
      <c r="D266" s="166">
        <v>191.87</v>
      </c>
      <c r="E266" s="166">
        <f>_xlfn.IFERROR(AVERAGE(B266:D266),"—")</f>
        <v>178.585</v>
      </c>
      <c r="F266" s="59"/>
      <c r="G266" s="168">
        <v>4150000</v>
      </c>
      <c r="H266" t="s" s="61">
        <v>60</v>
      </c>
    </row>
    <row r="267" ht="21.25" customHeight="1">
      <c r="A267" t="s" s="8">
        <v>501</v>
      </c>
      <c r="B267" s="166">
        <v>164.2</v>
      </c>
      <c r="C267" s="166"/>
      <c r="D267" t="s" s="61">
        <v>62</v>
      </c>
      <c r="E267" s="166">
        <f>_xlfn.IFERROR(AVERAGE(B267:D267),"—")</f>
        <v>164.2</v>
      </c>
      <c r="F267" s="166"/>
      <c r="G267" s="168">
        <v>4277000</v>
      </c>
      <c r="H267" t="s" s="61">
        <v>885</v>
      </c>
    </row>
    <row r="268" ht="21.25" customHeight="1">
      <c r="A268" t="s" s="8">
        <v>494</v>
      </c>
      <c r="B268" t="s" s="61">
        <v>62</v>
      </c>
      <c r="C268" s="166"/>
      <c r="D268" t="s" s="61">
        <v>62</v>
      </c>
      <c r="E268" t="s" s="61">
        <f>_xlfn.IFERROR(AVERAGE(B268:D268),"—")</f>
        <v>934</v>
      </c>
      <c r="F268" s="166"/>
      <c r="G268" s="168">
        <v>2000000</v>
      </c>
      <c r="H268" t="s" s="61">
        <v>885</v>
      </c>
    </row>
    <row r="269" ht="21.25" customHeight="1">
      <c r="A269" t="s" s="8">
        <v>321</v>
      </c>
      <c r="B269" s="166">
        <v>108.2</v>
      </c>
      <c r="C269" s="166"/>
      <c r="D269" s="166">
        <v>185.88</v>
      </c>
      <c r="E269" s="166">
        <f>_xlfn.IFERROR(AVERAGE(B269:D269),"—")</f>
        <v>147.04</v>
      </c>
      <c r="F269" s="166"/>
      <c r="G269" s="168">
        <v>4500000</v>
      </c>
      <c r="H269" t="s" s="61">
        <v>62</v>
      </c>
    </row>
    <row r="270" ht="21.25" customHeight="1">
      <c r="A270" t="s" s="8">
        <v>587</v>
      </c>
      <c r="B270" t="s" s="61">
        <v>62</v>
      </c>
      <c r="C270" s="166"/>
      <c r="D270" t="s" s="61">
        <v>62</v>
      </c>
      <c r="E270" t="s" s="61">
        <f>_xlfn.IFERROR(AVERAGE(B270:D270),"—")</f>
        <v>934</v>
      </c>
      <c r="F270" s="166"/>
      <c r="G270" s="168">
        <v>5000000</v>
      </c>
      <c r="H270" t="s" s="61">
        <v>885</v>
      </c>
    </row>
    <row r="271" ht="21.25" customHeight="1">
      <c r="A271" t="s" s="8">
        <v>550</v>
      </c>
      <c r="B271" t="s" s="61">
        <v>62</v>
      </c>
      <c r="C271" s="166"/>
      <c r="D271" s="166">
        <v>448.52</v>
      </c>
      <c r="E271" s="166">
        <f>_xlfn.IFERROR(AVERAGE(B271:D271),"—")</f>
        <v>448.52</v>
      </c>
      <c r="F271" s="59"/>
      <c r="G271" s="168">
        <v>3200000</v>
      </c>
      <c r="H271" t="s" s="61">
        <v>885</v>
      </c>
    </row>
    <row r="272" ht="21.25" customHeight="1">
      <c r="A272" t="s" s="8">
        <v>425</v>
      </c>
      <c r="B272" s="166">
        <v>176.8</v>
      </c>
      <c r="C272" s="166"/>
      <c r="D272" s="166">
        <v>218.38</v>
      </c>
      <c r="E272" s="166">
        <f>_xlfn.IFERROR(AVERAGE(B272:D272),"—")</f>
        <v>197.59</v>
      </c>
      <c r="F272" s="166"/>
      <c r="G272" s="168">
        <v>3650000</v>
      </c>
      <c r="H272" t="s" s="61">
        <v>885</v>
      </c>
    </row>
    <row r="273" ht="21.25" customHeight="1">
      <c r="A273" t="s" s="8">
        <v>554</v>
      </c>
      <c r="B273" s="166">
        <v>164.6</v>
      </c>
      <c r="C273" s="166"/>
      <c r="D273" s="166">
        <v>267.12</v>
      </c>
      <c r="E273" s="166">
        <f>_xlfn.IFERROR(AVERAGE(B273:D273),"—")</f>
        <v>215.86</v>
      </c>
      <c r="F273" s="59"/>
      <c r="G273" s="168">
        <v>2665000</v>
      </c>
      <c r="H273" t="s" s="61">
        <v>885</v>
      </c>
    </row>
    <row r="274" ht="21.25" customHeight="1">
      <c r="A274" t="s" s="8">
        <v>376</v>
      </c>
      <c r="B274" t="s" s="61">
        <v>62</v>
      </c>
      <c r="C274" s="166"/>
      <c r="D274" s="166">
        <v>217.91</v>
      </c>
      <c r="E274" s="166">
        <f>_xlfn.IFERROR(AVERAGE(B274:D274),"—")</f>
        <v>217.91</v>
      </c>
      <c r="F274" s="59"/>
      <c r="G274" s="168">
        <v>1600000</v>
      </c>
      <c r="H274" t="s" s="61">
        <v>60</v>
      </c>
    </row>
    <row r="275" ht="21.25" customHeight="1">
      <c r="A275" t="s" s="8">
        <v>472</v>
      </c>
      <c r="B275" s="166">
        <v>177.3</v>
      </c>
      <c r="C275" s="166"/>
      <c r="D275" s="166">
        <v>403.4</v>
      </c>
      <c r="E275" s="166">
        <f>_xlfn.IFERROR(AVERAGE(B275:D275),"—")</f>
        <v>290.35</v>
      </c>
      <c r="F275" s="59"/>
      <c r="G275" s="168">
        <v>5500000</v>
      </c>
      <c r="H275" t="s" s="61">
        <v>885</v>
      </c>
    </row>
    <row r="276" ht="21.25" customHeight="1">
      <c r="A276" t="s" s="8">
        <v>396</v>
      </c>
      <c r="B276" t="s" s="61">
        <v>62</v>
      </c>
      <c r="C276" s="166"/>
      <c r="D276" s="166">
        <v>227.49</v>
      </c>
      <c r="E276" s="166">
        <f>_xlfn.IFERROR(AVERAGE(B276:D276),"—")</f>
        <v>227.49</v>
      </c>
      <c r="F276" s="166"/>
      <c r="G276" s="168"/>
      <c r="H276" t="s" s="61">
        <v>885</v>
      </c>
    </row>
    <row r="277" ht="21.25" customHeight="1">
      <c r="A277" t="s" s="8">
        <v>584</v>
      </c>
      <c r="B277" t="s" s="61">
        <v>62</v>
      </c>
      <c r="C277" s="166"/>
      <c r="D277" s="166">
        <v>223.67</v>
      </c>
      <c r="E277" s="166">
        <f>_xlfn.IFERROR(AVERAGE(B277:D277),"—")</f>
        <v>223.67</v>
      </c>
      <c r="F277" s="59"/>
      <c r="G277" s="168">
        <v>3100000</v>
      </c>
      <c r="H277" t="s" s="61">
        <v>885</v>
      </c>
    </row>
    <row r="278" ht="21.25" customHeight="1">
      <c r="A278" t="s" s="8">
        <v>561</v>
      </c>
      <c r="B278" t="s" s="61">
        <v>62</v>
      </c>
      <c r="C278" s="166"/>
      <c r="D278" t="s" s="61">
        <v>62</v>
      </c>
      <c r="E278" t="s" s="61">
        <f>_xlfn.IFERROR(AVERAGE(B278:D278),"—")</f>
        <v>934</v>
      </c>
      <c r="F278" s="59"/>
      <c r="G278" s="168">
        <v>3000000</v>
      </c>
      <c r="H278" t="s" s="61">
        <v>885</v>
      </c>
    </row>
    <row r="279" ht="21.25" customHeight="1">
      <c r="A279" t="s" s="8">
        <v>314</v>
      </c>
      <c r="B279" s="166">
        <v>109.3</v>
      </c>
      <c r="C279" s="166"/>
      <c r="D279" s="166">
        <v>102.13</v>
      </c>
      <c r="E279" s="166">
        <f>_xlfn.IFERROR(AVERAGE(B279:D279),"—")</f>
        <v>105.715</v>
      </c>
      <c r="F279" s="59"/>
      <c r="G279" s="168">
        <v>9250000</v>
      </c>
      <c r="H279" t="s" s="61">
        <v>885</v>
      </c>
    </row>
    <row r="280" ht="21.25" customHeight="1">
      <c r="A280" t="s" s="8">
        <v>660</v>
      </c>
      <c r="B280" s="166">
        <v>172.4</v>
      </c>
      <c r="C280" s="166"/>
      <c r="D280" s="166">
        <v>243.07</v>
      </c>
      <c r="E280" s="166">
        <f>_xlfn.IFERROR(AVERAGE(B280:D280),"—")</f>
        <v>207.735</v>
      </c>
      <c r="F280" s="59"/>
      <c r="G280" s="168">
        <v>825000</v>
      </c>
      <c r="H280" t="s" s="61">
        <v>885</v>
      </c>
    </row>
    <row r="281" ht="21.25" customHeight="1">
      <c r="A281" t="s" s="8">
        <v>514</v>
      </c>
      <c r="B281" t="s" s="61">
        <v>62</v>
      </c>
      <c r="C281" s="166"/>
      <c r="D281" t="s" s="61">
        <v>62</v>
      </c>
      <c r="E281" t="s" s="61">
        <f>_xlfn.IFERROR(AVERAGE(B281:D281),"—")</f>
        <v>934</v>
      </c>
      <c r="F281" s="59"/>
      <c r="G281" s="168">
        <v>1000000</v>
      </c>
      <c r="H281" t="s" s="61">
        <v>885</v>
      </c>
    </row>
    <row r="282" ht="21.25" customHeight="1">
      <c r="A282" t="s" s="8">
        <v>626</v>
      </c>
      <c r="B282" t="s" s="61">
        <v>62</v>
      </c>
      <c r="C282" s="166"/>
      <c r="D282" t="s" s="61">
        <v>62</v>
      </c>
      <c r="E282" t="s" s="61">
        <f>_xlfn.IFERROR(AVERAGE(B282:D282),"—")</f>
        <v>934</v>
      </c>
      <c r="F282" s="59"/>
      <c r="G282" s="168">
        <v>950000</v>
      </c>
      <c r="H282" t="s" s="61">
        <v>885</v>
      </c>
    </row>
    <row r="283" ht="21.25" customHeight="1">
      <c r="A283" t="s" s="8">
        <v>526</v>
      </c>
      <c r="B283" s="166">
        <v>170.8</v>
      </c>
      <c r="C283" s="166"/>
      <c r="D283" s="166">
        <v>239.91</v>
      </c>
      <c r="E283" s="166">
        <f>_xlfn.IFERROR(AVERAGE(B283:D283),"—")</f>
        <v>205.355</v>
      </c>
      <c r="F283" s="59"/>
      <c r="G283" s="168">
        <v>1450000</v>
      </c>
      <c r="H283" t="s" s="61">
        <v>885</v>
      </c>
    </row>
    <row r="284" ht="21.25" customHeight="1">
      <c r="A284" t="s" s="8">
        <v>330</v>
      </c>
      <c r="B284" s="166">
        <v>149.3</v>
      </c>
      <c r="C284" s="166"/>
      <c r="D284" s="166">
        <v>162.29</v>
      </c>
      <c r="E284" s="166">
        <f>_xlfn.IFERROR(AVERAGE(B284:D284),"—")</f>
        <v>155.795</v>
      </c>
      <c r="F284" s="166"/>
      <c r="G284" s="168">
        <v>6250000</v>
      </c>
      <c r="H284" t="s" s="61">
        <v>885</v>
      </c>
    </row>
    <row r="285" ht="21.25" customHeight="1">
      <c r="A285" t="s" s="8">
        <v>634</v>
      </c>
      <c r="B285" t="s" s="61">
        <v>62</v>
      </c>
      <c r="C285" s="166"/>
      <c r="D285" t="s" s="61">
        <v>62</v>
      </c>
      <c r="E285" t="s" s="61">
        <f>_xlfn.IFERROR(AVERAGE(B285:D285),"—")</f>
        <v>934</v>
      </c>
      <c r="F285" s="166"/>
      <c r="G285" s="168">
        <v>4450000</v>
      </c>
      <c r="H285" t="s" s="61">
        <v>885</v>
      </c>
    </row>
    <row r="286" ht="21.25" customHeight="1">
      <c r="A286" t="s" s="8">
        <v>604</v>
      </c>
      <c r="B286" t="s" s="61">
        <v>62</v>
      </c>
      <c r="C286" s="166"/>
      <c r="D286" t="s" s="61">
        <v>62</v>
      </c>
      <c r="E286" t="s" s="61">
        <f>_xlfn.IFERROR(AVERAGE(B286:D286),"—")</f>
        <v>934</v>
      </c>
      <c r="F286" s="59"/>
      <c r="G286" s="168">
        <v>4500000</v>
      </c>
      <c r="H286" t="s" s="61">
        <v>885</v>
      </c>
    </row>
    <row r="287" ht="21.25" customHeight="1">
      <c r="A287" t="s" s="8">
        <v>630</v>
      </c>
      <c r="B287" t="s" s="61">
        <v>62</v>
      </c>
      <c r="C287" s="166"/>
      <c r="D287" s="166">
        <v>501.5</v>
      </c>
      <c r="E287" s="166">
        <f>_xlfn.IFERROR(AVERAGE(B287:D287),"—")</f>
        <v>501.5</v>
      </c>
      <c r="F287" s="59"/>
      <c r="G287" s="168">
        <v>825000</v>
      </c>
      <c r="H287" t="s" s="61">
        <v>885</v>
      </c>
    </row>
    <row r="288" ht="21.25" customHeight="1">
      <c r="A288" t="s" s="8">
        <v>622</v>
      </c>
      <c r="B288" t="s" s="61">
        <v>62</v>
      </c>
      <c r="C288" s="166"/>
      <c r="D288" s="166">
        <v>407.9</v>
      </c>
      <c r="E288" s="166">
        <f>_xlfn.IFERROR(AVERAGE(B288:D288),"—")</f>
        <v>407.9</v>
      </c>
      <c r="F288" s="59"/>
      <c r="G288" s="168"/>
      <c r="H288" t="s" s="61">
        <v>885</v>
      </c>
    </row>
    <row r="289" ht="21.25" customHeight="1">
      <c r="A289" t="s" s="8">
        <v>616</v>
      </c>
      <c r="B289" t="s" s="61">
        <v>62</v>
      </c>
      <c r="C289" s="166"/>
      <c r="D289" t="s" s="61">
        <v>62</v>
      </c>
      <c r="E289" t="s" s="61">
        <f>_xlfn.IFERROR(AVERAGE(B289:D289),"—")</f>
        <v>934</v>
      </c>
      <c r="F289" s="59"/>
      <c r="G289" s="168">
        <v>4725000</v>
      </c>
      <c r="H289" t="s" s="61">
        <v>885</v>
      </c>
    </row>
    <row r="290" ht="21.25" customHeight="1">
      <c r="A290" t="s" s="8">
        <v>557</v>
      </c>
      <c r="B290" s="166">
        <v>159.6</v>
      </c>
      <c r="C290" s="166"/>
      <c r="D290" t="s" s="61">
        <v>62</v>
      </c>
      <c r="E290" s="166">
        <f>_xlfn.IFERROR(AVERAGE(B290:D290),"—")</f>
        <v>159.6</v>
      </c>
      <c r="F290" s="59"/>
      <c r="G290" s="168">
        <v>3150000</v>
      </c>
      <c r="H290" t="s" s="61">
        <v>885</v>
      </c>
    </row>
    <row r="291" ht="21.25" customHeight="1">
      <c r="A291" t="s" s="8">
        <v>581</v>
      </c>
      <c r="B291" t="s" s="61">
        <v>62</v>
      </c>
      <c r="C291" s="166"/>
      <c r="D291" t="s" s="61">
        <v>62</v>
      </c>
      <c r="E291" t="s" s="61">
        <f>_xlfn.IFERROR(AVERAGE(B291:D291),"—")</f>
        <v>934</v>
      </c>
      <c r="F291" s="59"/>
      <c r="G291" s="168">
        <v>855833</v>
      </c>
      <c r="H291" t="s" s="61">
        <v>885</v>
      </c>
    </row>
    <row r="292" ht="21.25" customHeight="1">
      <c r="A292" t="s" s="8">
        <v>579</v>
      </c>
      <c r="B292" t="s" s="61">
        <v>62</v>
      </c>
      <c r="C292" s="166"/>
      <c r="D292" s="166">
        <v>414.95</v>
      </c>
      <c r="E292" s="166">
        <f>_xlfn.IFERROR(AVERAGE(B292:D292),"—")</f>
        <v>414.95</v>
      </c>
      <c r="F292" s="59"/>
      <c r="G292" s="168">
        <v>2000000</v>
      </c>
      <c r="H292" t="s" s="61">
        <v>885</v>
      </c>
    </row>
    <row r="293" ht="21.25" customHeight="1">
      <c r="A293" t="s" s="8">
        <v>609</v>
      </c>
      <c r="B293" t="s" s="61">
        <v>62</v>
      </c>
      <c r="C293" s="166"/>
      <c r="D293" t="s" s="61">
        <v>62</v>
      </c>
      <c r="E293" t="s" s="61">
        <f>_xlfn.IFERROR(AVERAGE(B293:D293),"—")</f>
        <v>934</v>
      </c>
      <c r="F293" s="59"/>
      <c r="G293" s="168">
        <v>2625000</v>
      </c>
      <c r="H293" t="s" s="61">
        <v>885</v>
      </c>
    </row>
    <row r="294" ht="21.25" customHeight="1">
      <c r="A294" t="s" s="8">
        <v>349</v>
      </c>
      <c r="B294" s="166">
        <v>163.8</v>
      </c>
      <c r="C294" s="166"/>
      <c r="D294" s="166">
        <v>361.21</v>
      </c>
      <c r="E294" s="166">
        <f>_xlfn.IFERROR(AVERAGE(B294:D294),"—")</f>
        <v>262.505</v>
      </c>
      <c r="F294" s="59"/>
      <c r="G294" s="168">
        <v>6250000</v>
      </c>
      <c r="H294" t="s" s="61">
        <v>885</v>
      </c>
    </row>
    <row r="295" ht="21.25" customHeight="1">
      <c r="A295" t="s" s="8">
        <v>539</v>
      </c>
      <c r="B295" t="s" s="61">
        <v>62</v>
      </c>
      <c r="C295" s="166"/>
      <c r="D295" t="s" s="61">
        <v>62</v>
      </c>
      <c r="E295" t="s" s="61">
        <f>_xlfn.IFERROR(AVERAGE(B295:D295),"—")</f>
        <v>934</v>
      </c>
      <c r="F295" s="59"/>
      <c r="G295" s="168">
        <v>3150000</v>
      </c>
      <c r="H295" t="s" s="61">
        <v>885</v>
      </c>
    </row>
    <row r="296" ht="21.25" customHeight="1">
      <c r="A296" t="s" s="8">
        <v>337</v>
      </c>
      <c r="B296" s="166">
        <v>166.7</v>
      </c>
      <c r="C296" s="166"/>
      <c r="D296" s="166">
        <v>213.38</v>
      </c>
      <c r="E296" s="166">
        <f>_xlfn.IFERROR(AVERAGE(B296:D296),"—")</f>
        <v>190.04</v>
      </c>
      <c r="F296" s="166"/>
      <c r="G296" s="168">
        <v>5875000</v>
      </c>
      <c r="H296" t="s" s="61">
        <v>885</v>
      </c>
    </row>
    <row r="297" ht="21.25" customHeight="1">
      <c r="A297" t="s" s="8">
        <v>357</v>
      </c>
      <c r="B297" t="s" s="61">
        <v>62</v>
      </c>
      <c r="C297" s="166"/>
      <c r="D297" s="166">
        <v>400.07</v>
      </c>
      <c r="E297" s="166">
        <f>_xlfn.IFERROR(AVERAGE(B297:D297),"—")</f>
        <v>400.07</v>
      </c>
      <c r="F297" s="59"/>
      <c r="G297" s="168">
        <v>886667</v>
      </c>
      <c r="H297" t="s" s="61">
        <v>885</v>
      </c>
    </row>
    <row r="298" ht="21.25" customHeight="1">
      <c r="A298" t="s" s="8">
        <v>367</v>
      </c>
      <c r="B298" s="166">
        <v>177.4</v>
      </c>
      <c r="C298" s="166"/>
      <c r="D298" s="166">
        <v>321.65</v>
      </c>
      <c r="E298" s="166">
        <f>_xlfn.IFERROR(AVERAGE(B298:D298),"—")</f>
        <v>249.525</v>
      </c>
      <c r="F298" s="59"/>
      <c r="G298" s="168">
        <v>5000000</v>
      </c>
      <c r="H298" t="s" s="61">
        <v>885</v>
      </c>
    </row>
    <row r="299" ht="21.25" customHeight="1">
      <c r="A299" t="s" s="8">
        <v>612</v>
      </c>
      <c r="B299" t="s" s="61">
        <v>62</v>
      </c>
      <c r="C299" s="166"/>
      <c r="D299" t="s" s="61">
        <v>62</v>
      </c>
      <c r="E299" t="s" s="61">
        <f>_xlfn.IFERROR(AVERAGE(B299:D299),"—")</f>
        <v>934</v>
      </c>
      <c r="F299" s="59"/>
      <c r="G299" s="168">
        <v>5700000</v>
      </c>
      <c r="H299" t="s" s="61">
        <v>885</v>
      </c>
    </row>
    <row r="300" ht="21.25" customHeight="1">
      <c r="A300" t="s" s="8">
        <v>635</v>
      </c>
      <c r="B300" t="s" s="61">
        <v>62</v>
      </c>
      <c r="C300" s="166"/>
      <c r="D300" t="s" s="61">
        <v>62</v>
      </c>
      <c r="E300" t="s" s="61">
        <f>_xlfn.IFERROR(AVERAGE(B300:D300),"—")</f>
        <v>934</v>
      </c>
      <c r="F300" s="166"/>
      <c r="G300" s="168">
        <v>1460000</v>
      </c>
      <c r="H300" t="s" s="61">
        <v>885</v>
      </c>
    </row>
    <row r="301" ht="21.25" customHeight="1">
      <c r="A301" t="s" s="8">
        <v>355</v>
      </c>
      <c r="B301" t="s" s="61">
        <v>62</v>
      </c>
      <c r="C301" s="166"/>
      <c r="D301" t="s" s="61">
        <v>62</v>
      </c>
      <c r="E301" t="s" s="61">
        <f>_xlfn.IFERROR(AVERAGE(B301:D301),"—")</f>
        <v>934</v>
      </c>
      <c r="F301" s="166"/>
      <c r="G301" s="168">
        <v>863000</v>
      </c>
      <c r="H301" t="s" s="61">
        <v>885</v>
      </c>
    </row>
    <row r="302" ht="21.25" customHeight="1">
      <c r="A302" t="s" s="8">
        <v>689</v>
      </c>
      <c r="B302" t="s" s="61">
        <v>62</v>
      </c>
      <c r="C302" s="166"/>
      <c r="D302" t="s" s="61">
        <v>62</v>
      </c>
      <c r="E302" t="s" s="61">
        <f>_xlfn.IFERROR(AVERAGE(B302:D302),"—")</f>
        <v>934</v>
      </c>
      <c r="F302" s="59"/>
      <c r="G302" s="168">
        <v>3730000</v>
      </c>
      <c r="H302" t="s" s="61">
        <v>885</v>
      </c>
    </row>
    <row r="303" ht="21.25" customHeight="1">
      <c r="A303" t="s" s="8">
        <v>700</v>
      </c>
      <c r="B303" t="s" s="61">
        <v>62</v>
      </c>
      <c r="C303" s="166"/>
      <c r="D303" t="s" s="61">
        <v>62</v>
      </c>
      <c r="E303" t="s" s="61">
        <f>_xlfn.IFERROR(AVERAGE(B303:D303),"—")</f>
        <v>934</v>
      </c>
      <c r="F303" s="166"/>
      <c r="G303" s="168">
        <v>4000000</v>
      </c>
      <c r="H303" t="s" s="61">
        <v>885</v>
      </c>
    </row>
    <row r="304" ht="21.25" customHeight="1">
      <c r="A304" t="s" s="8">
        <v>574</v>
      </c>
      <c r="B304" t="s" s="61">
        <v>62</v>
      </c>
      <c r="C304" s="166"/>
      <c r="D304" t="s" s="61">
        <v>62</v>
      </c>
      <c r="E304" t="s" s="61">
        <f>_xlfn.IFERROR(AVERAGE(B304:D304),"—")</f>
        <v>934</v>
      </c>
      <c r="F304" s="59"/>
      <c r="G304" s="168">
        <v>762500</v>
      </c>
      <c r="H304" t="s" s="61">
        <v>885</v>
      </c>
    </row>
    <row r="305" ht="21.25" customHeight="1">
      <c r="A305" t="s" s="8">
        <v>628</v>
      </c>
      <c r="B305" t="s" s="61">
        <v>62</v>
      </c>
      <c r="C305" s="166"/>
      <c r="D305" s="166">
        <v>455.5</v>
      </c>
      <c r="E305" s="166">
        <f>_xlfn.IFERROR(AVERAGE(B305:D305),"—")</f>
        <v>455.5</v>
      </c>
      <c r="F305" s="59"/>
      <c r="G305" s="168">
        <v>2100000</v>
      </c>
      <c r="H305" t="s" s="61">
        <v>885</v>
      </c>
    </row>
    <row r="306" ht="21.25" customHeight="1">
      <c r="A306" t="s" s="8">
        <v>487</v>
      </c>
      <c r="B306" t="s" s="61">
        <v>62</v>
      </c>
      <c r="C306" s="166"/>
      <c r="D306" s="166">
        <v>469.7</v>
      </c>
      <c r="E306" s="166">
        <f>_xlfn.IFERROR(AVERAGE(B306:D306),"—")</f>
        <v>469.7</v>
      </c>
      <c r="F306" s="166"/>
      <c r="G306" s="168">
        <v>4900000</v>
      </c>
      <c r="H306" t="s" s="61">
        <v>885</v>
      </c>
    </row>
    <row r="307" ht="21.25" customHeight="1">
      <c r="A307" t="s" s="8">
        <v>739</v>
      </c>
      <c r="B307" t="s" s="61">
        <v>62</v>
      </c>
      <c r="C307" s="166"/>
      <c r="D307" t="s" s="61">
        <v>62</v>
      </c>
      <c r="E307" t="s" s="61">
        <f>_xlfn.IFERROR(AVERAGE(B307:D307),"—")</f>
        <v>934</v>
      </c>
      <c r="F307" s="166"/>
      <c r="G307" s="168">
        <v>765200</v>
      </c>
      <c r="H307" t="s" s="61">
        <v>885</v>
      </c>
    </row>
    <row r="308" ht="21.25" customHeight="1">
      <c r="A308" t="s" s="8">
        <v>568</v>
      </c>
      <c r="B308" t="s" s="61">
        <v>62</v>
      </c>
      <c r="C308" s="166"/>
      <c r="D308" t="s" s="61">
        <v>62</v>
      </c>
      <c r="E308" t="s" s="61">
        <f>_xlfn.IFERROR(AVERAGE(B308:D308),"—")</f>
        <v>934</v>
      </c>
      <c r="F308" s="59"/>
      <c r="G308" s="168">
        <v>4500000</v>
      </c>
      <c r="H308" t="s" s="61">
        <v>885</v>
      </c>
    </row>
    <row r="309" ht="21.25" customHeight="1">
      <c r="A309" t="s" s="8">
        <v>401</v>
      </c>
      <c r="B309" t="s" s="61">
        <v>62</v>
      </c>
      <c r="C309" s="166"/>
      <c r="D309" t="s" s="61">
        <v>62</v>
      </c>
      <c r="E309" t="s" s="61">
        <f>_xlfn.IFERROR(AVERAGE(B309:D309),"—")</f>
        <v>934</v>
      </c>
      <c r="F309" s="166"/>
      <c r="G309" s="168">
        <v>863333</v>
      </c>
      <c r="H309" t="s" s="61">
        <v>885</v>
      </c>
    </row>
    <row r="310" ht="21.25" customHeight="1">
      <c r="A310" t="s" s="8">
        <v>384</v>
      </c>
      <c r="B310" s="166">
        <v>146.3</v>
      </c>
      <c r="C310" s="166"/>
      <c r="D310" s="166">
        <v>178.36</v>
      </c>
      <c r="E310" s="166">
        <f>_xlfn.IFERROR(AVERAGE(B310:D310),"—")</f>
        <v>162.33</v>
      </c>
      <c r="F310" s="166"/>
      <c r="G310" s="168">
        <v>3872000</v>
      </c>
      <c r="H310" t="s" s="61">
        <v>885</v>
      </c>
    </row>
    <row r="311" ht="21.25" customHeight="1">
      <c r="A311" t="s" s="8">
        <v>611</v>
      </c>
      <c r="B311" t="s" s="61">
        <v>62</v>
      </c>
      <c r="C311" s="166"/>
      <c r="D311" s="166">
        <v>447.5</v>
      </c>
      <c r="E311" s="166">
        <f>_xlfn.IFERROR(AVERAGE(B311:D311),"—")</f>
        <v>447.5</v>
      </c>
      <c r="F311" s="166"/>
      <c r="G311" s="168">
        <v>2250000</v>
      </c>
      <c r="H311" t="s" s="61">
        <v>885</v>
      </c>
    </row>
    <row r="312" ht="21.25" customHeight="1">
      <c r="A312" t="s" s="8">
        <v>429</v>
      </c>
      <c r="B312" s="166">
        <v>171</v>
      </c>
      <c r="C312" s="166"/>
      <c r="D312" s="166">
        <v>211.84</v>
      </c>
      <c r="E312" s="166">
        <f>_xlfn.IFERROR(AVERAGE(B312:D312),"—")</f>
        <v>191.42</v>
      </c>
      <c r="F312" s="59"/>
      <c r="G312" s="168">
        <v>1400000</v>
      </c>
      <c r="H312" t="s" s="61">
        <v>885</v>
      </c>
    </row>
    <row r="313" ht="21.25" customHeight="1">
      <c r="A313" t="s" s="8">
        <v>618</v>
      </c>
      <c r="B313" t="s" s="61">
        <v>62</v>
      </c>
      <c r="C313" s="166"/>
      <c r="D313" t="s" s="61">
        <v>62</v>
      </c>
      <c r="E313" t="s" s="61">
        <f>_xlfn.IFERROR(AVERAGE(B313:D313),"—")</f>
        <v>934</v>
      </c>
      <c r="F313" s="59"/>
      <c r="G313" s="168">
        <v>3500000</v>
      </c>
      <c r="H313" t="s" s="61">
        <v>885</v>
      </c>
    </row>
    <row r="314" ht="21.25" customHeight="1">
      <c r="A314" t="s" s="8">
        <v>543</v>
      </c>
      <c r="B314" s="166">
        <v>157.5</v>
      </c>
      <c r="C314" s="166"/>
      <c r="D314" s="166">
        <v>227.5</v>
      </c>
      <c r="E314" s="166">
        <f>_xlfn.IFERROR(AVERAGE(B314:D314),"—")</f>
        <v>192.5</v>
      </c>
      <c r="F314" s="59"/>
      <c r="G314" s="168"/>
      <c r="H314" t="s" s="61">
        <v>56</v>
      </c>
    </row>
    <row r="315" ht="21.25" customHeight="1">
      <c r="A315" t="s" s="8">
        <v>386</v>
      </c>
      <c r="B315" t="s" s="61">
        <v>62</v>
      </c>
      <c r="C315" s="166"/>
      <c r="D315" s="166">
        <v>228.68</v>
      </c>
      <c r="E315" s="166">
        <f>_xlfn.IFERROR(AVERAGE(B315:D315),"—")</f>
        <v>228.68</v>
      </c>
      <c r="F315" s="59"/>
      <c r="G315" s="168">
        <v>1000000</v>
      </c>
      <c r="H315" t="s" s="61">
        <v>885</v>
      </c>
    </row>
    <row r="316" ht="21.25" customHeight="1">
      <c r="A316" t="s" s="8">
        <v>358</v>
      </c>
      <c r="B316" s="166">
        <v>143.1</v>
      </c>
      <c r="C316" s="166"/>
      <c r="D316" s="166">
        <v>161.16</v>
      </c>
      <c r="E316" s="166">
        <f>_xlfn.IFERROR(AVERAGE(B316:D316),"—")</f>
        <v>152.13</v>
      </c>
      <c r="F316" s="59"/>
      <c r="G316" s="168">
        <v>4125000</v>
      </c>
      <c r="H316" t="s" s="61">
        <v>885</v>
      </c>
    </row>
    <row r="317" ht="21.25" customHeight="1">
      <c r="A317" t="s" s="8">
        <v>323</v>
      </c>
      <c r="B317" s="166">
        <v>166.5</v>
      </c>
      <c r="C317" s="166"/>
      <c r="D317" s="166">
        <v>192.13</v>
      </c>
      <c r="E317" s="166">
        <f>_xlfn.IFERROR(AVERAGE(B317:D317),"—")</f>
        <v>179.315</v>
      </c>
      <c r="F317" s="166"/>
      <c r="G317" s="168">
        <v>925000</v>
      </c>
      <c r="H317" t="s" s="61">
        <v>885</v>
      </c>
    </row>
    <row r="318" ht="21.25" customHeight="1">
      <c r="A318" t="s" s="8">
        <v>340</v>
      </c>
      <c r="B318" s="166">
        <v>165.7</v>
      </c>
      <c r="C318" s="166"/>
      <c r="D318" s="166">
        <v>192.35</v>
      </c>
      <c r="E318" s="166">
        <f>_xlfn.IFERROR(AVERAGE(B318:D318),"—")</f>
        <v>179.025</v>
      </c>
      <c r="F318" s="166"/>
      <c r="G318" s="168">
        <v>7575000</v>
      </c>
      <c r="H318" t="s" s="61">
        <v>885</v>
      </c>
    </row>
    <row r="319" ht="21.25" customHeight="1">
      <c r="A319" t="s" s="8">
        <v>360</v>
      </c>
      <c r="B319" s="166">
        <v>170.8</v>
      </c>
      <c r="C319" s="166"/>
      <c r="D319" s="166">
        <v>208.82</v>
      </c>
      <c r="E319" s="166">
        <f>_xlfn.IFERROR(AVERAGE(B319:D319),"—")</f>
        <v>189.81</v>
      </c>
      <c r="F319" s="166"/>
      <c r="G319" s="168">
        <v>6250000</v>
      </c>
      <c r="H319" t="s" s="61">
        <v>885</v>
      </c>
    </row>
    <row r="320" ht="21.25" customHeight="1">
      <c r="A320" t="s" s="8">
        <v>665</v>
      </c>
      <c r="B320" t="s" s="61">
        <v>62</v>
      </c>
      <c r="C320" s="166"/>
      <c r="D320" t="s" s="61">
        <v>62</v>
      </c>
      <c r="E320" t="s" s="61">
        <f>_xlfn.IFERROR(AVERAGE(B320:D320),"—")</f>
        <v>934</v>
      </c>
      <c r="F320" s="59"/>
      <c r="G320" s="168"/>
      <c r="H320" t="s" s="61">
        <v>885</v>
      </c>
    </row>
    <row r="321" ht="21.25" customHeight="1">
      <c r="A321" t="s" s="8">
        <v>607</v>
      </c>
      <c r="B321" t="s" s="61">
        <v>62</v>
      </c>
      <c r="C321" s="166"/>
      <c r="D321" t="s" s="61">
        <v>62</v>
      </c>
      <c r="E321" t="s" s="61">
        <f>_xlfn.IFERROR(AVERAGE(B321:D321),"—")</f>
        <v>934</v>
      </c>
      <c r="F321" s="59"/>
      <c r="G321" s="168">
        <v>2000000</v>
      </c>
      <c r="H321" t="s" s="61">
        <v>885</v>
      </c>
    </row>
    <row r="322" ht="21.25" customHeight="1">
      <c r="A322" t="s" s="8">
        <v>361</v>
      </c>
      <c r="B322" t="s" s="61">
        <v>62</v>
      </c>
      <c r="C322" s="166"/>
      <c r="D322" s="166">
        <v>220.36</v>
      </c>
      <c r="E322" s="166">
        <f>_xlfn.IFERROR(AVERAGE(B322:D322),"—")</f>
        <v>220.36</v>
      </c>
      <c r="F322" s="166"/>
      <c r="G322" s="168"/>
      <c r="H322" t="s" s="61">
        <v>60</v>
      </c>
    </row>
    <row r="323" ht="21.25" customHeight="1">
      <c r="A323" t="s" s="8">
        <v>347</v>
      </c>
      <c r="B323" s="166">
        <v>167.8</v>
      </c>
      <c r="C323" s="166"/>
      <c r="D323" s="166">
        <v>175.92</v>
      </c>
      <c r="E323" s="166">
        <f>_xlfn.IFERROR(AVERAGE(B323:D323),"—")</f>
        <v>171.86</v>
      </c>
      <c r="F323" s="59"/>
      <c r="G323" s="168">
        <v>6000000</v>
      </c>
      <c r="H323" t="s" s="61">
        <v>60</v>
      </c>
    </row>
    <row r="324" ht="21.25" customHeight="1">
      <c r="A324" t="s" s="8">
        <v>387</v>
      </c>
      <c r="B324" t="s" s="61">
        <v>62</v>
      </c>
      <c r="C324" s="166"/>
      <c r="D324" s="166">
        <v>480.5</v>
      </c>
      <c r="E324" s="166">
        <f>_xlfn.IFERROR(AVERAGE(B324:D324),"—")</f>
        <v>480.5</v>
      </c>
      <c r="F324" s="59"/>
      <c r="G324" s="168">
        <v>3000000</v>
      </c>
      <c r="H324" t="s" s="61">
        <v>885</v>
      </c>
    </row>
    <row r="325" ht="21.25" customHeight="1">
      <c r="A325" t="s" s="8">
        <v>694</v>
      </c>
      <c r="B325" t="s" s="61">
        <v>62</v>
      </c>
      <c r="C325" s="166"/>
      <c r="D325" t="s" s="61">
        <v>62</v>
      </c>
      <c r="E325" t="s" s="61">
        <f>_xlfn.IFERROR(AVERAGE(B325:D325),"—")</f>
        <v>934</v>
      </c>
      <c r="F325" s="59"/>
      <c r="G325" s="168"/>
      <c r="H325" t="s" s="61">
        <v>885</v>
      </c>
    </row>
    <row r="326" ht="21.25" customHeight="1">
      <c r="A326" t="s" s="8">
        <v>399</v>
      </c>
      <c r="B326" t="s" s="61">
        <v>62</v>
      </c>
      <c r="C326" s="166"/>
      <c r="D326" t="s" s="61">
        <v>62</v>
      </c>
      <c r="E326" t="s" s="61">
        <f>_xlfn.IFERROR(AVERAGE(B326:D326),"—")</f>
        <v>934</v>
      </c>
      <c r="F326" s="166"/>
      <c r="G326" s="168"/>
      <c r="H326" t="s" s="61">
        <v>885</v>
      </c>
    </row>
    <row r="327" ht="21.25" customHeight="1">
      <c r="A327" t="s" s="8">
        <v>562</v>
      </c>
      <c r="B327" t="s" s="61">
        <v>62</v>
      </c>
      <c r="C327" s="166"/>
      <c r="D327" t="s" s="61">
        <v>62</v>
      </c>
      <c r="E327" t="s" s="61">
        <f>_xlfn.IFERROR(AVERAGE(B327:D327),"—")</f>
        <v>934</v>
      </c>
      <c r="F327" s="59"/>
      <c r="G327" s="168">
        <v>2085000</v>
      </c>
      <c r="H327" t="s" s="61">
        <v>885</v>
      </c>
    </row>
    <row r="328" ht="21.25" customHeight="1">
      <c r="A328" t="s" s="8">
        <v>364</v>
      </c>
      <c r="B328" t="s" s="61">
        <v>62</v>
      </c>
      <c r="C328" s="166"/>
      <c r="D328" s="166">
        <v>434.62</v>
      </c>
      <c r="E328" s="166">
        <f>_xlfn.IFERROR(AVERAGE(B328:D328),"—")</f>
        <v>434.62</v>
      </c>
      <c r="F328" s="59"/>
      <c r="G328" s="168">
        <v>6500000</v>
      </c>
      <c r="H328" t="s" s="61">
        <v>885</v>
      </c>
    </row>
    <row r="329" ht="21.25" customHeight="1">
      <c r="A329" t="s" s="8">
        <v>663</v>
      </c>
      <c r="B329" t="s" s="61">
        <v>62</v>
      </c>
      <c r="C329" s="166"/>
      <c r="D329" s="166">
        <v>498.6</v>
      </c>
      <c r="E329" s="166">
        <f>_xlfn.IFERROR(AVERAGE(B329:D329),"—")</f>
        <v>498.6</v>
      </c>
      <c r="F329" s="166"/>
      <c r="G329" s="168">
        <v>1500000</v>
      </c>
      <c r="H329" t="s" s="61">
        <v>885</v>
      </c>
    </row>
    <row r="330" ht="21.25" customHeight="1">
      <c r="A330" t="s" s="8">
        <v>713</v>
      </c>
      <c r="B330" t="s" s="61">
        <v>62</v>
      </c>
      <c r="C330" s="166"/>
      <c r="D330" t="s" s="61">
        <v>62</v>
      </c>
      <c r="E330" t="s" s="61">
        <f>_xlfn.IFERROR(AVERAGE(B330:D330),"—")</f>
        <v>934</v>
      </c>
      <c r="F330" s="166"/>
      <c r="G330" s="168">
        <v>1450000</v>
      </c>
      <c r="H330" t="s" s="61">
        <v>885</v>
      </c>
    </row>
    <row r="331" ht="21.25" customHeight="1">
      <c r="A331" t="s" s="8">
        <v>707</v>
      </c>
      <c r="B331" t="s" s="61">
        <v>62</v>
      </c>
      <c r="C331" s="166"/>
      <c r="D331" t="s" s="61">
        <v>62</v>
      </c>
      <c r="E331" t="s" s="61">
        <f>_xlfn.IFERROR(AVERAGE(B331:D331),"—")</f>
        <v>934</v>
      </c>
      <c r="F331" s="59"/>
      <c r="G331" s="168">
        <v>1900000</v>
      </c>
      <c r="H331" t="s" s="61">
        <v>885</v>
      </c>
    </row>
    <row r="332" ht="21.25" customHeight="1">
      <c r="A332" t="s" s="8">
        <v>450</v>
      </c>
      <c r="B332" s="166">
        <v>128.3</v>
      </c>
      <c r="C332" s="166"/>
      <c r="D332" s="166">
        <v>175.29</v>
      </c>
      <c r="E332" s="166">
        <f>_xlfn.IFERROR(AVERAGE(B332:D332),"—")</f>
        <v>151.795</v>
      </c>
      <c r="F332" s="59"/>
      <c r="G332" s="168">
        <v>1675000</v>
      </c>
      <c r="H332" t="s" s="61">
        <v>885</v>
      </c>
    </row>
    <row r="333" ht="21.25" customHeight="1">
      <c r="A333" t="s" s="8">
        <v>697</v>
      </c>
      <c r="B333" t="s" s="61">
        <v>62</v>
      </c>
      <c r="C333" s="166"/>
      <c r="D333" t="s" s="61">
        <v>62</v>
      </c>
      <c r="E333" t="s" s="61">
        <f>_xlfn.IFERROR(AVERAGE(B333:D333),"—")</f>
        <v>934</v>
      </c>
      <c r="F333" s="59"/>
      <c r="G333" s="168">
        <v>1675000</v>
      </c>
      <c r="H333" t="s" s="61">
        <v>885</v>
      </c>
    </row>
    <row r="334" ht="21.25" customHeight="1">
      <c r="A334" t="s" s="8">
        <v>717</v>
      </c>
      <c r="B334" t="s" s="61">
        <v>62</v>
      </c>
      <c r="C334" s="166"/>
      <c r="D334" s="166">
        <v>422.91</v>
      </c>
      <c r="E334" s="166">
        <f>_xlfn.IFERROR(AVERAGE(B334:D334),"—")</f>
        <v>422.91</v>
      </c>
      <c r="F334" s="59"/>
      <c r="G334" s="168">
        <v>950000</v>
      </c>
      <c r="H334" t="s" s="61">
        <v>885</v>
      </c>
    </row>
    <row r="335" ht="21.25" customHeight="1">
      <c r="A335" t="s" s="8">
        <v>696</v>
      </c>
      <c r="B335" s="166">
        <v>169.1</v>
      </c>
      <c r="C335" s="166"/>
      <c r="D335" t="s" s="61">
        <v>62</v>
      </c>
      <c r="E335" s="166">
        <f>_xlfn.IFERROR(AVERAGE(B335:D335),"—")</f>
        <v>169.1</v>
      </c>
      <c r="F335" s="59"/>
      <c r="G335" s="168">
        <v>3500000</v>
      </c>
      <c r="H335" t="s" s="61">
        <v>885</v>
      </c>
    </row>
    <row r="336" ht="21.25" customHeight="1">
      <c r="A336" t="s" s="8">
        <v>641</v>
      </c>
      <c r="B336" t="s" s="61">
        <v>62</v>
      </c>
      <c r="C336" s="166"/>
      <c r="D336" t="s" s="61">
        <v>62</v>
      </c>
      <c r="E336" t="s" s="61">
        <f>_xlfn.IFERROR(AVERAGE(B336:D336),"—")</f>
        <v>934</v>
      </c>
      <c r="F336" s="59"/>
      <c r="G336" s="168">
        <v>1400000</v>
      </c>
      <c r="H336" t="s" s="61">
        <v>885</v>
      </c>
    </row>
    <row r="337" ht="21.25" customHeight="1">
      <c r="A337" t="s" s="8">
        <v>621</v>
      </c>
      <c r="B337" t="s" s="61">
        <v>62</v>
      </c>
      <c r="C337" s="166"/>
      <c r="D337" s="166">
        <v>439.4</v>
      </c>
      <c r="E337" s="166">
        <f>_xlfn.IFERROR(AVERAGE(B337:D337),"—")</f>
        <v>439.4</v>
      </c>
      <c r="F337" s="59"/>
      <c r="G337" s="168">
        <v>874000</v>
      </c>
      <c r="H337" t="s" s="61">
        <v>885</v>
      </c>
    </row>
    <row r="338" ht="21.25" customHeight="1">
      <c r="A338" t="s" s="8">
        <v>608</v>
      </c>
      <c r="B338" t="s" s="61">
        <v>62</v>
      </c>
      <c r="C338" s="166"/>
      <c r="D338" s="166">
        <v>1190.6</v>
      </c>
      <c r="E338" s="166">
        <f>_xlfn.IFERROR(AVERAGE(B338:D338),"—")</f>
        <v>1190.6</v>
      </c>
      <c r="F338" s="59"/>
      <c r="G338" s="168">
        <v>6500000</v>
      </c>
      <c r="H338" t="s" s="61">
        <v>885</v>
      </c>
    </row>
    <row r="339" ht="21.25" customHeight="1">
      <c r="A339" t="s" s="8">
        <v>722</v>
      </c>
      <c r="B339" t="s" s="61">
        <v>62</v>
      </c>
      <c r="C339" s="166"/>
      <c r="D339" t="s" s="61">
        <v>62</v>
      </c>
      <c r="E339" t="s" s="61">
        <f>_xlfn.IFERROR(AVERAGE(B339:D339),"—")</f>
        <v>934</v>
      </c>
      <c r="F339" s="166"/>
      <c r="G339" s="168">
        <v>775000</v>
      </c>
      <c r="H339" t="s" s="61">
        <v>885</v>
      </c>
    </row>
    <row r="340" ht="21.25" customHeight="1">
      <c r="A340" t="s" s="8">
        <v>373</v>
      </c>
      <c r="B340" s="166">
        <v>171.6</v>
      </c>
      <c r="C340" s="166"/>
      <c r="D340" t="s" s="61">
        <v>62</v>
      </c>
      <c r="E340" s="166">
        <f>_xlfn.IFERROR(AVERAGE(B340:D340),"—")</f>
        <v>171.6</v>
      </c>
      <c r="F340" s="59"/>
      <c r="G340" s="168">
        <v>5300000</v>
      </c>
      <c r="H340" t="s" s="61">
        <v>885</v>
      </c>
    </row>
    <row r="341" ht="21.25" customHeight="1">
      <c r="A341" t="s" s="8">
        <v>600</v>
      </c>
      <c r="B341" t="s" s="61">
        <v>62</v>
      </c>
      <c r="C341" s="166"/>
      <c r="D341" t="s" s="61">
        <v>62</v>
      </c>
      <c r="E341" t="s" s="61">
        <f>_xlfn.IFERROR(AVERAGE(B341:D341),"—")</f>
        <v>934</v>
      </c>
      <c r="F341" s="59"/>
      <c r="G341" s="168">
        <v>2710000</v>
      </c>
      <c r="H341" t="s" s="61">
        <v>885</v>
      </c>
    </row>
    <row r="342" ht="21.25" customHeight="1">
      <c r="A342" t="s" s="8">
        <v>672</v>
      </c>
      <c r="B342" t="s" s="61">
        <v>62</v>
      </c>
      <c r="C342" s="166"/>
      <c r="D342" t="s" s="61">
        <v>62</v>
      </c>
      <c r="E342" t="s" s="61">
        <f>_xlfn.IFERROR(AVERAGE(B342:D342),"—")</f>
        <v>934</v>
      </c>
      <c r="F342" s="59"/>
      <c r="G342" s="168">
        <v>5000000</v>
      </c>
      <c r="H342" t="s" s="61">
        <v>885</v>
      </c>
    </row>
    <row r="343" ht="21.25" customHeight="1">
      <c r="A343" t="s" s="8">
        <v>644</v>
      </c>
      <c r="B343" t="s" s="61">
        <v>62</v>
      </c>
      <c r="C343" s="166"/>
      <c r="D343" t="s" s="61">
        <v>62</v>
      </c>
      <c r="E343" t="s" s="61">
        <f>_xlfn.IFERROR(AVERAGE(B343:D343),"—")</f>
        <v>934</v>
      </c>
      <c r="F343" s="59"/>
      <c r="G343" s="168">
        <v>2750000</v>
      </c>
      <c r="H343" t="s" s="61">
        <v>885</v>
      </c>
    </row>
    <row r="344" ht="21.25" customHeight="1">
      <c r="A344" t="s" s="8">
        <v>365</v>
      </c>
      <c r="B344" t="s" s="61">
        <v>62</v>
      </c>
      <c r="C344" s="166"/>
      <c r="D344" t="s" s="61">
        <v>62</v>
      </c>
      <c r="E344" t="s" s="61">
        <f>_xlfn.IFERROR(AVERAGE(B344:D344),"—")</f>
        <v>934</v>
      </c>
      <c r="F344" s="59"/>
      <c r="G344" s="168">
        <v>4025000</v>
      </c>
      <c r="H344" t="s" s="61">
        <v>885</v>
      </c>
    </row>
    <row r="345" ht="21.25" customHeight="1">
      <c r="A345" t="s" s="8">
        <v>704</v>
      </c>
      <c r="B345" t="s" s="61">
        <v>62</v>
      </c>
      <c r="C345" s="166"/>
      <c r="D345" t="s" s="61">
        <v>62</v>
      </c>
      <c r="E345" t="s" s="61">
        <f>_xlfn.IFERROR(AVERAGE(B345:D345),"—")</f>
        <v>934</v>
      </c>
      <c r="F345" s="59"/>
      <c r="G345" s="168">
        <v>1525000</v>
      </c>
      <c r="H345" t="s" s="61">
        <v>885</v>
      </c>
    </row>
    <row r="346" ht="21.25" customHeight="1">
      <c r="A346" t="s" s="8">
        <v>732</v>
      </c>
      <c r="B346" t="s" s="61">
        <v>62</v>
      </c>
      <c r="C346" s="166"/>
      <c r="D346" t="s" s="61">
        <v>62</v>
      </c>
      <c r="E346" t="s" s="61">
        <f>_xlfn.IFERROR(AVERAGE(B346:D346),"—")</f>
        <v>934</v>
      </c>
      <c r="F346" s="59"/>
      <c r="G346" s="168"/>
      <c r="H346" t="s" s="61">
        <v>885</v>
      </c>
    </row>
    <row r="347" ht="21.25" customHeight="1">
      <c r="A347" t="s" s="8">
        <v>729</v>
      </c>
      <c r="B347" t="s" s="61">
        <v>62</v>
      </c>
      <c r="C347" s="166"/>
      <c r="D347" t="s" s="61">
        <v>62</v>
      </c>
      <c r="E347" t="s" s="61">
        <f>_xlfn.IFERROR(AVERAGE(B347:D347),"—")</f>
        <v>934</v>
      </c>
      <c r="F347" s="59"/>
      <c r="G347" s="168">
        <v>775000</v>
      </c>
      <c r="H347" t="s" s="61">
        <v>885</v>
      </c>
    </row>
    <row r="348" ht="21.25" customHeight="1">
      <c r="A348" t="s" s="8">
        <v>698</v>
      </c>
      <c r="B348" t="s" s="61">
        <v>62</v>
      </c>
      <c r="C348" s="166"/>
      <c r="D348" s="166">
        <v>427.5</v>
      </c>
      <c r="E348" s="166">
        <f>_xlfn.IFERROR(AVERAGE(B348:D348),"—")</f>
        <v>427.5</v>
      </c>
      <c r="F348" s="59"/>
      <c r="G348" s="168">
        <v>3100000</v>
      </c>
      <c r="H348" t="s" s="61">
        <v>885</v>
      </c>
    </row>
    <row r="349" ht="21.25" customHeight="1">
      <c r="A349" t="s" s="8">
        <v>459</v>
      </c>
      <c r="B349" t="s" s="61">
        <v>62</v>
      </c>
      <c r="C349" s="166"/>
      <c r="D349" t="s" s="61">
        <v>62</v>
      </c>
      <c r="E349" t="s" s="61">
        <f>_xlfn.IFERROR(AVERAGE(B349:D349),"—")</f>
        <v>934</v>
      </c>
      <c r="F349" s="59"/>
      <c r="G349" s="168">
        <v>2600000</v>
      </c>
      <c r="H349" t="s" s="61">
        <v>885</v>
      </c>
    </row>
    <row r="350" ht="21.25" customHeight="1">
      <c r="A350" t="s" s="8">
        <v>706</v>
      </c>
      <c r="B350" t="s" s="61">
        <v>62</v>
      </c>
      <c r="C350" s="166"/>
      <c r="D350" t="s" s="61">
        <v>62</v>
      </c>
      <c r="E350" t="s" s="61">
        <f>_xlfn.IFERROR(AVERAGE(B350:D350),"—")</f>
        <v>934</v>
      </c>
      <c r="F350" s="59"/>
      <c r="G350" s="168">
        <v>2166667</v>
      </c>
      <c r="H350" t="s" s="61">
        <v>885</v>
      </c>
    </row>
    <row r="351" ht="21.25" customHeight="1">
      <c r="A351" t="s" s="8">
        <v>720</v>
      </c>
      <c r="B351" t="s" s="61">
        <v>62</v>
      </c>
      <c r="C351" s="166"/>
      <c r="D351" t="s" s="61">
        <v>62</v>
      </c>
      <c r="E351" t="s" s="61">
        <f>_xlfn.IFERROR(AVERAGE(B351:D351),"—")</f>
        <v>934</v>
      </c>
      <c r="F351" s="59"/>
      <c r="G351" s="168"/>
      <c r="H351" t="s" s="61">
        <v>885</v>
      </c>
    </row>
    <row r="352" ht="21.25" customHeight="1">
      <c r="A352" t="s" s="8">
        <v>667</v>
      </c>
      <c r="B352" t="s" s="61">
        <v>62</v>
      </c>
      <c r="C352" s="166"/>
      <c r="D352" s="166">
        <v>400.5</v>
      </c>
      <c r="E352" s="166">
        <f>_xlfn.IFERROR(AVERAGE(B352:D352),"—")</f>
        <v>400.5</v>
      </c>
      <c r="F352" s="59"/>
      <c r="G352" s="168">
        <v>2900000</v>
      </c>
      <c r="H352" t="s" s="61">
        <v>885</v>
      </c>
    </row>
    <row r="353" ht="21.25" customHeight="1">
      <c r="A353" t="s" s="8">
        <v>676</v>
      </c>
      <c r="B353" t="s" s="61">
        <v>62</v>
      </c>
      <c r="C353" s="166"/>
      <c r="D353" t="s" s="61">
        <v>62</v>
      </c>
      <c r="E353" t="s" s="61">
        <f>_xlfn.IFERROR(AVERAGE(B353:D353),"—")</f>
        <v>934</v>
      </c>
      <c r="F353" s="166"/>
      <c r="G353" s="168">
        <v>925000</v>
      </c>
      <c r="H353" t="s" s="61">
        <v>885</v>
      </c>
    </row>
    <row r="354" ht="21.25" customHeight="1">
      <c r="A354" t="s" s="8">
        <v>629</v>
      </c>
      <c r="B354" t="s" s="61">
        <v>62</v>
      </c>
      <c r="C354" s="166"/>
      <c r="D354" t="s" s="61">
        <v>62</v>
      </c>
      <c r="E354" t="s" s="61">
        <f>_xlfn.IFERROR(AVERAGE(B354:D354),"—")</f>
        <v>934</v>
      </c>
      <c r="F354" s="59"/>
      <c r="G354" s="168">
        <v>2300000</v>
      </c>
      <c r="H354" t="s" s="61">
        <v>885</v>
      </c>
    </row>
    <row r="355" ht="21.25" customHeight="1">
      <c r="A355" t="s" s="8">
        <v>788</v>
      </c>
      <c r="B355" t="s" s="61">
        <v>62</v>
      </c>
      <c r="C355" s="166"/>
      <c r="D355" t="s" s="61">
        <v>62</v>
      </c>
      <c r="E355" t="s" s="61">
        <f>_xlfn.IFERROR(AVERAGE(B355:D355),"—")</f>
        <v>934</v>
      </c>
      <c r="F355" s="59"/>
      <c r="G355" s="168">
        <v>2000000</v>
      </c>
      <c r="H355" t="s" s="61">
        <v>885</v>
      </c>
    </row>
    <row r="356" ht="21.25" customHeight="1">
      <c r="A356" t="s" s="8">
        <v>375</v>
      </c>
      <c r="B356" s="166">
        <v>139.6</v>
      </c>
      <c r="C356" s="166"/>
      <c r="D356" s="166">
        <v>209.34</v>
      </c>
      <c r="E356" s="166">
        <f>_xlfn.IFERROR(AVERAGE(B356:D356),"—")</f>
        <v>174.47</v>
      </c>
      <c r="F356" s="59"/>
      <c r="G356" s="168">
        <v>5250000</v>
      </c>
      <c r="H356" t="s" s="61">
        <v>885</v>
      </c>
    </row>
    <row r="357" ht="21.25" customHeight="1">
      <c r="A357" t="s" s="8">
        <v>342</v>
      </c>
      <c r="B357" s="166">
        <v>128</v>
      </c>
      <c r="C357" s="166"/>
      <c r="D357" s="166">
        <v>117.16</v>
      </c>
      <c r="E357" s="166">
        <f>_xlfn.IFERROR(AVERAGE(B357:D357),"—")</f>
        <v>122.58</v>
      </c>
      <c r="F357" s="59"/>
      <c r="G357" s="168">
        <v>8000000</v>
      </c>
      <c r="H357" t="s" s="61">
        <v>885</v>
      </c>
    </row>
    <row r="358" ht="21.25" customHeight="1">
      <c r="A358" t="s" s="8">
        <v>671</v>
      </c>
      <c r="B358" t="s" s="61">
        <v>62</v>
      </c>
      <c r="C358" s="166"/>
      <c r="D358" t="s" s="61">
        <v>62</v>
      </c>
      <c r="E358" t="s" s="61">
        <f>_xlfn.IFERROR(AVERAGE(B358:D358),"—")</f>
        <v>934</v>
      </c>
      <c r="F358" s="59"/>
      <c r="G358" s="168">
        <v>800000</v>
      </c>
      <c r="H358" t="s" s="61">
        <v>885</v>
      </c>
    </row>
    <row r="359" ht="21.25" customHeight="1">
      <c r="A359" t="s" s="8">
        <v>369</v>
      </c>
      <c r="B359" t="s" s="61">
        <v>62</v>
      </c>
      <c r="C359" s="166"/>
      <c r="D359" t="s" s="61">
        <v>62</v>
      </c>
      <c r="E359" t="s" s="61">
        <f>_xlfn.IFERROR(AVERAGE(B359:D359),"—")</f>
        <v>934</v>
      </c>
      <c r="F359" s="59"/>
      <c r="G359" s="168">
        <v>3250000</v>
      </c>
      <c r="H359" t="s" s="61">
        <v>885</v>
      </c>
    </row>
    <row r="360" ht="21.25" customHeight="1">
      <c r="A360" t="s" s="8">
        <v>773</v>
      </c>
      <c r="B360" t="s" s="61">
        <v>62</v>
      </c>
      <c r="C360" s="166"/>
      <c r="D360" t="s" s="61">
        <v>62</v>
      </c>
      <c r="E360" t="s" s="61">
        <f>_xlfn.IFERROR(AVERAGE(B360:D360),"—")</f>
        <v>934</v>
      </c>
      <c r="F360" s="59"/>
      <c r="G360" s="168">
        <v>863300</v>
      </c>
      <c r="H360" t="s" s="61">
        <v>885</v>
      </c>
    </row>
    <row r="361" ht="21.25" customHeight="1">
      <c r="A361" t="s" s="8">
        <v>746</v>
      </c>
      <c r="B361" s="166">
        <v>172.5</v>
      </c>
      <c r="C361" s="166"/>
      <c r="D361" s="166">
        <v>225.91</v>
      </c>
      <c r="E361" s="166">
        <f>_xlfn.IFERROR(AVERAGE(B361:D361),"—")</f>
        <v>199.205</v>
      </c>
      <c r="F361" s="59"/>
      <c r="G361" s="168">
        <v>1000000</v>
      </c>
      <c r="H361" t="s" s="61">
        <v>885</v>
      </c>
    </row>
    <row r="362" ht="21.25" customHeight="1">
      <c r="A362" t="s" s="8">
        <v>653</v>
      </c>
      <c r="B362" t="s" s="61">
        <v>62</v>
      </c>
      <c r="C362" s="166"/>
      <c r="D362" t="s" s="61">
        <v>62</v>
      </c>
      <c r="E362" t="s" s="61">
        <f>_xlfn.IFERROR(AVERAGE(B362:D362),"—")</f>
        <v>934</v>
      </c>
      <c r="F362" s="166"/>
      <c r="G362" s="168">
        <v>2500000</v>
      </c>
      <c r="H362" t="s" s="61">
        <v>885</v>
      </c>
    </row>
    <row r="363" ht="21.25" customHeight="1">
      <c r="A363" t="s" s="8">
        <v>648</v>
      </c>
      <c r="B363" t="s" s="61">
        <v>62</v>
      </c>
      <c r="C363" s="166"/>
      <c r="D363" t="s" s="61">
        <v>62</v>
      </c>
      <c r="E363" t="s" s="61">
        <f>_xlfn.IFERROR(AVERAGE(B363:D363),"—")</f>
        <v>934</v>
      </c>
      <c r="F363" s="166"/>
      <c r="G363" s="168">
        <v>2750000</v>
      </c>
      <c r="H363" t="s" s="61">
        <v>885</v>
      </c>
    </row>
    <row r="364" ht="21.25" customHeight="1">
      <c r="A364" t="s" s="8">
        <v>675</v>
      </c>
      <c r="B364" t="s" s="61">
        <v>62</v>
      </c>
      <c r="C364" s="166"/>
      <c r="D364" t="s" s="61">
        <v>62</v>
      </c>
      <c r="E364" t="s" s="61">
        <f>_xlfn.IFERROR(AVERAGE(B364:D364),"—")</f>
        <v>934</v>
      </c>
      <c r="F364" s="166"/>
      <c r="G364" s="168">
        <v>1600000</v>
      </c>
      <c r="H364" t="s" s="61">
        <v>885</v>
      </c>
    </row>
    <row r="365" ht="21.25" customHeight="1">
      <c r="A365" t="s" s="8">
        <v>649</v>
      </c>
      <c r="B365" t="s" s="61">
        <v>62</v>
      </c>
      <c r="C365" s="166"/>
      <c r="D365" t="s" s="61">
        <v>62</v>
      </c>
      <c r="E365" t="s" s="61">
        <f>_xlfn.IFERROR(AVERAGE(B365:D365),"—")</f>
        <v>934</v>
      </c>
      <c r="F365" s="59"/>
      <c r="G365" s="168">
        <v>1800000</v>
      </c>
      <c r="H365" t="s" s="61">
        <v>885</v>
      </c>
    </row>
    <row r="366" ht="21.25" customHeight="1">
      <c r="A366" t="s" s="8">
        <v>642</v>
      </c>
      <c r="B366" t="s" s="61">
        <v>62</v>
      </c>
      <c r="C366" s="166"/>
      <c r="D366" s="166">
        <v>343.13</v>
      </c>
      <c r="E366" s="166">
        <f>_xlfn.IFERROR(AVERAGE(B366:D366),"—")</f>
        <v>343.13</v>
      </c>
      <c r="F366" s="59"/>
      <c r="G366" s="168">
        <v>894167</v>
      </c>
      <c r="H366" t="s" s="61">
        <v>885</v>
      </c>
    </row>
    <row r="367" ht="21.25" customHeight="1">
      <c r="A367" t="s" s="8">
        <v>764</v>
      </c>
      <c r="B367" t="s" s="61">
        <v>62</v>
      </c>
      <c r="C367" s="166"/>
      <c r="D367" t="s" s="61">
        <v>62</v>
      </c>
      <c r="E367" t="s" s="61">
        <f>_xlfn.IFERROR(AVERAGE(B367:D367),"—")</f>
        <v>934</v>
      </c>
      <c r="F367" s="59"/>
      <c r="G367" s="168">
        <v>863333</v>
      </c>
      <c r="H367" t="s" s="61">
        <v>885</v>
      </c>
    </row>
    <row r="368" ht="21.25" customHeight="1">
      <c r="A368" t="s" s="8">
        <v>476</v>
      </c>
      <c r="B368" t="s" s="61">
        <v>62</v>
      </c>
      <c r="C368" s="166"/>
      <c r="D368" s="166">
        <v>467.5</v>
      </c>
      <c r="E368" s="166">
        <f>_xlfn.IFERROR(AVERAGE(B368:D368),"—")</f>
        <v>467.5</v>
      </c>
      <c r="F368" s="59"/>
      <c r="G368" s="168">
        <v>825000</v>
      </c>
      <c r="H368" t="s" s="61">
        <v>885</v>
      </c>
    </row>
    <row r="369" ht="21.25" customHeight="1">
      <c r="A369" t="s" s="8">
        <v>796</v>
      </c>
      <c r="B369" t="s" s="61">
        <v>62</v>
      </c>
      <c r="C369" s="166"/>
      <c r="D369" t="s" s="61">
        <v>62</v>
      </c>
      <c r="E369" t="s" s="61">
        <f>_xlfn.IFERROR(AVERAGE(B369:D369),"—")</f>
        <v>934</v>
      </c>
      <c r="F369" s="166"/>
      <c r="G369" s="168"/>
      <c r="H369" t="s" s="61">
        <v>885</v>
      </c>
    </row>
    <row r="370" ht="21.25" customHeight="1">
      <c r="A370" t="s" s="8">
        <v>678</v>
      </c>
      <c r="B370" t="s" s="61">
        <v>62</v>
      </c>
      <c r="C370" s="166"/>
      <c r="D370" s="166">
        <v>459.5</v>
      </c>
      <c r="E370" s="166">
        <f>_xlfn.IFERROR(AVERAGE(B370:D370),"—")</f>
        <v>459.5</v>
      </c>
      <c r="F370" s="59"/>
      <c r="G370" s="168">
        <v>3250000</v>
      </c>
      <c r="H370" t="s" s="61">
        <v>885</v>
      </c>
    </row>
    <row r="371" ht="21.25" customHeight="1">
      <c r="A371" t="s" s="8">
        <v>668</v>
      </c>
      <c r="B371" t="s" s="61">
        <v>62</v>
      </c>
      <c r="C371" s="166"/>
      <c r="D371" t="s" s="61">
        <v>62</v>
      </c>
      <c r="E371" t="s" s="61">
        <f>_xlfn.IFERROR(AVERAGE(B371:D371),"—")</f>
        <v>934</v>
      </c>
      <c r="F371" s="59"/>
      <c r="G371" s="168">
        <v>925000</v>
      </c>
      <c r="H371" t="s" s="61">
        <v>885</v>
      </c>
    </row>
    <row r="372" ht="21.25" customHeight="1">
      <c r="A372" t="s" s="8">
        <v>740</v>
      </c>
      <c r="B372" t="s" s="61">
        <v>62</v>
      </c>
      <c r="C372" s="166"/>
      <c r="D372" t="s" s="61">
        <v>62</v>
      </c>
      <c r="E372" t="s" s="61">
        <f>_xlfn.IFERROR(AVERAGE(B372:D372),"—")</f>
        <v>934</v>
      </c>
      <c r="F372" s="59"/>
      <c r="G372" s="168">
        <v>762500</v>
      </c>
      <c r="H372" t="s" s="61">
        <v>885</v>
      </c>
    </row>
    <row r="373" ht="21.25" customHeight="1">
      <c r="A373" t="s" s="8">
        <v>790</v>
      </c>
      <c r="B373" t="s" s="61">
        <v>62</v>
      </c>
      <c r="C373" s="166"/>
      <c r="D373" t="s" s="61">
        <v>62</v>
      </c>
      <c r="E373" t="s" s="61">
        <f>_xlfn.IFERROR(AVERAGE(B373:D373),"—")</f>
        <v>934</v>
      </c>
      <c r="F373" s="59"/>
      <c r="G373" s="168">
        <v>796667</v>
      </c>
      <c r="H373" t="s" s="61">
        <v>885</v>
      </c>
    </row>
    <row r="374" ht="21.25" customHeight="1">
      <c r="A374" t="s" s="8">
        <v>374</v>
      </c>
      <c r="B374" s="166">
        <v>160.8</v>
      </c>
      <c r="C374" s="166"/>
      <c r="D374" s="166">
        <v>170.06</v>
      </c>
      <c r="E374" s="166">
        <f>_xlfn.IFERROR(AVERAGE(B374:D374),"—")</f>
        <v>165.43</v>
      </c>
      <c r="F374" s="59"/>
      <c r="G374" s="168">
        <v>4000000</v>
      </c>
      <c r="H374" t="s" s="61">
        <v>885</v>
      </c>
    </row>
    <row r="375" ht="21.25" customHeight="1">
      <c r="A375" t="s" s="8">
        <v>398</v>
      </c>
      <c r="B375" t="s" s="61">
        <v>62</v>
      </c>
      <c r="C375" s="166"/>
      <c r="D375" t="s" s="61">
        <v>62</v>
      </c>
      <c r="E375" t="s" s="61">
        <f>_xlfn.IFERROR(AVERAGE(B375:D375),"—")</f>
        <v>934</v>
      </c>
      <c r="F375" s="59"/>
      <c r="G375" s="168">
        <v>6250000</v>
      </c>
      <c r="H375" t="s" s="61">
        <v>885</v>
      </c>
    </row>
    <row r="376" ht="21.25" customHeight="1">
      <c r="A376" t="s" s="8">
        <v>763</v>
      </c>
      <c r="B376" t="s" s="61">
        <v>62</v>
      </c>
      <c r="C376" s="166"/>
      <c r="D376" t="s" s="61">
        <v>62</v>
      </c>
      <c r="E376" t="s" s="61">
        <f>_xlfn.IFERROR(AVERAGE(B376:D376),"—")</f>
        <v>934</v>
      </c>
      <c r="F376" s="59"/>
      <c r="G376" s="168">
        <v>900000</v>
      </c>
      <c r="H376" t="s" s="61">
        <v>885</v>
      </c>
    </row>
    <row r="377" ht="21.25" customHeight="1">
      <c r="A377" t="s" s="8">
        <v>709</v>
      </c>
      <c r="B377" t="s" s="61">
        <v>62</v>
      </c>
      <c r="C377" s="166"/>
      <c r="D377" t="s" s="61">
        <v>62</v>
      </c>
      <c r="E377" t="s" s="61">
        <f>_xlfn.IFERROR(AVERAGE(B377:D377),"—")</f>
        <v>934</v>
      </c>
      <c r="F377" s="59"/>
      <c r="G377" s="168">
        <v>2400000</v>
      </c>
      <c r="H377" t="s" s="61">
        <v>885</v>
      </c>
    </row>
    <row r="378" ht="21.25" customHeight="1">
      <c r="A378" t="s" s="8">
        <v>681</v>
      </c>
      <c r="B378" t="s" s="61">
        <v>62</v>
      </c>
      <c r="C378" s="166"/>
      <c r="D378" t="s" s="61">
        <v>62</v>
      </c>
      <c r="E378" t="s" s="61">
        <f>_xlfn.IFERROR(AVERAGE(B378:D378),"—")</f>
        <v>934</v>
      </c>
      <c r="F378" s="59"/>
      <c r="G378" s="168">
        <v>800000</v>
      </c>
      <c r="H378" t="s" s="61">
        <v>885</v>
      </c>
    </row>
    <row r="379" ht="21.25" customHeight="1">
      <c r="A379" t="s" s="8">
        <v>730</v>
      </c>
      <c r="B379" t="s" s="61">
        <v>62</v>
      </c>
      <c r="C379" s="166"/>
      <c r="D379" t="s" s="61">
        <v>62</v>
      </c>
      <c r="E379" t="s" s="61">
        <f>_xlfn.IFERROR(AVERAGE(B379:D379),"—")</f>
        <v>934</v>
      </c>
      <c r="F379" s="59"/>
      <c r="G379" s="168">
        <v>775000</v>
      </c>
      <c r="H379" t="s" s="61">
        <v>885</v>
      </c>
    </row>
    <row r="380" ht="21.25" customHeight="1">
      <c r="A380" t="s" s="8">
        <v>605</v>
      </c>
      <c r="B380" t="s" s="61">
        <v>62</v>
      </c>
      <c r="C380" s="166"/>
      <c r="D380" t="s" s="61">
        <v>62</v>
      </c>
      <c r="E380" t="s" s="61">
        <f>_xlfn.IFERROR(AVERAGE(B380:D380),"—")</f>
        <v>934</v>
      </c>
      <c r="F380" s="59"/>
      <c r="G380" s="168">
        <v>2629000</v>
      </c>
      <c r="H380" t="s" s="61">
        <v>885</v>
      </c>
    </row>
    <row r="381" ht="21.25" customHeight="1">
      <c r="A381" t="s" s="8">
        <v>793</v>
      </c>
      <c r="B381" t="s" s="61">
        <v>62</v>
      </c>
      <c r="C381" s="166"/>
      <c r="D381" t="s" s="61">
        <v>62</v>
      </c>
      <c r="E381" t="s" s="61">
        <f>_xlfn.IFERROR(AVERAGE(B381:D381),"—")</f>
        <v>934</v>
      </c>
      <c r="F381" s="59"/>
      <c r="G381" s="168">
        <v>1100000</v>
      </c>
      <c r="H381" t="s" s="61">
        <v>885</v>
      </c>
    </row>
    <row r="382" ht="21.25" customHeight="1">
      <c r="A382" t="s" s="8">
        <v>415</v>
      </c>
      <c r="B382" t="s" s="61">
        <v>62</v>
      </c>
      <c r="C382" s="166"/>
      <c r="D382" t="s" s="61">
        <v>62</v>
      </c>
      <c r="E382" t="s" s="61">
        <f>_xlfn.IFERROR(AVERAGE(B382:D382),"—")</f>
        <v>934</v>
      </c>
      <c r="F382" s="59"/>
      <c r="G382" s="168">
        <v>5750000</v>
      </c>
      <c r="H382" t="s" s="61">
        <v>885</v>
      </c>
    </row>
    <row r="383" ht="21.25" customHeight="1">
      <c r="A383" t="s" s="8">
        <v>430</v>
      </c>
      <c r="B383" t="s" s="61">
        <v>62</v>
      </c>
      <c r="C383" s="166"/>
      <c r="D383" s="166">
        <v>469.6</v>
      </c>
      <c r="E383" s="166">
        <f>_xlfn.IFERROR(AVERAGE(B383:D383),"—")</f>
        <v>469.6</v>
      </c>
      <c r="F383" s="59"/>
      <c r="G383" s="168">
        <v>5875000</v>
      </c>
      <c r="H383" t="s" s="61">
        <v>885</v>
      </c>
    </row>
    <row r="384" ht="21.25" customHeight="1">
      <c r="A384" t="s" s="8">
        <v>734</v>
      </c>
      <c r="B384" t="s" s="61">
        <v>62</v>
      </c>
      <c r="C384" s="166"/>
      <c r="D384" t="s" s="61">
        <v>62</v>
      </c>
      <c r="E384" t="s" s="61">
        <f>_xlfn.IFERROR(AVERAGE(B384:D384),"—")</f>
        <v>934</v>
      </c>
      <c r="F384" s="59"/>
      <c r="G384" s="168">
        <v>1000000</v>
      </c>
      <c r="H384" t="s" s="61">
        <v>885</v>
      </c>
    </row>
    <row r="385" ht="21.25" customHeight="1">
      <c r="A385" t="s" s="8">
        <v>389</v>
      </c>
      <c r="B385" s="166">
        <v>161.6</v>
      </c>
      <c r="C385" s="166"/>
      <c r="D385" s="166">
        <v>432.1</v>
      </c>
      <c r="E385" s="166">
        <f>_xlfn.IFERROR(AVERAGE(B385:D385),"—")</f>
        <v>296.85</v>
      </c>
      <c r="F385" s="59"/>
      <c r="G385" s="168">
        <v>4500000</v>
      </c>
      <c r="H385" t="s" s="61">
        <v>885</v>
      </c>
    </row>
    <row r="386" ht="21.25" customHeight="1">
      <c r="A386" t="s" s="8">
        <v>712</v>
      </c>
      <c r="B386" t="s" s="61">
        <v>62</v>
      </c>
      <c r="C386" s="166"/>
      <c r="D386" t="s" s="61">
        <v>62</v>
      </c>
      <c r="E386" t="s" s="61">
        <f>_xlfn.IFERROR(AVERAGE(B386:D386),"—")</f>
        <v>934</v>
      </c>
      <c r="F386" s="59"/>
      <c r="G386" s="168">
        <v>2857000</v>
      </c>
      <c r="H386" t="s" s="61">
        <v>885</v>
      </c>
    </row>
    <row r="387" ht="21.25" customHeight="1">
      <c r="A387" t="s" s="8">
        <v>633</v>
      </c>
      <c r="B387" t="s" s="61">
        <v>62</v>
      </c>
      <c r="C387" s="166"/>
      <c r="D387" t="s" s="61">
        <v>62</v>
      </c>
      <c r="E387" t="s" s="61">
        <f>_xlfn.IFERROR(AVERAGE(B387:D387),"—")</f>
        <v>934</v>
      </c>
      <c r="F387" s="59"/>
      <c r="G387" s="168">
        <v>1100000</v>
      </c>
      <c r="H387" t="s" s="61">
        <v>885</v>
      </c>
    </row>
    <row r="388" ht="21.25" customHeight="1">
      <c r="A388" t="s" s="8">
        <v>776</v>
      </c>
      <c r="B388" t="s" s="61">
        <v>62</v>
      </c>
      <c r="C388" s="166"/>
      <c r="D388" t="s" s="61">
        <v>62</v>
      </c>
      <c r="E388" t="s" s="61">
        <f>_xlfn.IFERROR(AVERAGE(B388:D388),"—")</f>
        <v>934</v>
      </c>
      <c r="F388" s="59"/>
      <c r="G388" s="168">
        <v>1900000</v>
      </c>
      <c r="H388" t="s" s="61">
        <v>885</v>
      </c>
    </row>
    <row r="389" ht="21.25" customHeight="1">
      <c r="A389" t="s" s="8">
        <v>468</v>
      </c>
      <c r="B389" t="s" s="61">
        <v>62</v>
      </c>
      <c r="C389" s="166"/>
      <c r="D389" t="s" s="61">
        <v>62</v>
      </c>
      <c r="E389" t="s" s="61">
        <f>_xlfn.IFERROR(AVERAGE(B389:D389),"—")</f>
        <v>934</v>
      </c>
      <c r="F389" s="59"/>
      <c r="G389" s="168">
        <v>1250000</v>
      </c>
      <c r="H389" t="s" s="61">
        <v>885</v>
      </c>
    </row>
    <row r="390" ht="21.25" customHeight="1">
      <c r="A390" t="s" s="8">
        <v>716</v>
      </c>
      <c r="B390" t="s" s="61">
        <v>62</v>
      </c>
      <c r="C390" s="166"/>
      <c r="D390" t="s" s="61">
        <v>62</v>
      </c>
      <c r="E390" t="s" s="61">
        <f>_xlfn.IFERROR(AVERAGE(B390:D390),"—")</f>
        <v>934</v>
      </c>
      <c r="F390" s="59"/>
      <c r="G390" s="168">
        <v>2950000</v>
      </c>
      <c r="H390" t="s" s="61">
        <v>885</v>
      </c>
    </row>
    <row r="391" ht="21.25" customHeight="1">
      <c r="A391" t="s" s="8">
        <v>779</v>
      </c>
      <c r="B391" t="s" s="61">
        <v>62</v>
      </c>
      <c r="C391" s="166"/>
      <c r="D391" t="s" s="61">
        <v>62</v>
      </c>
      <c r="E391" t="s" s="61">
        <f>_xlfn.IFERROR(AVERAGE(B391:D391),"—")</f>
        <v>934</v>
      </c>
      <c r="F391" s="59"/>
      <c r="G391" s="168">
        <v>775000</v>
      </c>
      <c r="H391" t="s" s="61">
        <v>885</v>
      </c>
    </row>
    <row r="392" ht="21.25" customHeight="1">
      <c r="A392" t="s" s="8">
        <v>714</v>
      </c>
      <c r="B392" t="s" s="61">
        <v>62</v>
      </c>
      <c r="C392" s="166"/>
      <c r="D392" t="s" s="61">
        <v>62</v>
      </c>
      <c r="E392" t="s" s="61">
        <f>_xlfn.IFERROR(AVERAGE(B392:D392),"—")</f>
        <v>934</v>
      </c>
      <c r="F392" s="59"/>
      <c r="G392" s="168">
        <v>1600000</v>
      </c>
      <c r="H392" t="s" s="61">
        <v>885</v>
      </c>
    </row>
    <row r="393" ht="21.25" customHeight="1">
      <c r="A393" t="s" s="8">
        <v>724</v>
      </c>
      <c r="B393" t="s" s="61">
        <v>62</v>
      </c>
      <c r="C393" s="166"/>
      <c r="D393" t="s" s="61">
        <v>62</v>
      </c>
      <c r="E393" t="s" s="61">
        <f>_xlfn.IFERROR(AVERAGE(B393:D393),"—")</f>
        <v>934</v>
      </c>
      <c r="F393" s="59"/>
      <c r="G393" s="168">
        <v>3641667</v>
      </c>
      <c r="H393" t="s" s="61">
        <v>885</v>
      </c>
    </row>
    <row r="394" ht="21.25" customHeight="1">
      <c r="A394" t="s" s="8">
        <v>413</v>
      </c>
      <c r="B394" t="s" s="61">
        <v>62</v>
      </c>
      <c r="C394" s="166"/>
      <c r="D394" t="s" s="61">
        <v>62</v>
      </c>
      <c r="E394" t="s" s="61">
        <f>_xlfn.IFERROR(AVERAGE(B394:D394),"—")</f>
        <v>934</v>
      </c>
      <c r="F394" s="59"/>
      <c r="G394" s="168">
        <v>6000000</v>
      </c>
      <c r="H394" t="s" s="61">
        <v>885</v>
      </c>
    </row>
    <row r="395" ht="21.25" customHeight="1">
      <c r="A395" t="s" s="8">
        <v>638</v>
      </c>
      <c r="B395" t="s" s="61">
        <v>62</v>
      </c>
      <c r="C395" s="166"/>
      <c r="D395" t="s" s="61">
        <v>62</v>
      </c>
      <c r="E395" t="s" s="61">
        <f>_xlfn.IFERROR(AVERAGE(B395:D395),"—")</f>
        <v>934</v>
      </c>
      <c r="F395" s="59"/>
      <c r="G395" s="168">
        <v>3125000</v>
      </c>
      <c r="H395" t="s" s="61">
        <v>885</v>
      </c>
    </row>
    <row r="396" ht="21.25" customHeight="1">
      <c r="A396" t="s" s="8">
        <v>595</v>
      </c>
      <c r="B396" t="s" s="61">
        <v>62</v>
      </c>
      <c r="C396" s="166"/>
      <c r="D396" t="s" s="61">
        <v>62</v>
      </c>
      <c r="E396" t="s" s="61">
        <f>_xlfn.IFERROR(AVERAGE(B396:D396),"—")</f>
        <v>934</v>
      </c>
      <c r="F396" s="59"/>
      <c r="G396" s="168">
        <v>2500000</v>
      </c>
      <c r="H396" t="s" s="61">
        <v>885</v>
      </c>
    </row>
    <row r="397" ht="21.25" customHeight="1">
      <c r="A397" t="s" s="8">
        <v>391</v>
      </c>
      <c r="B397" t="s" s="61">
        <v>62</v>
      </c>
      <c r="C397" s="166"/>
      <c r="D397" s="166">
        <v>323.82</v>
      </c>
      <c r="E397" s="166">
        <f>_xlfn.IFERROR(AVERAGE(B397:D397),"—")</f>
        <v>323.82</v>
      </c>
      <c r="F397" s="59"/>
      <c r="G397" s="168">
        <v>4725000</v>
      </c>
      <c r="H397" t="s" s="61">
        <v>885</v>
      </c>
    </row>
    <row r="398" ht="21.25" customHeight="1">
      <c r="A398" t="s" s="8">
        <v>705</v>
      </c>
      <c r="B398" t="s" s="61">
        <v>62</v>
      </c>
      <c r="C398" s="166"/>
      <c r="D398" t="s" s="61">
        <v>62</v>
      </c>
      <c r="E398" t="s" s="61">
        <f>_xlfn.IFERROR(AVERAGE(B398:D398),"—")</f>
        <v>934</v>
      </c>
      <c r="F398" s="59"/>
      <c r="G398" s="168">
        <v>2650000</v>
      </c>
      <c r="H398" t="s" s="61">
        <v>885</v>
      </c>
    </row>
    <row r="399" ht="21.25" customHeight="1">
      <c r="A399" t="s" s="8">
        <v>750</v>
      </c>
      <c r="B399" t="s" s="61">
        <v>62</v>
      </c>
      <c r="C399" s="166"/>
      <c r="D399" t="s" s="61">
        <v>62</v>
      </c>
      <c r="E399" t="s" s="61">
        <f>_xlfn.IFERROR(AVERAGE(B399:D399),"—")</f>
        <v>934</v>
      </c>
      <c r="F399" s="59"/>
      <c r="G399" s="168">
        <v>1700000</v>
      </c>
      <c r="H399" t="s" s="61">
        <v>885</v>
      </c>
    </row>
    <row r="400" ht="21.25" customHeight="1">
      <c r="A400" t="s" s="8">
        <v>703</v>
      </c>
      <c r="B400" t="s" s="61">
        <v>62</v>
      </c>
      <c r="C400" s="166"/>
      <c r="D400" t="s" s="61">
        <v>62</v>
      </c>
      <c r="E400" t="s" s="61">
        <f>_xlfn.IFERROR(AVERAGE(B400:D400),"—")</f>
        <v>934</v>
      </c>
      <c r="F400" s="59"/>
      <c r="G400" s="168">
        <v>2000000</v>
      </c>
      <c r="H400" t="s" s="61">
        <v>885</v>
      </c>
    </row>
    <row r="401" ht="21.25" customHeight="1">
      <c r="A401" t="s" s="8">
        <v>738</v>
      </c>
      <c r="B401" t="s" s="61">
        <v>62</v>
      </c>
      <c r="C401" s="166"/>
      <c r="D401" t="s" s="61">
        <v>62</v>
      </c>
      <c r="E401" t="s" s="61">
        <f>_xlfn.IFERROR(AVERAGE(B401:D401),"—")</f>
        <v>934</v>
      </c>
      <c r="F401" s="59"/>
      <c r="G401" s="168">
        <v>1150000</v>
      </c>
      <c r="H401" t="s" s="61">
        <v>885</v>
      </c>
    </row>
    <row r="402" ht="21.25" customHeight="1">
      <c r="A402" t="s" s="8">
        <v>431</v>
      </c>
      <c r="B402" t="s" s="61">
        <v>62</v>
      </c>
      <c r="C402" s="166"/>
      <c r="D402" t="s" s="61">
        <v>62</v>
      </c>
      <c r="E402" t="s" s="61">
        <f>_xlfn.IFERROR(AVERAGE(B402:D402),"—")</f>
        <v>934</v>
      </c>
      <c r="F402" s="59"/>
      <c r="G402" s="168">
        <v>1125000</v>
      </c>
      <c r="H402" t="s" s="61">
        <v>885</v>
      </c>
    </row>
    <row r="403" ht="21.25" customHeight="1">
      <c r="A403" t="s" s="8">
        <v>464</v>
      </c>
      <c r="B403" t="s" s="61">
        <v>62</v>
      </c>
      <c r="C403" s="166"/>
      <c r="D403" t="s" s="61">
        <v>62</v>
      </c>
      <c r="E403" t="s" s="61">
        <f>_xlfn.IFERROR(AVERAGE(B403:D403),"—")</f>
        <v>934</v>
      </c>
      <c r="F403" s="59"/>
      <c r="G403" s="168">
        <v>1400000</v>
      </c>
      <c r="H403" t="s" s="61">
        <v>885</v>
      </c>
    </row>
    <row r="404" ht="21.25" customHeight="1">
      <c r="A404" t="s" s="8">
        <v>683</v>
      </c>
      <c r="B404" t="s" s="61">
        <v>62</v>
      </c>
      <c r="C404" s="166"/>
      <c r="D404" t="s" s="61">
        <v>62</v>
      </c>
      <c r="E404" t="s" s="61">
        <f>_xlfn.IFERROR(AVERAGE(B404:D404),"—")</f>
        <v>934</v>
      </c>
      <c r="F404" s="59"/>
      <c r="G404" s="168">
        <v>1700000</v>
      </c>
      <c r="H404" t="s" s="61">
        <v>885</v>
      </c>
    </row>
    <row r="405" ht="21.25" customHeight="1">
      <c r="A405" t="s" s="8">
        <v>436</v>
      </c>
      <c r="B405" t="s" s="61">
        <v>62</v>
      </c>
      <c r="C405" s="166"/>
      <c r="D405" t="s" s="61">
        <v>62</v>
      </c>
      <c r="E405" t="s" s="61">
        <f>_xlfn.IFERROR(AVERAGE(B405:D405),"—")</f>
        <v>934</v>
      </c>
      <c r="F405" s="59"/>
      <c r="G405" s="168">
        <v>4050000</v>
      </c>
      <c r="H405" t="s" s="61">
        <v>885</v>
      </c>
    </row>
    <row r="406" ht="21.25" customHeight="1">
      <c r="A406" t="s" s="8">
        <v>765</v>
      </c>
      <c r="B406" t="s" s="61">
        <v>62</v>
      </c>
      <c r="C406" s="166"/>
      <c r="D406" t="s" s="61">
        <v>62</v>
      </c>
      <c r="E406" t="s" s="61">
        <f>_xlfn.IFERROR(AVERAGE(B406:D406),"—")</f>
        <v>934</v>
      </c>
      <c r="F406" s="59"/>
      <c r="G406" s="168"/>
      <c r="H406" t="s" s="61">
        <v>885</v>
      </c>
    </row>
    <row r="407" ht="21.25" customHeight="1">
      <c r="A407" t="s" s="8">
        <v>691</v>
      </c>
      <c r="B407" t="s" s="61">
        <v>62</v>
      </c>
      <c r="C407" s="166"/>
      <c r="D407" t="s" s="61">
        <v>62</v>
      </c>
      <c r="E407" t="s" s="61">
        <f>_xlfn.IFERROR(AVERAGE(B407:D407),"—")</f>
        <v>934</v>
      </c>
      <c r="F407" s="59"/>
      <c r="G407" s="168">
        <v>1100000</v>
      </c>
      <c r="H407" t="s" s="61">
        <v>885</v>
      </c>
    </row>
    <row r="408" ht="21.25" customHeight="1">
      <c r="A408" t="s" s="8">
        <v>380</v>
      </c>
      <c r="B408" t="s" s="61">
        <v>62</v>
      </c>
      <c r="C408" s="166"/>
      <c r="D408" s="166">
        <v>384.65</v>
      </c>
      <c r="E408" s="166">
        <f>_xlfn.IFERROR(AVERAGE(B408:D408),"—")</f>
        <v>384.65</v>
      </c>
      <c r="F408" s="59"/>
      <c r="G408" s="168">
        <v>1000000</v>
      </c>
      <c r="H408" t="s" s="61">
        <v>885</v>
      </c>
    </row>
    <row r="409" ht="21.25" customHeight="1">
      <c r="A409" t="s" s="8">
        <v>462</v>
      </c>
      <c r="B409" s="166">
        <v>167.4</v>
      </c>
      <c r="C409" s="166"/>
      <c r="D409" t="s" s="61">
        <v>62</v>
      </c>
      <c r="E409" s="166">
        <f>_xlfn.IFERROR(AVERAGE(B409:D409),"—")</f>
        <v>167.4</v>
      </c>
      <c r="F409" s="59"/>
      <c r="G409" s="168">
        <v>3687500</v>
      </c>
      <c r="H409" t="s" s="61">
        <v>885</v>
      </c>
    </row>
    <row r="410" ht="21.25" customHeight="1">
      <c r="A410" t="s" s="8">
        <v>769</v>
      </c>
      <c r="B410" t="s" s="61">
        <v>62</v>
      </c>
      <c r="C410" s="166"/>
      <c r="D410" t="s" s="61">
        <v>62</v>
      </c>
      <c r="E410" t="s" s="61">
        <f>_xlfn.IFERROR(AVERAGE(B410:D410),"—")</f>
        <v>934</v>
      </c>
      <c r="F410" s="59"/>
      <c r="G410" s="168">
        <v>1800000</v>
      </c>
      <c r="H410" t="s" s="61">
        <v>885</v>
      </c>
    </row>
    <row r="411" ht="21.25" customHeight="1">
      <c r="A411" t="s" s="8">
        <v>723</v>
      </c>
      <c r="B411" t="s" s="61">
        <v>62</v>
      </c>
      <c r="C411" s="166"/>
      <c r="D411" t="s" s="61">
        <v>62</v>
      </c>
      <c r="E411" t="s" s="61">
        <f>_xlfn.IFERROR(AVERAGE(B411:D411),"—")</f>
        <v>934</v>
      </c>
      <c r="F411" s="59"/>
      <c r="G411" s="168">
        <v>785000</v>
      </c>
      <c r="H411" t="s" s="61">
        <v>885</v>
      </c>
    </row>
    <row r="412" ht="21.25" customHeight="1">
      <c r="A412" t="s" s="8">
        <v>452</v>
      </c>
      <c r="B412" t="s" s="61">
        <v>62</v>
      </c>
      <c r="C412" s="166"/>
      <c r="D412" t="s" s="61">
        <v>62</v>
      </c>
      <c r="E412" t="s" s="61">
        <f>_xlfn.IFERROR(AVERAGE(B412:D412),"—")</f>
        <v>934</v>
      </c>
      <c r="F412" s="59"/>
      <c r="G412" s="168">
        <v>4025000</v>
      </c>
      <c r="H412" t="s" s="61">
        <v>885</v>
      </c>
    </row>
    <row r="413" ht="21.25" customHeight="1">
      <c r="A413" t="s" s="8">
        <v>437</v>
      </c>
      <c r="B413" t="s" s="61">
        <v>62</v>
      </c>
      <c r="C413" s="166"/>
      <c r="D413" t="s" s="61">
        <v>62</v>
      </c>
      <c r="E413" t="s" s="61">
        <f>_xlfn.IFERROR(AVERAGE(B413:D413),"—")</f>
        <v>934</v>
      </c>
      <c r="F413" s="59"/>
      <c r="G413" s="168">
        <v>5450000</v>
      </c>
      <c r="H413" t="s" s="61">
        <v>885</v>
      </c>
    </row>
    <row r="414" ht="21.25" customHeight="1">
      <c r="A414" t="s" s="8">
        <v>731</v>
      </c>
      <c r="B414" t="s" s="61">
        <v>62</v>
      </c>
      <c r="C414" s="166"/>
      <c r="D414" t="s" s="61">
        <v>62</v>
      </c>
      <c r="E414" t="s" s="61">
        <f>_xlfn.IFERROR(AVERAGE(B414:D414),"—")</f>
        <v>934</v>
      </c>
      <c r="F414" s="59"/>
      <c r="G414" s="168">
        <v>900000</v>
      </c>
      <c r="H414" t="s" s="61">
        <v>885</v>
      </c>
    </row>
    <row r="415" ht="21.25" customHeight="1">
      <c r="A415" t="s" s="8">
        <v>407</v>
      </c>
      <c r="B415" t="s" s="61">
        <v>62</v>
      </c>
      <c r="C415" s="166"/>
      <c r="D415" s="166">
        <v>480.82</v>
      </c>
      <c r="E415" s="166">
        <f>_xlfn.IFERROR(AVERAGE(B415:D415),"—")</f>
        <v>480.82</v>
      </c>
      <c r="F415" s="59"/>
      <c r="G415" s="168">
        <v>6150000</v>
      </c>
      <c r="H415" t="s" s="61">
        <v>885</v>
      </c>
    </row>
    <row r="416" ht="21.25" customHeight="1">
      <c r="A416" t="s" s="8">
        <v>754</v>
      </c>
      <c r="B416" t="s" s="61">
        <v>62</v>
      </c>
      <c r="C416" s="166"/>
      <c r="D416" t="s" s="61">
        <v>62</v>
      </c>
      <c r="E416" t="s" s="61">
        <f>_xlfn.IFERROR(AVERAGE(B416:D416),"—")</f>
        <v>934</v>
      </c>
      <c r="F416" s="59"/>
      <c r="G416" s="168">
        <v>925000</v>
      </c>
      <c r="H416" t="s" s="61">
        <v>885</v>
      </c>
    </row>
    <row r="417" ht="21.25" customHeight="1">
      <c r="A417" t="s" s="8">
        <v>782</v>
      </c>
      <c r="B417" t="s" s="61">
        <v>62</v>
      </c>
      <c r="C417" s="166"/>
      <c r="D417" t="s" s="61">
        <v>62</v>
      </c>
      <c r="E417" t="s" s="61">
        <f>_xlfn.IFERROR(AVERAGE(B417:D417),"—")</f>
        <v>934</v>
      </c>
      <c r="F417" s="59"/>
      <c r="G417" s="168">
        <v>785700</v>
      </c>
      <c r="H417" t="s" s="61">
        <v>885</v>
      </c>
    </row>
    <row r="418" ht="21.25" customHeight="1">
      <c r="A418" t="s" s="8">
        <v>480</v>
      </c>
      <c r="B418" t="s" s="61">
        <v>62</v>
      </c>
      <c r="C418" s="166"/>
      <c r="D418" t="s" s="61">
        <v>62</v>
      </c>
      <c r="E418" t="s" s="61">
        <f>_xlfn.IFERROR(AVERAGE(B418:D418),"—")</f>
        <v>934</v>
      </c>
      <c r="F418" s="59"/>
      <c r="G418" s="168"/>
      <c r="H418" t="s" s="61">
        <v>885</v>
      </c>
    </row>
    <row r="419" ht="21.25" customHeight="1">
      <c r="A419" t="s" s="8">
        <v>701</v>
      </c>
      <c r="B419" t="s" s="61">
        <v>62</v>
      </c>
      <c r="C419" s="166"/>
      <c r="D419" t="s" s="61">
        <v>62</v>
      </c>
      <c r="E419" t="s" s="61">
        <f>_xlfn.IFERROR(AVERAGE(B419:D419),"—")</f>
        <v>934</v>
      </c>
      <c r="F419" s="59"/>
      <c r="G419" s="168">
        <v>1050000</v>
      </c>
      <c r="H419" t="s" s="61">
        <v>885</v>
      </c>
    </row>
    <row r="420" ht="21.25" customHeight="1">
      <c r="A420" t="s" s="8">
        <v>583</v>
      </c>
      <c r="B420" t="s" s="61">
        <v>62</v>
      </c>
      <c r="C420" s="166"/>
      <c r="D420" t="s" s="61">
        <v>62</v>
      </c>
      <c r="E420" t="s" s="61">
        <f>_xlfn.IFERROR(AVERAGE(B420:D420),"—")</f>
        <v>934</v>
      </c>
      <c r="F420" s="166"/>
      <c r="G420" s="168">
        <v>762500</v>
      </c>
      <c r="H420" t="s" s="61">
        <v>885</v>
      </c>
    </row>
    <row r="421" ht="21.25" customHeight="1">
      <c r="A421" t="s" s="8">
        <v>775</v>
      </c>
      <c r="B421" t="s" s="61">
        <v>62</v>
      </c>
      <c r="C421" s="166"/>
      <c r="D421" t="s" s="61">
        <v>62</v>
      </c>
      <c r="E421" t="s" s="61">
        <f>_xlfn.IFERROR(AVERAGE(B421:D421),"—")</f>
        <v>934</v>
      </c>
      <c r="F421" s="59"/>
      <c r="G421" s="168">
        <v>1350000</v>
      </c>
      <c r="H421" t="s" s="61">
        <v>885</v>
      </c>
    </row>
    <row r="422" ht="21.25" customHeight="1">
      <c r="A422" t="s" s="8">
        <v>711</v>
      </c>
      <c r="B422" t="s" s="61">
        <v>62</v>
      </c>
      <c r="C422" s="166"/>
      <c r="D422" t="s" s="61">
        <v>62</v>
      </c>
      <c r="E422" t="s" s="61">
        <f>_xlfn.IFERROR(AVERAGE(B422:D422),"—")</f>
        <v>934</v>
      </c>
      <c r="F422" s="59"/>
      <c r="G422" s="168">
        <v>2100000</v>
      </c>
      <c r="H422" t="s" s="61">
        <v>885</v>
      </c>
    </row>
    <row r="423" ht="21.25" customHeight="1">
      <c r="A423" t="s" s="8">
        <v>727</v>
      </c>
      <c r="B423" s="166">
        <v>155.7</v>
      </c>
      <c r="C423" s="166"/>
      <c r="D423" t="s" s="61">
        <v>62</v>
      </c>
      <c r="E423" s="166">
        <f>_xlfn.IFERROR(AVERAGE(B423:D423),"—")</f>
        <v>155.7</v>
      </c>
      <c r="F423" s="59"/>
      <c r="G423" s="168">
        <v>2500000</v>
      </c>
      <c r="H423" t="s" s="61">
        <v>885</v>
      </c>
    </row>
    <row r="424" ht="21.25" customHeight="1">
      <c r="A424" t="s" s="8">
        <v>801</v>
      </c>
      <c r="B424" t="s" s="61">
        <v>62</v>
      </c>
      <c r="C424" s="166"/>
      <c r="D424" t="s" s="61">
        <v>62</v>
      </c>
      <c r="E424" t="s" s="61">
        <f>_xlfn.IFERROR(AVERAGE(B424:D424),"—")</f>
        <v>934</v>
      </c>
      <c r="F424" s="59"/>
      <c r="G424" s="168">
        <v>775000</v>
      </c>
      <c r="H424" t="s" s="61">
        <v>885</v>
      </c>
    </row>
    <row r="425" ht="21.25" customHeight="1">
      <c r="A425" t="s" s="8">
        <v>785</v>
      </c>
      <c r="B425" t="s" s="61">
        <v>62</v>
      </c>
      <c r="C425" s="166"/>
      <c r="D425" t="s" s="61">
        <v>62</v>
      </c>
      <c r="E425" t="s" s="61">
        <f>_xlfn.IFERROR(AVERAGE(B425:D425),"—")</f>
        <v>934</v>
      </c>
      <c r="F425" s="59"/>
      <c r="G425" s="168">
        <v>1750000</v>
      </c>
      <c r="H425" t="s" s="61">
        <v>885</v>
      </c>
    </row>
    <row r="426" ht="21.25" customHeight="1">
      <c r="A426" t="s" s="8">
        <v>710</v>
      </c>
      <c r="B426" t="s" s="61">
        <v>62</v>
      </c>
      <c r="C426" s="166"/>
      <c r="D426" t="s" s="61">
        <v>62</v>
      </c>
      <c r="E426" t="s" s="61">
        <f>_xlfn.IFERROR(AVERAGE(B426:D426),"—")</f>
        <v>934</v>
      </c>
      <c r="F426" s="59"/>
      <c r="G426" s="168">
        <v>2406000</v>
      </c>
      <c r="H426" t="s" s="61">
        <v>885</v>
      </c>
    </row>
    <row r="427" ht="21.25" customHeight="1">
      <c r="A427" t="s" s="8">
        <v>825</v>
      </c>
      <c r="B427" t="s" s="61">
        <v>62</v>
      </c>
      <c r="C427" s="166"/>
      <c r="D427" t="s" s="61">
        <v>62</v>
      </c>
      <c r="E427" t="s" s="61">
        <f>_xlfn.IFERROR(AVERAGE(B427:D427),"—")</f>
        <v>934</v>
      </c>
      <c r="F427" s="59"/>
      <c r="G427" s="168">
        <v>1144000</v>
      </c>
      <c r="H427" t="s" s="61">
        <v>885</v>
      </c>
    </row>
    <row r="428" ht="21.25" customHeight="1">
      <c r="A428" t="s" s="8">
        <v>553</v>
      </c>
      <c r="B428" t="s" s="61">
        <v>62</v>
      </c>
      <c r="C428" s="166"/>
      <c r="D428" t="s" s="61">
        <v>62</v>
      </c>
      <c r="E428" t="s" s="61">
        <f>_xlfn.IFERROR(AVERAGE(B428:D428),"—")</f>
        <v>934</v>
      </c>
      <c r="F428" s="59"/>
      <c r="G428" s="168">
        <v>825000</v>
      </c>
      <c r="H428" t="s" s="61">
        <v>885</v>
      </c>
    </row>
    <row r="429" ht="21.25" customHeight="1">
      <c r="A429" t="s" s="8">
        <v>736</v>
      </c>
      <c r="B429" t="s" s="61">
        <v>62</v>
      </c>
      <c r="C429" s="166"/>
      <c r="D429" t="s" s="61">
        <v>62</v>
      </c>
      <c r="E429" t="s" s="61">
        <f>_xlfn.IFERROR(AVERAGE(B429:D429),"—")</f>
        <v>934</v>
      </c>
      <c r="F429" s="59"/>
      <c r="G429" s="168">
        <v>1100000</v>
      </c>
      <c r="H429" t="s" s="61">
        <v>885</v>
      </c>
    </row>
    <row r="430" ht="21.25" customHeight="1">
      <c r="A430" t="s" s="8">
        <v>831</v>
      </c>
      <c r="B430" t="s" s="61">
        <v>62</v>
      </c>
      <c r="C430" s="166"/>
      <c r="D430" t="s" s="61">
        <v>62</v>
      </c>
      <c r="E430" t="s" s="61">
        <f>_xlfn.IFERROR(AVERAGE(B430:D430),"—")</f>
        <v>934</v>
      </c>
      <c r="F430" s="59"/>
      <c r="G430" s="168">
        <v>1115000</v>
      </c>
      <c r="H430" t="s" s="61">
        <v>885</v>
      </c>
    </row>
    <row r="431" ht="21.25" customHeight="1">
      <c r="A431" t="s" s="8">
        <v>755</v>
      </c>
      <c r="B431" t="s" s="61">
        <v>62</v>
      </c>
      <c r="C431" s="166"/>
      <c r="D431" t="s" s="61">
        <v>62</v>
      </c>
      <c r="E431" t="s" s="61">
        <f>_xlfn.IFERROR(AVERAGE(B431:D431),"—")</f>
        <v>934</v>
      </c>
      <c r="F431" s="166"/>
      <c r="G431" s="168">
        <v>1900000</v>
      </c>
      <c r="H431" t="s" s="61">
        <v>885</v>
      </c>
    </row>
    <row r="432" ht="21.25" customHeight="1">
      <c r="A432" t="s" s="8">
        <v>753</v>
      </c>
      <c r="B432" t="s" s="61">
        <v>62</v>
      </c>
      <c r="C432" s="166"/>
      <c r="D432" t="s" s="61">
        <v>62</v>
      </c>
      <c r="E432" t="s" s="61">
        <f>_xlfn.IFERROR(AVERAGE(B432:D432),"—")</f>
        <v>934</v>
      </c>
      <c r="F432" s="59"/>
      <c r="G432" s="168">
        <v>835833</v>
      </c>
      <c r="H432" t="s" s="61">
        <v>885</v>
      </c>
    </row>
    <row r="433" ht="21.25" customHeight="1">
      <c r="A433" t="s" s="8">
        <v>718</v>
      </c>
      <c r="B433" t="s" s="61">
        <v>62</v>
      </c>
      <c r="C433" s="166"/>
      <c r="D433" t="s" s="61">
        <v>62</v>
      </c>
      <c r="E433" t="s" s="61">
        <f>_xlfn.IFERROR(AVERAGE(B433:D433),"—")</f>
        <v>934</v>
      </c>
      <c r="F433" s="59"/>
      <c r="G433" s="168"/>
      <c r="H433" t="s" s="61">
        <v>885</v>
      </c>
    </row>
    <row r="434" ht="21.25" customHeight="1">
      <c r="A434" t="s" s="8">
        <v>786</v>
      </c>
      <c r="B434" t="s" s="61">
        <v>62</v>
      </c>
      <c r="C434" s="166"/>
      <c r="D434" t="s" s="61">
        <v>62</v>
      </c>
      <c r="E434" t="s" s="61">
        <f>_xlfn.IFERROR(AVERAGE(B434:D434),"—")</f>
        <v>934</v>
      </c>
      <c r="F434" s="59"/>
      <c r="G434" s="168"/>
      <c r="H434" t="s" s="61">
        <v>885</v>
      </c>
    </row>
    <row r="435" ht="21.25" customHeight="1">
      <c r="A435" t="s" s="8">
        <v>690</v>
      </c>
      <c r="B435" t="s" s="61">
        <v>62</v>
      </c>
      <c r="C435" s="166"/>
      <c r="D435" t="s" s="61">
        <v>62</v>
      </c>
      <c r="E435" t="s" s="61">
        <f>_xlfn.IFERROR(AVERAGE(B435:D435),"—")</f>
        <v>934</v>
      </c>
      <c r="F435" s="59"/>
      <c r="G435" s="168">
        <v>1915000</v>
      </c>
      <c r="H435" t="s" s="61">
        <v>885</v>
      </c>
    </row>
    <row r="436" ht="21.25" customHeight="1">
      <c r="A436" t="s" s="8">
        <v>559</v>
      </c>
      <c r="B436" t="s" s="61">
        <v>62</v>
      </c>
      <c r="C436" s="166"/>
      <c r="D436" t="s" s="61">
        <v>62</v>
      </c>
      <c r="E436" t="s" s="61">
        <f>_xlfn.IFERROR(AVERAGE(B436:D436),"—")</f>
        <v>934</v>
      </c>
      <c r="F436" s="59"/>
      <c r="G436" s="168"/>
      <c r="H436" t="s" s="61">
        <v>885</v>
      </c>
    </row>
    <row r="437" ht="21.25" customHeight="1">
      <c r="A437" t="s" s="8">
        <v>760</v>
      </c>
      <c r="B437" t="s" s="61">
        <v>62</v>
      </c>
      <c r="C437" s="166"/>
      <c r="D437" t="s" s="61">
        <v>62</v>
      </c>
      <c r="E437" t="s" s="61">
        <f>_xlfn.IFERROR(AVERAGE(B437:D437),"—")</f>
        <v>934</v>
      </c>
      <c r="F437" s="166"/>
      <c r="G437" s="168">
        <v>1300000</v>
      </c>
      <c r="H437" t="s" s="61">
        <v>885</v>
      </c>
    </row>
    <row r="438" ht="21.25" customHeight="1">
      <c r="A438" t="s" s="8">
        <v>768</v>
      </c>
      <c r="B438" t="s" s="61">
        <v>62</v>
      </c>
      <c r="C438" s="166"/>
      <c r="D438" t="s" s="61">
        <v>62</v>
      </c>
      <c r="E438" t="s" s="61">
        <f>_xlfn.IFERROR(AVERAGE(B438:D438),"—")</f>
        <v>934</v>
      </c>
      <c r="F438" s="59"/>
      <c r="G438" s="168">
        <v>1400000</v>
      </c>
      <c r="H438" t="s" s="61">
        <v>885</v>
      </c>
    </row>
    <row r="439" ht="21.25" customHeight="1">
      <c r="A439" t="s" s="8">
        <v>435</v>
      </c>
      <c r="B439" t="s" s="61">
        <v>62</v>
      </c>
      <c r="C439" s="166"/>
      <c r="D439" s="166">
        <v>246</v>
      </c>
      <c r="E439" s="166">
        <f>_xlfn.IFERROR(AVERAGE(B439:D439),"—")</f>
        <v>246</v>
      </c>
      <c r="F439" s="166"/>
      <c r="G439" s="168">
        <v>5100000</v>
      </c>
      <c r="H439" t="s" s="61">
        <v>885</v>
      </c>
    </row>
    <row r="440" ht="21.25" customHeight="1">
      <c r="A440" t="s" s="8">
        <v>502</v>
      </c>
      <c r="B440" t="s" s="61">
        <v>62</v>
      </c>
      <c r="C440" s="166"/>
      <c r="D440" t="s" s="61">
        <v>62</v>
      </c>
      <c r="E440" t="s" s="61">
        <f>_xlfn.IFERROR(AVERAGE(B440:D440),"—")</f>
        <v>934</v>
      </c>
      <c r="F440" s="59"/>
      <c r="G440" s="168">
        <v>2333000</v>
      </c>
      <c r="H440" t="s" s="61">
        <v>885</v>
      </c>
    </row>
    <row r="441" ht="21.25" customHeight="1">
      <c r="A441" t="s" s="8">
        <v>471</v>
      </c>
      <c r="B441" t="s" s="61">
        <v>62</v>
      </c>
      <c r="C441" s="166"/>
      <c r="D441" t="s" s="61">
        <v>62</v>
      </c>
      <c r="E441" t="s" s="61">
        <f>_xlfn.IFERROR(AVERAGE(B441:D441),"—")</f>
        <v>934</v>
      </c>
      <c r="F441" s="59"/>
      <c r="G441" s="168">
        <v>5200000</v>
      </c>
      <c r="H441" t="s" s="61">
        <v>885</v>
      </c>
    </row>
    <row r="442" ht="21.25" customHeight="1">
      <c r="A442" t="s" s="8">
        <v>523</v>
      </c>
      <c r="B442" t="s" s="61">
        <v>62</v>
      </c>
      <c r="C442" s="166"/>
      <c r="D442" t="s" s="61">
        <v>62</v>
      </c>
      <c r="E442" t="s" s="61">
        <f>_xlfn.IFERROR(AVERAGE(B442:D442),"—")</f>
        <v>934</v>
      </c>
      <c r="F442" s="59"/>
      <c r="G442" s="168">
        <v>825000</v>
      </c>
      <c r="H442" t="s" s="61">
        <v>885</v>
      </c>
    </row>
    <row r="443" ht="21.25" customHeight="1">
      <c r="A443" t="s" s="8">
        <v>735</v>
      </c>
      <c r="B443" t="s" s="61">
        <v>62</v>
      </c>
      <c r="C443" s="166"/>
      <c r="D443" t="s" s="61">
        <v>62</v>
      </c>
      <c r="E443" t="s" s="61">
        <f>_xlfn.IFERROR(AVERAGE(B443:D443),"—")</f>
        <v>934</v>
      </c>
      <c r="F443" s="59"/>
      <c r="G443" s="168">
        <v>1853000</v>
      </c>
      <c r="H443" t="s" s="61">
        <v>885</v>
      </c>
    </row>
    <row r="444" ht="21.25" customHeight="1">
      <c r="A444" t="s" s="8">
        <v>821</v>
      </c>
      <c r="B444" t="s" s="61">
        <v>62</v>
      </c>
      <c r="C444" s="166"/>
      <c r="D444" t="s" s="61">
        <v>62</v>
      </c>
      <c r="E444" t="s" s="61">
        <f>_xlfn.IFERROR(AVERAGE(B444:D444),"—")</f>
        <v>934</v>
      </c>
      <c r="F444" s="59"/>
      <c r="G444" s="168"/>
      <c r="H444" t="s" s="61">
        <v>885</v>
      </c>
    </row>
    <row r="445" ht="21.25" customHeight="1">
      <c r="A445" t="s" s="8">
        <v>481</v>
      </c>
      <c r="B445" t="s" s="61">
        <v>62</v>
      </c>
      <c r="C445" s="166"/>
      <c r="D445" t="s" s="61">
        <v>62</v>
      </c>
      <c r="E445" t="s" s="61">
        <f>_xlfn.IFERROR(AVERAGE(B445:D445),"—")</f>
        <v>934</v>
      </c>
      <c r="F445" s="59"/>
      <c r="G445" s="168">
        <v>4400000</v>
      </c>
      <c r="H445" t="s" s="61">
        <v>885</v>
      </c>
    </row>
    <row r="446" ht="21.25" customHeight="1">
      <c r="A446" t="s" s="8">
        <v>756</v>
      </c>
      <c r="B446" t="s" s="61">
        <v>62</v>
      </c>
      <c r="C446" s="166"/>
      <c r="D446" t="s" s="61">
        <v>62</v>
      </c>
      <c r="E446" t="s" s="61">
        <f>_xlfn.IFERROR(AVERAGE(B446:D446),"—")</f>
        <v>934</v>
      </c>
      <c r="F446" s="59"/>
      <c r="G446" s="168">
        <v>2000000</v>
      </c>
      <c r="H446" t="s" s="61">
        <v>885</v>
      </c>
    </row>
    <row r="447" ht="21.25" customHeight="1">
      <c r="A447" t="s" s="8">
        <v>792</v>
      </c>
      <c r="B447" t="s" s="61">
        <v>62</v>
      </c>
      <c r="C447" s="166"/>
      <c r="D447" t="s" s="61">
        <v>62</v>
      </c>
      <c r="E447" t="s" s="61">
        <f>_xlfn.IFERROR(AVERAGE(B447:D447),"—")</f>
        <v>934</v>
      </c>
      <c r="F447" s="59"/>
      <c r="G447" s="168">
        <v>850000</v>
      </c>
      <c r="H447" t="s" s="61">
        <v>885</v>
      </c>
    </row>
    <row r="448" ht="21.25" customHeight="1">
      <c r="A448" t="s" s="8">
        <v>742</v>
      </c>
      <c r="B448" t="s" s="61">
        <v>62</v>
      </c>
      <c r="C448" s="166"/>
      <c r="D448" t="s" s="61">
        <v>62</v>
      </c>
      <c r="E448" t="s" s="61">
        <f>_xlfn.IFERROR(AVERAGE(B448:D448),"—")</f>
        <v>934</v>
      </c>
      <c r="F448" s="166"/>
      <c r="G448" s="168">
        <v>2000000</v>
      </c>
      <c r="H448" t="s" s="61">
        <v>885</v>
      </c>
    </row>
    <row r="449" ht="21.25" customHeight="1">
      <c r="A449" t="s" s="8">
        <v>534</v>
      </c>
      <c r="B449" t="s" s="61">
        <v>62</v>
      </c>
      <c r="C449" s="166"/>
      <c r="D449" t="s" s="61">
        <v>62</v>
      </c>
      <c r="E449" t="s" s="61">
        <f>_xlfn.IFERROR(AVERAGE(B449:D449),"—")</f>
        <v>934</v>
      </c>
      <c r="F449" s="59"/>
      <c r="G449" s="168">
        <v>2500000</v>
      </c>
      <c r="H449" t="s" s="61">
        <v>885</v>
      </c>
    </row>
    <row r="450" ht="21.25" customHeight="1">
      <c r="A450" t="s" s="8">
        <v>828</v>
      </c>
      <c r="B450" t="s" s="61">
        <v>62</v>
      </c>
      <c r="C450" s="166"/>
      <c r="D450" t="s" s="61">
        <v>62</v>
      </c>
      <c r="E450" t="s" s="61">
        <f>_xlfn.IFERROR(AVERAGE(B450:D450),"—")</f>
        <v>934</v>
      </c>
      <c r="F450" s="59"/>
      <c r="G450" s="168">
        <v>800000</v>
      </c>
      <c r="H450" t="s" s="61">
        <v>885</v>
      </c>
    </row>
    <row r="451" ht="21.25" customHeight="1">
      <c r="A451" t="s" s="8">
        <v>780</v>
      </c>
      <c r="B451" t="s" s="61">
        <v>62</v>
      </c>
      <c r="C451" s="166"/>
      <c r="D451" t="s" s="61">
        <v>62</v>
      </c>
      <c r="E451" t="s" s="61">
        <f>_xlfn.IFERROR(AVERAGE(B451:D451),"—")</f>
        <v>934</v>
      </c>
      <c r="F451" s="59"/>
      <c r="G451" s="168">
        <v>800000</v>
      </c>
      <c r="H451" t="s" s="61">
        <v>885</v>
      </c>
    </row>
    <row r="452" ht="21.25" customHeight="1">
      <c r="A452" t="s" s="8">
        <v>743</v>
      </c>
      <c r="B452" t="s" s="61">
        <v>62</v>
      </c>
      <c r="C452" s="166"/>
      <c r="D452" t="s" s="61">
        <v>62</v>
      </c>
      <c r="E452" t="s" s="61">
        <f>_xlfn.IFERROR(AVERAGE(B452:D452),"—")</f>
        <v>934</v>
      </c>
      <c r="F452" s="59"/>
      <c r="G452" s="168">
        <v>3000000</v>
      </c>
      <c r="H452" t="s" s="61">
        <v>885</v>
      </c>
    </row>
    <row r="453" ht="21.25" customHeight="1">
      <c r="A453" t="s" s="8">
        <v>661</v>
      </c>
      <c r="B453" t="s" s="61">
        <v>62</v>
      </c>
      <c r="C453" s="166"/>
      <c r="D453" t="s" s="61">
        <v>62</v>
      </c>
      <c r="E453" t="s" s="61">
        <f>_xlfn.IFERROR(AVERAGE(B453:D453),"—")</f>
        <v>934</v>
      </c>
      <c r="F453" s="59"/>
      <c r="G453" s="168">
        <v>5250000</v>
      </c>
      <c r="H453" t="s" s="61">
        <v>885</v>
      </c>
    </row>
    <row r="454" ht="21.25" customHeight="1">
      <c r="A454" t="s" s="8">
        <v>748</v>
      </c>
      <c r="B454" t="s" s="61">
        <v>62</v>
      </c>
      <c r="C454" s="166"/>
      <c r="D454" t="s" s="61">
        <v>62</v>
      </c>
      <c r="E454" t="s" s="61">
        <f>_xlfn.IFERROR(AVERAGE(B454:D454),"—")</f>
        <v>934</v>
      </c>
      <c r="F454" s="59"/>
      <c r="G454" s="168">
        <v>1250000</v>
      </c>
      <c r="H454" t="s" s="61">
        <v>885</v>
      </c>
    </row>
    <row r="455" ht="21.25" customHeight="1">
      <c r="A455" t="s" s="8">
        <v>456</v>
      </c>
      <c r="B455" t="s" s="61">
        <v>62</v>
      </c>
      <c r="C455" s="166"/>
      <c r="D455" t="s" s="61">
        <v>62</v>
      </c>
      <c r="E455" t="s" s="61">
        <f>_xlfn.IFERROR(AVERAGE(B455:D455),"—")</f>
        <v>934</v>
      </c>
      <c r="F455" s="59"/>
      <c r="G455" s="168">
        <v>5950000</v>
      </c>
      <c r="H455" t="s" s="61">
        <v>885</v>
      </c>
    </row>
    <row r="456" ht="21.25" customHeight="1">
      <c r="A456" t="s" s="8">
        <v>685</v>
      </c>
      <c r="B456" t="s" s="61">
        <v>62</v>
      </c>
      <c r="C456" s="166"/>
      <c r="D456" t="s" s="61">
        <v>62</v>
      </c>
      <c r="E456" t="s" s="61">
        <f>_xlfn.IFERROR(AVERAGE(B456:D456),"—")</f>
        <v>934</v>
      </c>
      <c r="F456" s="59"/>
      <c r="G456" s="168">
        <v>4000000</v>
      </c>
      <c r="H456" t="s" s="61">
        <v>885</v>
      </c>
    </row>
    <row r="457" ht="21.25" customHeight="1">
      <c r="A457" t="s" s="8">
        <v>432</v>
      </c>
      <c r="B457" s="166">
        <v>165.3</v>
      </c>
      <c r="C457" s="166"/>
      <c r="D457" t="s" s="61">
        <v>62</v>
      </c>
      <c r="E457" s="166">
        <f>_xlfn.IFERROR(AVERAGE(B457:D457),"—")</f>
        <v>165.3</v>
      </c>
      <c r="F457" s="59"/>
      <c r="G457" s="168">
        <v>5800000</v>
      </c>
      <c r="H457" t="s" s="61">
        <v>885</v>
      </c>
    </row>
    <row r="458" ht="21.25" customHeight="1">
      <c r="A458" t="s" s="8">
        <v>427</v>
      </c>
      <c r="B458" t="s" s="61">
        <v>62</v>
      </c>
      <c r="C458" s="166"/>
      <c r="D458" s="166">
        <v>291.37</v>
      </c>
      <c r="E458" s="166">
        <f>_xlfn.IFERROR(AVERAGE(B458:D458),"—")</f>
        <v>291.37</v>
      </c>
      <c r="F458" s="59"/>
      <c r="G458" s="168">
        <v>3400000</v>
      </c>
      <c r="H458" t="s" s="61">
        <v>885</v>
      </c>
    </row>
    <row r="459" ht="21.25" customHeight="1">
      <c r="A459" t="s" s="8">
        <v>757</v>
      </c>
      <c r="B459" s="166">
        <v>163.9</v>
      </c>
      <c r="C459" s="166"/>
      <c r="D459" t="s" s="61">
        <v>62</v>
      </c>
      <c r="E459" s="166">
        <f>_xlfn.IFERROR(AVERAGE(B459:D459),"—")</f>
        <v>163.9</v>
      </c>
      <c r="F459" s="59"/>
      <c r="G459" s="168">
        <v>1400000</v>
      </c>
      <c r="H459" t="s" s="61">
        <v>885</v>
      </c>
    </row>
    <row r="460" ht="21.25" customHeight="1">
      <c r="A460" t="s" s="8">
        <v>478</v>
      </c>
      <c r="B460" t="s" s="61">
        <v>62</v>
      </c>
      <c r="C460" s="166"/>
      <c r="D460" t="s" s="61">
        <v>62</v>
      </c>
      <c r="E460" t="s" s="61">
        <f>_xlfn.IFERROR(AVERAGE(B460:D460),"—")</f>
        <v>934</v>
      </c>
      <c r="F460" s="59"/>
      <c r="G460" s="168">
        <v>3250000</v>
      </c>
      <c r="H460" t="s" s="61">
        <v>885</v>
      </c>
    </row>
    <row r="461" ht="21.25" customHeight="1">
      <c r="A461" t="s" s="8">
        <v>490</v>
      </c>
      <c r="B461" s="166">
        <v>164.1</v>
      </c>
      <c r="C461" s="166"/>
      <c r="D461" s="166">
        <v>402.4</v>
      </c>
      <c r="E461" s="166">
        <f>_xlfn.IFERROR(AVERAGE(B461:D461),"—")</f>
        <v>283.25</v>
      </c>
      <c r="F461" s="59"/>
      <c r="G461" s="168">
        <v>2000000</v>
      </c>
      <c r="H461" t="s" s="61">
        <v>885</v>
      </c>
    </row>
    <row r="462" ht="21.25" customHeight="1">
      <c r="A462" t="s" s="8">
        <v>744</v>
      </c>
      <c r="B462" t="s" s="61">
        <v>62</v>
      </c>
      <c r="C462" s="166"/>
      <c r="D462" t="s" s="61">
        <v>62</v>
      </c>
      <c r="E462" t="s" s="61">
        <f>_xlfn.IFERROR(AVERAGE(B462:D462),"—")</f>
        <v>934</v>
      </c>
      <c r="F462" s="59"/>
      <c r="G462" s="168">
        <v>1300000</v>
      </c>
      <c r="H462" t="s" s="61">
        <v>885</v>
      </c>
    </row>
    <row r="463" ht="21.25" customHeight="1">
      <c r="A463" t="s" s="8">
        <v>454</v>
      </c>
      <c r="B463" t="s" s="61">
        <v>62</v>
      </c>
      <c r="C463" s="166"/>
      <c r="D463" t="s" s="61">
        <v>62</v>
      </c>
      <c r="E463" t="s" s="61">
        <f>_xlfn.IFERROR(AVERAGE(B463:D463),"—")</f>
        <v>934</v>
      </c>
      <c r="F463" s="59"/>
      <c r="G463" s="168">
        <v>3500000</v>
      </c>
      <c r="H463" t="s" s="61">
        <v>885</v>
      </c>
    </row>
    <row r="464" ht="21.25" customHeight="1">
      <c r="A464" t="s" s="8">
        <v>470</v>
      </c>
      <c r="B464" t="s" s="61">
        <v>62</v>
      </c>
      <c r="C464" s="166"/>
      <c r="D464" t="s" s="61">
        <v>62</v>
      </c>
      <c r="E464" t="s" s="61">
        <f>_xlfn.IFERROR(AVERAGE(B464:D464),"—")</f>
        <v>934</v>
      </c>
      <c r="F464" s="59"/>
      <c r="G464" s="168">
        <v>6750000</v>
      </c>
      <c r="H464" t="s" s="61">
        <v>885</v>
      </c>
    </row>
    <row r="465" ht="21.25" customHeight="1">
      <c r="A465" t="s" s="8">
        <v>835</v>
      </c>
      <c r="B465" t="s" s="61">
        <v>62</v>
      </c>
      <c r="C465" s="166"/>
      <c r="D465" t="s" s="61">
        <v>62</v>
      </c>
      <c r="E465" t="s" s="61">
        <f>_xlfn.IFERROR(AVERAGE(B465:D465),"—")</f>
        <v>934</v>
      </c>
      <c r="F465" s="59"/>
      <c r="G465" s="168">
        <v>883750</v>
      </c>
      <c r="H465" t="s" s="61">
        <v>885</v>
      </c>
    </row>
    <row r="466" ht="21.25" customHeight="1">
      <c r="A466" t="s" s="8">
        <v>741</v>
      </c>
      <c r="B466" t="s" s="61">
        <v>62</v>
      </c>
      <c r="C466" s="166"/>
      <c r="D466" t="s" s="61">
        <v>62</v>
      </c>
      <c r="E466" t="s" s="61">
        <f>_xlfn.IFERROR(AVERAGE(B466:D466),"—")</f>
        <v>934</v>
      </c>
      <c r="F466" s="59"/>
      <c r="G466" s="168">
        <v>1350000</v>
      </c>
      <c r="H466" t="s" s="61">
        <v>885</v>
      </c>
    </row>
    <row r="467" ht="21.25" customHeight="1">
      <c r="A467" t="s" s="8">
        <v>774</v>
      </c>
      <c r="B467" t="s" s="61">
        <v>62</v>
      </c>
      <c r="C467" s="166"/>
      <c r="D467" s="166">
        <v>457.5</v>
      </c>
      <c r="E467" s="166">
        <f>_xlfn.IFERROR(AVERAGE(B467:D467),"—")</f>
        <v>457.5</v>
      </c>
      <c r="F467" s="59"/>
      <c r="G467" s="168">
        <v>1937000</v>
      </c>
      <c r="H467" t="s" s="61">
        <v>885</v>
      </c>
    </row>
    <row r="468" ht="21.25" customHeight="1">
      <c r="A468" t="s" s="8">
        <v>443</v>
      </c>
      <c r="B468" t="s" s="61">
        <v>62</v>
      </c>
      <c r="C468" s="166"/>
      <c r="D468" s="166">
        <v>489.5</v>
      </c>
      <c r="E468" s="166">
        <f>_xlfn.IFERROR(AVERAGE(B468:D468),"—")</f>
        <v>489.5</v>
      </c>
      <c r="F468" s="59"/>
      <c r="G468" s="168">
        <v>3150000</v>
      </c>
      <c r="H468" t="s" s="61">
        <v>885</v>
      </c>
    </row>
    <row r="469" ht="21.25" customHeight="1">
      <c r="A469" t="s" s="8">
        <v>733</v>
      </c>
      <c r="B469" t="s" s="61">
        <v>62</v>
      </c>
      <c r="C469" s="166"/>
      <c r="D469" s="166">
        <v>455.5</v>
      </c>
      <c r="E469" s="166">
        <f>_xlfn.IFERROR(AVERAGE(B469:D469),"—")</f>
        <v>455.5</v>
      </c>
      <c r="F469" s="59"/>
      <c r="G469" s="168">
        <v>2450000</v>
      </c>
      <c r="H469" t="s" s="61">
        <v>885</v>
      </c>
    </row>
    <row r="470" ht="21.25" customHeight="1">
      <c r="A470" t="s" s="8">
        <v>759</v>
      </c>
      <c r="B470" t="s" s="61">
        <v>62</v>
      </c>
      <c r="C470" s="166"/>
      <c r="D470" t="s" s="61">
        <v>62</v>
      </c>
      <c r="E470" t="s" s="61">
        <f>_xlfn.IFERROR(AVERAGE(B470:D470),"—")</f>
        <v>934</v>
      </c>
      <c r="F470" s="59"/>
      <c r="G470" s="168">
        <v>1125000</v>
      </c>
      <c r="H470" t="s" s="61">
        <v>885</v>
      </c>
    </row>
    <row r="471" ht="21.25" customHeight="1">
      <c r="A471" t="s" s="8">
        <v>789</v>
      </c>
      <c r="B471" t="s" s="61">
        <v>62</v>
      </c>
      <c r="C471" s="166"/>
      <c r="D471" t="s" s="61">
        <v>62</v>
      </c>
      <c r="E471" t="s" s="61">
        <f>_xlfn.IFERROR(AVERAGE(B471:D471),"—")</f>
        <v>934</v>
      </c>
      <c r="F471" s="59"/>
      <c r="G471" s="168">
        <v>1295000</v>
      </c>
      <c r="H471" t="s" s="61">
        <v>885</v>
      </c>
    </row>
    <row r="472" ht="21.25" customHeight="1">
      <c r="A472" t="s" s="8">
        <v>813</v>
      </c>
      <c r="B472" t="s" s="61">
        <v>62</v>
      </c>
      <c r="C472" s="166"/>
      <c r="D472" t="s" s="61">
        <v>62</v>
      </c>
      <c r="E472" t="s" s="61">
        <f>_xlfn.IFERROR(AVERAGE(B472:D472),"—")</f>
        <v>934</v>
      </c>
      <c r="F472" s="59"/>
      <c r="G472" s="168">
        <v>825000</v>
      </c>
      <c r="H472" t="s" s="61">
        <v>885</v>
      </c>
    </row>
    <row r="473" ht="21.25" customHeight="1">
      <c r="A473" t="s" s="8">
        <v>518</v>
      </c>
      <c r="B473" t="s" s="61">
        <v>62</v>
      </c>
      <c r="C473" s="166"/>
      <c r="D473" t="s" s="61">
        <v>62</v>
      </c>
      <c r="E473" t="s" s="61">
        <f>_xlfn.IFERROR(AVERAGE(B473:D473),"—")</f>
        <v>934</v>
      </c>
      <c r="F473" s="59"/>
      <c r="G473" s="168">
        <v>4285714</v>
      </c>
      <c r="H473" t="s" s="61">
        <v>885</v>
      </c>
    </row>
    <row r="474" ht="21.25" customHeight="1">
      <c r="A474" t="s" s="8">
        <v>747</v>
      </c>
      <c r="B474" t="s" s="61">
        <v>62</v>
      </c>
      <c r="C474" s="166"/>
      <c r="D474" t="s" s="61">
        <v>62</v>
      </c>
      <c r="E474" t="s" s="61">
        <f>_xlfn.IFERROR(AVERAGE(B474:D474),"—")</f>
        <v>934</v>
      </c>
      <c r="F474" s="59"/>
      <c r="G474" s="168">
        <v>1000000</v>
      </c>
      <c r="H474" t="s" s="61">
        <v>885</v>
      </c>
    </row>
    <row r="475" ht="21.25" customHeight="1">
      <c r="A475" t="s" s="8">
        <v>849</v>
      </c>
      <c r="B475" t="s" s="61">
        <v>62</v>
      </c>
      <c r="C475" s="166"/>
      <c r="D475" t="s" s="61">
        <v>62</v>
      </c>
      <c r="E475" t="s" s="61">
        <f>_xlfn.IFERROR(AVERAGE(B475:D475),"—")</f>
        <v>934</v>
      </c>
      <c r="F475" s="59"/>
      <c r="G475" s="168">
        <v>863333</v>
      </c>
      <c r="H475" t="s" s="61">
        <v>885</v>
      </c>
    </row>
    <row r="476" ht="21.25" customHeight="1">
      <c r="A476" t="s" s="8">
        <v>475</v>
      </c>
      <c r="B476" s="166">
        <v>176</v>
      </c>
      <c r="C476" s="166"/>
      <c r="D476" s="166">
        <v>442.07</v>
      </c>
      <c r="E476" s="166">
        <f>_xlfn.IFERROR(AVERAGE(B476:D476),"—")</f>
        <v>309.035</v>
      </c>
      <c r="F476" s="59"/>
      <c r="G476" s="168">
        <v>2675000</v>
      </c>
      <c r="H476" t="s" s="61">
        <v>885</v>
      </c>
    </row>
    <row r="477" ht="21.25" customHeight="1">
      <c r="A477" t="s" s="8">
        <v>795</v>
      </c>
      <c r="B477" t="s" s="61">
        <v>62</v>
      </c>
      <c r="C477" s="166"/>
      <c r="D477" t="s" s="61">
        <v>62</v>
      </c>
      <c r="E477" t="s" s="61">
        <f>_xlfn.IFERROR(AVERAGE(B477:D477),"—")</f>
        <v>934</v>
      </c>
      <c r="F477" s="59"/>
      <c r="G477" s="168">
        <v>1400000</v>
      </c>
      <c r="H477" t="s" s="61">
        <v>885</v>
      </c>
    </row>
    <row r="478" ht="21.25" customHeight="1">
      <c r="A478" t="s" s="8">
        <v>528</v>
      </c>
      <c r="B478" t="s" s="61">
        <v>62</v>
      </c>
      <c r="C478" s="166"/>
      <c r="D478" t="s" s="61">
        <v>62</v>
      </c>
      <c r="E478" t="s" s="61">
        <f>_xlfn.IFERROR(AVERAGE(B478:D478),"—")</f>
        <v>934</v>
      </c>
      <c r="F478" s="59"/>
      <c r="G478" s="168">
        <v>2000000</v>
      </c>
      <c r="H478" t="s" s="61">
        <v>885</v>
      </c>
    </row>
    <row r="479" ht="21.25" customHeight="1">
      <c r="A479" t="s" s="8">
        <v>517</v>
      </c>
      <c r="B479" t="s" s="61">
        <v>62</v>
      </c>
      <c r="C479" s="166"/>
      <c r="D479" t="s" s="61">
        <v>62</v>
      </c>
      <c r="E479" t="s" s="61">
        <f>_xlfn.IFERROR(AVERAGE(B479:D479),"—")</f>
        <v>934</v>
      </c>
      <c r="F479" s="166"/>
      <c r="G479" s="168">
        <v>5000000</v>
      </c>
      <c r="H479" t="s" s="61">
        <v>885</v>
      </c>
    </row>
    <row r="480" ht="21.25" customHeight="1">
      <c r="A480" t="s" s="8">
        <v>529</v>
      </c>
      <c r="B480" t="s" s="61">
        <v>62</v>
      </c>
      <c r="C480" s="166"/>
      <c r="D480" t="s" s="61">
        <v>62</v>
      </c>
      <c r="E480" t="s" s="61">
        <f>_xlfn.IFERROR(AVERAGE(B480:D480),"—")</f>
        <v>934</v>
      </c>
      <c r="F480" s="59"/>
      <c r="G480" s="168">
        <v>3000000</v>
      </c>
      <c r="H480" t="s" s="61">
        <v>885</v>
      </c>
    </row>
    <row r="481" ht="21.25" customHeight="1">
      <c r="A481" t="s" s="8">
        <v>505</v>
      </c>
      <c r="B481" t="s" s="61">
        <v>62</v>
      </c>
      <c r="C481" s="166"/>
      <c r="D481" t="s" s="61">
        <v>62</v>
      </c>
      <c r="E481" t="s" s="61">
        <f>_xlfn.IFERROR(AVERAGE(B481:D481),"—")</f>
        <v>934</v>
      </c>
      <c r="F481" s="59"/>
      <c r="G481" s="168">
        <v>3000000</v>
      </c>
      <c r="H481" t="s" s="61">
        <v>885</v>
      </c>
    </row>
    <row r="482" ht="21.25" customHeight="1">
      <c r="A482" t="s" s="8">
        <v>752</v>
      </c>
      <c r="B482" t="s" s="61">
        <v>62</v>
      </c>
      <c r="C482" s="166"/>
      <c r="D482" t="s" s="61">
        <v>62</v>
      </c>
      <c r="E482" t="s" s="61">
        <f>_xlfn.IFERROR(AVERAGE(B482:D482),"—")</f>
        <v>934</v>
      </c>
      <c r="F482" s="59"/>
      <c r="G482" s="168">
        <v>1701000</v>
      </c>
      <c r="H482" t="s" s="61">
        <v>885</v>
      </c>
    </row>
    <row r="483" ht="21.25" customHeight="1">
      <c r="A483" t="s" s="8">
        <v>761</v>
      </c>
      <c r="B483" t="s" s="61">
        <v>62</v>
      </c>
      <c r="C483" s="166"/>
      <c r="D483" t="s" s="61">
        <v>62</v>
      </c>
      <c r="E483" t="s" s="61">
        <f>_xlfn.IFERROR(AVERAGE(B483:D483),"—")</f>
        <v>934</v>
      </c>
      <c r="F483" s="59"/>
      <c r="G483" s="168">
        <v>2500000</v>
      </c>
      <c r="H483" t="s" s="61">
        <v>885</v>
      </c>
    </row>
    <row r="484" ht="21.25" customHeight="1">
      <c r="A484" t="s" s="8">
        <v>500</v>
      </c>
      <c r="B484" t="s" s="61">
        <v>62</v>
      </c>
      <c r="C484" s="166"/>
      <c r="D484" t="s" s="61">
        <v>62</v>
      </c>
      <c r="E484" t="s" s="61">
        <f>_xlfn.IFERROR(AVERAGE(B484:D484),"—")</f>
        <v>934</v>
      </c>
      <c r="F484" s="59"/>
      <c r="G484" s="168">
        <v>4125000</v>
      </c>
      <c r="H484" t="s" s="61">
        <v>885</v>
      </c>
    </row>
    <row r="485" ht="21.25" customHeight="1">
      <c r="A485" t="s" s="8">
        <v>563</v>
      </c>
      <c r="B485" t="s" s="61">
        <v>62</v>
      </c>
      <c r="C485" s="166"/>
      <c r="D485" t="s" s="61">
        <v>62</v>
      </c>
      <c r="E485" t="s" s="61">
        <f>_xlfn.IFERROR(AVERAGE(B485:D485),"—")</f>
        <v>934</v>
      </c>
      <c r="F485" s="59"/>
      <c r="G485" s="168">
        <v>4600000</v>
      </c>
      <c r="H485" t="s" s="61">
        <v>885</v>
      </c>
    </row>
    <row r="486" ht="21.25" customHeight="1">
      <c r="A486" t="s" s="8">
        <v>508</v>
      </c>
      <c r="B486" t="s" s="61">
        <v>62</v>
      </c>
      <c r="C486" s="166"/>
      <c r="D486" s="166">
        <v>385.2</v>
      </c>
      <c r="E486" s="166">
        <f>_xlfn.IFERROR(AVERAGE(B486:D486),"—")</f>
        <v>385.2</v>
      </c>
      <c r="F486" s="59"/>
      <c r="G486" s="168">
        <v>2250000</v>
      </c>
      <c r="H486" t="s" s="61">
        <v>885</v>
      </c>
    </row>
    <row r="487" ht="21.25" customHeight="1">
      <c r="A487" t="s" s="8">
        <v>767</v>
      </c>
      <c r="B487" t="s" s="61">
        <v>62</v>
      </c>
      <c r="C487" s="166"/>
      <c r="D487" t="s" s="61">
        <v>62</v>
      </c>
      <c r="E487" t="s" s="61">
        <f>_xlfn.IFERROR(AVERAGE(B487:D487),"—")</f>
        <v>934</v>
      </c>
      <c r="F487" s="59"/>
      <c r="G487" s="168">
        <v>2750000</v>
      </c>
      <c r="H487" t="s" s="61">
        <v>885</v>
      </c>
    </row>
    <row r="488" ht="21.25" customHeight="1">
      <c r="A488" t="s" s="8">
        <v>489</v>
      </c>
      <c r="B488" t="s" s="61">
        <v>62</v>
      </c>
      <c r="C488" s="166"/>
      <c r="D488" s="166">
        <v>459.52</v>
      </c>
      <c r="E488" s="166">
        <f>_xlfn.IFERROR(AVERAGE(B488:D488),"—")</f>
        <v>459.52</v>
      </c>
      <c r="F488" s="59"/>
      <c r="G488" s="168">
        <v>3333333.33333333</v>
      </c>
      <c r="H488" t="s" s="61">
        <v>885</v>
      </c>
    </row>
    <row r="489" ht="21.25" customHeight="1">
      <c r="A489" t="s" s="8">
        <v>751</v>
      </c>
      <c r="B489" t="s" s="61">
        <v>62</v>
      </c>
      <c r="C489" s="166"/>
      <c r="D489" t="s" s="61">
        <v>62</v>
      </c>
      <c r="E489" t="s" s="61">
        <f>_xlfn.IFERROR(AVERAGE(B489:D489),"—")</f>
        <v>934</v>
      </c>
      <c r="F489" s="59"/>
      <c r="G489" s="168">
        <v>3400000</v>
      </c>
      <c r="H489" t="s" s="61">
        <v>885</v>
      </c>
    </row>
    <row r="490" ht="21.25" customHeight="1">
      <c r="A490" t="s" s="8">
        <v>507</v>
      </c>
      <c r="B490" t="s" s="61">
        <v>62</v>
      </c>
      <c r="C490" s="166"/>
      <c r="D490" t="s" s="61">
        <v>62</v>
      </c>
      <c r="E490" t="s" s="61">
        <f>_xlfn.IFERROR(AVERAGE(B490:D490),"—")</f>
        <v>934</v>
      </c>
      <c r="F490" s="59"/>
      <c r="G490" s="168">
        <v>4600000</v>
      </c>
      <c r="H490" t="s" s="61">
        <v>885</v>
      </c>
    </row>
    <row r="491" ht="21.25" customHeight="1">
      <c r="A491" t="s" s="8">
        <v>497</v>
      </c>
      <c r="B491" t="s" s="61">
        <v>62</v>
      </c>
      <c r="C491" s="166"/>
      <c r="D491" t="s" s="61">
        <v>62</v>
      </c>
      <c r="E491" t="s" s="61">
        <f>_xlfn.IFERROR(AVERAGE(B491:D491),"—")</f>
        <v>934</v>
      </c>
      <c r="F491" s="59"/>
      <c r="G491" s="168">
        <v>3250000</v>
      </c>
      <c r="H491" t="s" s="61">
        <v>885</v>
      </c>
    </row>
    <row r="492" ht="21.25" customHeight="1">
      <c r="A492" t="s" s="8">
        <v>728</v>
      </c>
      <c r="B492" s="166">
        <v>171.3</v>
      </c>
      <c r="C492" s="166"/>
      <c r="D492" t="s" s="61">
        <v>62</v>
      </c>
      <c r="E492" s="166">
        <f>_xlfn.IFERROR(AVERAGE(B492:D492),"—")</f>
        <v>171.3</v>
      </c>
      <c r="F492" s="59"/>
      <c r="G492" s="168">
        <v>2002000</v>
      </c>
      <c r="H492" t="s" s="61">
        <v>885</v>
      </c>
    </row>
    <row r="493" ht="21.25" customHeight="1">
      <c r="A493" t="s" s="8">
        <v>492</v>
      </c>
      <c r="B493" t="s" s="61">
        <v>62</v>
      </c>
      <c r="C493" s="166"/>
      <c r="D493" t="s" s="61">
        <v>62</v>
      </c>
      <c r="E493" t="s" s="61">
        <f>_xlfn.IFERROR(AVERAGE(B493:D493),"—")</f>
        <v>934</v>
      </c>
      <c r="F493" s="59"/>
      <c r="G493" s="168">
        <v>2294150</v>
      </c>
      <c r="H493" t="s" s="61">
        <v>885</v>
      </c>
    </row>
    <row r="494" ht="21.25" customHeight="1">
      <c r="A494" t="s" s="8">
        <v>551</v>
      </c>
      <c r="B494" t="s" s="61">
        <v>62</v>
      </c>
      <c r="C494" s="166"/>
      <c r="D494" t="s" s="61">
        <v>62</v>
      </c>
      <c r="E494" t="s" s="61">
        <f>_xlfn.IFERROR(AVERAGE(B494:D494),"—")</f>
        <v>934</v>
      </c>
      <c r="F494" s="59"/>
      <c r="G494" s="168">
        <v>3400000</v>
      </c>
      <c r="H494" t="s" s="61">
        <v>885</v>
      </c>
    </row>
    <row r="495" ht="21.25" customHeight="1">
      <c r="A495" t="s" s="8">
        <v>783</v>
      </c>
      <c r="B495" t="s" s="61">
        <v>62</v>
      </c>
      <c r="C495" s="166"/>
      <c r="D495" t="s" s="61">
        <v>62</v>
      </c>
      <c r="E495" t="s" s="61">
        <f>_xlfn.IFERROR(AVERAGE(B495:D495),"—")</f>
        <v>934</v>
      </c>
      <c r="F495" s="59"/>
      <c r="G495" s="168">
        <v>4000000</v>
      </c>
      <c r="H495" t="s" s="61">
        <v>885</v>
      </c>
    </row>
    <row r="496" ht="21.25" customHeight="1">
      <c r="A496" t="s" s="8">
        <v>510</v>
      </c>
      <c r="B496" t="s" s="61">
        <v>62</v>
      </c>
      <c r="C496" s="166"/>
      <c r="D496" t="s" s="61">
        <v>62</v>
      </c>
      <c r="E496" t="s" s="61">
        <f>_xlfn.IFERROR(AVERAGE(B496:D496),"—")</f>
        <v>934</v>
      </c>
      <c r="F496" s="59"/>
      <c r="G496" s="168">
        <v>4500000</v>
      </c>
      <c r="H496" t="s" s="61">
        <v>885</v>
      </c>
    </row>
    <row r="497" ht="21.25" customHeight="1">
      <c r="A497" t="s" s="8">
        <v>777</v>
      </c>
      <c r="B497" t="s" s="61">
        <v>62</v>
      </c>
      <c r="C497" s="166"/>
      <c r="D497" t="s" s="61">
        <v>62</v>
      </c>
      <c r="E497" t="s" s="61">
        <f>_xlfn.IFERROR(AVERAGE(B497:D497),"—")</f>
        <v>934</v>
      </c>
      <c r="F497" s="59"/>
      <c r="G497" s="168">
        <v>1250000</v>
      </c>
      <c r="H497" t="s" s="61">
        <v>885</v>
      </c>
    </row>
    <row r="498" ht="21.25" customHeight="1">
      <c r="A498" t="s" s="8">
        <v>766</v>
      </c>
      <c r="B498" t="s" s="61">
        <v>62</v>
      </c>
      <c r="C498" s="166"/>
      <c r="D498" t="s" s="61">
        <v>62</v>
      </c>
      <c r="E498" t="s" s="61">
        <f>_xlfn.IFERROR(AVERAGE(B498:D498),"—")</f>
        <v>934</v>
      </c>
      <c r="F498" s="59"/>
      <c r="G498" s="168">
        <v>800000</v>
      </c>
      <c r="H498" t="s" s="61">
        <v>885</v>
      </c>
    </row>
    <row r="499" ht="21.25" customHeight="1">
      <c r="A499" t="s" s="8">
        <v>530</v>
      </c>
      <c r="B499" t="s" s="61">
        <v>62</v>
      </c>
      <c r="C499" s="166"/>
      <c r="D499" t="s" s="61">
        <v>62</v>
      </c>
      <c r="E499" t="s" s="61">
        <f>_xlfn.IFERROR(AVERAGE(B499:D499),"—")</f>
        <v>934</v>
      </c>
      <c r="F499" s="59"/>
      <c r="G499" s="168">
        <v>2750000</v>
      </c>
      <c r="H499" t="s" s="61">
        <v>885</v>
      </c>
    </row>
    <row r="500" ht="21.25" customHeight="1">
      <c r="A500" t="s" s="8">
        <v>799</v>
      </c>
      <c r="B500" t="s" s="61">
        <v>62</v>
      </c>
      <c r="C500" s="166"/>
      <c r="D500" t="s" s="61">
        <v>62</v>
      </c>
      <c r="E500" t="s" s="61">
        <f>_xlfn.IFERROR(AVERAGE(B500:D500),"—")</f>
        <v>934</v>
      </c>
      <c r="F500" s="59"/>
      <c r="G500" s="168">
        <v>758333</v>
      </c>
      <c r="H500" t="s" s="61">
        <v>885</v>
      </c>
    </row>
    <row r="501" ht="21.25" customHeight="1">
      <c r="A501" t="s" s="8">
        <v>572</v>
      </c>
      <c r="B501" t="s" s="61">
        <v>62</v>
      </c>
      <c r="C501" s="166"/>
      <c r="D501" t="s" s="61">
        <v>62</v>
      </c>
      <c r="E501" t="s" s="61">
        <f>_xlfn.IFERROR(AVERAGE(B501:D501),"—")</f>
        <v>934</v>
      </c>
      <c r="F501" s="59"/>
      <c r="G501" s="168">
        <v>4500000</v>
      </c>
      <c r="H501" t="s" s="61">
        <v>885</v>
      </c>
    </row>
    <row r="502" ht="21.25" customHeight="1">
      <c r="A502" t="s" s="8">
        <v>486</v>
      </c>
      <c r="B502" s="166">
        <v>168.8</v>
      </c>
      <c r="C502" s="166"/>
      <c r="D502" t="s" s="61">
        <v>62</v>
      </c>
      <c r="E502" s="166">
        <f>_xlfn.IFERROR(AVERAGE(B502:D502),"—")</f>
        <v>168.8</v>
      </c>
      <c r="F502" s="59"/>
      <c r="G502" s="168">
        <v>3750000</v>
      </c>
      <c r="H502" t="s" s="61">
        <v>885</v>
      </c>
    </row>
    <row r="503" ht="21.25" customHeight="1">
      <c r="A503" t="s" s="8">
        <v>538</v>
      </c>
      <c r="B503" t="s" s="61">
        <v>62</v>
      </c>
      <c r="C503" s="166"/>
      <c r="D503" t="s" s="61">
        <v>62</v>
      </c>
      <c r="E503" t="s" s="61">
        <f>_xlfn.IFERROR(AVERAGE(B503:D503),"—")</f>
        <v>934</v>
      </c>
      <c r="F503" s="59"/>
      <c r="G503" s="168">
        <v>2650000</v>
      </c>
      <c r="H503" t="s" s="61">
        <v>885</v>
      </c>
    </row>
    <row r="504" ht="21.25" customHeight="1">
      <c r="A504" t="s" s="8">
        <v>533</v>
      </c>
      <c r="B504" t="s" s="61">
        <v>62</v>
      </c>
      <c r="C504" s="166"/>
      <c r="D504" t="s" s="61">
        <v>62</v>
      </c>
      <c r="E504" t="s" s="61">
        <f>_xlfn.IFERROR(AVERAGE(B504:D504),"—")</f>
        <v>934</v>
      </c>
      <c r="F504" s="59"/>
      <c r="G504" s="168">
        <v>3900000</v>
      </c>
      <c r="H504" t="s" s="61">
        <v>885</v>
      </c>
    </row>
    <row r="505" ht="21.25" customHeight="1">
      <c r="A505" t="s" s="8">
        <v>570</v>
      </c>
      <c r="B505" t="s" s="61">
        <v>62</v>
      </c>
      <c r="C505" s="166"/>
      <c r="D505" t="s" s="61">
        <v>62</v>
      </c>
      <c r="E505" t="s" s="61">
        <f>_xlfn.IFERROR(AVERAGE(B505:D505),"—")</f>
        <v>934</v>
      </c>
      <c r="F505" s="166"/>
      <c r="G505" s="168">
        <v>1000000</v>
      </c>
      <c r="H505" t="s" s="61">
        <v>885</v>
      </c>
    </row>
    <row r="506" ht="21.25" customHeight="1">
      <c r="A506" t="s" s="8">
        <v>778</v>
      </c>
      <c r="B506" t="s" s="61">
        <v>62</v>
      </c>
      <c r="C506" s="166"/>
      <c r="D506" t="s" s="61">
        <v>62</v>
      </c>
      <c r="E506" t="s" s="61">
        <f>_xlfn.IFERROR(AVERAGE(B506:D506),"—")</f>
        <v>934</v>
      </c>
      <c r="F506" s="59"/>
      <c r="G506" s="168">
        <v>2500000</v>
      </c>
      <c r="H506" t="s" s="61">
        <v>885</v>
      </c>
    </row>
    <row r="507" ht="21.25" customHeight="1">
      <c r="A507" t="s" s="8">
        <v>485</v>
      </c>
      <c r="B507" t="s" s="61">
        <v>62</v>
      </c>
      <c r="C507" s="166"/>
      <c r="D507" s="166">
        <v>472.5</v>
      </c>
      <c r="E507" s="166">
        <f>_xlfn.IFERROR(AVERAGE(B507:D507),"—")</f>
        <v>472.5</v>
      </c>
      <c r="F507" s="59"/>
      <c r="G507" s="168">
        <v>5250000</v>
      </c>
      <c r="H507" t="s" s="61">
        <v>885</v>
      </c>
    </row>
    <row r="508" ht="21.25" customHeight="1">
      <c r="A508" t="s" s="8">
        <v>847</v>
      </c>
      <c r="B508" t="s" s="61">
        <v>62</v>
      </c>
      <c r="C508" s="166"/>
      <c r="D508" t="s" s="61">
        <v>62</v>
      </c>
      <c r="E508" t="s" s="61">
        <f>_xlfn.IFERROR(AVERAGE(B508:D508),"—")</f>
        <v>934</v>
      </c>
      <c r="F508" s="59"/>
      <c r="G508" s="168"/>
      <c r="H508" t="s" s="61">
        <v>885</v>
      </c>
    </row>
    <row r="509" ht="21.25" customHeight="1">
      <c r="A509" t="s" s="8">
        <v>506</v>
      </c>
      <c r="B509" t="s" s="61">
        <v>62</v>
      </c>
      <c r="C509" s="166"/>
      <c r="D509" t="s" s="61">
        <v>62</v>
      </c>
      <c r="E509" t="s" s="61">
        <f>_xlfn.IFERROR(AVERAGE(B509:D509),"—")</f>
        <v>934</v>
      </c>
      <c r="F509" s="59"/>
      <c r="G509" s="168">
        <v>800000</v>
      </c>
      <c r="H509" t="s" s="61">
        <v>885</v>
      </c>
    </row>
    <row r="510" ht="21.25" customHeight="1">
      <c r="A510" t="s" s="8">
        <v>495</v>
      </c>
      <c r="B510" t="s" s="61">
        <v>62</v>
      </c>
      <c r="C510" s="166"/>
      <c r="D510" s="166">
        <v>403.5</v>
      </c>
      <c r="E510" s="166">
        <f>_xlfn.IFERROR(AVERAGE(B510:D510),"—")</f>
        <v>403.5</v>
      </c>
      <c r="F510" s="59"/>
      <c r="G510" s="168">
        <v>3016700</v>
      </c>
      <c r="H510" t="s" s="61">
        <v>885</v>
      </c>
    </row>
    <row r="511" ht="21.25" customHeight="1">
      <c r="A511" t="s" s="8">
        <v>448</v>
      </c>
      <c r="B511" s="166">
        <v>160.8</v>
      </c>
      <c r="C511" s="166"/>
      <c r="D511" s="166">
        <v>231.76</v>
      </c>
      <c r="E511" s="166">
        <f>_xlfn.IFERROR(AVERAGE(B511:D511),"—")</f>
        <v>196.28</v>
      </c>
      <c r="F511" s="59"/>
      <c r="G511" s="168">
        <v>4000000</v>
      </c>
      <c r="H511" t="s" s="61">
        <v>885</v>
      </c>
    </row>
    <row r="512" ht="21.25" customHeight="1">
      <c r="A512" t="s" s="8">
        <v>823</v>
      </c>
      <c r="B512" t="s" s="61">
        <v>62</v>
      </c>
      <c r="C512" s="166"/>
      <c r="D512" t="s" s="61">
        <v>62</v>
      </c>
      <c r="E512" t="s" s="61">
        <f>_xlfn.IFERROR(AVERAGE(B512:D512),"—")</f>
        <v>934</v>
      </c>
      <c r="F512" s="59"/>
      <c r="G512" s="168">
        <v>925000</v>
      </c>
      <c r="H512" t="s" s="61">
        <v>885</v>
      </c>
    </row>
    <row r="513" ht="21.25" customHeight="1">
      <c r="A513" t="s" s="8">
        <v>548</v>
      </c>
      <c r="B513" t="s" s="61">
        <v>62</v>
      </c>
      <c r="C513" s="166"/>
      <c r="D513" t="s" s="61">
        <v>62</v>
      </c>
      <c r="E513" t="s" s="61">
        <f>_xlfn.IFERROR(AVERAGE(B513:D513),"—")</f>
        <v>934</v>
      </c>
      <c r="F513" s="59"/>
      <c r="G513" s="168">
        <v>1400000</v>
      </c>
      <c r="H513" t="s" s="61">
        <v>885</v>
      </c>
    </row>
    <row r="514" ht="21.25" customHeight="1">
      <c r="A514" t="s" s="8">
        <v>540</v>
      </c>
      <c r="B514" t="s" s="61">
        <v>62</v>
      </c>
      <c r="C514" s="166"/>
      <c r="D514" t="s" s="61">
        <v>62</v>
      </c>
      <c r="E514" t="s" s="61">
        <f>_xlfn.IFERROR(AVERAGE(B514:D514),"—")</f>
        <v>934</v>
      </c>
      <c r="F514" s="59"/>
      <c r="G514" s="168">
        <v>1850000</v>
      </c>
      <c r="H514" t="s" s="61">
        <v>885</v>
      </c>
    </row>
    <row r="515" ht="21.25" customHeight="1">
      <c r="A515" t="s" s="8">
        <v>546</v>
      </c>
      <c r="B515" s="166">
        <v>157.8</v>
      </c>
      <c r="C515" s="166"/>
      <c r="D515" s="166">
        <v>303.69</v>
      </c>
      <c r="E515" s="166">
        <f>_xlfn.IFERROR(AVERAGE(B515:D515),"—")</f>
        <v>230.745</v>
      </c>
      <c r="F515" s="59"/>
      <c r="G515" s="168">
        <v>2750000</v>
      </c>
      <c r="H515" t="s" s="61">
        <v>885</v>
      </c>
    </row>
    <row r="516" ht="21.25" customHeight="1">
      <c r="A516" t="s" s="8">
        <v>819</v>
      </c>
      <c r="B516" t="s" s="61">
        <v>62</v>
      </c>
      <c r="C516" s="166"/>
      <c r="D516" t="s" s="61">
        <v>62</v>
      </c>
      <c r="E516" t="s" s="61">
        <f>_xlfn.IFERROR(AVERAGE(B516:D516),"—")</f>
        <v>934</v>
      </c>
      <c r="F516" s="59"/>
      <c r="G516" s="168">
        <v>795800</v>
      </c>
      <c r="H516" t="s" s="61">
        <v>885</v>
      </c>
    </row>
    <row r="517" ht="21.25" customHeight="1">
      <c r="A517" t="s" s="8">
        <v>657</v>
      </c>
      <c r="B517" t="s" s="61">
        <v>62</v>
      </c>
      <c r="C517" s="166"/>
      <c r="D517" t="s" s="61">
        <v>62</v>
      </c>
      <c r="E517" t="s" s="61">
        <f>_xlfn.IFERROR(AVERAGE(B517:D517),"—")</f>
        <v>934</v>
      </c>
      <c r="F517" s="59"/>
      <c r="G517" s="168"/>
      <c r="H517" t="s" s="61">
        <v>885</v>
      </c>
    </row>
    <row r="518" ht="21.25" customHeight="1">
      <c r="A518" t="s" s="8">
        <v>832</v>
      </c>
      <c r="B518" t="s" s="61">
        <v>62</v>
      </c>
      <c r="C518" s="166"/>
      <c r="D518" t="s" s="61">
        <v>62</v>
      </c>
      <c r="E518" t="s" s="61">
        <f>_xlfn.IFERROR(AVERAGE(B518:D518),"—")</f>
        <v>934</v>
      </c>
      <c r="F518" s="59"/>
      <c r="G518" s="168">
        <v>775000</v>
      </c>
      <c r="H518" t="s" s="61">
        <v>885</v>
      </c>
    </row>
    <row r="519" ht="21.25" customHeight="1">
      <c r="A519" t="s" s="8">
        <v>586</v>
      </c>
      <c r="B519" t="s" s="61">
        <v>62</v>
      </c>
      <c r="C519" s="166"/>
      <c r="D519" t="s" s="61">
        <v>62</v>
      </c>
      <c r="E519" t="s" s="61">
        <f>_xlfn.IFERROR(AVERAGE(B519:D519),"—")</f>
        <v>934</v>
      </c>
      <c r="F519" s="166"/>
      <c r="G519" s="168">
        <v>925000</v>
      </c>
      <c r="H519" t="s" s="61">
        <v>885</v>
      </c>
    </row>
    <row r="520" ht="21.25" customHeight="1">
      <c r="A520" t="s" s="8">
        <v>624</v>
      </c>
      <c r="B520" t="s" s="61">
        <v>62</v>
      </c>
      <c r="C520" s="166"/>
      <c r="D520" t="s" s="61">
        <v>62</v>
      </c>
      <c r="E520" t="s" s="61">
        <f>_xlfn.IFERROR(AVERAGE(B520:D520),"—")</f>
        <v>934</v>
      </c>
      <c r="F520" s="59"/>
      <c r="G520" s="168">
        <v>2700000</v>
      </c>
      <c r="H520" t="s" s="61">
        <v>885</v>
      </c>
    </row>
    <row r="521" ht="21.25" customHeight="1">
      <c r="A521" t="s" s="8">
        <v>807</v>
      </c>
      <c r="B521" t="s" s="61">
        <v>62</v>
      </c>
      <c r="C521" s="166"/>
      <c r="D521" t="s" s="61">
        <v>62</v>
      </c>
      <c r="E521" t="s" s="61">
        <f>_xlfn.IFERROR(AVERAGE(B521:D521),"—")</f>
        <v>934</v>
      </c>
      <c r="F521" s="59"/>
      <c r="G521" s="168">
        <v>1000000</v>
      </c>
      <c r="H521" t="s" s="61">
        <v>885</v>
      </c>
    </row>
    <row r="522" ht="21.25" customHeight="1">
      <c r="A522" t="s" s="8">
        <v>509</v>
      </c>
      <c r="B522" t="s" s="61">
        <v>62</v>
      </c>
      <c r="C522" s="166"/>
      <c r="D522" t="s" s="61">
        <v>62</v>
      </c>
      <c r="E522" t="s" s="61">
        <f>_xlfn.IFERROR(AVERAGE(B522:D522),"—")</f>
        <v>934</v>
      </c>
      <c r="F522" s="59"/>
      <c r="G522" s="168">
        <v>2500000</v>
      </c>
      <c r="H522" t="s" s="61">
        <v>885</v>
      </c>
    </row>
    <row r="523" ht="21.25" customHeight="1">
      <c r="A523" t="s" s="8">
        <v>771</v>
      </c>
      <c r="B523" t="s" s="61">
        <v>62</v>
      </c>
      <c r="C523" s="166"/>
      <c r="D523" t="s" s="61">
        <v>62</v>
      </c>
      <c r="E523" t="s" s="61">
        <f>_xlfn.IFERROR(AVERAGE(B523:D523),"—")</f>
        <v>934</v>
      </c>
      <c r="F523" s="59"/>
      <c r="G523" s="168">
        <v>900000</v>
      </c>
      <c r="H523" t="s" s="61">
        <v>885</v>
      </c>
    </row>
    <row r="524" ht="21.25" customHeight="1">
      <c r="A524" t="s" s="8">
        <v>520</v>
      </c>
      <c r="B524" t="s" s="61">
        <v>62</v>
      </c>
      <c r="C524" s="166"/>
      <c r="D524" t="s" s="61">
        <v>62</v>
      </c>
      <c r="E524" t="s" s="61">
        <f>_xlfn.IFERROR(AVERAGE(B524:D524),"—")</f>
        <v>934</v>
      </c>
      <c r="F524" s="59"/>
      <c r="G524" s="168">
        <v>3000000</v>
      </c>
      <c r="H524" t="s" s="61">
        <v>885</v>
      </c>
    </row>
    <row r="525" ht="21.25" customHeight="1">
      <c r="A525" t="s" s="8">
        <v>631</v>
      </c>
      <c r="B525" t="s" s="61">
        <v>62</v>
      </c>
      <c r="C525" s="166"/>
      <c r="D525" t="s" s="61">
        <v>62</v>
      </c>
      <c r="E525" t="s" s="61">
        <f>_xlfn.IFERROR(AVERAGE(B525:D525),"—")</f>
        <v>934</v>
      </c>
      <c r="F525" s="59"/>
      <c r="G525" s="168">
        <v>800000</v>
      </c>
      <c r="H525" t="s" s="61">
        <v>885</v>
      </c>
    </row>
    <row r="526" ht="21.25" customHeight="1">
      <c r="A526" t="s" s="8">
        <v>865</v>
      </c>
      <c r="B526" t="s" s="61">
        <v>62</v>
      </c>
      <c r="C526" s="166"/>
      <c r="D526" t="s" s="61">
        <v>62</v>
      </c>
      <c r="E526" t="s" s="61">
        <f>_xlfn.IFERROR(AVERAGE(B526:D526),"—")</f>
        <v>934</v>
      </c>
      <c r="F526" s="59"/>
      <c r="G526" s="168"/>
      <c r="H526" t="s" s="61">
        <v>885</v>
      </c>
    </row>
    <row r="527" ht="21.25" customHeight="1">
      <c r="A527" t="s" s="8">
        <v>639</v>
      </c>
      <c r="B527" t="s" s="61">
        <v>62</v>
      </c>
      <c r="C527" s="166"/>
      <c r="D527" t="s" s="61">
        <v>62</v>
      </c>
      <c r="E527" t="s" s="61">
        <f>_xlfn.IFERROR(AVERAGE(B527:D527),"—")</f>
        <v>934</v>
      </c>
      <c r="F527" s="59"/>
      <c r="G527" s="168"/>
      <c r="H527" t="s" s="61">
        <v>885</v>
      </c>
    </row>
    <row r="528" ht="21.25" customHeight="1">
      <c r="A528" t="s" s="8">
        <v>602</v>
      </c>
      <c r="B528" t="s" s="61">
        <v>62</v>
      </c>
      <c r="C528" s="166"/>
      <c r="D528" t="s" s="61">
        <v>62</v>
      </c>
      <c r="E528" t="s" s="61">
        <f>_xlfn.IFERROR(AVERAGE(B528:D528),"—")</f>
        <v>934</v>
      </c>
      <c r="F528" s="59"/>
      <c r="G528" s="168">
        <v>925000</v>
      </c>
      <c r="H528" t="s" s="61">
        <v>885</v>
      </c>
    </row>
    <row r="529" ht="21.25" customHeight="1">
      <c r="A529" t="s" s="8">
        <v>576</v>
      </c>
      <c r="B529" t="s" s="61">
        <v>62</v>
      </c>
      <c r="C529" s="166"/>
      <c r="D529" t="s" s="61">
        <v>62</v>
      </c>
      <c r="E529" t="s" s="61">
        <f>_xlfn.IFERROR(AVERAGE(B529:D529),"—")</f>
        <v>934</v>
      </c>
      <c r="F529" s="59"/>
      <c r="G529" s="168">
        <v>4000000</v>
      </c>
      <c r="H529" t="s" s="61">
        <v>885</v>
      </c>
    </row>
    <row r="530" ht="21.25" customHeight="1">
      <c r="A530" t="s" s="8">
        <v>522</v>
      </c>
      <c r="B530" t="s" s="61">
        <v>62</v>
      </c>
      <c r="C530" s="166"/>
      <c r="D530" t="s" s="61">
        <v>62</v>
      </c>
      <c r="E530" t="s" s="61">
        <f>_xlfn.IFERROR(AVERAGE(B530:D530),"—")</f>
        <v>934</v>
      </c>
      <c r="F530" s="59"/>
      <c r="G530" s="168">
        <v>2750000</v>
      </c>
      <c r="H530" t="s" s="61">
        <v>885</v>
      </c>
    </row>
    <row r="531" ht="21.25" customHeight="1">
      <c r="A531" t="s" s="8">
        <v>482</v>
      </c>
      <c r="B531" s="166">
        <v>170.3</v>
      </c>
      <c r="C531" s="166"/>
      <c r="D531" s="166">
        <v>311.42</v>
      </c>
      <c r="E531" s="166">
        <f>_xlfn.IFERROR(AVERAGE(B531:D531),"—")</f>
        <v>240.86</v>
      </c>
      <c r="F531" s="59"/>
      <c r="G531" s="168">
        <v>2500000</v>
      </c>
      <c r="H531" t="s" s="61">
        <v>885</v>
      </c>
    </row>
    <row r="532" ht="21.25" customHeight="1">
      <c r="A532" t="s" s="8">
        <v>816</v>
      </c>
      <c r="B532" t="s" s="61">
        <v>62</v>
      </c>
      <c r="C532" s="166"/>
      <c r="D532" t="s" s="61">
        <v>62</v>
      </c>
      <c r="E532" t="s" s="61">
        <f>_xlfn.IFERROR(AVERAGE(B532:D532),"—")</f>
        <v>934</v>
      </c>
      <c r="F532" s="59"/>
      <c r="G532" s="168">
        <v>775000</v>
      </c>
      <c r="H532" t="s" s="61">
        <v>885</v>
      </c>
    </row>
    <row r="533" ht="21.25" customHeight="1">
      <c r="A533" t="s" s="8">
        <v>582</v>
      </c>
      <c r="B533" t="s" s="61">
        <v>62</v>
      </c>
      <c r="C533" s="166"/>
      <c r="D533" t="s" s="61">
        <v>62</v>
      </c>
      <c r="E533" t="s" s="61">
        <f>_xlfn.IFERROR(AVERAGE(B533:D533),"—")</f>
        <v>934</v>
      </c>
      <c r="F533" s="59"/>
      <c r="G533" s="168">
        <v>925000</v>
      </c>
      <c r="H533" t="s" s="61">
        <v>885</v>
      </c>
    </row>
    <row r="534" ht="21.25" customHeight="1">
      <c r="A534" t="s" s="8">
        <v>861</v>
      </c>
      <c r="B534" t="s" s="61">
        <v>62</v>
      </c>
      <c r="C534" s="166"/>
      <c r="D534" t="s" s="61">
        <v>62</v>
      </c>
      <c r="E534" t="s" s="61">
        <f>_xlfn.IFERROR(AVERAGE(B534:D534),"—")</f>
        <v>934</v>
      </c>
      <c r="F534" s="59"/>
      <c r="G534" s="168"/>
      <c r="H534" t="s" s="61">
        <v>885</v>
      </c>
    </row>
    <row r="535" ht="21.25" customHeight="1">
      <c r="A535" t="s" s="8">
        <v>614</v>
      </c>
      <c r="B535" t="s" s="61">
        <v>62</v>
      </c>
      <c r="C535" s="166"/>
      <c r="D535" t="s" s="61">
        <v>62</v>
      </c>
      <c r="E535" t="s" s="61">
        <f>_xlfn.IFERROR(AVERAGE(B535:D535),"—")</f>
        <v>934</v>
      </c>
      <c r="F535" s="59"/>
      <c r="G535" s="168">
        <v>2700000</v>
      </c>
      <c r="H535" t="s" s="61">
        <v>885</v>
      </c>
    </row>
    <row r="536" ht="21.25" customHeight="1">
      <c r="A536" t="s" s="8">
        <v>846</v>
      </c>
      <c r="B536" t="s" s="61">
        <v>62</v>
      </c>
      <c r="C536" s="166"/>
      <c r="D536" t="s" s="61">
        <v>62</v>
      </c>
      <c r="E536" t="s" s="61">
        <f>_xlfn.IFERROR(AVERAGE(B536:D536),"—")</f>
        <v>934</v>
      </c>
      <c r="F536" s="59"/>
      <c r="G536" s="168">
        <v>0</v>
      </c>
      <c r="H536" t="s" s="61">
        <v>885</v>
      </c>
    </row>
    <row r="537" ht="21.25" customHeight="1">
      <c r="A537" t="s" s="8">
        <v>558</v>
      </c>
      <c r="B537" t="s" s="61">
        <v>62</v>
      </c>
      <c r="C537" s="166"/>
      <c r="D537" t="s" s="61">
        <v>62</v>
      </c>
      <c r="E537" t="s" s="61">
        <f>_xlfn.IFERROR(AVERAGE(B537:D537),"—")</f>
        <v>934</v>
      </c>
      <c r="F537" s="59"/>
      <c r="G537" s="168">
        <v>3150000</v>
      </c>
      <c r="H537" t="s" s="61">
        <v>885</v>
      </c>
    </row>
    <row r="538" ht="21.25" customHeight="1">
      <c r="A538" t="s" s="8">
        <v>812</v>
      </c>
      <c r="B538" t="s" s="61">
        <v>62</v>
      </c>
      <c r="C538" s="166"/>
      <c r="D538" t="s" s="61">
        <v>62</v>
      </c>
      <c r="E538" t="s" s="61">
        <f>_xlfn.IFERROR(AVERAGE(B538:D538),"—")</f>
        <v>934</v>
      </c>
      <c r="F538" s="59"/>
      <c r="G538" s="168"/>
      <c r="H538" t="s" s="61">
        <v>885</v>
      </c>
    </row>
    <row r="539" ht="21.25" customHeight="1">
      <c r="A539" t="s" s="8">
        <v>817</v>
      </c>
      <c r="B539" t="s" s="61">
        <v>62</v>
      </c>
      <c r="C539" s="166"/>
      <c r="D539" t="s" s="61">
        <v>62</v>
      </c>
      <c r="E539" t="s" s="61">
        <f>_xlfn.IFERROR(AVERAGE(B539:D539),"—")</f>
        <v>934</v>
      </c>
      <c r="F539" s="59"/>
      <c r="G539" s="168">
        <v>800000</v>
      </c>
      <c r="H539" t="s" s="61">
        <v>885</v>
      </c>
    </row>
    <row r="540" ht="21.25" customHeight="1">
      <c r="A540" t="s" s="8">
        <v>803</v>
      </c>
      <c r="B540" t="s" s="61">
        <v>62</v>
      </c>
      <c r="C540" s="166"/>
      <c r="D540" t="s" s="61">
        <v>62</v>
      </c>
      <c r="E540" t="s" s="61">
        <f>_xlfn.IFERROR(AVERAGE(B540:D540),"—")</f>
        <v>934</v>
      </c>
      <c r="F540" s="59"/>
      <c r="G540" s="168">
        <v>762500</v>
      </c>
      <c r="H540" t="s" s="61">
        <v>885</v>
      </c>
    </row>
    <row r="541" ht="21.25" customHeight="1">
      <c r="A541" t="s" s="8">
        <v>483</v>
      </c>
      <c r="B541" t="s" s="61">
        <v>62</v>
      </c>
      <c r="C541" s="166"/>
      <c r="D541" t="s" s="61">
        <v>62</v>
      </c>
      <c r="E541" t="s" s="61">
        <f>_xlfn.IFERROR(AVERAGE(B541:D541),"—")</f>
        <v>934</v>
      </c>
      <c r="F541" s="59"/>
      <c r="G541" s="168">
        <v>4750000</v>
      </c>
      <c r="H541" t="s" s="61">
        <v>885</v>
      </c>
    </row>
    <row r="542" ht="21.25" customHeight="1">
      <c r="A542" t="s" s="8">
        <v>770</v>
      </c>
      <c r="B542" t="s" s="61">
        <v>62</v>
      </c>
      <c r="C542" s="166"/>
      <c r="D542" t="s" s="61">
        <v>62</v>
      </c>
      <c r="E542" t="s" s="61">
        <f>_xlfn.IFERROR(AVERAGE(B542:D542),"—")</f>
        <v>934</v>
      </c>
      <c r="F542" s="59"/>
      <c r="G542" s="168">
        <v>800000</v>
      </c>
      <c r="H542" t="s" s="61">
        <v>885</v>
      </c>
    </row>
    <row r="543" ht="21.25" customHeight="1">
      <c r="A543" t="s" s="8">
        <v>504</v>
      </c>
      <c r="B543" t="s" s="61">
        <v>62</v>
      </c>
      <c r="C543" s="166"/>
      <c r="D543" t="s" s="61">
        <v>62</v>
      </c>
      <c r="E543" t="s" s="61">
        <f>_xlfn.IFERROR(AVERAGE(B543:D543),"—")</f>
        <v>934</v>
      </c>
      <c r="F543" s="59"/>
      <c r="G543" s="168">
        <v>2500000</v>
      </c>
      <c r="H543" t="s" s="61">
        <v>885</v>
      </c>
    </row>
    <row r="544" ht="21.25" customHeight="1">
      <c r="A544" t="s" s="8">
        <v>815</v>
      </c>
      <c r="B544" t="s" s="61">
        <v>62</v>
      </c>
      <c r="C544" s="166"/>
      <c r="D544" t="s" s="61">
        <v>62</v>
      </c>
      <c r="E544" t="s" s="61">
        <f>_xlfn.IFERROR(AVERAGE(B544:D544),"—")</f>
        <v>934</v>
      </c>
      <c r="F544" s="59"/>
      <c r="G544" s="168">
        <v>762500</v>
      </c>
      <c r="H544" t="s" s="61">
        <v>885</v>
      </c>
    </row>
    <row r="545" ht="21.25" customHeight="1">
      <c r="A545" t="s" s="8">
        <v>597</v>
      </c>
      <c r="B545" t="s" s="61">
        <v>62</v>
      </c>
      <c r="C545" s="166"/>
      <c r="D545" t="s" s="61">
        <v>62</v>
      </c>
      <c r="E545" t="s" s="61">
        <f>_xlfn.IFERROR(AVERAGE(B545:D545),"—")</f>
        <v>934</v>
      </c>
      <c r="F545" s="59"/>
      <c r="G545" s="168">
        <v>1750000</v>
      </c>
      <c r="H545" t="s" s="61">
        <v>885</v>
      </c>
    </row>
    <row r="546" ht="21.25" customHeight="1">
      <c r="A546" t="s" s="8">
        <v>797</v>
      </c>
      <c r="B546" t="s" s="61">
        <v>62</v>
      </c>
      <c r="C546" s="166"/>
      <c r="D546" t="s" s="61">
        <v>62</v>
      </c>
      <c r="E546" t="s" s="61">
        <f>_xlfn.IFERROR(AVERAGE(B546:D546),"—")</f>
        <v>934</v>
      </c>
      <c r="F546" s="59"/>
      <c r="G546" s="168">
        <v>800000</v>
      </c>
      <c r="H546" t="s" s="61">
        <v>885</v>
      </c>
    </row>
    <row r="547" ht="21.25" customHeight="1">
      <c r="A547" t="s" s="8">
        <v>781</v>
      </c>
      <c r="B547" t="s" s="61">
        <v>62</v>
      </c>
      <c r="C547" s="166"/>
      <c r="D547" t="s" s="61">
        <v>62</v>
      </c>
      <c r="E547" t="s" s="61">
        <f>_xlfn.IFERROR(AVERAGE(B547:D547),"—")</f>
        <v>934</v>
      </c>
      <c r="F547" s="59"/>
      <c r="G547" s="168">
        <v>2500000</v>
      </c>
      <c r="H547" t="s" s="61">
        <v>885</v>
      </c>
    </row>
    <row r="548" ht="21.25" customHeight="1">
      <c r="A548" t="s" s="8">
        <v>805</v>
      </c>
      <c r="B548" t="s" s="61">
        <v>62</v>
      </c>
      <c r="C548" s="166"/>
      <c r="D548" t="s" s="61">
        <v>62</v>
      </c>
      <c r="E548" t="s" s="61">
        <f>_xlfn.IFERROR(AVERAGE(B548:D548),"—")</f>
        <v>934</v>
      </c>
      <c r="F548" s="59"/>
      <c r="G548" s="168">
        <v>1000000</v>
      </c>
      <c r="H548" t="s" s="61">
        <v>885</v>
      </c>
    </row>
    <row r="549" ht="21.25" customHeight="1">
      <c r="A549" t="s" s="8">
        <v>787</v>
      </c>
      <c r="B549" t="s" s="61">
        <v>62</v>
      </c>
      <c r="C549" s="166"/>
      <c r="D549" t="s" s="61">
        <v>62</v>
      </c>
      <c r="E549" t="s" s="61">
        <f>_xlfn.IFERROR(AVERAGE(B549:D549),"—")</f>
        <v>934</v>
      </c>
      <c r="F549" s="59"/>
      <c r="G549" s="168">
        <v>1100000</v>
      </c>
      <c r="H549" t="s" s="61">
        <v>885</v>
      </c>
    </row>
    <row r="550" ht="21.25" customHeight="1">
      <c r="A550" t="s" s="8">
        <v>650</v>
      </c>
      <c r="B550" t="s" s="61">
        <v>62</v>
      </c>
      <c r="C550" s="166"/>
      <c r="D550" t="s" s="61">
        <v>62</v>
      </c>
      <c r="E550" t="s" s="61">
        <f>_xlfn.IFERROR(AVERAGE(B550:D550),"—")</f>
        <v>934</v>
      </c>
      <c r="F550" s="59"/>
      <c r="G550" s="168"/>
      <c r="H550" t="s" s="61">
        <v>885</v>
      </c>
    </row>
    <row r="551" ht="21.25" customHeight="1">
      <c r="A551" t="s" s="8">
        <v>791</v>
      </c>
      <c r="B551" t="s" s="61">
        <v>62</v>
      </c>
      <c r="C551" s="166"/>
      <c r="D551" t="s" s="61">
        <v>62</v>
      </c>
      <c r="E551" t="s" s="61">
        <f>_xlfn.IFERROR(AVERAGE(B551:D551),"—")</f>
        <v>934</v>
      </c>
      <c r="F551" s="59"/>
      <c r="G551" s="168">
        <v>3250000</v>
      </c>
      <c r="H551" t="s" s="61">
        <v>885</v>
      </c>
    </row>
    <row r="552" ht="21.25" customHeight="1">
      <c r="A552" t="s" s="8">
        <v>827</v>
      </c>
      <c r="B552" t="s" s="61">
        <v>62</v>
      </c>
      <c r="C552" s="166"/>
      <c r="D552" t="s" s="61">
        <v>62</v>
      </c>
      <c r="E552" t="s" s="61">
        <f>_xlfn.IFERROR(AVERAGE(B552:D552),"—")</f>
        <v>934</v>
      </c>
      <c r="F552" s="59"/>
      <c r="G552" s="168">
        <v>925000</v>
      </c>
      <c r="H552" t="s" s="61">
        <v>885</v>
      </c>
    </row>
    <row r="553" ht="21.25" customHeight="1">
      <c r="A553" t="s" s="8">
        <v>814</v>
      </c>
      <c r="B553" t="s" s="61">
        <v>62</v>
      </c>
      <c r="C553" s="166"/>
      <c r="D553" t="s" s="61">
        <v>62</v>
      </c>
      <c r="E553" t="s" s="61">
        <f>_xlfn.IFERROR(AVERAGE(B553:D553),"—")</f>
        <v>934</v>
      </c>
      <c r="F553" s="166"/>
      <c r="G553" s="168">
        <v>800000</v>
      </c>
      <c r="H553" t="s" s="61">
        <v>885</v>
      </c>
    </row>
    <row r="554" ht="21.25" customHeight="1">
      <c r="A554" t="s" s="8">
        <v>860</v>
      </c>
      <c r="B554" t="s" s="61">
        <v>62</v>
      </c>
      <c r="C554" s="166"/>
      <c r="D554" t="s" s="61">
        <v>62</v>
      </c>
      <c r="E554" t="s" s="61">
        <f>_xlfn.IFERROR(AVERAGE(B554:D554),"—")</f>
        <v>934</v>
      </c>
      <c r="F554" s="59"/>
      <c r="G554" s="168"/>
      <c r="H554" t="s" s="61">
        <v>885</v>
      </c>
    </row>
    <row r="555" ht="21.25" customHeight="1">
      <c r="A555" t="s" s="8">
        <v>808</v>
      </c>
      <c r="B555" t="s" s="61">
        <v>62</v>
      </c>
      <c r="C555" s="166"/>
      <c r="D555" t="s" s="61">
        <v>62</v>
      </c>
      <c r="E555" t="s" s="61">
        <f>_xlfn.IFERROR(AVERAGE(B555:D555),"—")</f>
        <v>934</v>
      </c>
      <c r="F555" s="59"/>
      <c r="G555" s="168">
        <v>900000</v>
      </c>
      <c r="H555" t="s" s="61">
        <v>885</v>
      </c>
    </row>
    <row r="556" ht="21.25" customHeight="1">
      <c r="A556" t="s" s="8">
        <v>536</v>
      </c>
      <c r="B556" t="s" s="61">
        <v>62</v>
      </c>
      <c r="C556" s="166"/>
      <c r="D556" t="s" s="61">
        <v>62</v>
      </c>
      <c r="E556" t="s" s="61">
        <f>_xlfn.IFERROR(AVERAGE(B556:D556),"—")</f>
        <v>934</v>
      </c>
      <c r="F556" s="59"/>
      <c r="G556" s="168">
        <v>3500000</v>
      </c>
      <c r="H556" t="s" s="61">
        <v>885</v>
      </c>
    </row>
    <row r="557" ht="21.25" customHeight="1">
      <c r="A557" t="s" s="8">
        <v>844</v>
      </c>
      <c r="B557" t="s" s="61">
        <v>62</v>
      </c>
      <c r="C557" s="166"/>
      <c r="D557" t="s" s="61">
        <v>62</v>
      </c>
      <c r="E557" t="s" s="61">
        <f>_xlfn.IFERROR(AVERAGE(B557:D557),"—")</f>
        <v>934</v>
      </c>
      <c r="F557" s="59"/>
      <c r="G557" s="168">
        <v>0</v>
      </c>
      <c r="H557" t="s" s="61">
        <v>885</v>
      </c>
    </row>
    <row r="558" ht="21.25" customHeight="1">
      <c r="A558" t="s" s="8">
        <v>802</v>
      </c>
      <c r="B558" t="s" s="61">
        <v>62</v>
      </c>
      <c r="C558" s="166"/>
      <c r="D558" t="s" s="61">
        <v>62</v>
      </c>
      <c r="E558" t="s" s="61">
        <f>_xlfn.IFERROR(AVERAGE(B558:D558),"—")</f>
        <v>934</v>
      </c>
      <c r="F558" s="59"/>
      <c r="G558" s="168">
        <v>1050000</v>
      </c>
      <c r="H558" t="s" s="61">
        <v>885</v>
      </c>
    </row>
    <row r="559" ht="21.25" customHeight="1">
      <c r="A559" t="s" s="8">
        <v>577</v>
      </c>
      <c r="B559" t="s" s="61">
        <v>62</v>
      </c>
      <c r="C559" s="166"/>
      <c r="D559" t="s" s="61">
        <v>62</v>
      </c>
      <c r="E559" t="s" s="61">
        <f>_xlfn.IFERROR(AVERAGE(B559:D559),"—")</f>
        <v>934</v>
      </c>
      <c r="F559" s="59"/>
      <c r="G559" s="168">
        <v>2000000</v>
      </c>
      <c r="H559" t="s" s="61">
        <v>885</v>
      </c>
    </row>
    <row r="560" ht="21.25" customHeight="1">
      <c r="A560" t="s" s="8">
        <v>556</v>
      </c>
      <c r="B560" t="s" s="61">
        <v>62</v>
      </c>
      <c r="C560" s="166"/>
      <c r="D560" t="s" s="61">
        <v>62</v>
      </c>
      <c r="E560" t="s" s="61">
        <f>_xlfn.IFERROR(AVERAGE(B560:D560),"—")</f>
        <v>934</v>
      </c>
      <c r="F560" s="59"/>
      <c r="G560" s="168">
        <v>1000000</v>
      </c>
      <c r="H560" t="s" s="61">
        <v>885</v>
      </c>
    </row>
    <row r="561" ht="21.25" customHeight="1">
      <c r="A561" t="s" s="8">
        <v>542</v>
      </c>
      <c r="B561" t="s" s="61">
        <v>62</v>
      </c>
      <c r="C561" s="166"/>
      <c r="D561" t="s" s="61">
        <v>62</v>
      </c>
      <c r="E561" t="s" s="61">
        <f>_xlfn.IFERROR(AVERAGE(B561:D561),"—")</f>
        <v>934</v>
      </c>
      <c r="F561" s="59"/>
      <c r="G561" s="168">
        <v>3650000</v>
      </c>
      <c r="H561" t="s" s="61">
        <v>885</v>
      </c>
    </row>
    <row r="562" ht="21.25" customHeight="1">
      <c r="A562" t="s" s="8">
        <v>515</v>
      </c>
      <c r="B562" t="s" s="61">
        <v>62</v>
      </c>
      <c r="C562" s="166"/>
      <c r="D562" t="s" s="61">
        <v>62</v>
      </c>
      <c r="E562" t="s" s="61">
        <f>_xlfn.IFERROR(AVERAGE(B562:D562),"—")</f>
        <v>934</v>
      </c>
      <c r="F562" s="59"/>
      <c r="G562" s="168">
        <v>3000000</v>
      </c>
      <c r="H562" t="s" s="61">
        <v>885</v>
      </c>
    </row>
    <row r="563" ht="21.25" customHeight="1">
      <c r="A563" t="s" s="8">
        <v>692</v>
      </c>
      <c r="B563" t="s" s="61">
        <v>62</v>
      </c>
      <c r="C563" s="166"/>
      <c r="D563" t="s" s="61">
        <v>62</v>
      </c>
      <c r="E563" t="s" s="61">
        <f>_xlfn.IFERROR(AVERAGE(B563:D563),"—")</f>
        <v>934</v>
      </c>
      <c r="F563" s="59"/>
      <c r="G563" s="168">
        <v>812500</v>
      </c>
      <c r="H563" t="s" s="61">
        <v>885</v>
      </c>
    </row>
    <row r="564" ht="21.25" customHeight="1">
      <c r="A564" t="s" s="8">
        <v>784</v>
      </c>
      <c r="B564" t="s" s="61">
        <v>62</v>
      </c>
      <c r="C564" s="166"/>
      <c r="D564" t="s" s="61">
        <v>62</v>
      </c>
      <c r="E564" t="s" s="61">
        <f>_xlfn.IFERROR(AVERAGE(B564:D564),"—")</f>
        <v>934</v>
      </c>
      <c r="F564" s="59"/>
      <c r="G564" s="168">
        <v>1880000</v>
      </c>
      <c r="H564" t="s" s="61">
        <v>885</v>
      </c>
    </row>
    <row r="565" ht="21.25" customHeight="1">
      <c r="A565" t="s" s="8">
        <v>555</v>
      </c>
      <c r="B565" t="s" s="61">
        <v>62</v>
      </c>
      <c r="C565" s="166"/>
      <c r="D565" t="s" s="61">
        <v>62</v>
      </c>
      <c r="E565" t="s" s="61">
        <f>_xlfn.IFERROR(AVERAGE(B565:D565),"—")</f>
        <v>934</v>
      </c>
      <c r="F565" s="59"/>
      <c r="G565" s="168">
        <v>2450000</v>
      </c>
      <c r="H565" t="s" s="61">
        <v>885</v>
      </c>
    </row>
    <row r="566" ht="21.25" customHeight="1">
      <c r="A566" t="s" s="8">
        <v>843</v>
      </c>
      <c r="B566" t="s" s="61">
        <v>62</v>
      </c>
      <c r="C566" s="166"/>
      <c r="D566" t="s" s="61">
        <v>62</v>
      </c>
      <c r="E566" t="s" s="61">
        <f>_xlfn.IFERROR(AVERAGE(B566:D566),"—")</f>
        <v>934</v>
      </c>
      <c r="F566" s="59"/>
      <c r="G566" s="168">
        <v>775000</v>
      </c>
      <c r="H566" t="s" s="61">
        <v>885</v>
      </c>
    </row>
    <row r="567" ht="21.25" customHeight="1">
      <c r="A567" t="s" s="8">
        <v>592</v>
      </c>
      <c r="B567" t="s" s="61">
        <v>62</v>
      </c>
      <c r="C567" s="166"/>
      <c r="D567" t="s" s="61">
        <v>62</v>
      </c>
      <c r="E567" t="s" s="61">
        <f>_xlfn.IFERROR(AVERAGE(B567:D567),"—")</f>
        <v>934</v>
      </c>
      <c r="F567" s="59"/>
      <c r="G567" s="168">
        <v>766667</v>
      </c>
      <c r="H567" t="s" s="61">
        <v>885</v>
      </c>
    </row>
    <row r="568" ht="21.25" customHeight="1">
      <c r="A568" t="s" s="8">
        <v>617</v>
      </c>
      <c r="B568" t="s" s="61">
        <v>62</v>
      </c>
      <c r="C568" s="166"/>
      <c r="D568" t="s" s="61">
        <v>62</v>
      </c>
      <c r="E568" t="s" s="61">
        <f>_xlfn.IFERROR(AVERAGE(B568:D568),"—")</f>
        <v>934</v>
      </c>
      <c r="F568" s="59"/>
      <c r="G568" s="168">
        <v>1100000</v>
      </c>
      <c r="H568" t="s" s="61">
        <v>885</v>
      </c>
    </row>
    <row r="569" ht="21.25" customHeight="1">
      <c r="A569" t="s" s="8">
        <v>822</v>
      </c>
      <c r="B569" t="s" s="61">
        <v>62</v>
      </c>
      <c r="C569" s="166"/>
      <c r="D569" t="s" s="61">
        <v>62</v>
      </c>
      <c r="E569" t="s" s="61">
        <f>_xlfn.IFERROR(AVERAGE(B569:D569),"—")</f>
        <v>934</v>
      </c>
      <c r="F569" s="59"/>
      <c r="G569" s="168">
        <v>775000</v>
      </c>
      <c r="H569" t="s" s="61">
        <v>885</v>
      </c>
    </row>
    <row r="570" ht="21.25" customHeight="1">
      <c r="A570" t="s" s="8">
        <v>544</v>
      </c>
      <c r="B570" t="s" s="61">
        <v>62</v>
      </c>
      <c r="C570" s="166"/>
      <c r="D570" t="s" s="61">
        <v>62</v>
      </c>
      <c r="E570" t="s" s="61">
        <f>_xlfn.IFERROR(AVERAGE(B570:D570),"—")</f>
        <v>934</v>
      </c>
      <c r="F570" s="59"/>
      <c r="G570" s="168">
        <v>3250000</v>
      </c>
      <c r="H570" t="s" s="61">
        <v>885</v>
      </c>
    </row>
    <row r="571" ht="21.25" customHeight="1">
      <c r="A571" t="s" s="8">
        <v>511</v>
      </c>
      <c r="B571" t="s" s="61">
        <v>62</v>
      </c>
      <c r="C571" s="166"/>
      <c r="D571" s="166">
        <v>1224.6</v>
      </c>
      <c r="E571" s="166">
        <f>_xlfn.IFERROR(AVERAGE(B571:D571),"—")</f>
        <v>1224.6</v>
      </c>
      <c r="F571" s="59"/>
      <c r="G571" s="168">
        <v>1100000</v>
      </c>
      <c r="H571" t="s" s="61">
        <v>885</v>
      </c>
    </row>
    <row r="572" ht="21.25" customHeight="1">
      <c r="A572" t="s" s="8">
        <v>863</v>
      </c>
      <c r="B572" t="s" s="61">
        <v>62</v>
      </c>
      <c r="C572" s="166"/>
      <c r="D572" t="s" s="61">
        <v>62</v>
      </c>
      <c r="E572" t="s" s="61">
        <f>_xlfn.IFERROR(AVERAGE(B572:D572),"—")</f>
        <v>934</v>
      </c>
      <c r="F572" s="59"/>
      <c r="G572" s="168"/>
      <c r="H572" t="s" s="61">
        <v>885</v>
      </c>
    </row>
    <row r="573" ht="21.25" customHeight="1">
      <c r="A573" t="s" s="8">
        <v>677</v>
      </c>
      <c r="B573" t="s" s="61">
        <v>62</v>
      </c>
      <c r="C573" s="166"/>
      <c r="D573" t="s" s="61">
        <v>62</v>
      </c>
      <c r="E573" t="s" s="61">
        <f>_xlfn.IFERROR(AVERAGE(B573:D573),"—")</f>
        <v>934</v>
      </c>
      <c r="F573" s="59"/>
      <c r="G573" s="168"/>
      <c r="H573" t="s" s="61">
        <v>885</v>
      </c>
    </row>
    <row r="574" ht="21.25" customHeight="1">
      <c r="A574" t="s" s="8">
        <v>601</v>
      </c>
      <c r="B574" t="s" s="61">
        <v>62</v>
      </c>
      <c r="C574" s="166"/>
      <c r="D574" t="s" s="61">
        <v>62</v>
      </c>
      <c r="E574" t="s" s="61">
        <f>_xlfn.IFERROR(AVERAGE(B574:D574),"—")</f>
        <v>934</v>
      </c>
      <c r="F574" s="166"/>
      <c r="G574" s="168">
        <v>1400000</v>
      </c>
      <c r="H574" t="s" s="61">
        <v>885</v>
      </c>
    </row>
    <row r="575" ht="21.25" customHeight="1">
      <c r="A575" t="s" s="8">
        <v>575</v>
      </c>
      <c r="B575" t="s" s="61">
        <v>62</v>
      </c>
      <c r="C575" s="166"/>
      <c r="D575" t="s" s="61">
        <v>62</v>
      </c>
      <c r="E575" t="s" s="61">
        <f>_xlfn.IFERROR(AVERAGE(B575:D575),"—")</f>
        <v>934</v>
      </c>
      <c r="F575" s="59"/>
      <c r="G575" s="168">
        <v>2750000</v>
      </c>
      <c r="H575" t="s" s="61">
        <v>885</v>
      </c>
    </row>
    <row r="576" ht="21.25" customHeight="1">
      <c r="A576" t="s" s="8">
        <v>625</v>
      </c>
      <c r="B576" t="s" s="61">
        <v>62</v>
      </c>
      <c r="C576" s="166"/>
      <c r="D576" t="s" s="61">
        <v>62</v>
      </c>
      <c r="E576" t="s" s="61">
        <f>_xlfn.IFERROR(AVERAGE(B576:D576),"—")</f>
        <v>934</v>
      </c>
      <c r="F576" s="59"/>
      <c r="G576" s="168">
        <v>2500000</v>
      </c>
      <c r="H576" t="s" s="61">
        <v>885</v>
      </c>
    </row>
    <row r="577" ht="21.25" customHeight="1">
      <c r="A577" t="s" s="8">
        <v>615</v>
      </c>
      <c r="B577" t="s" s="61">
        <v>62</v>
      </c>
      <c r="C577" s="166"/>
      <c r="D577" t="s" s="61">
        <v>62</v>
      </c>
      <c r="E577" t="s" s="61">
        <f>_xlfn.IFERROR(AVERAGE(B577:D577),"—")</f>
        <v>934</v>
      </c>
      <c r="F577" s="59"/>
      <c r="G577" s="168">
        <v>850000</v>
      </c>
      <c r="H577" t="s" s="61">
        <v>885</v>
      </c>
    </row>
    <row r="578" ht="21.25" customHeight="1">
      <c r="A578" t="s" s="8">
        <v>532</v>
      </c>
      <c r="B578" t="s" s="61">
        <v>62</v>
      </c>
      <c r="C578" s="166"/>
      <c r="D578" t="s" s="61">
        <v>62</v>
      </c>
      <c r="E578" t="s" s="61">
        <f>_xlfn.IFERROR(AVERAGE(B578:D578),"—")</f>
        <v>934</v>
      </c>
      <c r="F578" s="59"/>
      <c r="G578" s="168">
        <v>4000000</v>
      </c>
      <c r="H578" t="s" s="61">
        <v>885</v>
      </c>
    </row>
    <row r="579" ht="21.25" customHeight="1">
      <c r="A579" t="s" s="8">
        <v>549</v>
      </c>
      <c r="B579" s="166">
        <v>161.1</v>
      </c>
      <c r="C579" s="166"/>
      <c r="D579" t="s" s="61">
        <v>62</v>
      </c>
      <c r="E579" s="166">
        <f>_xlfn.IFERROR(AVERAGE(B579:D579),"—")</f>
        <v>161.1</v>
      </c>
      <c r="F579" s="59"/>
      <c r="G579" s="168">
        <v>4100000</v>
      </c>
      <c r="H579" t="s" s="61">
        <v>885</v>
      </c>
    </row>
    <row r="580" ht="21.25" customHeight="1">
      <c r="A580" t="s" s="8">
        <v>578</v>
      </c>
      <c r="B580" t="s" s="61">
        <v>62</v>
      </c>
      <c r="C580" s="166"/>
      <c r="D580" t="s" s="61">
        <v>62</v>
      </c>
      <c r="E580" t="s" s="61">
        <f>_xlfn.IFERROR(AVERAGE(B580:D580),"—")</f>
        <v>934</v>
      </c>
      <c r="F580" s="59"/>
      <c r="G580" s="168">
        <v>1100000</v>
      </c>
      <c r="H580" t="s" s="61">
        <v>885</v>
      </c>
    </row>
    <row r="581" ht="21.25" customHeight="1">
      <c r="A581" t="s" s="8">
        <v>856</v>
      </c>
      <c r="B581" t="s" s="61">
        <v>62</v>
      </c>
      <c r="C581" s="166"/>
      <c r="D581" t="s" s="61">
        <v>62</v>
      </c>
      <c r="E581" t="s" s="61">
        <f>_xlfn.IFERROR(AVERAGE(B581:D581),"—")</f>
        <v>934</v>
      </c>
      <c r="F581" s="59"/>
      <c r="G581" s="168">
        <v>787500</v>
      </c>
      <c r="H581" t="s" s="61">
        <v>885</v>
      </c>
    </row>
    <row r="582" ht="21.25" customHeight="1">
      <c r="A582" t="s" s="8">
        <v>613</v>
      </c>
      <c r="B582" t="s" s="61">
        <v>62</v>
      </c>
      <c r="C582" s="166"/>
      <c r="D582" t="s" s="61">
        <v>62</v>
      </c>
      <c r="E582" t="s" s="61">
        <f>_xlfn.IFERROR(AVERAGE(B582:D582),"—")</f>
        <v>934</v>
      </c>
      <c r="F582" s="59"/>
      <c r="G582" s="168">
        <v>775000</v>
      </c>
      <c r="H582" t="s" s="61">
        <v>885</v>
      </c>
    </row>
    <row r="583" ht="21.25" customHeight="1">
      <c r="A583" t="s" s="8">
        <v>810</v>
      </c>
      <c r="B583" t="s" s="61">
        <v>62</v>
      </c>
      <c r="C583" s="166"/>
      <c r="D583" t="s" s="61">
        <v>62</v>
      </c>
      <c r="E583" t="s" s="61">
        <f>_xlfn.IFERROR(AVERAGE(B583:D583),"—")</f>
        <v>934</v>
      </c>
      <c r="F583" s="59"/>
      <c r="G583" s="168">
        <v>1750000</v>
      </c>
      <c r="H583" t="s" s="61">
        <v>885</v>
      </c>
    </row>
    <row r="584" ht="21.25" customHeight="1">
      <c r="A584" t="s" s="8">
        <v>848</v>
      </c>
      <c r="B584" t="s" s="61">
        <v>62</v>
      </c>
      <c r="C584" s="166"/>
      <c r="D584" t="s" s="61">
        <v>62</v>
      </c>
      <c r="E584" t="s" s="61">
        <f>_xlfn.IFERROR(AVERAGE(B584:D584),"—")</f>
        <v>934</v>
      </c>
      <c r="F584" s="59"/>
      <c r="G584" s="168">
        <v>850000</v>
      </c>
      <c r="H584" t="s" s="61">
        <v>885</v>
      </c>
    </row>
    <row r="585" ht="21.25" customHeight="1">
      <c r="A585" t="s" s="8">
        <v>646</v>
      </c>
      <c r="B585" t="s" s="61">
        <v>62</v>
      </c>
      <c r="C585" s="166"/>
      <c r="D585" t="s" s="61">
        <v>62</v>
      </c>
      <c r="E585" t="s" s="61">
        <f>_xlfn.IFERROR(AVERAGE(B585:D585),"—")</f>
        <v>934</v>
      </c>
      <c r="F585" s="59"/>
      <c r="G585" s="168"/>
      <c r="H585" t="s" s="61">
        <v>885</v>
      </c>
    </row>
    <row r="586" ht="21.25" customHeight="1">
      <c r="A586" t="s" s="8">
        <v>585</v>
      </c>
      <c r="B586" t="s" s="61">
        <v>62</v>
      </c>
      <c r="C586" s="166"/>
      <c r="D586" t="s" s="61">
        <v>62</v>
      </c>
      <c r="E586" t="s" s="61">
        <f>_xlfn.IFERROR(AVERAGE(B586:D586),"—")</f>
        <v>934</v>
      </c>
      <c r="F586" s="59"/>
      <c r="G586" s="168">
        <v>7000000</v>
      </c>
      <c r="H586" t="s" s="61">
        <v>885</v>
      </c>
    </row>
    <row r="587" ht="21.25" customHeight="1">
      <c r="A587" t="s" s="8">
        <v>680</v>
      </c>
      <c r="B587" t="s" s="61">
        <v>62</v>
      </c>
      <c r="C587" s="166"/>
      <c r="D587" t="s" s="61">
        <v>62</v>
      </c>
      <c r="E587" t="s" s="61">
        <f>_xlfn.IFERROR(AVERAGE(B587:D587),"—")</f>
        <v>934</v>
      </c>
      <c r="F587" s="59"/>
      <c r="G587" s="168"/>
      <c r="H587" t="s" s="61">
        <v>885</v>
      </c>
    </row>
    <row r="588" ht="21.25" customHeight="1">
      <c r="A588" t="s" s="8">
        <v>850</v>
      </c>
      <c r="B588" t="s" s="61">
        <v>62</v>
      </c>
      <c r="C588" s="166"/>
      <c r="D588" t="s" s="61">
        <v>62</v>
      </c>
      <c r="E588" t="s" s="61">
        <f>_xlfn.IFERROR(AVERAGE(B588:D588),"—")</f>
        <v>934</v>
      </c>
      <c r="F588" s="59"/>
      <c r="G588" s="168">
        <v>835000</v>
      </c>
      <c r="H588" t="s" s="61">
        <v>885</v>
      </c>
    </row>
    <row r="589" ht="21.25" customHeight="1">
      <c r="A589" t="s" s="8">
        <v>610</v>
      </c>
      <c r="B589" t="s" s="61">
        <v>62</v>
      </c>
      <c r="C589" s="166"/>
      <c r="D589" t="s" s="61">
        <v>62</v>
      </c>
      <c r="E589" t="s" s="61">
        <f>_xlfn.IFERROR(AVERAGE(B589:D589),"—")</f>
        <v>934</v>
      </c>
      <c r="F589" s="59"/>
      <c r="G589" s="168">
        <v>3000000</v>
      </c>
      <c r="H589" t="s" s="61">
        <v>885</v>
      </c>
    </row>
    <row r="590" ht="21.25" customHeight="1">
      <c r="A590" t="s" s="8">
        <v>547</v>
      </c>
      <c r="B590" t="s" s="61">
        <v>62</v>
      </c>
      <c r="C590" s="166"/>
      <c r="D590" t="s" s="61">
        <v>62</v>
      </c>
      <c r="E590" t="s" s="61">
        <f>_xlfn.IFERROR(AVERAGE(B590:D590),"—")</f>
        <v>934</v>
      </c>
      <c r="F590" s="59"/>
      <c r="G590" s="168">
        <v>6000000</v>
      </c>
      <c r="H590" t="s" s="61">
        <v>885</v>
      </c>
    </row>
    <row r="591" ht="21.25" customHeight="1">
      <c r="A591" t="s" s="8">
        <v>620</v>
      </c>
      <c r="B591" t="s" s="61">
        <v>62</v>
      </c>
      <c r="C591" s="166"/>
      <c r="D591" t="s" s="61">
        <v>62</v>
      </c>
      <c r="E591" t="s" s="61">
        <f>_xlfn.IFERROR(AVERAGE(B591:D591),"—")</f>
        <v>934</v>
      </c>
      <c r="F591" s="59"/>
      <c r="G591" s="168">
        <v>3000000</v>
      </c>
      <c r="H591" t="s" s="61">
        <v>885</v>
      </c>
    </row>
    <row r="592" ht="21.25" customHeight="1">
      <c r="A592" t="s" s="8">
        <v>606</v>
      </c>
      <c r="B592" s="166">
        <v>175.9</v>
      </c>
      <c r="C592" s="166"/>
      <c r="D592" t="s" s="61">
        <v>62</v>
      </c>
      <c r="E592" s="166">
        <f>_xlfn.IFERROR(AVERAGE(B592:D592),"—")</f>
        <v>175.9</v>
      </c>
      <c r="F592" s="59"/>
      <c r="G592" s="168">
        <v>828333</v>
      </c>
      <c r="H592" t="s" s="61">
        <v>885</v>
      </c>
    </row>
    <row r="593" ht="21.25" customHeight="1">
      <c r="A593" t="s" s="8">
        <v>838</v>
      </c>
      <c r="B593" t="s" s="61">
        <v>62</v>
      </c>
      <c r="C593" s="166"/>
      <c r="D593" t="s" s="61">
        <v>62</v>
      </c>
      <c r="E593" t="s" s="61">
        <f>_xlfn.IFERROR(AVERAGE(B593:D593),"—")</f>
        <v>934</v>
      </c>
      <c r="F593" s="59"/>
      <c r="G593" s="168">
        <v>1100000</v>
      </c>
      <c r="H593" t="s" s="61">
        <v>885</v>
      </c>
    </row>
    <row r="594" ht="21.25" customHeight="1">
      <c r="A594" t="s" s="8">
        <v>811</v>
      </c>
      <c r="B594" t="s" s="61">
        <v>62</v>
      </c>
      <c r="C594" s="166"/>
      <c r="D594" t="s" s="61">
        <v>62</v>
      </c>
      <c r="E594" t="s" s="61">
        <f>_xlfn.IFERROR(AVERAGE(B594:D594),"—")</f>
        <v>934</v>
      </c>
      <c r="F594" s="59"/>
      <c r="G594" s="168">
        <v>1484000</v>
      </c>
      <c r="H594" t="s" s="61">
        <v>885</v>
      </c>
    </row>
    <row r="595" ht="21.25" customHeight="1">
      <c r="A595" t="s" s="8">
        <v>824</v>
      </c>
      <c r="B595" t="s" s="61">
        <v>62</v>
      </c>
      <c r="C595" s="166"/>
      <c r="D595" t="s" s="61">
        <v>62</v>
      </c>
      <c r="E595" t="s" s="61">
        <f>_xlfn.IFERROR(AVERAGE(B595:D595),"—")</f>
        <v>934</v>
      </c>
      <c r="F595" s="59"/>
      <c r="G595" s="168">
        <v>775000</v>
      </c>
      <c r="H595" t="s" s="61">
        <v>885</v>
      </c>
    </row>
    <row r="596" ht="21.25" customHeight="1">
      <c r="A596" t="s" s="8">
        <v>809</v>
      </c>
      <c r="B596" t="s" s="61">
        <v>62</v>
      </c>
      <c r="C596" s="166"/>
      <c r="D596" t="s" s="61">
        <v>62</v>
      </c>
      <c r="E596" t="s" s="61">
        <f>_xlfn.IFERROR(AVERAGE(B596:D596),"—")</f>
        <v>934</v>
      </c>
      <c r="F596" s="59"/>
      <c r="G596" s="168">
        <v>825000</v>
      </c>
      <c r="H596" t="s" s="61">
        <v>885</v>
      </c>
    </row>
    <row r="597" ht="21.25" customHeight="1">
      <c r="A597" t="s" s="8">
        <v>655</v>
      </c>
      <c r="B597" t="s" s="61">
        <v>62</v>
      </c>
      <c r="C597" s="166"/>
      <c r="D597" t="s" s="61">
        <v>62</v>
      </c>
      <c r="E597" t="s" s="61">
        <f>_xlfn.IFERROR(AVERAGE(B597:D597),"—")</f>
        <v>934</v>
      </c>
      <c r="F597" s="59"/>
      <c r="G597" s="168">
        <v>762500</v>
      </c>
      <c r="H597" t="s" s="61">
        <v>885</v>
      </c>
    </row>
    <row r="598" ht="21.25" customHeight="1">
      <c r="A598" t="s" s="8">
        <v>858</v>
      </c>
      <c r="B598" t="s" s="61">
        <v>62</v>
      </c>
      <c r="C598" s="166"/>
      <c r="D598" t="s" s="61">
        <v>62</v>
      </c>
      <c r="E598" t="s" s="61">
        <f>_xlfn.IFERROR(AVERAGE(B598:D598),"—")</f>
        <v>934</v>
      </c>
      <c r="F598" s="59"/>
      <c r="G598" s="168">
        <v>794000</v>
      </c>
      <c r="H598" t="s" s="61">
        <v>885</v>
      </c>
    </row>
    <row r="599" ht="21.25" customHeight="1">
      <c r="A599" t="s" s="8">
        <v>719</v>
      </c>
      <c r="B599" t="s" s="61">
        <v>62</v>
      </c>
      <c r="C599" s="166"/>
      <c r="D599" t="s" s="61">
        <v>62</v>
      </c>
      <c r="E599" t="s" s="61">
        <f>_xlfn.IFERROR(AVERAGE(B599:D599),"—")</f>
        <v>934</v>
      </c>
      <c r="F599" s="59"/>
      <c r="G599" s="168"/>
      <c r="H599" t="s" s="61">
        <v>885</v>
      </c>
    </row>
    <row r="600" ht="21.25" customHeight="1">
      <c r="A600" t="s" s="8">
        <v>670</v>
      </c>
      <c r="B600" t="s" s="61">
        <v>62</v>
      </c>
      <c r="C600" s="166"/>
      <c r="D600" t="s" s="61">
        <v>62</v>
      </c>
      <c r="E600" t="s" s="61">
        <f>_xlfn.IFERROR(AVERAGE(B600:D600),"—")</f>
        <v>934</v>
      </c>
      <c r="F600" s="59"/>
      <c r="G600" s="168">
        <v>850000</v>
      </c>
      <c r="H600" t="s" s="61">
        <v>885</v>
      </c>
    </row>
    <row r="601" ht="21.25" customHeight="1">
      <c r="A601" t="s" s="8">
        <v>652</v>
      </c>
      <c r="B601" t="s" s="61">
        <v>62</v>
      </c>
      <c r="C601" s="166"/>
      <c r="D601" t="s" s="61">
        <v>62</v>
      </c>
      <c r="E601" t="s" s="61">
        <f>_xlfn.IFERROR(AVERAGE(B601:D601),"—")</f>
        <v>934</v>
      </c>
      <c r="F601" s="59"/>
      <c r="G601" s="168">
        <v>762500</v>
      </c>
      <c r="H601" t="s" s="61">
        <v>885</v>
      </c>
    </row>
    <row r="602" ht="21.25" customHeight="1">
      <c r="A602" t="s" s="8">
        <v>864</v>
      </c>
      <c r="B602" t="s" s="61">
        <v>62</v>
      </c>
      <c r="C602" s="166"/>
      <c r="D602" t="s" s="61">
        <v>62</v>
      </c>
      <c r="E602" t="s" s="61">
        <f>_xlfn.IFERROR(AVERAGE(B602:D602),"—")</f>
        <v>934</v>
      </c>
      <c r="F602" s="59"/>
      <c r="G602" s="168">
        <v>1000000</v>
      </c>
      <c r="H602" t="s" s="61">
        <v>885</v>
      </c>
    </row>
    <row r="603" ht="21.25" customHeight="1">
      <c r="A603" t="s" s="8">
        <v>725</v>
      </c>
      <c r="B603" t="s" s="61">
        <v>62</v>
      </c>
      <c r="C603" s="166"/>
      <c r="D603" t="s" s="61">
        <v>62</v>
      </c>
      <c r="E603" t="s" s="61">
        <f>_xlfn.IFERROR(AVERAGE(B603:D603),"—")</f>
        <v>934</v>
      </c>
      <c r="F603" s="59"/>
      <c r="G603" s="168">
        <v>1137500</v>
      </c>
      <c r="H603" t="s" s="61">
        <v>885</v>
      </c>
    </row>
    <row r="604" ht="21.25" customHeight="1">
      <c r="A604" t="s" s="8">
        <v>565</v>
      </c>
      <c r="B604" t="s" s="61">
        <v>62</v>
      </c>
      <c r="C604" s="166"/>
      <c r="D604" t="s" s="61">
        <v>62</v>
      </c>
      <c r="E604" t="s" s="61">
        <f>_xlfn.IFERROR(AVERAGE(B604:D604),"—")</f>
        <v>934</v>
      </c>
      <c r="F604" s="59"/>
      <c r="G604" s="168">
        <v>775000</v>
      </c>
      <c r="H604" t="s" s="61">
        <v>885</v>
      </c>
    </row>
    <row r="605" ht="21.25" customHeight="1">
      <c r="A605" t="s" s="8">
        <v>833</v>
      </c>
      <c r="B605" t="s" s="61">
        <v>62</v>
      </c>
      <c r="C605" s="166"/>
      <c r="D605" t="s" s="61">
        <v>62</v>
      </c>
      <c r="E605" t="s" s="61">
        <f>_xlfn.IFERROR(AVERAGE(B605:D605),"—")</f>
        <v>934</v>
      </c>
      <c r="F605" s="59"/>
      <c r="G605" s="168">
        <v>762500</v>
      </c>
      <c r="H605" t="s" s="61">
        <v>885</v>
      </c>
    </row>
    <row r="606" ht="21.25" customHeight="1">
      <c r="A606" t="s" s="8">
        <v>829</v>
      </c>
      <c r="B606" t="s" s="61">
        <v>62</v>
      </c>
      <c r="C606" s="166"/>
      <c r="D606" t="s" s="61">
        <v>62</v>
      </c>
      <c r="E606" t="s" s="61">
        <f>_xlfn.IFERROR(AVERAGE(B606:D606),"—")</f>
        <v>934</v>
      </c>
      <c r="F606" s="59"/>
      <c r="G606" s="168">
        <v>1000000</v>
      </c>
      <c r="H606" t="s" s="61">
        <v>885</v>
      </c>
    </row>
    <row r="607" ht="21.25" customHeight="1">
      <c r="A607" t="s" s="8">
        <v>869</v>
      </c>
      <c r="B607" t="s" s="61">
        <v>62</v>
      </c>
      <c r="C607" s="166"/>
      <c r="D607" t="s" s="61">
        <v>62</v>
      </c>
      <c r="E607" t="s" s="61">
        <f>_xlfn.IFERROR(AVERAGE(B607:D607),"—")</f>
        <v>934</v>
      </c>
      <c r="F607" s="59"/>
      <c r="G607" s="168">
        <v>831300</v>
      </c>
      <c r="H607" t="s" s="61">
        <v>885</v>
      </c>
    </row>
    <row r="608" ht="21.25" customHeight="1">
      <c r="A608" t="s" s="8">
        <v>682</v>
      </c>
      <c r="B608" t="s" s="61">
        <v>62</v>
      </c>
      <c r="C608" s="166"/>
      <c r="D608" t="s" s="61">
        <v>62</v>
      </c>
      <c r="E608" t="s" s="61">
        <f>_xlfn.IFERROR(AVERAGE(B608:D608),"—")</f>
        <v>934</v>
      </c>
      <c r="F608" s="59"/>
      <c r="G608" s="168">
        <v>762000</v>
      </c>
      <c r="H608" t="s" s="61">
        <v>885</v>
      </c>
    </row>
    <row r="609" ht="21.25" customHeight="1">
      <c r="A609" t="s" s="8">
        <v>636</v>
      </c>
      <c r="B609" t="s" s="61">
        <v>62</v>
      </c>
      <c r="C609" s="166"/>
      <c r="D609" t="s" s="61">
        <v>62</v>
      </c>
      <c r="E609" t="s" s="61">
        <f>_xlfn.IFERROR(AVERAGE(B609:D609),"—")</f>
        <v>934</v>
      </c>
      <c r="F609" s="59"/>
      <c r="G609" s="168">
        <v>1200000</v>
      </c>
      <c r="H609" t="s" s="61">
        <v>885</v>
      </c>
    </row>
    <row r="610" ht="21.25" customHeight="1">
      <c r="A610" t="s" s="8">
        <v>687</v>
      </c>
      <c r="B610" t="s" s="61">
        <v>62</v>
      </c>
      <c r="C610" s="166"/>
      <c r="D610" t="s" s="61">
        <v>62</v>
      </c>
      <c r="E610" t="s" s="61">
        <f>_xlfn.IFERROR(AVERAGE(B610:D610),"—")</f>
        <v>934</v>
      </c>
      <c r="F610" s="59"/>
      <c r="G610" s="168"/>
      <c r="H610" t="s" s="61">
        <v>885</v>
      </c>
    </row>
    <row r="611" ht="21.25" customHeight="1">
      <c r="A611" t="s" s="8">
        <v>826</v>
      </c>
      <c r="B611" t="s" s="61">
        <v>62</v>
      </c>
      <c r="C611" s="166"/>
      <c r="D611" t="s" s="61">
        <v>62</v>
      </c>
      <c r="E611" t="s" s="61">
        <f>_xlfn.IFERROR(AVERAGE(B611:D611),"—")</f>
        <v>934</v>
      </c>
      <c r="F611" s="59"/>
      <c r="G611" s="168">
        <v>800000</v>
      </c>
      <c r="H611" t="s" s="61">
        <v>885</v>
      </c>
    </row>
    <row r="612" ht="21.25" customHeight="1">
      <c r="A612" t="s" s="8">
        <v>870</v>
      </c>
      <c r="B612" t="s" s="61">
        <v>62</v>
      </c>
      <c r="C612" s="166"/>
      <c r="D612" t="s" s="61">
        <v>62</v>
      </c>
      <c r="E612" t="s" s="61">
        <f>_xlfn.IFERROR(AVERAGE(B612:D612),"—")</f>
        <v>934</v>
      </c>
      <c r="F612" s="59"/>
      <c r="G612" s="168"/>
      <c r="H612" t="s" s="61">
        <v>885</v>
      </c>
    </row>
    <row r="613" ht="21.25" customHeight="1">
      <c r="A613" t="s" s="8">
        <v>674</v>
      </c>
      <c r="B613" t="s" s="61">
        <v>62</v>
      </c>
      <c r="C613" s="166"/>
      <c r="D613" t="s" s="61">
        <v>62</v>
      </c>
      <c r="E613" t="s" s="61">
        <f>_xlfn.IFERROR(AVERAGE(B613:D613),"—")</f>
        <v>934</v>
      </c>
      <c r="F613" s="59"/>
      <c r="G613" s="168">
        <v>1250000</v>
      </c>
      <c r="H613" t="s" s="61">
        <v>885</v>
      </c>
    </row>
    <row r="614" ht="21.25" customHeight="1">
      <c r="A614" t="s" s="8">
        <v>643</v>
      </c>
      <c r="B614" t="s" s="61">
        <v>62</v>
      </c>
      <c r="C614" s="166"/>
      <c r="D614" t="s" s="61">
        <v>62</v>
      </c>
      <c r="E614" t="s" s="61">
        <f>_xlfn.IFERROR(AVERAGE(B614:D614),"—")</f>
        <v>934</v>
      </c>
      <c r="F614" s="59"/>
      <c r="G614" s="168">
        <v>4500000</v>
      </c>
      <c r="H614" t="s" s="61">
        <v>885</v>
      </c>
    </row>
    <row r="615" ht="21.25" customHeight="1">
      <c r="A615" t="s" s="8">
        <v>659</v>
      </c>
      <c r="B615" t="s" s="61">
        <v>62</v>
      </c>
      <c r="C615" s="166"/>
      <c r="D615" t="s" s="61">
        <v>62</v>
      </c>
      <c r="E615" t="s" s="61">
        <f>_xlfn.IFERROR(AVERAGE(B615:D615),"—")</f>
        <v>934</v>
      </c>
      <c r="F615" s="59"/>
      <c r="G615" s="168"/>
      <c r="H615" t="s" s="61">
        <v>885</v>
      </c>
    </row>
    <row r="616" ht="21.25" customHeight="1">
      <c r="A616" t="s" s="8">
        <v>640</v>
      </c>
      <c r="B616" t="s" s="61">
        <v>62</v>
      </c>
      <c r="C616" s="166"/>
      <c r="D616" t="s" s="61">
        <v>62</v>
      </c>
      <c r="E616" t="s" s="61">
        <f>_xlfn.IFERROR(AVERAGE(B616:D616),"—")</f>
        <v>934</v>
      </c>
      <c r="F616" s="59"/>
      <c r="G616" s="168">
        <v>3275000</v>
      </c>
      <c r="H616" t="s" s="61">
        <v>885</v>
      </c>
    </row>
    <row r="617" ht="21.25" customHeight="1">
      <c r="A617" t="s" s="8">
        <v>874</v>
      </c>
      <c r="B617" t="s" s="61">
        <v>62</v>
      </c>
      <c r="C617" s="166"/>
      <c r="D617" t="s" s="61">
        <v>62</v>
      </c>
      <c r="E617" t="s" s="61">
        <f>_xlfn.IFERROR(AVERAGE(B617:D617),"—")</f>
        <v>934</v>
      </c>
      <c r="F617" s="59"/>
      <c r="G617" s="168">
        <v>762500</v>
      </c>
      <c r="H617" t="s" s="61">
        <v>885</v>
      </c>
    </row>
    <row r="618" ht="21.25" customHeight="1">
      <c r="A618" t="s" s="8">
        <v>693</v>
      </c>
      <c r="B618" t="s" s="61">
        <v>62</v>
      </c>
      <c r="C618" s="166"/>
      <c r="D618" t="s" s="61">
        <v>62</v>
      </c>
      <c r="E618" t="s" s="61">
        <f>_xlfn.IFERROR(AVERAGE(B618:D618),"—")</f>
        <v>934</v>
      </c>
      <c r="F618" s="59"/>
      <c r="G618" s="168"/>
      <c r="H618" t="s" s="61">
        <v>885</v>
      </c>
    </row>
    <row r="619" ht="21.25" customHeight="1">
      <c r="A619" t="s" s="8">
        <v>580</v>
      </c>
      <c r="B619" t="s" s="61">
        <v>62</v>
      </c>
      <c r="C619" s="166"/>
      <c r="D619" t="s" s="61">
        <v>62</v>
      </c>
      <c r="E619" t="s" s="61">
        <f>_xlfn.IFERROR(AVERAGE(B619:D619),"—")</f>
        <v>934</v>
      </c>
      <c r="F619" s="166"/>
      <c r="G619" s="168">
        <v>4000000</v>
      </c>
      <c r="H619" t="s" s="61">
        <v>885</v>
      </c>
    </row>
    <row r="620" ht="21.25" customHeight="1">
      <c r="A620" t="s" s="8">
        <v>627</v>
      </c>
      <c r="B620" t="s" s="61">
        <v>62</v>
      </c>
      <c r="C620" s="166"/>
      <c r="D620" t="s" s="61">
        <v>62</v>
      </c>
      <c r="E620" t="s" s="61">
        <f>_xlfn.IFERROR(AVERAGE(B620:D620),"—")</f>
        <v>934</v>
      </c>
      <c r="F620" s="59"/>
      <c r="G620" s="168">
        <v>1100000</v>
      </c>
      <c r="H620" t="s" s="61">
        <v>885</v>
      </c>
    </row>
    <row r="621" ht="21.25" customHeight="1">
      <c r="A621" t="s" s="8">
        <v>619</v>
      </c>
      <c r="B621" t="s" s="61">
        <v>62</v>
      </c>
      <c r="C621" s="166"/>
      <c r="D621" t="s" s="61">
        <v>62</v>
      </c>
      <c r="E621" t="s" s="61">
        <f>_xlfn.IFERROR(AVERAGE(B621:D621),"—")</f>
        <v>934</v>
      </c>
      <c r="F621" s="59"/>
      <c r="G621" s="168">
        <v>2000000</v>
      </c>
      <c r="H621" t="s" s="61">
        <v>885</v>
      </c>
    </row>
    <row r="622" ht="21.25" customHeight="1">
      <c r="A622" t="s" s="8">
        <v>645</v>
      </c>
      <c r="B622" t="s" s="61">
        <v>62</v>
      </c>
      <c r="C622" s="166"/>
      <c r="D622" t="s" s="61">
        <v>62</v>
      </c>
      <c r="E622" t="s" s="61">
        <f>_xlfn.IFERROR(AVERAGE(B622:D622),"—")</f>
        <v>934</v>
      </c>
      <c r="F622" s="59"/>
      <c r="G622" s="168">
        <v>1108000</v>
      </c>
      <c r="H622" t="s" s="61">
        <v>885</v>
      </c>
    </row>
    <row r="623" ht="21.25" customHeight="1">
      <c r="A623" t="s" s="8">
        <v>830</v>
      </c>
      <c r="B623" t="s" s="61">
        <v>62</v>
      </c>
      <c r="C623" s="166"/>
      <c r="D623" t="s" s="61">
        <v>62</v>
      </c>
      <c r="E623" t="s" s="61">
        <f>_xlfn.IFERROR(AVERAGE(B623:D623),"—")</f>
        <v>934</v>
      </c>
      <c r="F623" s="59"/>
      <c r="G623" s="168">
        <v>775000</v>
      </c>
      <c r="H623" t="s" s="61">
        <v>885</v>
      </c>
    </row>
    <row r="624" ht="21.25" customHeight="1">
      <c r="A624" t="s" s="8">
        <v>873</v>
      </c>
      <c r="B624" t="s" s="61">
        <v>62</v>
      </c>
      <c r="C624" s="166"/>
      <c r="D624" t="s" s="61">
        <v>62</v>
      </c>
      <c r="E624" t="s" s="61">
        <f>_xlfn.IFERROR(AVERAGE(B624:D624),"—")</f>
        <v>934</v>
      </c>
      <c r="F624" s="59"/>
      <c r="G624" s="168">
        <v>775000</v>
      </c>
      <c r="H624" t="s" s="61">
        <v>885</v>
      </c>
    </row>
    <row r="625" ht="21.25" customHeight="1">
      <c r="A625" t="s" s="8">
        <v>702</v>
      </c>
      <c r="B625" t="s" s="61">
        <v>62</v>
      </c>
      <c r="C625" s="166"/>
      <c r="D625" t="s" s="61">
        <v>62</v>
      </c>
      <c r="E625" t="s" s="61">
        <f>_xlfn.IFERROR(AVERAGE(B625:D625),"—")</f>
        <v>934</v>
      </c>
      <c r="F625" s="166"/>
      <c r="G625" s="168">
        <v>863333</v>
      </c>
      <c r="H625" t="s" s="61">
        <v>885</v>
      </c>
    </row>
    <row r="626" ht="21.25" customHeight="1">
      <c r="A626" t="s" s="8">
        <v>656</v>
      </c>
      <c r="B626" t="s" s="61">
        <v>62</v>
      </c>
      <c r="C626" s="166"/>
      <c r="D626" t="s" s="61">
        <v>62</v>
      </c>
      <c r="E626" t="s" s="61">
        <f>_xlfn.IFERROR(AVERAGE(B626:D626),"—")</f>
        <v>934</v>
      </c>
      <c r="F626" s="166"/>
      <c r="G626" s="168">
        <v>2500000</v>
      </c>
      <c r="H626" t="s" s="61">
        <v>885</v>
      </c>
    </row>
    <row r="627" ht="21.25" customHeight="1">
      <c r="A627" t="s" s="8">
        <v>651</v>
      </c>
      <c r="B627" t="s" s="61">
        <v>62</v>
      </c>
      <c r="C627" s="166"/>
      <c r="D627" t="s" s="61">
        <v>62</v>
      </c>
      <c r="E627" t="s" s="61">
        <f>_xlfn.IFERROR(AVERAGE(B627:D627),"—")</f>
        <v>934</v>
      </c>
      <c r="F627" s="59"/>
      <c r="G627" s="168">
        <v>850000</v>
      </c>
      <c r="H627" t="s" s="61">
        <v>885</v>
      </c>
    </row>
    <row r="628" ht="21.25" customHeight="1">
      <c r="A628" t="s" s="8">
        <v>872</v>
      </c>
      <c r="B628" t="s" s="61">
        <v>62</v>
      </c>
      <c r="C628" s="166"/>
      <c r="D628" t="s" s="61">
        <v>62</v>
      </c>
      <c r="E628" t="s" s="61">
        <f>_xlfn.IFERROR(AVERAGE(B628:D628),"—")</f>
        <v>934</v>
      </c>
      <c r="F628" s="166"/>
      <c r="G628" s="168">
        <v>867700</v>
      </c>
      <c r="H628" t="s" s="61">
        <v>885</v>
      </c>
    </row>
    <row r="629" ht="21.25" customHeight="1">
      <c r="A629" t="s" s="8">
        <v>654</v>
      </c>
      <c r="B629" t="s" s="61">
        <v>62</v>
      </c>
      <c r="C629" s="166"/>
      <c r="D629" t="s" s="61">
        <v>62</v>
      </c>
      <c r="E629" t="s" s="61">
        <f>_xlfn.IFERROR(AVERAGE(B629:D629),"—")</f>
        <v>934</v>
      </c>
      <c r="F629" s="166"/>
      <c r="G629" s="168">
        <v>762000</v>
      </c>
      <c r="H629" t="s" s="61">
        <v>885</v>
      </c>
    </row>
    <row r="630" ht="21.25" customHeight="1">
      <c r="A630" t="s" s="8">
        <v>845</v>
      </c>
      <c r="B630" s="166">
        <v>160.7</v>
      </c>
      <c r="C630" s="166"/>
      <c r="D630" t="s" s="61">
        <v>62</v>
      </c>
      <c r="E630" s="166">
        <f>_xlfn.IFERROR(AVERAGE(B630:D630),"—")</f>
        <v>160.7</v>
      </c>
      <c r="F630" s="59"/>
      <c r="G630" s="168">
        <v>1300000</v>
      </c>
      <c r="H630" t="s" s="61">
        <v>885</v>
      </c>
    </row>
    <row r="631" ht="21.25" customHeight="1">
      <c r="A631" t="s" s="8">
        <v>593</v>
      </c>
      <c r="B631" s="166">
        <v>178.3</v>
      </c>
      <c r="C631" s="166"/>
      <c r="D631" s="166">
        <v>1120</v>
      </c>
      <c r="E631" s="166">
        <f>_xlfn.IFERROR(AVERAGE(B631:D631),"—")</f>
        <v>649.15</v>
      </c>
      <c r="F631" s="166"/>
      <c r="G631" s="168">
        <v>1500000</v>
      </c>
      <c r="H631" t="s" s="61">
        <v>885</v>
      </c>
    </row>
    <row r="632" ht="21.25" customHeight="1">
      <c r="A632" t="s" s="8">
        <v>840</v>
      </c>
      <c r="B632" t="s" s="61">
        <v>62</v>
      </c>
      <c r="C632" s="166"/>
      <c r="D632" t="s" s="61">
        <v>62</v>
      </c>
      <c r="E632" t="s" s="61">
        <f>_xlfn.IFERROR(AVERAGE(B632:D632),"—")</f>
        <v>934</v>
      </c>
      <c r="F632" s="166"/>
      <c r="G632" s="168">
        <v>775000</v>
      </c>
      <c r="H632" t="s" s="61">
        <v>885</v>
      </c>
    </row>
    <row r="633" ht="21.25" customHeight="1">
      <c r="A633" t="s" s="8">
        <v>820</v>
      </c>
      <c r="B633" t="s" s="61">
        <v>62</v>
      </c>
      <c r="C633" s="166"/>
      <c r="D633" t="s" s="61">
        <v>62</v>
      </c>
      <c r="E633" t="s" s="61">
        <f>_xlfn.IFERROR(AVERAGE(B633:D633),"—")</f>
        <v>934</v>
      </c>
      <c r="F633" s="166"/>
      <c r="G633" s="168">
        <v>1500000</v>
      </c>
      <c r="H633" t="s" s="61">
        <v>885</v>
      </c>
    </row>
    <row r="634" ht="21.25" customHeight="1">
      <c r="A634" t="s" s="8">
        <v>853</v>
      </c>
      <c r="B634" t="s" s="61">
        <v>62</v>
      </c>
      <c r="C634" s="166"/>
      <c r="D634" t="s" s="61">
        <v>62</v>
      </c>
      <c r="E634" t="s" s="61">
        <f>_xlfn.IFERROR(AVERAGE(B634:D634),"—")</f>
        <v>934</v>
      </c>
      <c r="F634" s="166"/>
      <c r="G634" s="168">
        <v>775000</v>
      </c>
      <c r="H634" t="s" s="61">
        <v>885</v>
      </c>
    </row>
    <row r="635" ht="21.25" customHeight="1">
      <c r="A635" t="s" s="8">
        <v>658</v>
      </c>
      <c r="B635" t="s" s="61">
        <v>62</v>
      </c>
      <c r="C635" s="166"/>
      <c r="D635" t="s" s="61">
        <v>62</v>
      </c>
      <c r="E635" t="s" s="61">
        <f>_xlfn.IFERROR(AVERAGE(B635:D635),"—")</f>
        <v>934</v>
      </c>
      <c r="F635" s="59"/>
      <c r="G635" s="168">
        <v>2750000</v>
      </c>
      <c r="H635" t="s" s="61">
        <v>885</v>
      </c>
    </row>
    <row r="636" ht="21.25" customHeight="1">
      <c r="A636" t="s" s="8">
        <v>876</v>
      </c>
      <c r="B636" t="s" s="61">
        <v>62</v>
      </c>
      <c r="C636" s="166"/>
      <c r="D636" t="s" s="61">
        <v>62</v>
      </c>
      <c r="E636" t="s" s="61">
        <f>_xlfn.IFERROR(AVERAGE(B636:D636),"—")</f>
        <v>934</v>
      </c>
      <c r="F636" s="166"/>
      <c r="G636" s="168">
        <v>1100000</v>
      </c>
      <c r="H636" t="s" s="61">
        <v>885</v>
      </c>
    </row>
    <row r="637" ht="21.25" customHeight="1">
      <c r="A637" t="s" s="8">
        <v>715</v>
      </c>
      <c r="B637" t="s" s="61">
        <v>62</v>
      </c>
      <c r="C637" s="166"/>
      <c r="D637" t="s" s="61">
        <v>62</v>
      </c>
      <c r="E637" t="s" s="61">
        <f>_xlfn.IFERROR(AVERAGE(B637:D637),"—")</f>
        <v>934</v>
      </c>
      <c r="F637" s="59"/>
      <c r="G637" s="168">
        <v>762500</v>
      </c>
      <c r="H637" t="s" s="61">
        <v>885</v>
      </c>
    </row>
    <row r="638" ht="21.25" customHeight="1">
      <c r="A638" t="s" s="8">
        <v>859</v>
      </c>
      <c r="B638" t="s" s="61">
        <v>62</v>
      </c>
      <c r="C638" s="166"/>
      <c r="D638" t="s" s="61">
        <v>62</v>
      </c>
      <c r="E638" t="s" s="61">
        <f>_xlfn.IFERROR(AVERAGE(B638:D638),"—")</f>
        <v>934</v>
      </c>
      <c r="F638" s="59"/>
      <c r="G638" s="168">
        <v>1300000</v>
      </c>
      <c r="H638" t="s" s="61">
        <v>885</v>
      </c>
    </row>
    <row r="639" ht="21.25" customHeight="1">
      <c r="A639" t="s" s="8">
        <v>647</v>
      </c>
      <c r="B639" t="s" s="61">
        <v>62</v>
      </c>
      <c r="C639" s="166"/>
      <c r="D639" t="s" s="61">
        <v>62</v>
      </c>
      <c r="E639" t="s" s="61">
        <f>_xlfn.IFERROR(AVERAGE(B639:D639),"—")</f>
        <v>934</v>
      </c>
      <c r="F639" s="59"/>
      <c r="G639" s="168">
        <v>2250000</v>
      </c>
      <c r="H639" t="s" s="61">
        <v>885</v>
      </c>
    </row>
    <row r="640" ht="21.25" customHeight="1">
      <c r="A640" t="s" s="8">
        <v>862</v>
      </c>
      <c r="B640" t="s" s="61">
        <v>62</v>
      </c>
      <c r="C640" s="166"/>
      <c r="D640" t="s" s="61">
        <v>62</v>
      </c>
      <c r="E640" t="s" s="61">
        <f>_xlfn.IFERROR(AVERAGE(B640:D640),"—")</f>
        <v>934</v>
      </c>
      <c r="F640" s="166"/>
      <c r="G640" s="168">
        <v>800000</v>
      </c>
      <c r="H640" t="s" s="61">
        <v>885</v>
      </c>
    </row>
    <row r="641" ht="21.25" customHeight="1">
      <c r="A641" t="s" s="8">
        <v>708</v>
      </c>
      <c r="B641" t="s" s="61">
        <v>62</v>
      </c>
      <c r="C641" s="166"/>
      <c r="D641" t="s" s="61">
        <v>62</v>
      </c>
      <c r="E641" t="s" s="61">
        <f>_xlfn.IFERROR(AVERAGE(B641:D641),"—")</f>
        <v>934</v>
      </c>
      <c r="F641" s="166"/>
      <c r="G641" s="168"/>
      <c r="H641" t="s" s="61">
        <v>885</v>
      </c>
    </row>
    <row r="642" ht="21.25" customHeight="1">
      <c r="A642" t="s" s="8">
        <v>837</v>
      </c>
      <c r="B642" t="s" s="61">
        <v>62</v>
      </c>
      <c r="C642" s="166"/>
      <c r="D642" t="s" s="61">
        <v>62</v>
      </c>
      <c r="E642" t="s" s="61">
        <f>_xlfn.IFERROR(AVERAGE(B642:D642),"—")</f>
        <v>934</v>
      </c>
      <c r="F642" s="166"/>
      <c r="G642" s="168">
        <v>1750000</v>
      </c>
      <c r="H642" t="s" s="61">
        <v>885</v>
      </c>
    </row>
    <row r="643" ht="21.25" customHeight="1">
      <c r="A643" t="s" s="8">
        <v>688</v>
      </c>
      <c r="B643" t="s" s="61">
        <v>62</v>
      </c>
      <c r="C643" s="166"/>
      <c r="D643" t="s" s="61">
        <v>62</v>
      </c>
      <c r="E643" t="s" s="61">
        <f>_xlfn.IFERROR(AVERAGE(B643:D643),"—")</f>
        <v>934</v>
      </c>
      <c r="F643" s="59"/>
      <c r="G643" s="168">
        <v>1100000</v>
      </c>
      <c r="H643" t="s" s="61">
        <v>885</v>
      </c>
    </row>
    <row r="644" ht="21.25" customHeight="1">
      <c r="A644" t="s" s="8">
        <v>726</v>
      </c>
      <c r="B644" t="s" s="61">
        <v>62</v>
      </c>
      <c r="C644" s="166"/>
      <c r="D644" t="s" s="61">
        <v>62</v>
      </c>
      <c r="E644" t="s" s="61">
        <f>_xlfn.IFERROR(AVERAGE(B644:D644),"—")</f>
        <v>934</v>
      </c>
      <c r="F644" s="166"/>
      <c r="G644" s="168">
        <v>787500</v>
      </c>
      <c r="H644" t="s" s="61">
        <v>885</v>
      </c>
    </row>
    <row r="645" ht="21.25" customHeight="1">
      <c r="A645" t="s" s="8">
        <v>684</v>
      </c>
      <c r="B645" t="s" s="61">
        <v>62</v>
      </c>
      <c r="C645" s="166"/>
      <c r="D645" t="s" s="61">
        <v>62</v>
      </c>
      <c r="E645" t="s" s="61">
        <f>_xlfn.IFERROR(AVERAGE(B645:D645),"—")</f>
        <v>934</v>
      </c>
      <c r="F645" s="166"/>
      <c r="G645" s="168">
        <v>800000</v>
      </c>
      <c r="H645" t="s" s="61">
        <v>885</v>
      </c>
    </row>
    <row r="646" ht="21.25" customHeight="1">
      <c r="A646" t="s" s="8">
        <v>871</v>
      </c>
      <c r="B646" t="s" s="61">
        <v>62</v>
      </c>
      <c r="C646" s="166"/>
      <c r="D646" t="s" s="61">
        <v>62</v>
      </c>
      <c r="E646" t="s" s="61">
        <f>_xlfn.IFERROR(AVERAGE(B646:D646),"—")</f>
        <v>934</v>
      </c>
      <c r="F646" s="166"/>
      <c r="G646" s="168">
        <v>822800</v>
      </c>
      <c r="H646" t="s" s="61">
        <v>885</v>
      </c>
    </row>
    <row r="647" ht="21.25" customHeight="1">
      <c r="A647" t="s" s="8">
        <v>666</v>
      </c>
      <c r="B647" t="s" s="61">
        <v>62</v>
      </c>
      <c r="C647" s="166"/>
      <c r="D647" t="s" s="61">
        <v>62</v>
      </c>
      <c r="E647" t="s" s="61">
        <f>_xlfn.IFERROR(AVERAGE(B647:D647),"—")</f>
        <v>934</v>
      </c>
      <c r="F647" s="166"/>
      <c r="G647" s="168">
        <v>850000</v>
      </c>
      <c r="H647" t="s" s="61">
        <v>885</v>
      </c>
    </row>
    <row r="648" ht="21.25" customHeight="1">
      <c r="A648" t="s" s="8">
        <v>857</v>
      </c>
      <c r="B648" t="s" s="61">
        <v>62</v>
      </c>
      <c r="C648" s="166"/>
      <c r="D648" t="s" s="61">
        <v>62</v>
      </c>
      <c r="E648" t="s" s="61">
        <f>_xlfn.IFERROR(AVERAGE(B648:D648),"—")</f>
        <v>934</v>
      </c>
      <c r="F648" s="166"/>
      <c r="G648" s="168">
        <v>800000</v>
      </c>
      <c r="H648" t="s" s="61">
        <v>885</v>
      </c>
    </row>
    <row r="649" ht="21.25" customHeight="1">
      <c r="A649" t="s" s="8">
        <v>745</v>
      </c>
      <c r="B649" t="s" s="61">
        <v>62</v>
      </c>
      <c r="C649" s="166"/>
      <c r="D649" t="s" s="61">
        <v>62</v>
      </c>
      <c r="E649" t="s" s="61">
        <f>_xlfn.IFERROR(AVERAGE(B649:D649),"—")</f>
        <v>934</v>
      </c>
      <c r="F649" s="166"/>
      <c r="G649" s="168">
        <v>1000000</v>
      </c>
      <c r="H649" t="s" s="61">
        <v>885</v>
      </c>
    </row>
    <row r="650" ht="21.25" customHeight="1">
      <c r="A650" t="s" s="8">
        <v>662</v>
      </c>
      <c r="B650" t="s" s="61">
        <v>62</v>
      </c>
      <c r="C650" s="166"/>
      <c r="D650" t="s" s="61">
        <v>62</v>
      </c>
      <c r="E650" t="s" s="61">
        <f>_xlfn.IFERROR(AVERAGE(B650:D650),"—")</f>
        <v>934</v>
      </c>
      <c r="F650" s="166"/>
      <c r="G650" s="168">
        <v>1275000</v>
      </c>
      <c r="H650" t="s" s="61">
        <v>885</v>
      </c>
    </row>
    <row r="651" ht="21.25" customHeight="1">
      <c r="A651" t="s" s="8">
        <v>673</v>
      </c>
      <c r="B651" t="s" s="61">
        <v>62</v>
      </c>
      <c r="C651" s="166"/>
      <c r="D651" t="s" s="61">
        <v>62</v>
      </c>
      <c r="E651" t="s" s="61">
        <f>_xlfn.IFERROR(AVERAGE(B651:D651),"—")</f>
        <v>934</v>
      </c>
      <c r="F651" s="166"/>
      <c r="G651" s="168">
        <v>762500</v>
      </c>
      <c r="H651" t="s" s="61">
        <v>885</v>
      </c>
    </row>
    <row r="652" ht="21.25" customHeight="1">
      <c r="A652" t="s" s="8">
        <v>686</v>
      </c>
      <c r="B652" t="s" s="61">
        <v>62</v>
      </c>
      <c r="C652" s="166"/>
      <c r="D652" t="s" s="61">
        <v>62</v>
      </c>
      <c r="E652" t="s" s="61">
        <f>_xlfn.IFERROR(AVERAGE(B652:D652),"—")</f>
        <v>934</v>
      </c>
      <c r="F652" s="166"/>
      <c r="G652" s="168">
        <v>775000</v>
      </c>
      <c r="H652" t="s" s="61">
        <v>885</v>
      </c>
    </row>
    <row r="653" ht="21.25" customHeight="1">
      <c r="A653" t="s" s="8">
        <v>721</v>
      </c>
      <c r="B653" t="s" s="61">
        <v>62</v>
      </c>
      <c r="C653" s="166"/>
      <c r="D653" t="s" s="61">
        <v>62</v>
      </c>
      <c r="E653" t="s" s="61">
        <f>_xlfn.IFERROR(AVERAGE(B653:D653),"—")</f>
        <v>934</v>
      </c>
      <c r="F653" s="59"/>
      <c r="G653" s="168">
        <v>950000</v>
      </c>
      <c r="H653" t="s" s="61">
        <v>885</v>
      </c>
    </row>
    <row r="654" ht="21.25" customHeight="1">
      <c r="A654" t="s" s="8">
        <v>695</v>
      </c>
      <c r="B654" t="s" s="61">
        <v>62</v>
      </c>
      <c r="C654" s="166"/>
      <c r="D654" t="s" s="61">
        <v>62</v>
      </c>
      <c r="E654" t="s" s="61">
        <f>_xlfn.IFERROR(AVERAGE(B654:D654),"—")</f>
        <v>934</v>
      </c>
      <c r="F654" s="59"/>
      <c r="G654" s="168">
        <v>775000</v>
      </c>
      <c r="H654" t="s" s="61">
        <v>885</v>
      </c>
    </row>
    <row r="655" ht="21.25" customHeight="1">
      <c r="A655" t="s" s="8">
        <v>591</v>
      </c>
      <c r="B655" t="s" s="61">
        <v>62</v>
      </c>
      <c r="C655" s="166"/>
      <c r="D655" t="s" s="61">
        <v>62</v>
      </c>
      <c r="E655" t="s" s="61">
        <f>_xlfn.IFERROR(AVERAGE(B655:D655),"—")</f>
        <v>934</v>
      </c>
      <c r="F655" s="59"/>
      <c r="G655" s="168">
        <v>950000</v>
      </c>
      <c r="H655" t="s" s="61">
        <v>885</v>
      </c>
    </row>
    <row r="656" ht="21.25" customHeight="1">
      <c r="A656" t="s" s="8">
        <v>392</v>
      </c>
      <c r="B656" t="s" s="61">
        <v>62</v>
      </c>
      <c r="C656" s="166"/>
      <c r="D656" t="s" s="61">
        <v>62</v>
      </c>
      <c r="E656" t="s" s="61">
        <f>_xlfn.IFERROR(AVERAGE(B656:D656),"—")</f>
        <v>934</v>
      </c>
      <c r="F656" s="59"/>
      <c r="G656" s="168">
        <v>918333</v>
      </c>
      <c r="H656" t="s" s="61">
        <v>885</v>
      </c>
    </row>
    <row r="657" ht="21.25" customHeight="1">
      <c r="A657" t="s" s="8">
        <v>328</v>
      </c>
      <c r="B657" t="s" s="61">
        <v>62</v>
      </c>
      <c r="C657" s="166"/>
      <c r="D657" t="s" s="61">
        <v>62</v>
      </c>
      <c r="E657" t="s" s="61">
        <f>_xlfn.IFERROR(AVERAGE(B657:D657),"—")</f>
        <v>934</v>
      </c>
      <c r="F657" s="59"/>
      <c r="G657" s="168">
        <v>844167</v>
      </c>
      <c r="H657" t="s" s="61">
        <v>885</v>
      </c>
    </row>
    <row r="658" ht="21.25" customHeight="1">
      <c r="A658" s="29"/>
      <c r="B658" s="166"/>
      <c r="C658" s="166"/>
      <c r="D658" s="166"/>
      <c r="E658" t="s" s="61">
        <f>_xlfn.IFERROR(AVERAGE(B658:D658),"—")</f>
        <v>934</v>
      </c>
      <c r="F658" s="166"/>
      <c r="G658" s="168"/>
      <c r="H658" s="59"/>
    </row>
    <row r="659" ht="21.25" customHeight="1">
      <c r="A659" t="s" s="8">
        <v>263</v>
      </c>
      <c r="B659" s="166">
        <v>182.8</v>
      </c>
      <c r="C659" s="166"/>
      <c r="D659" s="166">
        <v>201.52</v>
      </c>
      <c r="E659" s="166">
        <f>_xlfn.IFERROR(AVERAGE(B659:D659),"—")</f>
        <v>192.16</v>
      </c>
      <c r="F659" s="166"/>
      <c r="G659" s="168">
        <v>6400000</v>
      </c>
      <c r="H659" t="s" s="61">
        <v>885</v>
      </c>
    </row>
    <row r="660" ht="21.25" customHeight="1">
      <c r="A660" t="s" s="8">
        <v>839</v>
      </c>
      <c r="B660" t="s" s="61">
        <v>62</v>
      </c>
      <c r="C660" s="166"/>
      <c r="D660" s="166">
        <v>372.6</v>
      </c>
      <c r="E660" s="166">
        <f>_xlfn.IFERROR(AVERAGE(B660:D660),"—")</f>
        <v>372.6</v>
      </c>
      <c r="F660" s="166"/>
      <c r="G660" s="168"/>
      <c r="H660" t="s" s="61">
        <v>885</v>
      </c>
    </row>
    <row r="661" ht="21.25" customHeight="1">
      <c r="A661" t="s" s="8">
        <v>417</v>
      </c>
      <c r="B661" s="166">
        <v>180.4</v>
      </c>
      <c r="C661" s="166"/>
      <c r="D661" s="166">
        <v>216.81</v>
      </c>
      <c r="E661" s="166">
        <f>_xlfn.IFERROR(AVERAGE(B661:D661),"—")</f>
        <v>198.605</v>
      </c>
      <c r="F661" s="59"/>
      <c r="G661" s="168">
        <v>2725000</v>
      </c>
      <c r="H661" t="s" s="61">
        <v>885</v>
      </c>
    </row>
    <row r="662" ht="21.25" customHeight="1">
      <c r="A662" t="s" s="8">
        <v>545</v>
      </c>
      <c r="B662" t="s" s="61">
        <v>62</v>
      </c>
      <c r="C662" s="166"/>
      <c r="D662" s="166">
        <v>488.9</v>
      </c>
      <c r="E662" s="166">
        <f>_xlfn.IFERROR(AVERAGE(B662:D662),"—")</f>
        <v>488.9</v>
      </c>
      <c r="F662" s="166"/>
      <c r="G662" s="168"/>
      <c r="H662" t="s" s="61">
        <v>885</v>
      </c>
    </row>
    <row r="663" ht="21.25" customHeight="1">
      <c r="A663" t="s" s="8">
        <v>294</v>
      </c>
      <c r="B663" s="166">
        <v>28.6</v>
      </c>
      <c r="C663" s="166"/>
      <c r="D663" s="166">
        <v>109.23</v>
      </c>
      <c r="E663" s="166">
        <f>_xlfn.IFERROR(AVERAGE(B663:D663),"—")</f>
        <v>68.91500000000001</v>
      </c>
      <c r="F663" s="166"/>
      <c r="G663" s="168">
        <v>5000000</v>
      </c>
      <c r="H663" t="s" s="61">
        <v>885</v>
      </c>
    </row>
    <row r="664" ht="21.25" customHeight="1">
      <c r="A664" t="s" s="8">
        <v>426</v>
      </c>
      <c r="B664" s="166">
        <v>51.3</v>
      </c>
      <c r="C664" s="166"/>
      <c r="D664" s="166">
        <v>203.34</v>
      </c>
      <c r="E664" s="166">
        <f>_xlfn.IFERROR(AVERAGE(B664:D664),"—")</f>
        <v>127.32</v>
      </c>
      <c r="F664" s="166"/>
      <c r="G664" s="168"/>
      <c r="H664" t="s" s="61">
        <v>885</v>
      </c>
    </row>
    <row r="665" ht="21.25" customHeight="1">
      <c r="A665" t="s" s="8">
        <v>338</v>
      </c>
      <c r="B665" s="166">
        <v>91.90000000000001</v>
      </c>
      <c r="C665" s="166"/>
      <c r="D665" s="166">
        <v>191.9</v>
      </c>
      <c r="E665" s="166">
        <f>_xlfn.IFERROR(AVERAGE(B665:D665),"—")</f>
        <v>141.9</v>
      </c>
      <c r="F665" s="166"/>
      <c r="G665" s="168"/>
      <c r="H665" t="s" s="61">
        <v>885</v>
      </c>
    </row>
    <row r="666" ht="21.25" customHeight="1">
      <c r="A666" t="s" s="8">
        <v>804</v>
      </c>
      <c r="B666" t="s" s="61">
        <v>62</v>
      </c>
      <c r="C666" s="166"/>
      <c r="D666" s="166">
        <v>446.9</v>
      </c>
      <c r="E666" s="166">
        <f>_xlfn.IFERROR(AVERAGE(B666:D666),"—")</f>
        <v>446.9</v>
      </c>
      <c r="F666" s="166"/>
      <c r="G666" s="168">
        <v>1800000</v>
      </c>
      <c r="H666" t="s" s="61">
        <v>885</v>
      </c>
    </row>
    <row r="667" ht="21.25" customHeight="1">
      <c r="A667" t="s" s="8">
        <v>878</v>
      </c>
      <c r="B667" s="166">
        <v>164.7</v>
      </c>
      <c r="C667" s="166"/>
      <c r="D667" s="166">
        <v>234.4</v>
      </c>
      <c r="E667" s="166">
        <f>_xlfn.IFERROR(AVERAGE(B667:D667),"—")</f>
        <v>199.55</v>
      </c>
      <c r="F667" s="166"/>
      <c r="G667" s="168">
        <v>837500</v>
      </c>
      <c r="H667" t="s" s="61">
        <v>885</v>
      </c>
    </row>
    <row r="668" ht="21.25" customHeight="1">
      <c r="A668" t="s" s="8">
        <v>382</v>
      </c>
      <c r="B668" s="166">
        <v>78.90000000000001</v>
      </c>
      <c r="C668" s="166"/>
      <c r="D668" s="166">
        <v>168.13</v>
      </c>
      <c r="E668" s="166">
        <f>_xlfn.IFERROR(AVERAGE(B668:D668),"—")</f>
        <v>123.515</v>
      </c>
      <c r="F668" s="59"/>
      <c r="G668" s="168">
        <v>3400000</v>
      </c>
      <c r="H668" t="s" s="61">
        <v>885</v>
      </c>
    </row>
    <row r="669" ht="21.25" customHeight="1">
      <c r="A669" t="s" s="8">
        <v>806</v>
      </c>
      <c r="B669" s="166">
        <v>175.2</v>
      </c>
      <c r="C669" s="166"/>
      <c r="D669" s="166">
        <v>384.74</v>
      </c>
      <c r="E669" s="166">
        <f>_xlfn.IFERROR(AVERAGE(B669:D669),"—")</f>
        <v>279.97</v>
      </c>
      <c r="F669" s="166"/>
      <c r="G669" s="168"/>
      <c r="H669" t="s" s="61">
        <v>885</v>
      </c>
    </row>
    <row r="670" ht="21.25" customHeight="1">
      <c r="A670" t="s" s="8">
        <v>800</v>
      </c>
      <c r="B670" s="166">
        <v>120</v>
      </c>
      <c r="C670" s="166"/>
      <c r="D670" s="166">
        <v>449.9</v>
      </c>
      <c r="E670" s="166">
        <f>_xlfn.IFERROR(AVERAGE(B670:D670),"—")</f>
        <v>284.95</v>
      </c>
      <c r="F670" s="166"/>
      <c r="G670" s="168"/>
      <c r="H670" t="s" s="61">
        <v>60</v>
      </c>
    </row>
    <row r="671" ht="21.25" customHeight="1">
      <c r="A671" t="s" s="8">
        <v>317</v>
      </c>
      <c r="B671" t="s" s="61">
        <v>62</v>
      </c>
      <c r="C671" s="166"/>
      <c r="D671" s="166">
        <v>214.89</v>
      </c>
      <c r="E671" s="166">
        <f>_xlfn.IFERROR(AVERAGE(B671:D671),"—")</f>
        <v>214.89</v>
      </c>
      <c r="F671" s="166"/>
      <c r="G671" s="168">
        <v>5400000</v>
      </c>
      <c r="H671" t="s" s="61">
        <v>60</v>
      </c>
    </row>
    <row r="672" ht="21.25" customHeight="1">
      <c r="A672" t="s" s="8">
        <v>749</v>
      </c>
      <c r="B672" t="s" s="61">
        <v>62</v>
      </c>
      <c r="C672" s="166"/>
      <c r="D672" t="s" s="61">
        <v>62</v>
      </c>
      <c r="E672" t="s" s="61">
        <f>_xlfn.IFERROR(AVERAGE(B672:D672),"—")</f>
        <v>934</v>
      </c>
      <c r="F672" s="59"/>
      <c r="G672" s="168"/>
      <c r="H672" t="s" s="61">
        <v>885</v>
      </c>
    </row>
    <row r="673" ht="21.25" customHeight="1">
      <c r="A673" t="s" s="8">
        <v>261</v>
      </c>
      <c r="B673" s="166">
        <v>131.3</v>
      </c>
      <c r="C673" s="166"/>
      <c r="D673" s="166">
        <v>175.08</v>
      </c>
      <c r="E673" s="166">
        <f>_xlfn.IFERROR(AVERAGE(B673:D673),"—")</f>
        <v>153.19</v>
      </c>
      <c r="F673" s="166"/>
      <c r="G673" s="168">
        <v>6000000</v>
      </c>
      <c r="H673" t="s" s="61">
        <v>885</v>
      </c>
    </row>
    <row r="674" ht="21.25" customHeight="1">
      <c r="A674" t="s" s="8">
        <v>852</v>
      </c>
      <c r="B674" t="s" s="61">
        <v>62</v>
      </c>
      <c r="C674" s="166"/>
      <c r="D674" s="166">
        <v>500.1</v>
      </c>
      <c r="E674" s="166">
        <f>_xlfn.IFERROR(AVERAGE(B674:D674),"—")</f>
        <v>500.1</v>
      </c>
      <c r="F674" s="59"/>
      <c r="G674" s="168"/>
      <c r="H674" t="s" s="61">
        <v>885</v>
      </c>
    </row>
    <row r="675" ht="21.25" customHeight="1">
      <c r="A675" t="s" s="8">
        <v>880</v>
      </c>
      <c r="B675" t="s" s="61">
        <v>62</v>
      </c>
      <c r="C675" s="166"/>
      <c r="D675" s="166">
        <v>374.85</v>
      </c>
      <c r="E675" s="166">
        <f>_xlfn.IFERROR(AVERAGE(B675:D675),"—")</f>
        <v>374.85</v>
      </c>
      <c r="F675" s="166"/>
      <c r="G675" s="168"/>
      <c r="H675" t="s" s="61">
        <v>885</v>
      </c>
    </row>
    <row r="676" ht="21.25" customHeight="1">
      <c r="A676" t="s" s="8">
        <v>598</v>
      </c>
      <c r="B676" t="s" s="61">
        <v>62</v>
      </c>
      <c r="C676" s="166"/>
      <c r="D676" s="166">
        <v>502.1</v>
      </c>
      <c r="E676" s="166">
        <f>_xlfn.IFERROR(AVERAGE(B676:D676),"—")</f>
        <v>502.1</v>
      </c>
      <c r="F676" s="166"/>
      <c r="G676" s="168">
        <v>3800000</v>
      </c>
      <c r="H676" t="s" s="61">
        <v>62</v>
      </c>
    </row>
    <row r="677" ht="21.25" customHeight="1">
      <c r="A677" t="s" s="8">
        <v>564</v>
      </c>
      <c r="B677" t="s" s="61">
        <v>62</v>
      </c>
      <c r="C677" s="166"/>
      <c r="D677" t="s" s="61">
        <v>62</v>
      </c>
      <c r="E677" t="s" s="61">
        <f>_xlfn.IFERROR(AVERAGE(B677:D677),"—")</f>
        <v>934</v>
      </c>
      <c r="F677" s="166"/>
      <c r="G677" s="168"/>
      <c r="H677" t="s" s="61">
        <v>885</v>
      </c>
    </row>
    <row r="678" ht="21.25" customHeight="1">
      <c r="A678" t="s" s="8">
        <v>205</v>
      </c>
      <c r="B678" s="166">
        <v>26.5</v>
      </c>
      <c r="C678" s="166"/>
      <c r="D678" s="166">
        <v>69.03</v>
      </c>
      <c r="E678" s="166">
        <f>_xlfn.IFERROR(AVERAGE(B678:D678),"—")</f>
        <v>47.765</v>
      </c>
      <c r="F678" s="59"/>
      <c r="G678" s="168">
        <v>3400000</v>
      </c>
      <c r="H678" t="s" s="61">
        <v>885</v>
      </c>
    </row>
    <row r="679" ht="21.25" customHeight="1">
      <c r="A679" t="s" s="8">
        <v>762</v>
      </c>
      <c r="B679" s="166">
        <v>182</v>
      </c>
      <c r="C679" s="166"/>
      <c r="D679" s="166">
        <v>424.12</v>
      </c>
      <c r="E679" s="166">
        <f>_xlfn.IFERROR(AVERAGE(B679:D679),"—")</f>
        <v>303.06</v>
      </c>
      <c r="F679" s="166"/>
      <c r="G679" s="168">
        <v>2000000</v>
      </c>
      <c r="H679" t="s" s="61">
        <v>885</v>
      </c>
    </row>
    <row r="680" ht="21.25" customHeight="1">
      <c r="A680" t="s" s="8">
        <v>154</v>
      </c>
      <c r="B680" s="166">
        <v>20.8</v>
      </c>
      <c r="C680" s="166"/>
      <c r="D680" s="166">
        <v>63.12</v>
      </c>
      <c r="E680" s="166">
        <f>_xlfn.IFERROR(AVERAGE(B680:D680),"—")</f>
        <v>41.96</v>
      </c>
      <c r="F680" s="166"/>
      <c r="G680" s="168">
        <v>4000000</v>
      </c>
      <c r="H680" t="s" s="61">
        <v>885</v>
      </c>
    </row>
    <row r="681" ht="21.25" customHeight="1">
      <c r="A681" t="s" s="8">
        <v>836</v>
      </c>
      <c r="B681" t="s" s="61">
        <v>62</v>
      </c>
      <c r="C681" s="166"/>
      <c r="D681" t="s" s="61">
        <v>62</v>
      </c>
      <c r="E681" t="s" s="61">
        <f>_xlfn.IFERROR(AVERAGE(B681:D681),"—")</f>
        <v>934</v>
      </c>
      <c r="F681" s="59"/>
      <c r="G681" s="168">
        <v>1000000</v>
      </c>
      <c r="H681" t="s" s="61">
        <v>885</v>
      </c>
    </row>
    <row r="682" ht="21.25" customHeight="1">
      <c r="A682" t="s" s="8">
        <v>379</v>
      </c>
      <c r="B682" s="166">
        <v>139.4</v>
      </c>
      <c r="C682" s="166"/>
      <c r="D682" s="166">
        <v>188.75</v>
      </c>
      <c r="E682" s="166">
        <f>_xlfn.IFERROR(AVERAGE(B682:D682),"—")</f>
        <v>164.075</v>
      </c>
      <c r="F682" s="166"/>
      <c r="G682" s="168">
        <v>4750000</v>
      </c>
      <c r="H682" t="s" s="61">
        <v>885</v>
      </c>
    </row>
    <row r="683" ht="21.25" customHeight="1">
      <c r="A683" t="s" s="8">
        <v>841</v>
      </c>
      <c r="B683" t="s" s="61">
        <v>62</v>
      </c>
      <c r="C683" s="166"/>
      <c r="D683" t="s" s="61">
        <v>62</v>
      </c>
      <c r="E683" t="s" s="61">
        <f>_xlfn.IFERROR(AVERAGE(B683:D683),"—")</f>
        <v>934</v>
      </c>
      <c r="F683" s="166"/>
      <c r="G683" s="168">
        <v>1500000</v>
      </c>
      <c r="H683" t="s" s="61">
        <v>885</v>
      </c>
    </row>
    <row r="684" ht="21.25" customHeight="1">
      <c r="A684" t="s" s="8">
        <v>854</v>
      </c>
      <c r="B684" t="s" s="61">
        <v>62</v>
      </c>
      <c r="C684" s="166"/>
      <c r="D684" t="s" s="61">
        <v>62</v>
      </c>
      <c r="E684" t="s" s="61">
        <f>_xlfn.IFERROR(AVERAGE(B684:D684),"—")</f>
        <v>934</v>
      </c>
      <c r="F684" s="166"/>
      <c r="G684" s="168">
        <v>900000</v>
      </c>
      <c r="H684" t="s" s="61">
        <v>885</v>
      </c>
    </row>
    <row r="685" ht="21.25" customHeight="1">
      <c r="A685" t="s" s="8">
        <v>287</v>
      </c>
      <c r="B685" s="166">
        <v>98</v>
      </c>
      <c r="C685" s="166"/>
      <c r="D685" s="166">
        <v>119.5</v>
      </c>
      <c r="E685" s="166">
        <f>_xlfn.IFERROR(AVERAGE(B685:D685),"—")</f>
        <v>108.75</v>
      </c>
      <c r="F685" s="166"/>
      <c r="G685" s="168"/>
      <c r="H685" t="s" s="61">
        <v>885</v>
      </c>
    </row>
    <row r="686" ht="21.25" customHeight="1">
      <c r="A686" t="s" s="8">
        <v>599</v>
      </c>
      <c r="B686" s="166">
        <v>168</v>
      </c>
      <c r="C686" s="166"/>
      <c r="D686" s="166">
        <v>326.62</v>
      </c>
      <c r="E686" s="166">
        <f>_xlfn.IFERROR(AVERAGE(B686:D686),"—")</f>
        <v>247.31</v>
      </c>
      <c r="F686" s="166"/>
      <c r="G686" s="168">
        <v>5000000</v>
      </c>
      <c r="H686" t="s" s="61">
        <v>885</v>
      </c>
    </row>
    <row r="687" ht="21.25" customHeight="1">
      <c r="A687" t="s" s="8">
        <v>280</v>
      </c>
      <c r="B687" s="166">
        <v>74.40000000000001</v>
      </c>
      <c r="C687" s="166"/>
      <c r="D687" s="166">
        <v>167.92</v>
      </c>
      <c r="E687" s="166">
        <f>_xlfn.IFERROR(AVERAGE(B687:D687),"—")</f>
        <v>121.16</v>
      </c>
      <c r="F687" s="166"/>
      <c r="G687" s="168">
        <v>10000000</v>
      </c>
      <c r="H687" t="s" s="61">
        <v>885</v>
      </c>
    </row>
    <row r="688" ht="21.25" customHeight="1">
      <c r="A688" t="s" s="8">
        <v>866</v>
      </c>
      <c r="B688" t="s" s="61">
        <v>62</v>
      </c>
      <c r="C688" s="166"/>
      <c r="D688" t="s" s="61">
        <v>62</v>
      </c>
      <c r="E688" t="s" s="61">
        <f>_xlfn.IFERROR(AVERAGE(B688:D688),"—")</f>
        <v>934</v>
      </c>
      <c r="F688" s="166"/>
      <c r="G688" s="168">
        <v>1100000</v>
      </c>
      <c r="H688" t="s" s="61">
        <v>885</v>
      </c>
    </row>
    <row r="689" ht="21.25" customHeight="1">
      <c r="A689" t="s" s="8">
        <v>868</v>
      </c>
      <c r="B689" t="s" s="61">
        <v>62</v>
      </c>
      <c r="C689" s="166"/>
      <c r="D689" t="s" s="61">
        <v>62</v>
      </c>
      <c r="E689" t="s" s="61">
        <f>_xlfn.IFERROR(AVERAGE(B689:D689),"—")</f>
        <v>934</v>
      </c>
      <c r="F689" s="166"/>
      <c r="G689" s="168"/>
      <c r="H689" t="s" s="61">
        <v>885</v>
      </c>
    </row>
    <row r="690" ht="21.25" customHeight="1">
      <c r="A690" t="s" s="8">
        <v>423</v>
      </c>
      <c r="B690" s="166">
        <v>175.7</v>
      </c>
      <c r="C690" s="166"/>
      <c r="D690" s="166">
        <v>223.74</v>
      </c>
      <c r="E690" s="166">
        <f>_xlfn.IFERROR(AVERAGE(B690:D690),"—")</f>
        <v>199.72</v>
      </c>
      <c r="F690" s="166"/>
      <c r="G690" s="168"/>
      <c r="H690" t="s" s="61">
        <v>885</v>
      </c>
    </row>
    <row r="691" ht="21.25" customHeight="1">
      <c r="A691" t="s" s="8">
        <v>623</v>
      </c>
      <c r="B691" s="166">
        <v>172.4</v>
      </c>
      <c r="C691" s="166"/>
      <c r="D691" s="166">
        <v>238.16</v>
      </c>
      <c r="E691" s="166">
        <f>_xlfn.IFERROR(AVERAGE(B691:D691),"—")</f>
        <v>205.28</v>
      </c>
      <c r="F691" s="166"/>
      <c r="G691" s="168">
        <v>1000000</v>
      </c>
      <c r="H691" t="s" s="61">
        <v>885</v>
      </c>
    </row>
    <row r="692" ht="21.25" customHeight="1">
      <c r="A692" t="s" s="8">
        <v>213</v>
      </c>
      <c r="B692" s="166">
        <v>66.09999999999999</v>
      </c>
      <c r="C692" s="166"/>
      <c r="D692" s="166">
        <v>145.76</v>
      </c>
      <c r="E692" s="166">
        <f>_xlfn.IFERROR(AVERAGE(B692:D692),"—")</f>
        <v>105.93</v>
      </c>
      <c r="F692" s="166"/>
      <c r="G692" s="168"/>
      <c r="H692" t="s" s="61">
        <v>885</v>
      </c>
    </row>
    <row r="693" ht="21.25" customHeight="1">
      <c r="A693" t="s" s="8">
        <v>669</v>
      </c>
      <c r="B693" s="166">
        <v>96.8</v>
      </c>
      <c r="C693" s="166"/>
      <c r="D693" s="166">
        <v>222.5</v>
      </c>
      <c r="E693" s="166">
        <f>_xlfn.IFERROR(AVERAGE(B693:D693),"—")</f>
        <v>159.65</v>
      </c>
      <c r="F693" s="166"/>
      <c r="G693" s="168">
        <v>3500000</v>
      </c>
      <c r="H693" t="s" s="61">
        <v>885</v>
      </c>
    </row>
    <row r="694" ht="21.25" customHeight="1">
      <c r="A694" t="s" s="8">
        <v>603</v>
      </c>
      <c r="B694" s="166">
        <v>177.9</v>
      </c>
      <c r="C694" s="166"/>
      <c r="D694" s="166">
        <v>403.03</v>
      </c>
      <c r="E694" s="166">
        <f>_xlfn.IFERROR(AVERAGE(B694:D694),"—")</f>
        <v>290.465</v>
      </c>
      <c r="F694" s="166"/>
      <c r="G694" s="168"/>
      <c r="H694" t="s" s="61">
        <v>885</v>
      </c>
    </row>
    <row r="695" ht="21.25" customHeight="1">
      <c r="A695" t="s" s="8">
        <v>637</v>
      </c>
      <c r="B695" s="166">
        <v>177</v>
      </c>
      <c r="C695" s="166"/>
      <c r="D695" s="166">
        <v>248.54</v>
      </c>
      <c r="E695" s="166">
        <f>_xlfn.IFERROR(AVERAGE(B695:D695),"—")</f>
        <v>212.77</v>
      </c>
      <c r="F695" s="166"/>
      <c r="G695" s="168">
        <v>1000000</v>
      </c>
      <c r="H695" t="s" s="61">
        <v>885</v>
      </c>
    </row>
    <row r="696" ht="21.25" customHeight="1">
      <c r="A696" t="s" s="8">
        <v>877</v>
      </c>
      <c r="B696" t="s" s="61">
        <v>62</v>
      </c>
      <c r="C696" s="166"/>
      <c r="D696" t="s" s="61">
        <v>62</v>
      </c>
      <c r="E696" t="s" s="61">
        <f>_xlfn.IFERROR(AVERAGE(B696:D696),"—")</f>
        <v>934</v>
      </c>
      <c r="F696" s="166"/>
      <c r="G696" s="168">
        <v>1800000</v>
      </c>
      <c r="H696" t="s" s="61">
        <v>885</v>
      </c>
    </row>
    <row r="697" ht="21.25" customHeight="1">
      <c r="A697" t="s" s="8">
        <v>320</v>
      </c>
      <c r="B697" s="166">
        <v>80.40000000000001</v>
      </c>
      <c r="C697" s="166"/>
      <c r="D697" s="166">
        <v>144.84</v>
      </c>
      <c r="E697" s="166">
        <f>_xlfn.IFERROR(AVERAGE(B697:D697),"—")</f>
        <v>112.62</v>
      </c>
      <c r="F697" s="166"/>
      <c r="G697" s="168">
        <v>3400000</v>
      </c>
      <c r="H697" t="s" s="61">
        <v>885</v>
      </c>
    </row>
    <row r="698" ht="21.25" customHeight="1">
      <c r="A698" t="s" s="8">
        <v>566</v>
      </c>
      <c r="B698" s="166">
        <v>159.4</v>
      </c>
      <c r="C698" s="166"/>
      <c r="D698" s="166">
        <v>222.23</v>
      </c>
      <c r="E698" s="166">
        <f>_xlfn.IFERROR(AVERAGE(B698:D698),"—")</f>
        <v>190.815</v>
      </c>
      <c r="F698" s="166"/>
      <c r="G698" s="168"/>
      <c r="H698" t="s" s="61">
        <v>60</v>
      </c>
    </row>
    <row r="699" ht="21.25" customHeight="1">
      <c r="A699" t="s" s="8">
        <v>174</v>
      </c>
      <c r="B699" s="166">
        <v>50</v>
      </c>
      <c r="C699" s="166"/>
      <c r="D699" s="166">
        <v>59.21</v>
      </c>
      <c r="E699" s="166">
        <f>_xlfn.IFERROR(AVERAGE(B699:D699),"—")</f>
        <v>54.605</v>
      </c>
      <c r="F699" s="166"/>
      <c r="G699" s="168">
        <v>5000000</v>
      </c>
      <c r="H699" t="s" s="61">
        <v>62</v>
      </c>
    </row>
    <row r="700" ht="21.25" customHeight="1">
      <c r="A700" t="s" s="8">
        <v>867</v>
      </c>
      <c r="B700" t="s" s="61">
        <v>62</v>
      </c>
      <c r="C700" s="166"/>
      <c r="D700" t="s" s="61">
        <v>62</v>
      </c>
      <c r="E700" t="s" s="61">
        <f>_xlfn.IFERROR(AVERAGE(B700:D700),"—")</f>
        <v>934</v>
      </c>
      <c r="F700" s="166"/>
      <c r="G700" s="168"/>
      <c r="H700" t="s" s="61">
        <v>885</v>
      </c>
    </row>
    <row r="701" ht="21.25" customHeight="1">
      <c r="A701" t="s" s="8">
        <v>148</v>
      </c>
      <c r="B701" s="166">
        <v>17</v>
      </c>
      <c r="C701" s="166"/>
      <c r="D701" s="166">
        <v>65.90000000000001</v>
      </c>
      <c r="E701" s="166">
        <f>_xlfn.IFERROR(AVERAGE(B701:D701),"—")</f>
        <v>41.45</v>
      </c>
      <c r="F701" s="166"/>
      <c r="G701" s="168">
        <v>4000000</v>
      </c>
      <c r="H701" t="s" s="61">
        <v>885</v>
      </c>
    </row>
    <row r="702" ht="21.25" customHeight="1">
      <c r="A702" t="s" s="8">
        <v>818</v>
      </c>
      <c r="B702" s="166">
        <v>167.1</v>
      </c>
      <c r="C702" s="166"/>
      <c r="D702" t="s" s="61">
        <v>62</v>
      </c>
      <c r="E702" s="166">
        <f>_xlfn.IFERROR(AVERAGE(B702:D702),"—")</f>
        <v>167.1</v>
      </c>
      <c r="F702" s="166"/>
      <c r="G702" s="168">
        <v>2750000</v>
      </c>
      <c r="H702" t="s" s="61">
        <v>885</v>
      </c>
    </row>
    <row r="703" ht="21.25" customHeight="1">
      <c r="A703" t="s" s="8">
        <v>153</v>
      </c>
      <c r="B703" s="166">
        <v>14.5</v>
      </c>
      <c r="C703" s="166"/>
      <c r="D703" s="166">
        <v>51.33</v>
      </c>
      <c r="E703" s="166">
        <f>_xlfn.IFERROR(AVERAGE(B703:D703),"—")</f>
        <v>32.915</v>
      </c>
      <c r="F703" s="166"/>
      <c r="G703" s="168">
        <v>5666667</v>
      </c>
      <c r="H703" t="s" s="61">
        <v>60</v>
      </c>
    </row>
    <row r="704" ht="21.25" customHeight="1">
      <c r="A704" t="s" s="8">
        <v>794</v>
      </c>
      <c r="B704" t="s" s="61">
        <v>62</v>
      </c>
      <c r="C704" s="166"/>
      <c r="D704" t="s" s="61">
        <v>62</v>
      </c>
      <c r="E704" t="s" s="61">
        <f>_xlfn.IFERROR(AVERAGE(B704:D704),"—")</f>
        <v>934</v>
      </c>
      <c r="F704" s="166"/>
      <c r="G704" s="168"/>
      <c r="H704" t="s" s="61">
        <v>885</v>
      </c>
    </row>
    <row r="705" ht="21.25" customHeight="1">
      <c r="A705" t="s" s="8">
        <v>363</v>
      </c>
      <c r="B705" s="166">
        <v>90.7</v>
      </c>
      <c r="C705" s="166"/>
      <c r="D705" s="166">
        <v>178.36</v>
      </c>
      <c r="E705" s="166">
        <f>_xlfn.IFERROR(AVERAGE(B705:D705),"—")</f>
        <v>134.53</v>
      </c>
      <c r="F705" s="166"/>
      <c r="G705" s="168"/>
      <c r="H705" t="s" s="61">
        <v>885</v>
      </c>
    </row>
    <row r="706" ht="21.25" customHeight="1">
      <c r="A706" t="s" s="8">
        <v>525</v>
      </c>
      <c r="B706" t="s" s="61">
        <v>62</v>
      </c>
      <c r="C706" s="166"/>
      <c r="D706" s="166">
        <v>449.67</v>
      </c>
      <c r="E706" s="166">
        <f>_xlfn.IFERROR(AVERAGE(B706:D706),"—")</f>
        <v>449.67</v>
      </c>
      <c r="F706" s="166"/>
      <c r="G706" s="168">
        <v>2750000</v>
      </c>
      <c r="H706" t="s" s="61">
        <v>885</v>
      </c>
    </row>
    <row r="707" ht="21.25" customHeight="1">
      <c r="A707" t="s" s="8">
        <v>341</v>
      </c>
      <c r="B707" s="166">
        <v>131.6</v>
      </c>
      <c r="C707" s="166"/>
      <c r="D707" s="166">
        <v>186.88</v>
      </c>
      <c r="E707" s="166">
        <f>_xlfn.IFERROR(AVERAGE(B707:D707),"—")</f>
        <v>159.24</v>
      </c>
      <c r="F707" s="166"/>
      <c r="G707" s="168">
        <v>3979000</v>
      </c>
      <c r="H707" t="s" s="61">
        <v>62</v>
      </c>
    </row>
    <row r="708" ht="21.25" customHeight="1">
      <c r="A708" t="s" s="8">
        <v>798</v>
      </c>
      <c r="B708" t="s" s="61">
        <v>62</v>
      </c>
      <c r="C708" s="166"/>
      <c r="D708" t="s" s="61">
        <v>62</v>
      </c>
      <c r="E708" t="s" s="61">
        <f>_xlfn.IFERROR(AVERAGE(B708:D708),"—")</f>
        <v>934</v>
      </c>
      <c r="F708" s="166"/>
      <c r="G708" s="168">
        <v>5000000</v>
      </c>
      <c r="H708" t="s" s="61">
        <v>885</v>
      </c>
    </row>
    <row r="709" ht="21.25" customHeight="1">
      <c r="A709" t="s" s="8">
        <v>879</v>
      </c>
      <c r="B709" t="s" s="61">
        <v>62</v>
      </c>
      <c r="C709" s="166"/>
      <c r="D709" t="s" s="61">
        <v>62</v>
      </c>
      <c r="E709" t="s" s="61">
        <f>_xlfn.IFERROR(AVERAGE(B709:D709),"—")</f>
        <v>934</v>
      </c>
      <c r="F709" s="166"/>
      <c r="G709" s="168">
        <v>775000</v>
      </c>
      <c r="H709" t="s" s="61">
        <v>885</v>
      </c>
    </row>
    <row r="710" ht="21.25" customHeight="1">
      <c r="A710" t="s" s="8">
        <v>219</v>
      </c>
      <c r="B710" s="166">
        <v>95.5</v>
      </c>
      <c r="C710" s="166"/>
      <c r="D710" s="166">
        <v>139.96</v>
      </c>
      <c r="E710" s="166">
        <f>_xlfn.IFERROR(AVERAGE(B710:D710),"—")</f>
        <v>117.73</v>
      </c>
      <c r="F710" s="166"/>
      <c r="G710" s="168"/>
      <c r="H710" t="s" s="61">
        <v>885</v>
      </c>
    </row>
    <row r="711" ht="21.25" customHeight="1">
      <c r="A711" t="s" s="8">
        <v>758</v>
      </c>
      <c r="B711" t="s" s="61">
        <v>62</v>
      </c>
      <c r="C711" s="166"/>
      <c r="D711" t="s" s="61">
        <v>62</v>
      </c>
      <c r="E711" t="s" s="61">
        <f>_xlfn.IFERROR(AVERAGE(B711:D711),"—")</f>
        <v>934</v>
      </c>
      <c r="F711" s="166"/>
      <c r="G711" s="168">
        <v>1500000</v>
      </c>
      <c r="H711" t="s" s="61">
        <v>885</v>
      </c>
    </row>
    <row r="712" ht="21.25" customHeight="1">
      <c r="A712" t="s" s="8">
        <v>359</v>
      </c>
      <c r="B712" s="166">
        <v>159.9</v>
      </c>
      <c r="C712" s="166"/>
      <c r="D712" s="166">
        <v>205.53</v>
      </c>
      <c r="E712" s="166">
        <f>_xlfn.IFERROR(AVERAGE(B712:D712),"—")</f>
        <v>182.715</v>
      </c>
      <c r="F712" s="166"/>
      <c r="G712" s="168">
        <v>5900000</v>
      </c>
      <c r="H712" t="s" s="61">
        <v>60</v>
      </c>
    </row>
    <row r="713" ht="21.25" customHeight="1">
      <c r="A713" t="s" s="8">
        <v>842</v>
      </c>
      <c r="B713" t="s" s="61">
        <v>62</v>
      </c>
      <c r="C713" s="166"/>
      <c r="D713" t="s" s="61">
        <v>62</v>
      </c>
      <c r="E713" t="s" s="61">
        <f>_xlfn.IFERROR(AVERAGE(B713:D713),"—")</f>
        <v>934</v>
      </c>
      <c r="F713" s="166"/>
      <c r="G713" s="168"/>
      <c r="H713" t="s" s="61">
        <v>885</v>
      </c>
    </row>
    <row r="714" ht="21.25" customHeight="1">
      <c r="A714" t="s" s="8">
        <v>875</v>
      </c>
      <c r="B714" t="s" s="61">
        <v>62</v>
      </c>
      <c r="C714" s="166"/>
      <c r="D714" t="s" s="61">
        <v>62</v>
      </c>
      <c r="E714" t="s" s="61">
        <f>_xlfn.IFERROR(AVERAGE(B714:D714),"—")</f>
        <v>934</v>
      </c>
      <c r="F714" s="166"/>
      <c r="G714" s="168">
        <v>3500000</v>
      </c>
      <c r="H714" t="s" s="61">
        <v>885</v>
      </c>
    </row>
    <row r="715" ht="21.25" customHeight="1">
      <c r="A715" t="s" s="8">
        <v>444</v>
      </c>
      <c r="B715" t="s" s="61">
        <v>62</v>
      </c>
      <c r="C715" s="166"/>
      <c r="D715" t="s" s="61">
        <v>62</v>
      </c>
      <c r="E715" t="s" s="61">
        <f>_xlfn.IFERROR(AVERAGE(B715:D715),"—")</f>
        <v>934</v>
      </c>
      <c r="F715" s="166"/>
      <c r="G715" s="168">
        <v>2750000</v>
      </c>
      <c r="H715" t="s" s="61">
        <v>62</v>
      </c>
    </row>
    <row r="716" ht="21.25" customHeight="1">
      <c r="A716" t="s" s="8">
        <v>679</v>
      </c>
      <c r="B716" t="s" s="61">
        <v>62</v>
      </c>
      <c r="C716" s="166"/>
      <c r="D716" t="s" s="61">
        <v>62</v>
      </c>
      <c r="E716" t="s" s="61">
        <f>_xlfn.IFERROR(AVERAGE(B716:D716),"—")</f>
        <v>934</v>
      </c>
      <c r="F716" s="166"/>
      <c r="G716" s="168">
        <v>2350000</v>
      </c>
      <c r="H716" t="s" s="61">
        <v>885</v>
      </c>
    </row>
    <row r="717" ht="21.25" customHeight="1">
      <c r="A717" t="s" s="8">
        <v>271</v>
      </c>
      <c r="B717" s="166">
        <v>171.6</v>
      </c>
      <c r="C717" s="166"/>
      <c r="D717" s="166">
        <v>217.81</v>
      </c>
      <c r="E717" s="166">
        <f>_xlfn.IFERROR(AVERAGE(B717:D717),"—")</f>
        <v>194.705</v>
      </c>
      <c r="F717" s="166"/>
      <c r="G717" s="168">
        <v>6000000</v>
      </c>
      <c r="H717" t="s" s="61">
        <v>62</v>
      </c>
    </row>
    <row r="718" ht="21.25" customHeight="1">
      <c r="A718" t="s" s="8">
        <v>834</v>
      </c>
      <c r="B718" t="s" s="61">
        <v>62</v>
      </c>
      <c r="C718" s="166"/>
      <c r="D718" s="166">
        <v>416.73</v>
      </c>
      <c r="E718" s="166">
        <f>_xlfn.IFERROR(AVERAGE(B718:D718),"—")</f>
        <v>416.73</v>
      </c>
      <c r="F718" s="166"/>
      <c r="G718" s="168"/>
      <c r="H718" t="s" s="61">
        <v>885</v>
      </c>
    </row>
    <row r="719" ht="21.25" customHeight="1">
      <c r="A719" t="s" s="8">
        <v>145</v>
      </c>
      <c r="B719" s="166">
        <v>19.2</v>
      </c>
      <c r="C719" s="166"/>
      <c r="D719" s="166">
        <v>51.77</v>
      </c>
      <c r="E719" s="166">
        <f>_xlfn.IFERROR(AVERAGE(B719:D719),"—")</f>
        <v>35.485</v>
      </c>
      <c r="F719" s="166"/>
      <c r="G719" s="168">
        <v>9500000</v>
      </c>
      <c r="H719" t="s" s="61">
        <v>885</v>
      </c>
    </row>
    <row r="720" ht="21.25" customHeight="1">
      <c r="A720" t="s" s="8">
        <v>855</v>
      </c>
      <c r="B720" t="s" s="61">
        <v>62</v>
      </c>
      <c r="C720" s="166"/>
      <c r="D720" t="s" s="61">
        <v>62</v>
      </c>
      <c r="E720" t="s" s="61">
        <f>_xlfn.IFERROR(AVERAGE(B720:D720),"—")</f>
        <v>934</v>
      </c>
      <c r="F720" s="166"/>
      <c r="G720" s="168"/>
      <c r="H720" t="s" s="61">
        <v>885</v>
      </c>
    </row>
    <row r="721" ht="21.25" customHeight="1">
      <c r="A721" t="s" s="8">
        <v>269</v>
      </c>
      <c r="B721" s="166">
        <v>82</v>
      </c>
      <c r="C721" s="166"/>
      <c r="D721" s="166">
        <v>133.76</v>
      </c>
      <c r="E721" s="166">
        <f>_xlfn.IFERROR(AVERAGE(B721:D721),"—")</f>
        <v>107.88</v>
      </c>
      <c r="F721" s="166"/>
      <c r="G721" s="168"/>
      <c r="H721" t="s" s="61">
        <v>885</v>
      </c>
    </row>
    <row r="722" ht="21.25" customHeight="1">
      <c r="A722" t="s" s="8">
        <v>737</v>
      </c>
      <c r="B722" s="166">
        <v>166</v>
      </c>
      <c r="C722" s="166"/>
      <c r="D722" s="166">
        <v>315.78</v>
      </c>
      <c r="E722" s="166">
        <f>_xlfn.IFERROR(AVERAGE(B722:D722),"—")</f>
        <v>240.89</v>
      </c>
      <c r="F722" s="166"/>
      <c r="G722" s="168"/>
      <c r="H722" t="s" s="61">
        <v>885</v>
      </c>
    </row>
    <row r="723" ht="21.25" customHeight="1">
      <c r="A723" t="s" s="8">
        <v>881</v>
      </c>
      <c r="B723" t="s" s="61">
        <v>62</v>
      </c>
      <c r="C723" s="166"/>
      <c r="D723" t="s" s="61">
        <v>62</v>
      </c>
      <c r="E723" t="s" s="61">
        <f>_xlfn.IFERROR(AVERAGE(B723:D723),"—")</f>
        <v>934</v>
      </c>
      <c r="F723" s="166"/>
      <c r="G723" s="168">
        <v>4687500</v>
      </c>
      <c r="H723" t="s" s="61">
        <v>885</v>
      </c>
    </row>
    <row r="724" ht="21.25" customHeight="1">
      <c r="A724" t="s" s="8">
        <v>200</v>
      </c>
      <c r="B724" s="166">
        <v>97.7</v>
      </c>
      <c r="C724" s="166"/>
      <c r="D724" s="166">
        <v>120.87</v>
      </c>
      <c r="E724" s="166">
        <f>_xlfn.IFERROR(AVERAGE(B724:D724),"—")</f>
        <v>109.285</v>
      </c>
      <c r="F724" s="166"/>
      <c r="G724" s="168">
        <v>5000000</v>
      </c>
      <c r="H724" t="s" s="61">
        <v>60</v>
      </c>
    </row>
    <row r="725" ht="21.25" customHeight="1">
      <c r="A725" t="s" s="8">
        <v>882</v>
      </c>
      <c r="B725" t="s" s="61">
        <v>62</v>
      </c>
      <c r="C725" s="166"/>
      <c r="D725" t="s" s="61">
        <v>62</v>
      </c>
      <c r="E725" t="s" s="61">
        <f>_xlfn.IFERROR(AVERAGE(B725:D725),"—")</f>
        <v>934</v>
      </c>
      <c r="F725" s="166"/>
      <c r="G725" s="168">
        <v>762500</v>
      </c>
      <c r="H725" t="s" s="61">
        <v>885</v>
      </c>
    </row>
    <row r="726" ht="21.25" customHeight="1">
      <c r="A726" t="s" s="8">
        <v>277</v>
      </c>
      <c r="B726" s="166">
        <v>147.7</v>
      </c>
      <c r="C726" s="166"/>
      <c r="D726" s="166">
        <v>196.77</v>
      </c>
      <c r="E726" s="166">
        <f>_xlfn.IFERROR(AVERAGE(B726:D726),"—")</f>
        <v>172.235</v>
      </c>
      <c r="F726" s="166"/>
      <c r="G726" s="168"/>
      <c r="H726" t="s" s="61">
        <v>60</v>
      </c>
    </row>
    <row r="727" ht="21.25" customHeight="1">
      <c r="A727" t="s" s="8">
        <v>537</v>
      </c>
      <c r="B727" s="166">
        <v>159.3</v>
      </c>
      <c r="C727" s="166"/>
      <c r="D727" s="166">
        <v>186.24</v>
      </c>
      <c r="E727" s="166">
        <f>_xlfn.IFERROR(AVERAGE(B727:D727),"—")</f>
        <v>172.77</v>
      </c>
      <c r="F727" s="166"/>
      <c r="G727" s="168">
        <v>766667</v>
      </c>
      <c r="H727" t="s" s="61">
        <v>885</v>
      </c>
    </row>
    <row r="728" ht="21.25" customHeight="1">
      <c r="A728" t="s" s="8">
        <v>167</v>
      </c>
      <c r="B728" s="166">
        <v>31.9</v>
      </c>
      <c r="C728" s="166"/>
      <c r="D728" s="166">
        <v>73.81999999999999</v>
      </c>
      <c r="E728" s="166">
        <f>_xlfn.IFERROR(AVERAGE(B728:D728),"—")</f>
        <v>52.86</v>
      </c>
      <c r="F728" s="166"/>
      <c r="G728" s="168">
        <v>6166666</v>
      </c>
      <c r="H728" t="s" s="61">
        <v>885</v>
      </c>
    </row>
    <row r="729" ht="21.25" customHeight="1">
      <c r="A729" t="s" s="8">
        <v>851</v>
      </c>
      <c r="B729" t="s" s="61">
        <v>62</v>
      </c>
      <c r="C729" s="166"/>
      <c r="D729" s="166">
        <v>465.9</v>
      </c>
      <c r="E729" s="166">
        <f>_xlfn.IFERROR(AVERAGE(B729:D729),"—")</f>
        <v>465.9</v>
      </c>
      <c r="F729" s="166"/>
      <c r="G729" s="168">
        <v>1750000</v>
      </c>
      <c r="H729" t="s" s="61">
        <v>885</v>
      </c>
    </row>
    <row r="730" ht="21.25" customHeight="1">
      <c r="A730" t="s" s="8">
        <v>282</v>
      </c>
      <c r="B730" s="166">
        <v>100.3</v>
      </c>
      <c r="C730" s="166"/>
      <c r="D730" s="166">
        <v>137.25</v>
      </c>
      <c r="E730" s="166">
        <f>_xlfn.IFERROR(AVERAGE(B730:D730),"—")</f>
        <v>118.775</v>
      </c>
      <c r="F730" s="166"/>
      <c r="G730" s="168">
        <v>5250000</v>
      </c>
      <c r="H730" t="s" s="61">
        <v>62</v>
      </c>
    </row>
    <row r="731" ht="21.25" customHeight="1">
      <c r="A731" t="s" s="8">
        <v>772</v>
      </c>
      <c r="B731" t="s" s="61">
        <v>62</v>
      </c>
      <c r="C731" s="166"/>
      <c r="D731" t="s" s="61">
        <v>62</v>
      </c>
      <c r="E731" t="s" s="61">
        <f>_xlfn.IFERROR(AVERAGE(B731:D731),"—")</f>
        <v>934</v>
      </c>
      <c r="F731" s="166"/>
      <c r="G731" s="168">
        <v>1100000</v>
      </c>
      <c r="H731" t="s" s="61">
        <v>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4"/>
  <sheetViews>
    <sheetView workbookViewId="0" showGridLines="0" defaultGridColor="1">
      <pane topLeftCell="B3" xSplit="1" ySplit="2" activePane="bottomRight" state="frozen"/>
    </sheetView>
  </sheetViews>
  <sheetFormatPr defaultColWidth="8" defaultRowHeight="16.15" customHeight="1" outlineLevelRow="0" outlineLevelCol="0"/>
  <cols>
    <col min="1" max="1" width="28.3438" style="169" customWidth="1"/>
    <col min="2" max="4" width="7.10938" style="169" customWidth="1"/>
    <col min="5" max="22" width="8.28125" style="169" customWidth="1"/>
    <col min="23" max="23" width="2.375" style="169" customWidth="1"/>
    <col min="24" max="28" width="7.10938" style="169" customWidth="1"/>
    <col min="29" max="31" width="8.28125" style="169" customWidth="1"/>
    <col min="32" max="16384" width="8" style="169" customWidth="1"/>
  </cols>
  <sheetData>
    <row r="1" ht="21.25" customHeight="1">
      <c r="A1" s="170"/>
      <c r="B1" s="171"/>
      <c r="C1" s="171"/>
      <c r="D1" s="171"/>
      <c r="E1" s="172"/>
      <c r="F1" t="s" s="173">
        <v>935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1"/>
      <c r="X1" t="s" s="173">
        <v>936</v>
      </c>
      <c r="Y1" s="174"/>
      <c r="Z1" s="174"/>
      <c r="AA1" s="174"/>
      <c r="AB1" s="174"/>
      <c r="AC1" s="174"/>
      <c r="AD1" s="174"/>
      <c r="AE1" s="174"/>
    </row>
    <row r="2" ht="21.25" customHeight="1">
      <c r="A2" t="s" s="2">
        <v>937</v>
      </c>
      <c r="B2" t="s" s="3">
        <v>921</v>
      </c>
      <c r="C2" t="s" s="3">
        <v>938</v>
      </c>
      <c r="D2" t="s" s="3">
        <v>3</v>
      </c>
      <c r="E2" t="s" s="175">
        <v>79</v>
      </c>
      <c r="F2" t="s" s="175">
        <v>80</v>
      </c>
      <c r="G2" t="s" s="175">
        <v>81</v>
      </c>
      <c r="H2" t="s" s="175">
        <v>82</v>
      </c>
      <c r="I2" t="s" s="175">
        <v>83</v>
      </c>
      <c r="J2" t="s" s="175">
        <v>84</v>
      </c>
      <c r="K2" t="s" s="175">
        <v>85</v>
      </c>
      <c r="L2" t="s" s="175">
        <v>86</v>
      </c>
      <c r="M2" t="s" s="175">
        <v>87</v>
      </c>
      <c r="N2" t="s" s="175">
        <v>88</v>
      </c>
      <c r="O2" t="s" s="175">
        <v>89</v>
      </c>
      <c r="P2" t="s" s="175">
        <v>90</v>
      </c>
      <c r="Q2" t="s" s="175">
        <v>91</v>
      </c>
      <c r="R2" t="s" s="175">
        <v>92</v>
      </c>
      <c r="S2" t="s" s="175">
        <v>93</v>
      </c>
      <c r="T2" t="s" s="175">
        <v>94</v>
      </c>
      <c r="U2" t="s" s="175">
        <v>95</v>
      </c>
      <c r="V2" t="s" s="175">
        <v>96</v>
      </c>
      <c r="W2" s="176"/>
      <c r="X2" t="s" s="175">
        <v>79</v>
      </c>
      <c r="Y2" t="s" s="175">
        <v>97</v>
      </c>
      <c r="Z2" t="s" s="175">
        <v>98</v>
      </c>
      <c r="AA2" t="s" s="175">
        <v>99</v>
      </c>
      <c r="AB2" t="s" s="175">
        <v>100</v>
      </c>
      <c r="AC2" t="s" s="175">
        <v>101</v>
      </c>
      <c r="AD2" t="s" s="175">
        <v>103</v>
      </c>
      <c r="AE2" t="s" s="175">
        <v>102</v>
      </c>
    </row>
    <row r="3" ht="21.25" customHeight="1">
      <c r="A3" t="s" s="8">
        <v>105</v>
      </c>
      <c r="B3" t="s" s="177">
        <v>939</v>
      </c>
      <c r="C3" s="178">
        <v>26</v>
      </c>
      <c r="D3" t="s" s="177">
        <v>924</v>
      </c>
      <c r="E3" s="68">
        <v>81.755</v>
      </c>
      <c r="F3" s="179">
        <v>22.2907840015244</v>
      </c>
      <c r="G3" s="180">
        <v>0.664702962537434</v>
      </c>
      <c r="H3" s="180">
        <v>1.06703851720166</v>
      </c>
      <c r="I3" s="180">
        <v>1.7317414797391</v>
      </c>
      <c r="J3" s="180">
        <v>4.07810790577474</v>
      </c>
      <c r="K3" s="180">
        <v>0.198318130535463</v>
      </c>
      <c r="L3" s="180">
        <v>0.7268186590319941</v>
      </c>
      <c r="M3" s="180">
        <v>0.0234324385575123</v>
      </c>
      <c r="N3" s="180">
        <v>0.0509230325534368</v>
      </c>
      <c r="O3" s="180">
        <v>0.449227004749566</v>
      </c>
      <c r="P3" s="180">
        <v>1.01328079407684</v>
      </c>
      <c r="Q3" s="180">
        <v>0.134208014375894</v>
      </c>
      <c r="R3" s="180">
        <v>0.441658755174291</v>
      </c>
      <c r="S3" s="180">
        <v>0.105215342969303</v>
      </c>
      <c r="T3" s="180">
        <v>6.42446118762098</v>
      </c>
      <c r="U3" s="180">
        <v>5.90579824186457</v>
      </c>
      <c r="V3" s="180">
        <v>0.521032118128679</v>
      </c>
      <c r="W3" s="180"/>
      <c r="X3" s="68"/>
      <c r="Y3" s="179"/>
      <c r="Z3" s="179"/>
      <c r="AA3" s="179"/>
      <c r="AB3" s="179"/>
      <c r="AC3" s="179"/>
      <c r="AD3" s="181"/>
      <c r="AE3" s="180"/>
    </row>
    <row r="4" ht="21.25" customHeight="1">
      <c r="A4" t="s" s="8">
        <v>110</v>
      </c>
      <c r="B4" t="s" s="177">
        <v>939</v>
      </c>
      <c r="C4" s="178">
        <v>27</v>
      </c>
      <c r="D4" t="s" s="177">
        <v>940</v>
      </c>
      <c r="E4" s="68">
        <v>81.40000000000001</v>
      </c>
      <c r="F4" s="179">
        <v>21.6696418140244</v>
      </c>
      <c r="G4" s="180">
        <v>0.633915667453139</v>
      </c>
      <c r="H4" s="180">
        <v>0.846078401182656</v>
      </c>
      <c r="I4" s="180">
        <v>1.47999406863579</v>
      </c>
      <c r="J4" s="180">
        <v>3.14040530267854</v>
      </c>
      <c r="K4" s="180">
        <v>0.336392235414802</v>
      </c>
      <c r="L4" s="180">
        <v>0.647089059279804</v>
      </c>
      <c r="M4" s="180">
        <v>0.008218461210469661</v>
      </c>
      <c r="N4" s="180">
        <v>0.0128094928783204</v>
      </c>
      <c r="O4" s="180">
        <v>0.433350350607817</v>
      </c>
      <c r="P4" s="180">
        <v>0.757366709935221</v>
      </c>
      <c r="Q4" s="180">
        <v>0.085875790886146</v>
      </c>
      <c r="R4" s="180">
        <v>0.40096150832356</v>
      </c>
      <c r="S4" s="180">
        <v>0.10034204467825</v>
      </c>
      <c r="T4" s="180">
        <v>10.1147106994883</v>
      </c>
      <c r="U4" s="180">
        <v>8.4511874316623</v>
      </c>
      <c r="V4" s="180">
        <v>0.544800506177368</v>
      </c>
      <c r="W4" s="180"/>
      <c r="X4" s="68"/>
      <c r="Y4" s="179"/>
      <c r="Z4" s="179"/>
      <c r="AA4" s="179"/>
      <c r="AB4" s="179"/>
      <c r="AC4" s="179"/>
      <c r="AD4" s="181"/>
      <c r="AE4" s="180"/>
    </row>
    <row r="5" ht="21.25" customHeight="1">
      <c r="A5" t="s" s="8">
        <v>112</v>
      </c>
      <c r="B5" t="s" s="177">
        <v>941</v>
      </c>
      <c r="C5" s="178">
        <v>27</v>
      </c>
      <c r="D5" t="s" s="177">
        <v>924</v>
      </c>
      <c r="E5" s="68">
        <v>76.5685714285714</v>
      </c>
      <c r="F5" s="179">
        <v>22.2026299808807</v>
      </c>
      <c r="G5" s="180">
        <v>0.539962176742944</v>
      </c>
      <c r="H5" s="180">
        <v>0.923261007321821</v>
      </c>
      <c r="I5" s="180">
        <v>1.46322318406477</v>
      </c>
      <c r="J5" s="180">
        <v>4.88447642946096</v>
      </c>
      <c r="K5" s="180">
        <v>0.149153611184738</v>
      </c>
      <c r="L5" s="180">
        <v>0.451897472164445</v>
      </c>
      <c r="M5" s="180">
        <v>0.00045683612786186</v>
      </c>
      <c r="N5" s="180">
        <v>0.000834254562006974</v>
      </c>
      <c r="O5" s="180">
        <v>0.566955245667383</v>
      </c>
      <c r="P5" s="180">
        <v>0.83450809286737</v>
      </c>
      <c r="Q5" s="180">
        <v>0.117919883446337</v>
      </c>
      <c r="R5" s="180">
        <v>0.540935027124448</v>
      </c>
      <c r="S5" s="180">
        <v>0.0854301518303985</v>
      </c>
      <c r="T5" s="180">
        <v>7.0476614913496</v>
      </c>
      <c r="U5" s="180">
        <v>8.453258445050549</v>
      </c>
      <c r="V5" s="180">
        <v>0.45466085369552</v>
      </c>
      <c r="W5" s="180"/>
      <c r="X5" s="68"/>
      <c r="Y5" s="179"/>
      <c r="Z5" s="179"/>
      <c r="AA5" s="179"/>
      <c r="AB5" s="179"/>
      <c r="AC5" s="179"/>
      <c r="AD5" s="181"/>
      <c r="AE5" s="180"/>
    </row>
    <row r="6" ht="21.25" customHeight="1">
      <c r="A6" t="s" s="8">
        <v>123</v>
      </c>
      <c r="B6" t="s" s="177">
        <v>942</v>
      </c>
      <c r="C6" s="178">
        <v>30</v>
      </c>
      <c r="D6" t="s" s="177">
        <v>926</v>
      </c>
      <c r="E6" s="68">
        <v>79.7</v>
      </c>
      <c r="F6" s="179">
        <v>20.1262766588415</v>
      </c>
      <c r="G6" s="180">
        <v>0.400972965804545</v>
      </c>
      <c r="H6" s="180">
        <v>0.923409431924643</v>
      </c>
      <c r="I6" s="180">
        <v>1.32438239772918</v>
      </c>
      <c r="J6" s="180">
        <v>3.29296789364523</v>
      </c>
      <c r="K6" s="180">
        <v>0.114677820758914</v>
      </c>
      <c r="L6" s="180">
        <v>0.545245032427089</v>
      </c>
      <c r="M6" s="180">
        <v>5.49960495881432e-05</v>
      </c>
      <c r="N6" s="180">
        <v>0.00010178683807359</v>
      </c>
      <c r="O6" s="180">
        <v>0.323673953665172</v>
      </c>
      <c r="P6" s="180">
        <v>0.730993103618307</v>
      </c>
      <c r="Q6" s="180">
        <v>0.0194434799598026</v>
      </c>
      <c r="R6" s="180">
        <v>0.45990348638469</v>
      </c>
      <c r="S6" s="180">
        <v>0.0627524148020917</v>
      </c>
      <c r="T6" s="180">
        <v>0.0240731671945521</v>
      </c>
      <c r="U6" s="180">
        <v>0</v>
      </c>
      <c r="V6" s="180">
        <v>1</v>
      </c>
      <c r="W6" s="180"/>
      <c r="X6" s="68"/>
      <c r="Y6" s="179"/>
      <c r="Z6" s="179"/>
      <c r="AA6" s="179"/>
      <c r="AB6" s="179"/>
      <c r="AC6" s="179"/>
      <c r="AD6" s="181"/>
      <c r="AE6" s="180"/>
    </row>
    <row r="7" ht="21.25" customHeight="1">
      <c r="A7" t="s" s="8">
        <v>117</v>
      </c>
      <c r="B7" t="s" s="177">
        <v>943</v>
      </c>
      <c r="C7" s="178">
        <v>25</v>
      </c>
      <c r="D7" t="s" s="177">
        <v>944</v>
      </c>
      <c r="E7" s="68">
        <v>81.4975</v>
      </c>
      <c r="F7" s="179">
        <v>20.1249183329808</v>
      </c>
      <c r="G7" s="180">
        <v>0.505426401681523</v>
      </c>
      <c r="H7" s="180">
        <v>0.812519345893441</v>
      </c>
      <c r="I7" s="180">
        <v>1.31794574757496</v>
      </c>
      <c r="J7" s="180">
        <v>3.76519451054713</v>
      </c>
      <c r="K7" s="180">
        <v>0.163567131262051</v>
      </c>
      <c r="L7" s="180">
        <v>0.431128018987359</v>
      </c>
      <c r="M7" s="180">
        <v>0.00120407443130327</v>
      </c>
      <c r="N7" s="180">
        <v>0.007873551519356181</v>
      </c>
      <c r="O7" s="180">
        <v>0.359252317267448</v>
      </c>
      <c r="P7" s="180">
        <v>1.02455140905487</v>
      </c>
      <c r="Q7" s="180">
        <v>0.138695096157918</v>
      </c>
      <c r="R7" s="180">
        <v>0.885394945605637</v>
      </c>
      <c r="S7" s="180">
        <v>0.0725045701901235</v>
      </c>
      <c r="T7" s="180">
        <v>0.167690997590941</v>
      </c>
      <c r="U7" s="180">
        <v>0.204280163856826</v>
      </c>
      <c r="V7" s="180">
        <v>0.450817200285806</v>
      </c>
      <c r="W7" s="180"/>
      <c r="X7" s="68"/>
      <c r="Y7" s="179"/>
      <c r="Z7" s="179"/>
      <c r="AA7" s="179"/>
      <c r="AB7" s="179"/>
      <c r="AC7" s="179"/>
      <c r="AD7" s="181"/>
      <c r="AE7" s="180"/>
    </row>
    <row r="8" ht="21.25" customHeight="1">
      <c r="A8" t="s" s="8">
        <v>125</v>
      </c>
      <c r="B8" t="s" s="177">
        <v>941</v>
      </c>
      <c r="C8" s="178">
        <v>26</v>
      </c>
      <c r="D8" t="s" s="177">
        <v>926</v>
      </c>
      <c r="E8" s="68">
        <v>80.48178571428571</v>
      </c>
      <c r="F8" s="179">
        <v>22.0929666118521</v>
      </c>
      <c r="G8" s="180">
        <v>0.599046026556311</v>
      </c>
      <c r="H8" s="180">
        <v>0.686939150005994</v>
      </c>
      <c r="I8" s="180">
        <v>1.2859851765623</v>
      </c>
      <c r="J8" s="180">
        <v>3.66541915282122</v>
      </c>
      <c r="K8" s="180">
        <v>0.168914544504455</v>
      </c>
      <c r="L8" s="180">
        <v>0.443981648348638</v>
      </c>
      <c r="M8" s="180">
        <v>0.000195591718695207</v>
      </c>
      <c r="N8" s="180">
        <v>0.000356813417280465</v>
      </c>
      <c r="O8" s="180">
        <v>0.520850018654094</v>
      </c>
      <c r="P8" s="180">
        <v>0.880525063828273</v>
      </c>
      <c r="Q8" s="180">
        <v>0.107477182944184</v>
      </c>
      <c r="R8" s="180">
        <v>0.731137359699541</v>
      </c>
      <c r="S8" s="180">
        <v>0.0947781070718698</v>
      </c>
      <c r="T8" s="180">
        <v>2.43282199686346</v>
      </c>
      <c r="U8" s="180">
        <v>2.60558190254832</v>
      </c>
      <c r="V8" s="180">
        <v>0.482855691094454</v>
      </c>
      <c r="W8" s="180"/>
      <c r="X8" s="68"/>
      <c r="Y8" s="179"/>
      <c r="Z8" s="179"/>
      <c r="AA8" s="179"/>
      <c r="AB8" s="179"/>
      <c r="AC8" s="179"/>
      <c r="AD8" s="181"/>
      <c r="AE8" s="180"/>
    </row>
    <row r="9" ht="21.25" customHeight="1">
      <c r="A9" t="s" s="8">
        <v>114</v>
      </c>
      <c r="B9" t="s" s="177">
        <v>945</v>
      </c>
      <c r="C9" s="178">
        <v>25</v>
      </c>
      <c r="D9" t="s" s="177">
        <v>924</v>
      </c>
      <c r="E9" s="68">
        <v>78.7867857142857</v>
      </c>
      <c r="F9" s="179">
        <v>20.3388111305526</v>
      </c>
      <c r="G9" s="180">
        <v>0.653449927706556</v>
      </c>
      <c r="H9" s="180">
        <v>0.618886333805412</v>
      </c>
      <c r="I9" s="180">
        <v>1.27233626151196</v>
      </c>
      <c r="J9" s="180">
        <v>4.34945265358617</v>
      </c>
      <c r="K9" s="180">
        <v>0.196637954664606</v>
      </c>
      <c r="L9" s="180">
        <v>0.391801629996937</v>
      </c>
      <c r="M9" s="180">
        <v>0.000232529760407398</v>
      </c>
      <c r="N9" s="180">
        <v>0.000424283729966824</v>
      </c>
      <c r="O9" s="180">
        <v>1.03682662991779</v>
      </c>
      <c r="P9" s="180">
        <v>0.973198555861693</v>
      </c>
      <c r="Q9" s="180">
        <v>0.150179751608796</v>
      </c>
      <c r="R9" s="180">
        <v>0.283252952117802</v>
      </c>
      <c r="S9" s="180">
        <v>0.1049765572017</v>
      </c>
      <c r="T9" s="180">
        <v>7.92294043131374</v>
      </c>
      <c r="U9" s="180">
        <v>6.82015508354471</v>
      </c>
      <c r="V9" s="180">
        <v>0.537400061156004</v>
      </c>
      <c r="W9" s="180"/>
      <c r="X9" s="68"/>
      <c r="Y9" s="179"/>
      <c r="Z9" s="179"/>
      <c r="AA9" s="179"/>
      <c r="AB9" s="179"/>
      <c r="AC9" s="179"/>
      <c r="AD9" s="181"/>
      <c r="AE9" s="180"/>
    </row>
    <row r="10" ht="21.25" customHeight="1">
      <c r="A10" t="s" s="8">
        <v>137</v>
      </c>
      <c r="B10" t="s" s="177">
        <v>945</v>
      </c>
      <c r="C10" s="178">
        <v>26</v>
      </c>
      <c r="D10" t="s" s="177">
        <v>926</v>
      </c>
      <c r="E10" s="68">
        <v>80.1535714285714</v>
      </c>
      <c r="F10" s="179">
        <v>21.3107412853277</v>
      </c>
      <c r="G10" s="180">
        <v>0.413196746914166</v>
      </c>
      <c r="H10" s="180">
        <v>0.846135140146027</v>
      </c>
      <c r="I10" s="180">
        <v>1.2593318870602</v>
      </c>
      <c r="J10" s="180">
        <v>2.67273611821089</v>
      </c>
      <c r="K10" s="180">
        <v>0.09570755549521059</v>
      </c>
      <c r="L10" s="180">
        <v>0.41288637872872</v>
      </c>
      <c r="M10" s="180">
        <v>0.0331413569870589</v>
      </c>
      <c r="N10" s="180">
        <v>0.0498518375316226</v>
      </c>
      <c r="O10" s="180">
        <v>0.543538849687994</v>
      </c>
      <c r="P10" s="180">
        <v>0.773100179455371</v>
      </c>
      <c r="Q10" s="180">
        <v>0.116054388520386</v>
      </c>
      <c r="R10" s="180">
        <v>0.342281725507287</v>
      </c>
      <c r="S10" s="180">
        <v>0.06637994756573019</v>
      </c>
      <c r="T10" s="180">
        <v>0.0284719423214568</v>
      </c>
      <c r="U10" s="180">
        <v>0.0536988820230744</v>
      </c>
      <c r="V10" s="180">
        <v>0.346496978076766</v>
      </c>
      <c r="W10" s="180"/>
      <c r="X10" s="68"/>
      <c r="Y10" s="179"/>
      <c r="Z10" s="179"/>
      <c r="AA10" s="179"/>
      <c r="AB10" s="179"/>
      <c r="AC10" s="179"/>
      <c r="AD10" s="181"/>
      <c r="AE10" s="180"/>
    </row>
    <row r="11" ht="21.25" customHeight="1">
      <c r="A11" t="s" s="8">
        <v>132</v>
      </c>
      <c r="B11" t="s" s="177">
        <v>946</v>
      </c>
      <c r="C11" s="178">
        <v>26</v>
      </c>
      <c r="D11" t="s" s="177">
        <v>925</v>
      </c>
      <c r="E11" s="68">
        <v>79.40000000000001</v>
      </c>
      <c r="F11" s="179">
        <v>21.0384039967874</v>
      </c>
      <c r="G11" s="180">
        <v>0.594552413339037</v>
      </c>
      <c r="H11" s="180">
        <v>0.639615795285307</v>
      </c>
      <c r="I11" s="180">
        <v>1.23416820862434</v>
      </c>
      <c r="J11" s="180">
        <v>3.7672094858016</v>
      </c>
      <c r="K11" s="180">
        <v>0.212018306453738</v>
      </c>
      <c r="L11" s="180">
        <v>0.416317367458829</v>
      </c>
      <c r="M11" s="180">
        <v>0.000180667513810249</v>
      </c>
      <c r="N11" s="180">
        <v>0.000329599333572615</v>
      </c>
      <c r="O11" s="180">
        <v>0.418113718945746</v>
      </c>
      <c r="P11" s="180">
        <v>0.944702793204178</v>
      </c>
      <c r="Q11" s="180">
        <v>0.0552034951998201</v>
      </c>
      <c r="R11" s="180">
        <v>0.474727644566267</v>
      </c>
      <c r="S11" s="180">
        <v>0.09547109538145231</v>
      </c>
      <c r="T11" s="180">
        <v>0.0525917418101574</v>
      </c>
      <c r="U11" s="180">
        <v>0.0753016389428087</v>
      </c>
      <c r="V11" s="180">
        <v>0.411215510142324</v>
      </c>
      <c r="W11" s="180"/>
      <c r="X11" s="68"/>
      <c r="Y11" s="179"/>
      <c r="Z11" s="179"/>
      <c r="AA11" s="179"/>
      <c r="AB11" s="179"/>
      <c r="AC11" s="179"/>
      <c r="AD11" s="181"/>
      <c r="AE11" s="180"/>
    </row>
    <row r="12" ht="21.25" customHeight="1">
      <c r="A12" t="s" s="8">
        <v>126</v>
      </c>
      <c r="B12" t="s" s="177">
        <v>947</v>
      </c>
      <c r="C12" s="178">
        <v>22</v>
      </c>
      <c r="D12" t="s" s="177">
        <v>940</v>
      </c>
      <c r="E12" s="68">
        <v>78.48</v>
      </c>
      <c r="F12" s="179">
        <v>20.3610619369196</v>
      </c>
      <c r="G12" s="180">
        <v>0.528959237854749</v>
      </c>
      <c r="H12" s="180">
        <v>0.703216891635961</v>
      </c>
      <c r="I12" s="180">
        <v>1.23217612949071</v>
      </c>
      <c r="J12" s="180">
        <v>3.98625304212296</v>
      </c>
      <c r="K12" s="180">
        <v>0.128740554094048</v>
      </c>
      <c r="L12" s="180">
        <v>0.386671737285941</v>
      </c>
      <c r="M12" s="180">
        <v>0.00039749375526321</v>
      </c>
      <c r="N12" s="180">
        <v>0.000722486069491027</v>
      </c>
      <c r="O12" s="180">
        <v>0.380685500334232</v>
      </c>
      <c r="P12" s="180">
        <v>0.221127658944488</v>
      </c>
      <c r="Q12" s="180">
        <v>0.0141071069074745</v>
      </c>
      <c r="R12" s="180">
        <v>0.139873763958324</v>
      </c>
      <c r="S12" s="180">
        <v>0.0777453608091693</v>
      </c>
      <c r="T12" s="180">
        <v>2.40072784615496</v>
      </c>
      <c r="U12" s="180">
        <v>4.4317231427464</v>
      </c>
      <c r="V12" s="180">
        <v>0.351371396597605</v>
      </c>
      <c r="W12" s="180"/>
      <c r="X12" s="68"/>
      <c r="Y12" s="179"/>
      <c r="Z12" s="179"/>
      <c r="AA12" s="179"/>
      <c r="AB12" s="179"/>
      <c r="AC12" s="179"/>
      <c r="AD12" s="181"/>
      <c r="AE12" s="180"/>
    </row>
    <row r="13" ht="21.25" customHeight="1">
      <c r="A13" t="s" s="8">
        <v>135</v>
      </c>
      <c r="B13" t="s" s="177">
        <v>948</v>
      </c>
      <c r="C13" s="178">
        <v>24</v>
      </c>
      <c r="D13" t="s" s="177">
        <v>925</v>
      </c>
      <c r="E13" s="68">
        <v>80.1978571428571</v>
      </c>
      <c r="F13" s="179">
        <v>18.8333642730564</v>
      </c>
      <c r="G13" s="180">
        <v>0.540354000634351</v>
      </c>
      <c r="H13" s="180">
        <v>0.689371488059046</v>
      </c>
      <c r="I13" s="180">
        <v>1.2297254886934</v>
      </c>
      <c r="J13" s="180">
        <v>3.53548623546035</v>
      </c>
      <c r="K13" s="180">
        <v>0.1595988795084</v>
      </c>
      <c r="L13" s="180">
        <v>0.422662899248468</v>
      </c>
      <c r="M13" s="180">
        <v>5.44519317228132e-05</v>
      </c>
      <c r="N13" s="180">
        <v>9.913473141359521e-05</v>
      </c>
      <c r="O13" s="180">
        <v>0.281265088321476</v>
      </c>
      <c r="P13" s="180">
        <v>0.719618803283639</v>
      </c>
      <c r="Q13" s="180">
        <v>0.138179471439163</v>
      </c>
      <c r="R13" s="180">
        <v>0.312560722673926</v>
      </c>
      <c r="S13" s="180">
        <v>0.0864528095025589</v>
      </c>
      <c r="T13" s="180">
        <v>0.00263241529927698</v>
      </c>
      <c r="U13" s="180">
        <v>0.020377541615978</v>
      </c>
      <c r="V13" s="180">
        <v>0.114403312834182</v>
      </c>
      <c r="W13" s="180"/>
      <c r="X13" s="68"/>
      <c r="Y13" s="179"/>
      <c r="Z13" s="179"/>
      <c r="AA13" s="179"/>
      <c r="AB13" s="179"/>
      <c r="AC13" s="179"/>
      <c r="AD13" s="181"/>
      <c r="AE13" s="180"/>
    </row>
    <row r="14" ht="21.25" customHeight="1">
      <c r="A14" t="s" s="8">
        <v>120</v>
      </c>
      <c r="B14" t="s" s="177">
        <v>949</v>
      </c>
      <c r="C14" s="178">
        <v>27</v>
      </c>
      <c r="D14" t="s" s="177">
        <v>926</v>
      </c>
      <c r="E14" s="68">
        <v>79.48357142857139</v>
      </c>
      <c r="F14" s="179">
        <v>19.4361396922256</v>
      </c>
      <c r="G14" s="180">
        <v>0.620295708791923</v>
      </c>
      <c r="H14" s="180">
        <v>0.598538628350432</v>
      </c>
      <c r="I14" s="180">
        <v>1.21883433714235</v>
      </c>
      <c r="J14" s="180">
        <v>4.60076693818144</v>
      </c>
      <c r="K14" s="180">
        <v>0.193032835642468</v>
      </c>
      <c r="L14" s="180">
        <v>0.395577837353726</v>
      </c>
      <c r="M14" s="180">
        <v>0.000384600093537079</v>
      </c>
      <c r="N14" s="180">
        <v>0.00070139325576121</v>
      </c>
      <c r="O14" s="180">
        <v>0.36567453273853</v>
      </c>
      <c r="P14" s="180">
        <v>1.04294430310468</v>
      </c>
      <c r="Q14" s="180">
        <v>0.0865990441133928</v>
      </c>
      <c r="R14" s="180">
        <v>0.428751183695952</v>
      </c>
      <c r="S14" s="180">
        <v>0.104135442470948</v>
      </c>
      <c r="T14" s="180">
        <v>0.0860716881249884</v>
      </c>
      <c r="U14" s="180">
        <v>0.147166184965727</v>
      </c>
      <c r="V14" s="180">
        <v>0.369029639073719</v>
      </c>
      <c r="W14" s="180"/>
      <c r="X14" s="68"/>
      <c r="Y14" s="179"/>
      <c r="Z14" s="179"/>
      <c r="AA14" s="179"/>
      <c r="AB14" s="179"/>
      <c r="AC14" s="179"/>
      <c r="AD14" s="181"/>
      <c r="AE14" s="180"/>
    </row>
    <row r="15" ht="21.25" customHeight="1">
      <c r="A15" t="s" s="8">
        <v>168</v>
      </c>
      <c r="B15" t="s" s="177">
        <v>950</v>
      </c>
      <c r="C15" s="178">
        <v>31</v>
      </c>
      <c r="D15" t="s" s="177">
        <v>925</v>
      </c>
      <c r="E15" s="68">
        <v>78.56</v>
      </c>
      <c r="F15" s="179">
        <v>19.6351476419588</v>
      </c>
      <c r="G15" s="180">
        <v>0.337681724809932</v>
      </c>
      <c r="H15" s="180">
        <v>0.831238049279023</v>
      </c>
      <c r="I15" s="180">
        <v>1.16891977408895</v>
      </c>
      <c r="J15" s="180">
        <v>2.52893264695155</v>
      </c>
      <c r="K15" s="180">
        <v>0.0954490878037398</v>
      </c>
      <c r="L15" s="180">
        <v>0.429828174907228</v>
      </c>
      <c r="M15" s="180">
        <v>9.53827387659628e-05</v>
      </c>
      <c r="N15" s="180">
        <v>0.000178036284576709</v>
      </c>
      <c r="O15" s="180">
        <v>0.18079075372587</v>
      </c>
      <c r="P15" s="180">
        <v>0.351094289548544</v>
      </c>
      <c r="Q15" s="180">
        <v>0.071270937762536</v>
      </c>
      <c r="R15" s="180">
        <v>0.316014211994238</v>
      </c>
      <c r="S15" s="180">
        <v>0.0575403353297184</v>
      </c>
      <c r="T15" s="180">
        <v>0.0637278686922885</v>
      </c>
      <c r="U15" s="180">
        <v>0.125855990163437</v>
      </c>
      <c r="V15" s="180">
        <v>0.336146067903312</v>
      </c>
      <c r="W15" s="180"/>
      <c r="X15" s="68"/>
      <c r="Y15" s="179"/>
      <c r="Z15" s="179"/>
      <c r="AA15" s="179"/>
      <c r="AB15" s="179"/>
      <c r="AC15" s="179"/>
      <c r="AD15" s="181"/>
      <c r="AE15" s="180"/>
    </row>
    <row r="16" ht="21.25" customHeight="1">
      <c r="A16" t="s" s="8">
        <v>161</v>
      </c>
      <c r="B16" t="s" s="177">
        <v>943</v>
      </c>
      <c r="C16" s="178">
        <v>27</v>
      </c>
      <c r="D16" t="s" s="177">
        <v>924</v>
      </c>
      <c r="E16" s="68">
        <v>76.6039285714286</v>
      </c>
      <c r="F16" s="179">
        <v>20.7755621919006</v>
      </c>
      <c r="G16" s="180">
        <v>0.43296775984116</v>
      </c>
      <c r="H16" s="180">
        <v>0.731397137450629</v>
      </c>
      <c r="I16" s="180">
        <v>1.16436489729179</v>
      </c>
      <c r="J16" s="180">
        <v>3.11663026645584</v>
      </c>
      <c r="K16" s="180">
        <v>0.133588230239045</v>
      </c>
      <c r="L16" s="180">
        <v>0.387176269023444</v>
      </c>
      <c r="M16" s="180">
        <v>0.0269922234049739</v>
      </c>
      <c r="N16" s="180">
        <v>0.0394059664667991</v>
      </c>
      <c r="O16" s="180">
        <v>0.669175481214373</v>
      </c>
      <c r="P16" s="180">
        <v>0.785959697089559</v>
      </c>
      <c r="Q16" s="180">
        <v>0.0749968298510732</v>
      </c>
      <c r="R16" s="180">
        <v>0.24991227850559</v>
      </c>
      <c r="S16" s="180">
        <v>0.0621102127412105</v>
      </c>
      <c r="T16" s="180">
        <v>10.7319023815414</v>
      </c>
      <c r="U16" s="180">
        <v>8.56625770126807</v>
      </c>
      <c r="V16" s="180">
        <v>0.556110133582176</v>
      </c>
      <c r="W16" s="180"/>
      <c r="X16" s="68"/>
      <c r="Y16" s="179"/>
      <c r="Z16" s="179"/>
      <c r="AA16" s="179"/>
      <c r="AB16" s="179"/>
      <c r="AC16" s="179"/>
      <c r="AD16" s="181"/>
      <c r="AE16" s="180"/>
    </row>
    <row r="17" ht="21.25" customHeight="1">
      <c r="A17" t="s" s="8">
        <v>138</v>
      </c>
      <c r="B17" t="s" s="177">
        <v>951</v>
      </c>
      <c r="C17" s="178">
        <v>25</v>
      </c>
      <c r="D17" t="s" s="177">
        <v>924</v>
      </c>
      <c r="E17" s="68">
        <v>78.48999999999999</v>
      </c>
      <c r="F17" s="179">
        <v>19.7965209869652</v>
      </c>
      <c r="G17" s="180">
        <v>0.591136950561323</v>
      </c>
      <c r="H17" s="180">
        <v>0.571171998778783</v>
      </c>
      <c r="I17" s="180">
        <v>1.16230894934011</v>
      </c>
      <c r="J17" s="180">
        <v>3.91772367874298</v>
      </c>
      <c r="K17" s="180">
        <v>0.237274051853777</v>
      </c>
      <c r="L17" s="180">
        <v>0.409146904481628</v>
      </c>
      <c r="M17" s="180">
        <v>0.00600836370064891</v>
      </c>
      <c r="N17" s="180">
        <v>0.00662920284759746</v>
      </c>
      <c r="O17" s="180">
        <v>0.365649570509632</v>
      </c>
      <c r="P17" s="180">
        <v>0.816508896126815</v>
      </c>
      <c r="Q17" s="180">
        <v>-0.00830304726533807</v>
      </c>
      <c r="R17" s="180">
        <v>0.491599030356821</v>
      </c>
      <c r="S17" s="180">
        <v>0.07567679467747231</v>
      </c>
      <c r="T17" s="180">
        <v>4.36286806935076</v>
      </c>
      <c r="U17" s="180">
        <v>6.53263470371065</v>
      </c>
      <c r="V17" s="180">
        <v>0.400428338207369</v>
      </c>
      <c r="W17" s="180"/>
      <c r="X17" s="68"/>
      <c r="Y17" s="179"/>
      <c r="Z17" s="179"/>
      <c r="AA17" s="179"/>
      <c r="AB17" s="179"/>
      <c r="AC17" s="179"/>
      <c r="AD17" s="181"/>
      <c r="AE17" s="180"/>
    </row>
    <row r="18" ht="21.25" customHeight="1">
      <c r="A18" t="s" s="8">
        <v>162</v>
      </c>
      <c r="B18" t="s" s="177">
        <v>952</v>
      </c>
      <c r="C18" s="178">
        <v>24</v>
      </c>
      <c r="D18" t="s" s="177">
        <v>924</v>
      </c>
      <c r="E18" s="68">
        <v>77.0071428571429</v>
      </c>
      <c r="F18" s="179">
        <v>20.2319840625</v>
      </c>
      <c r="G18" s="180">
        <v>0.466217432669227</v>
      </c>
      <c r="H18" s="180">
        <v>0.647549424259859</v>
      </c>
      <c r="I18" s="180">
        <v>1.11376685692909</v>
      </c>
      <c r="J18" s="180">
        <v>3.02929494773833</v>
      </c>
      <c r="K18" s="180">
        <v>0.111409715454069</v>
      </c>
      <c r="L18" s="180">
        <v>0.318015267923941</v>
      </c>
      <c r="M18" s="180">
        <v>0.0280919432644294</v>
      </c>
      <c r="N18" s="180">
        <v>0.0592366804085224</v>
      </c>
      <c r="O18" s="180">
        <v>0.898363403610423</v>
      </c>
      <c r="P18" s="180">
        <v>0.855104137201076</v>
      </c>
      <c r="Q18" s="180">
        <v>0.0322423446797456</v>
      </c>
      <c r="R18" s="180">
        <v>0.22877498931046</v>
      </c>
      <c r="S18" s="180">
        <v>0.0659975761048867</v>
      </c>
      <c r="T18" s="180">
        <v>4.96997774792287</v>
      </c>
      <c r="U18" s="180">
        <v>6.25099298647252</v>
      </c>
      <c r="V18" s="180">
        <v>0.442918697995398</v>
      </c>
      <c r="W18" s="180"/>
      <c r="X18" s="68"/>
      <c r="Y18" s="179"/>
      <c r="Z18" s="179"/>
      <c r="AA18" s="179"/>
      <c r="AB18" s="179"/>
      <c r="AC18" s="179"/>
      <c r="AD18" s="181"/>
      <c r="AE18" s="180"/>
    </row>
    <row r="19" ht="21.25" customHeight="1">
      <c r="A19" t="s" s="8">
        <v>169</v>
      </c>
      <c r="B19" t="s" s="177">
        <v>953</v>
      </c>
      <c r="C19" s="178">
        <v>36</v>
      </c>
      <c r="D19" t="s" s="177">
        <v>924</v>
      </c>
      <c r="E19" s="68">
        <v>80.09607142857141</v>
      </c>
      <c r="F19" s="179">
        <v>20.0132637980183</v>
      </c>
      <c r="G19" s="180">
        <v>0.389569690531777</v>
      </c>
      <c r="H19" s="180">
        <v>0.699999283394421</v>
      </c>
      <c r="I19" s="180">
        <v>1.0895689739262</v>
      </c>
      <c r="J19" s="180">
        <v>3.0600471995656</v>
      </c>
      <c r="K19" s="180">
        <v>0.106274750779617</v>
      </c>
      <c r="L19" s="180">
        <v>0.358178317421899</v>
      </c>
      <c r="M19" s="180">
        <v>0.000266164629752822</v>
      </c>
      <c r="N19" s="180">
        <v>0.000496164930970807</v>
      </c>
      <c r="O19" s="180">
        <v>0.548610980191379</v>
      </c>
      <c r="P19" s="180">
        <v>0.811117463289461</v>
      </c>
      <c r="Q19" s="180">
        <v>0.06558902253227961</v>
      </c>
      <c r="R19" s="180">
        <v>0.445004069227465</v>
      </c>
      <c r="S19" s="180">
        <v>0.06253373585151439</v>
      </c>
      <c r="T19" s="180">
        <v>11.7437662420626</v>
      </c>
      <c r="U19" s="180">
        <v>10.4595434913415</v>
      </c>
      <c r="V19" s="180">
        <v>0.528919624284414</v>
      </c>
      <c r="W19" s="180"/>
      <c r="X19" s="68"/>
      <c r="Y19" s="179"/>
      <c r="Z19" s="179"/>
      <c r="AA19" s="179"/>
      <c r="AB19" s="179"/>
      <c r="AC19" s="179"/>
      <c r="AD19" s="181"/>
      <c r="AE19" s="180"/>
    </row>
    <row r="20" ht="21.25" customHeight="1">
      <c r="A20" t="s" s="8">
        <v>188</v>
      </c>
      <c r="B20" t="s" s="177">
        <v>954</v>
      </c>
      <c r="C20" s="178">
        <v>30</v>
      </c>
      <c r="D20" t="s" s="177">
        <v>925</v>
      </c>
      <c r="E20" s="68">
        <v>81.675</v>
      </c>
      <c r="F20" s="179">
        <v>19.5911503528963</v>
      </c>
      <c r="G20" s="180">
        <v>0.354017733682359</v>
      </c>
      <c r="H20" s="180">
        <v>0.731585939593651</v>
      </c>
      <c r="I20" s="180">
        <v>1.08560367327601</v>
      </c>
      <c r="J20" s="180">
        <v>2.84296039343866</v>
      </c>
      <c r="K20" s="180">
        <v>0.0677140473489726</v>
      </c>
      <c r="L20" s="180">
        <v>0.307014182666532</v>
      </c>
      <c r="M20" s="180">
        <v>8.0982257547226e-05</v>
      </c>
      <c r="N20" s="180">
        <v>0.000149934824960461</v>
      </c>
      <c r="O20" s="180">
        <v>0.220772998318827</v>
      </c>
      <c r="P20" s="180">
        <v>0.147598983941033</v>
      </c>
      <c r="Q20" s="180">
        <v>-0.0325745733532555</v>
      </c>
      <c r="R20" s="180">
        <v>0.262698081669162</v>
      </c>
      <c r="S20" s="180">
        <v>0.0379354376424568</v>
      </c>
      <c r="T20" s="180">
        <v>0.00143183313495698</v>
      </c>
      <c r="U20" s="180">
        <v>0.00244807285310394</v>
      </c>
      <c r="V20" s="180">
        <v>0.369038100243395</v>
      </c>
      <c r="W20" s="180"/>
      <c r="X20" s="68"/>
      <c r="Y20" s="179"/>
      <c r="Z20" s="179"/>
      <c r="AA20" s="179"/>
      <c r="AB20" s="179"/>
      <c r="AC20" s="179"/>
      <c r="AD20" s="181"/>
      <c r="AE20" s="180"/>
    </row>
    <row r="21" ht="21.25" customHeight="1">
      <c r="A21" t="s" s="8">
        <v>178</v>
      </c>
      <c r="B21" t="s" s="177">
        <v>942</v>
      </c>
      <c r="C21" s="178">
        <v>33</v>
      </c>
      <c r="D21" t="s" s="177">
        <v>940</v>
      </c>
      <c r="E21" s="68">
        <v>79.40000000000001</v>
      </c>
      <c r="F21" s="179">
        <v>18.9991906906156</v>
      </c>
      <c r="G21" s="180">
        <v>0.431250282271159</v>
      </c>
      <c r="H21" s="180">
        <v>0.653596736727671</v>
      </c>
      <c r="I21" s="180">
        <v>1.08484701899883</v>
      </c>
      <c r="J21" s="180">
        <v>2.95472958764006</v>
      </c>
      <c r="K21" s="180">
        <v>0.168815922225795</v>
      </c>
      <c r="L21" s="180">
        <v>0.406869985767823</v>
      </c>
      <c r="M21" s="180">
        <v>0.000757200487449544</v>
      </c>
      <c r="N21" s="180">
        <v>0.00265401251134682</v>
      </c>
      <c r="O21" s="180">
        <v>0.540935173134373</v>
      </c>
      <c r="P21" s="180">
        <v>1.12711862148045</v>
      </c>
      <c r="Q21" s="180">
        <v>0.0159197251135421</v>
      </c>
      <c r="R21" s="180">
        <v>0.505738344619302</v>
      </c>
      <c r="S21" s="180">
        <v>0.0674908258273709</v>
      </c>
      <c r="T21" s="180">
        <v>6.27074197777226</v>
      </c>
      <c r="U21" s="180">
        <v>5.52417306879949</v>
      </c>
      <c r="V21" s="180">
        <v>0.531647913784244</v>
      </c>
      <c r="W21" s="180"/>
      <c r="X21" s="68"/>
      <c r="Y21" s="179"/>
      <c r="Z21" s="179"/>
      <c r="AA21" s="179"/>
      <c r="AB21" s="179"/>
      <c r="AC21" s="179"/>
      <c r="AD21" s="181"/>
      <c r="AE21" s="180"/>
    </row>
    <row r="22" ht="21.25" customHeight="1">
      <c r="A22" t="s" s="8">
        <v>216</v>
      </c>
      <c r="B22" t="s" s="177">
        <v>955</v>
      </c>
      <c r="C22" s="178">
        <v>28</v>
      </c>
      <c r="D22" t="s" s="177">
        <v>940</v>
      </c>
      <c r="E22" s="68">
        <v>78.40000000000001</v>
      </c>
      <c r="F22" s="179">
        <v>20.3094620798943</v>
      </c>
      <c r="G22" s="180">
        <v>0.425984045440578</v>
      </c>
      <c r="H22" s="180">
        <v>0.656225224524899</v>
      </c>
      <c r="I22" s="180">
        <v>1.08220926996548</v>
      </c>
      <c r="J22" s="180">
        <v>2.37179850976013</v>
      </c>
      <c r="K22" s="180">
        <v>0.117542424881021</v>
      </c>
      <c r="L22" s="180">
        <v>0.31558547744011</v>
      </c>
      <c r="M22" s="180">
        <v>0.00879149844320648</v>
      </c>
      <c r="N22" s="180">
        <v>0.0339761695838865</v>
      </c>
      <c r="O22" s="180">
        <v>0.377636223390184</v>
      </c>
      <c r="P22" s="180">
        <v>0.90340607645402</v>
      </c>
      <c r="Q22" s="180">
        <v>-0.00147640635461561</v>
      </c>
      <c r="R22" s="180">
        <v>0.462905212139933</v>
      </c>
      <c r="S22" s="180">
        <v>0.049019147754156</v>
      </c>
      <c r="T22" s="180">
        <v>0.795291478079063</v>
      </c>
      <c r="U22" s="180">
        <v>1.88765049162895</v>
      </c>
      <c r="V22" s="180">
        <v>0.296425150844994</v>
      </c>
      <c r="W22" s="180"/>
      <c r="X22" s="68"/>
      <c r="Y22" s="179"/>
      <c r="Z22" s="179"/>
      <c r="AA22" s="179"/>
      <c r="AB22" s="179"/>
      <c r="AC22" s="179"/>
      <c r="AD22" s="181"/>
      <c r="AE22" s="180"/>
    </row>
    <row r="23" ht="21.25" customHeight="1">
      <c r="A23" t="s" s="8">
        <v>128</v>
      </c>
      <c r="B23" t="s" s="177">
        <v>941</v>
      </c>
      <c r="C23" s="178">
        <v>24</v>
      </c>
      <c r="D23" t="s" s="177">
        <v>927</v>
      </c>
      <c r="E23" s="68">
        <v>75.6803571428571</v>
      </c>
      <c r="F23" s="179">
        <v>26.224361519690</v>
      </c>
      <c r="G23" s="180">
        <v>0.280037850783117</v>
      </c>
      <c r="H23" s="180">
        <v>0.778695734754113</v>
      </c>
      <c r="I23" s="180">
        <v>1.05873358553723</v>
      </c>
      <c r="J23" s="180">
        <v>2.8573233448709</v>
      </c>
      <c r="K23" s="180">
        <v>0.0941949055228361</v>
      </c>
      <c r="L23" s="180">
        <v>0.469427495685741</v>
      </c>
      <c r="M23" s="180">
        <v>0.000450385804412328</v>
      </c>
      <c r="N23" s="180">
        <v>0.00237712131623718</v>
      </c>
      <c r="O23" s="180">
        <v>1.43292543351224</v>
      </c>
      <c r="P23" s="180">
        <v>1.18577509569907</v>
      </c>
      <c r="Q23" s="180">
        <v>0.116362220871323</v>
      </c>
      <c r="R23" s="180">
        <v>0.436993144776276</v>
      </c>
      <c r="S23" s="180">
        <v>0.0443062072513449</v>
      </c>
      <c r="T23" s="180">
        <v>0</v>
      </c>
      <c r="U23" s="180">
        <v>0</v>
      </c>
      <c r="V23" s="180">
        <v>0</v>
      </c>
      <c r="W23" s="180"/>
      <c r="X23" s="68"/>
      <c r="Y23" s="179"/>
      <c r="Z23" s="179"/>
      <c r="AA23" s="179"/>
      <c r="AB23" s="179"/>
      <c r="AC23" s="179"/>
      <c r="AD23" s="181"/>
      <c r="AE23" s="180"/>
    </row>
    <row r="24" ht="21.25" customHeight="1">
      <c r="A24" t="s" s="8">
        <v>160</v>
      </c>
      <c r="B24" t="s" s="177">
        <v>950</v>
      </c>
      <c r="C24" s="178">
        <v>30</v>
      </c>
      <c r="D24" t="s" s="177">
        <v>924</v>
      </c>
      <c r="E24" s="68">
        <v>81.8925</v>
      </c>
      <c r="F24" s="179">
        <v>20.7219889246484</v>
      </c>
      <c r="G24" s="180">
        <v>0.432687627012111</v>
      </c>
      <c r="H24" s="180">
        <v>0.6219777487190979</v>
      </c>
      <c r="I24" s="180">
        <v>1.05466537573121</v>
      </c>
      <c r="J24" s="180">
        <v>3.10541421759082</v>
      </c>
      <c r="K24" s="180">
        <v>0.204184569981906</v>
      </c>
      <c r="L24" s="180">
        <v>0.396512491265729</v>
      </c>
      <c r="M24" s="180">
        <v>0.0133344701117767</v>
      </c>
      <c r="N24" s="180">
        <v>0.0393120393371863</v>
      </c>
      <c r="O24" s="180">
        <v>0.615920793336193</v>
      </c>
      <c r="P24" s="180">
        <v>0.923292615159696</v>
      </c>
      <c r="Q24" s="180">
        <v>0.0728491594186972</v>
      </c>
      <c r="R24" s="180">
        <v>0.275739233963387</v>
      </c>
      <c r="S24" s="180">
        <v>0.0737291636534685</v>
      </c>
      <c r="T24" s="180">
        <v>8.88750193978918</v>
      </c>
      <c r="U24" s="180">
        <v>8.906793520315301</v>
      </c>
      <c r="V24" s="180">
        <v>0.499457927947488</v>
      </c>
      <c r="W24" s="180"/>
      <c r="X24" s="68"/>
      <c r="Y24" s="179"/>
      <c r="Z24" s="179"/>
      <c r="AA24" s="179"/>
      <c r="AB24" s="179"/>
      <c r="AC24" s="179"/>
      <c r="AD24" s="181"/>
      <c r="AE24" s="180"/>
    </row>
    <row r="25" ht="21.25" customHeight="1">
      <c r="A25" t="s" s="8">
        <v>171</v>
      </c>
      <c r="B25" t="s" s="177">
        <v>942</v>
      </c>
      <c r="C25" s="178">
        <v>27</v>
      </c>
      <c r="D25" t="s" s="177">
        <v>924</v>
      </c>
      <c r="E25" s="68">
        <v>80.40000000000001</v>
      </c>
      <c r="F25" s="179">
        <v>19.7562834912348</v>
      </c>
      <c r="G25" s="180">
        <v>0.531475048997916</v>
      </c>
      <c r="H25" s="180">
        <v>0.519868688811511</v>
      </c>
      <c r="I25" s="180">
        <v>1.05134373780943</v>
      </c>
      <c r="J25" s="180">
        <v>2.83640589979849</v>
      </c>
      <c r="K25" s="180">
        <v>0.195798507930523</v>
      </c>
      <c r="L25" s="180">
        <v>0.354694860010178</v>
      </c>
      <c r="M25" s="180">
        <v>0.000222680592656154</v>
      </c>
      <c r="N25" s="180">
        <v>0.00040646877461876</v>
      </c>
      <c r="O25" s="180">
        <v>0.443010493366489</v>
      </c>
      <c r="P25" s="180">
        <v>0.648587551423346</v>
      </c>
      <c r="Q25" s="180">
        <v>0.015945692831846</v>
      </c>
      <c r="R25" s="180">
        <v>0.273980708805866</v>
      </c>
      <c r="S25" s="180">
        <v>0.08317603822681741</v>
      </c>
      <c r="T25" s="180">
        <v>5.14303101194585</v>
      </c>
      <c r="U25" s="180">
        <v>5.0349107024028</v>
      </c>
      <c r="V25" s="180">
        <v>0.505311501705233</v>
      </c>
      <c r="W25" s="180"/>
      <c r="X25" s="68"/>
      <c r="Y25" s="179"/>
      <c r="Z25" s="179"/>
      <c r="AA25" s="179"/>
      <c r="AB25" s="179"/>
      <c r="AC25" s="179"/>
      <c r="AD25" s="181"/>
      <c r="AE25" s="180"/>
    </row>
    <row r="26" ht="21.25" customHeight="1">
      <c r="A26" t="s" s="8">
        <v>163</v>
      </c>
      <c r="B26" t="s" s="177">
        <v>956</v>
      </c>
      <c r="C26" s="178">
        <v>26</v>
      </c>
      <c r="D26" t="s" s="177">
        <v>925</v>
      </c>
      <c r="E26" s="68">
        <v>81.09999999999999</v>
      </c>
      <c r="F26" s="179">
        <v>20.3191921303353</v>
      </c>
      <c r="G26" s="180">
        <v>0.461910289552023</v>
      </c>
      <c r="H26" s="180">
        <v>0.583733951165217</v>
      </c>
      <c r="I26" s="180">
        <v>1.04564424071724</v>
      </c>
      <c r="J26" s="180">
        <v>3.37186358293598</v>
      </c>
      <c r="K26" s="180">
        <v>0.109799496090465</v>
      </c>
      <c r="L26" s="180">
        <v>0.325722306304017</v>
      </c>
      <c r="M26" s="180">
        <v>0.00375618997375587</v>
      </c>
      <c r="N26" s="180">
        <v>0.00426010706565334</v>
      </c>
      <c r="O26" s="180">
        <v>0.297286844076527</v>
      </c>
      <c r="P26" s="180">
        <v>0.504551197960982</v>
      </c>
      <c r="Q26" s="180">
        <v>0.0122891221773255</v>
      </c>
      <c r="R26" s="180">
        <v>0.218069834249187</v>
      </c>
      <c r="S26" s="180">
        <v>0.0720595512679312</v>
      </c>
      <c r="T26" s="180">
        <v>0.0276788079290221</v>
      </c>
      <c r="U26" s="180">
        <v>0.0760078811920373</v>
      </c>
      <c r="V26" s="180">
        <v>0.266946588454625</v>
      </c>
      <c r="W26" s="180"/>
      <c r="X26" s="68"/>
      <c r="Y26" s="179"/>
      <c r="Z26" s="179"/>
      <c r="AA26" s="179"/>
      <c r="AB26" s="179"/>
      <c r="AC26" s="179"/>
      <c r="AD26" s="181"/>
      <c r="AE26" s="180"/>
    </row>
    <row r="27" ht="21.25" customHeight="1">
      <c r="A27" t="s" s="8">
        <v>195</v>
      </c>
      <c r="B27" t="s" s="177">
        <v>957</v>
      </c>
      <c r="C27" s="178">
        <v>25</v>
      </c>
      <c r="D27" t="s" s="177">
        <v>944</v>
      </c>
      <c r="E27" s="68">
        <v>79.9675</v>
      </c>
      <c r="F27" s="179">
        <v>20.7529975668826</v>
      </c>
      <c r="G27" s="180">
        <v>0.441750243270068</v>
      </c>
      <c r="H27" s="180">
        <v>0.59366310246244</v>
      </c>
      <c r="I27" s="180">
        <v>1.03541334573251</v>
      </c>
      <c r="J27" s="180">
        <v>2.77269154900028</v>
      </c>
      <c r="K27" s="180">
        <v>0.0891262280089623</v>
      </c>
      <c r="L27" s="180">
        <v>0.246037356049657</v>
      </c>
      <c r="M27" s="180">
        <v>0.00764799575735234</v>
      </c>
      <c r="N27" s="180">
        <v>0.0108887407421826</v>
      </c>
      <c r="O27" s="180">
        <v>0.427211490771154</v>
      </c>
      <c r="P27" s="180">
        <v>0.292657828475898</v>
      </c>
      <c r="Q27" s="180">
        <v>-0.0322280738297724</v>
      </c>
      <c r="R27" s="180">
        <v>0.471326433136987</v>
      </c>
      <c r="S27" s="180">
        <v>0.055747377819881</v>
      </c>
      <c r="T27" s="180">
        <v>0.321312271668939</v>
      </c>
      <c r="U27" s="180">
        <v>0.495299917840177</v>
      </c>
      <c r="V27" s="180">
        <v>0.393469845046137</v>
      </c>
      <c r="W27" s="180"/>
      <c r="X27" s="68"/>
      <c r="Y27" s="179"/>
      <c r="Z27" s="179"/>
      <c r="AA27" s="179"/>
      <c r="AB27" s="179"/>
      <c r="AC27" s="179"/>
      <c r="AD27" s="181"/>
      <c r="AE27" s="180"/>
    </row>
    <row r="28" ht="21.25" customHeight="1">
      <c r="A28" t="s" s="8">
        <v>172</v>
      </c>
      <c r="B28" t="s" s="177">
        <v>958</v>
      </c>
      <c r="C28" s="178">
        <v>21</v>
      </c>
      <c r="D28" t="s" s="177">
        <v>940</v>
      </c>
      <c r="E28" s="68">
        <v>80.4682142857143</v>
      </c>
      <c r="F28" s="179">
        <v>20.7365697379221</v>
      </c>
      <c r="G28" s="180">
        <v>0.436512276012701</v>
      </c>
      <c r="H28" s="180">
        <v>0.593416139865317</v>
      </c>
      <c r="I28" s="180">
        <v>1.02992841587802</v>
      </c>
      <c r="J28" s="180">
        <v>2.78065556664893</v>
      </c>
      <c r="K28" s="180">
        <v>0.113677367386936</v>
      </c>
      <c r="L28" s="180">
        <v>0.33821983037621</v>
      </c>
      <c r="M28" s="180">
        <v>0.0329563494813118</v>
      </c>
      <c r="N28" s="180">
        <v>0.0344926337445266</v>
      </c>
      <c r="O28" s="180">
        <v>0.628450122769773</v>
      </c>
      <c r="P28" s="180">
        <v>1.43048062737043</v>
      </c>
      <c r="Q28" s="180">
        <v>0.0162634411261329</v>
      </c>
      <c r="R28" s="180">
        <v>0.568920521606762</v>
      </c>
      <c r="S28" s="180">
        <v>0.0656452950413451</v>
      </c>
      <c r="T28" s="180">
        <v>2.21101196538788</v>
      </c>
      <c r="U28" s="180">
        <v>3.52327540278372</v>
      </c>
      <c r="V28" s="180">
        <v>0.385577461230875</v>
      </c>
      <c r="W28" s="180"/>
      <c r="X28" s="68"/>
      <c r="Y28" s="179"/>
      <c r="Z28" s="179"/>
      <c r="AA28" s="179"/>
      <c r="AB28" s="179"/>
      <c r="AC28" s="179"/>
      <c r="AD28" s="181"/>
      <c r="AE28" s="180"/>
    </row>
    <row r="29" ht="21.25" customHeight="1">
      <c r="A29" t="s" s="8">
        <v>144</v>
      </c>
      <c r="B29" t="s" s="177">
        <v>945</v>
      </c>
      <c r="C29" s="178">
        <v>27</v>
      </c>
      <c r="D29" t="s" s="177">
        <v>926</v>
      </c>
      <c r="E29" s="68">
        <v>81.16035714285709</v>
      </c>
      <c r="F29" s="179">
        <v>18.5389667007241</v>
      </c>
      <c r="G29" s="180">
        <v>0.44563240278055</v>
      </c>
      <c r="H29" s="180">
        <v>0.581905553767334</v>
      </c>
      <c r="I29" s="180">
        <v>1.02753795654788</v>
      </c>
      <c r="J29" s="180">
        <v>3.39097538823673</v>
      </c>
      <c r="K29" s="180">
        <v>0.13497609199047</v>
      </c>
      <c r="L29" s="180">
        <v>0.370005723442707</v>
      </c>
      <c r="M29" s="180">
        <v>0.000781137743932685</v>
      </c>
      <c r="N29" s="180">
        <v>0.00142683281166793</v>
      </c>
      <c r="O29" s="180">
        <v>0.348348353560918</v>
      </c>
      <c r="P29" s="180">
        <v>0.304916160902522</v>
      </c>
      <c r="Q29" s="180">
        <v>0.0789150735854801</v>
      </c>
      <c r="R29" s="180">
        <v>0.320613978915687</v>
      </c>
      <c r="S29" s="180">
        <v>0.0715907270593982</v>
      </c>
      <c r="T29" s="180">
        <v>0.345403071139979</v>
      </c>
      <c r="U29" s="180">
        <v>0.36970507861004</v>
      </c>
      <c r="V29" s="180">
        <v>0.483008159340264</v>
      </c>
      <c r="W29" s="180"/>
      <c r="X29" s="68"/>
      <c r="Y29" s="179"/>
      <c r="Z29" s="179"/>
      <c r="AA29" s="179"/>
      <c r="AB29" s="179"/>
      <c r="AC29" s="179"/>
      <c r="AD29" s="181"/>
      <c r="AE29" s="180"/>
    </row>
    <row r="30" ht="21.25" customHeight="1">
      <c r="A30" t="s" s="8">
        <v>186</v>
      </c>
      <c r="B30" t="s" s="177">
        <v>952</v>
      </c>
      <c r="C30" s="178">
        <v>30</v>
      </c>
      <c r="D30" t="s" s="177">
        <v>959</v>
      </c>
      <c r="E30" s="68">
        <v>81.1382142857143</v>
      </c>
      <c r="F30" s="179">
        <v>20.0875351690473</v>
      </c>
      <c r="G30" s="180">
        <v>0.36288644061332</v>
      </c>
      <c r="H30" s="180">
        <v>0.664056859076233</v>
      </c>
      <c r="I30" s="180">
        <v>1.02694329968955</v>
      </c>
      <c r="J30" s="180">
        <v>2.62843932265001</v>
      </c>
      <c r="K30" s="180">
        <v>0.115893294902626</v>
      </c>
      <c r="L30" s="180">
        <v>0.390778867377607</v>
      </c>
      <c r="M30" s="180">
        <v>0.0179682958209295</v>
      </c>
      <c r="N30" s="180">
        <v>0.0316098709711863</v>
      </c>
      <c r="O30" s="180">
        <v>0.593655111918813</v>
      </c>
      <c r="P30" s="180">
        <v>2.1566001773145</v>
      </c>
      <c r="Q30" s="180">
        <v>-0.00740430539039844</v>
      </c>
      <c r="R30" s="180">
        <v>0.652578440879013</v>
      </c>
      <c r="S30" s="180">
        <v>0.0513700771433848</v>
      </c>
      <c r="T30" s="180">
        <v>6.03632992786844</v>
      </c>
      <c r="U30" s="180">
        <v>5.09496439507893</v>
      </c>
      <c r="V30" s="180">
        <v>0.542284639390447</v>
      </c>
      <c r="W30" s="180"/>
      <c r="X30" s="68"/>
      <c r="Y30" s="179"/>
      <c r="Z30" s="179"/>
      <c r="AA30" s="179"/>
      <c r="AB30" s="179"/>
      <c r="AC30" s="179"/>
      <c r="AD30" s="181"/>
      <c r="AE30" s="180"/>
    </row>
    <row r="31" ht="21.25" customHeight="1">
      <c r="A31" t="s" s="8">
        <v>185</v>
      </c>
      <c r="B31" t="s" s="177">
        <v>939</v>
      </c>
      <c r="C31" s="178">
        <v>30</v>
      </c>
      <c r="D31" t="s" s="177">
        <v>940</v>
      </c>
      <c r="E31" s="68">
        <v>78.8317857142857</v>
      </c>
      <c r="F31" s="179">
        <v>19.6516906821647</v>
      </c>
      <c r="G31" s="180">
        <v>0.338069601694729</v>
      </c>
      <c r="H31" s="180">
        <v>0.665961202961551</v>
      </c>
      <c r="I31" s="180">
        <v>1.00403080465628</v>
      </c>
      <c r="J31" s="180">
        <v>2.46260277199567</v>
      </c>
      <c r="K31" s="180">
        <v>0.127007595700305</v>
      </c>
      <c r="L31" s="180">
        <v>0.49489662531726</v>
      </c>
      <c r="M31" s="180">
        <v>0.0180974052235621</v>
      </c>
      <c r="N31" s="180">
        <v>0.04530987340386</v>
      </c>
      <c r="O31" s="180">
        <v>0.395024059746346</v>
      </c>
      <c r="P31" s="180">
        <v>0.6481193490178671</v>
      </c>
      <c r="Q31" s="180">
        <v>0.0772632362583355</v>
      </c>
      <c r="R31" s="180">
        <v>0.391224279028994</v>
      </c>
      <c r="S31" s="180">
        <v>0.0535127885605043</v>
      </c>
      <c r="T31" s="180">
        <v>3.31657993987141</v>
      </c>
      <c r="U31" s="180">
        <v>4.22859796779946</v>
      </c>
      <c r="V31" s="180">
        <v>0.439562854641185</v>
      </c>
      <c r="W31" s="180"/>
      <c r="X31" s="68"/>
      <c r="Y31" s="179"/>
      <c r="Z31" s="179"/>
      <c r="AA31" s="179"/>
      <c r="AB31" s="179"/>
      <c r="AC31" s="179"/>
      <c r="AD31" s="181"/>
      <c r="AE31" s="180"/>
    </row>
    <row r="32" ht="21.25" customHeight="1">
      <c r="A32" t="s" s="8">
        <v>286</v>
      </c>
      <c r="B32" t="s" s="177">
        <v>955</v>
      </c>
      <c r="C32" s="178">
        <v>24</v>
      </c>
      <c r="D32" t="s" s="177">
        <v>924</v>
      </c>
      <c r="E32" s="68">
        <v>76.40000000000001</v>
      </c>
      <c r="F32" s="179">
        <v>19.4251711680901</v>
      </c>
      <c r="G32" s="180">
        <v>0.288699786678293</v>
      </c>
      <c r="H32" s="180">
        <v>0.712201709217396</v>
      </c>
      <c r="I32" s="180">
        <v>1.00090149589569</v>
      </c>
      <c r="J32" s="180">
        <v>1.62146339557384</v>
      </c>
      <c r="K32" s="180">
        <v>0.0745132176741494</v>
      </c>
      <c r="L32" s="180">
        <v>0.296803060221663</v>
      </c>
      <c r="M32" s="180">
        <v>0.0156049621646188</v>
      </c>
      <c r="N32" s="180">
        <v>0.0166277050844539</v>
      </c>
      <c r="O32" s="180">
        <v>0.397894912034149</v>
      </c>
      <c r="P32" s="180">
        <v>0.296085021128496</v>
      </c>
      <c r="Q32" s="180">
        <v>-0.0351588757466846</v>
      </c>
      <c r="R32" s="180">
        <v>0.32373465889894</v>
      </c>
      <c r="S32" s="180">
        <v>0.0332214730839037</v>
      </c>
      <c r="T32" s="180">
        <v>8.31098208014123</v>
      </c>
      <c r="U32" s="180">
        <v>8.089435803365911</v>
      </c>
      <c r="V32" s="180">
        <v>0.506754287553798</v>
      </c>
      <c r="W32" s="180"/>
      <c r="X32" s="68"/>
      <c r="Y32" s="179"/>
      <c r="Z32" s="179"/>
      <c r="AA32" s="179"/>
      <c r="AB32" s="179"/>
      <c r="AC32" s="179"/>
      <c r="AD32" s="181"/>
      <c r="AE32" s="180"/>
    </row>
    <row r="33" ht="21.25" customHeight="1">
      <c r="A33" t="s" s="8">
        <v>210</v>
      </c>
      <c r="B33" t="s" s="177">
        <v>948</v>
      </c>
      <c r="C33" s="178">
        <v>26</v>
      </c>
      <c r="D33" t="s" s="177">
        <v>924</v>
      </c>
      <c r="E33" s="68">
        <v>77.9610714285714</v>
      </c>
      <c r="F33" s="179">
        <v>18.4257263157517</v>
      </c>
      <c r="G33" s="180">
        <v>0.474085459328844</v>
      </c>
      <c r="H33" s="180">
        <v>0.526596336549141</v>
      </c>
      <c r="I33" s="180">
        <v>1.00068179587799</v>
      </c>
      <c r="J33" s="180">
        <v>2.60697977913287</v>
      </c>
      <c r="K33" s="180">
        <v>0.132263542133191</v>
      </c>
      <c r="L33" s="180">
        <v>0.331567527086367</v>
      </c>
      <c r="M33" s="180">
        <v>0.0385764015715184</v>
      </c>
      <c r="N33" s="180">
        <v>0.0446474266126163</v>
      </c>
      <c r="O33" s="180">
        <v>0.623288068502723</v>
      </c>
      <c r="P33" s="180">
        <v>0.818254560091629</v>
      </c>
      <c r="Q33" s="180">
        <v>0.10993510652196</v>
      </c>
      <c r="R33" s="180">
        <v>0.370087946124945</v>
      </c>
      <c r="S33" s="180">
        <v>0.0758503126749759</v>
      </c>
      <c r="T33" s="180">
        <v>3.94835909811727</v>
      </c>
      <c r="U33" s="180">
        <v>3.64818539312246</v>
      </c>
      <c r="V33" s="180">
        <v>0.519757253139303</v>
      </c>
      <c r="W33" s="180"/>
      <c r="X33" s="68"/>
      <c r="Y33" s="179"/>
      <c r="Z33" s="179"/>
      <c r="AA33" s="179"/>
      <c r="AB33" s="179"/>
      <c r="AC33" s="179"/>
      <c r="AD33" s="181"/>
      <c r="AE33" s="180"/>
    </row>
    <row r="34" ht="21.25" customHeight="1">
      <c r="A34" t="s" s="8">
        <v>239</v>
      </c>
      <c r="B34" t="s" s="177">
        <v>960</v>
      </c>
      <c r="C34" s="182">
        <v>18</v>
      </c>
      <c r="D34" t="s" s="177">
        <v>924</v>
      </c>
      <c r="E34" s="68">
        <v>78</v>
      </c>
      <c r="F34" s="179">
        <v>19</v>
      </c>
      <c r="G34" s="180">
        <v>0.421952942222768</v>
      </c>
      <c r="H34" s="180">
        <v>0.57719229812557</v>
      </c>
      <c r="I34" s="180">
        <v>0.999145240348338</v>
      </c>
      <c r="J34" s="180">
        <v>2.75147151137384</v>
      </c>
      <c r="K34" s="180">
        <v>0.132729988671446</v>
      </c>
      <c r="L34" s="180">
        <v>0.314292242480799</v>
      </c>
      <c r="M34" s="180">
        <v>0</v>
      </c>
      <c r="N34" s="180">
        <v>0</v>
      </c>
      <c r="O34" s="180">
        <v>0.45609756097561</v>
      </c>
      <c r="P34" s="180">
        <v>0.548780487804878</v>
      </c>
      <c r="Q34" s="180">
        <v>0.00792682926829268</v>
      </c>
      <c r="R34" s="180">
        <v>0.292682926829268</v>
      </c>
      <c r="S34" s="180">
        <v>0.0494451006203718</v>
      </c>
      <c r="T34" s="180">
        <v>3.29074138666048</v>
      </c>
      <c r="U34" s="180">
        <v>4.73545711738946</v>
      </c>
      <c r="V34" s="180">
        <v>0.41</v>
      </c>
      <c r="W34" s="180"/>
      <c r="X34" s="68"/>
      <c r="Y34" s="180"/>
      <c r="Z34" s="180"/>
      <c r="AA34" s="180"/>
      <c r="AB34" s="180"/>
      <c r="AC34" s="179"/>
      <c r="AD34" s="181"/>
      <c r="AE34" s="180"/>
    </row>
    <row r="35" ht="21.25" customHeight="1">
      <c r="A35" t="s" s="8">
        <v>182</v>
      </c>
      <c r="B35" t="s" s="177">
        <v>953</v>
      </c>
      <c r="C35" s="182">
        <v>28</v>
      </c>
      <c r="D35" t="s" s="177">
        <v>925</v>
      </c>
      <c r="E35" s="68">
        <v>80.495</v>
      </c>
      <c r="F35" s="179">
        <v>19.9588756699158</v>
      </c>
      <c r="G35" s="180">
        <v>0.463834699310077</v>
      </c>
      <c r="H35" s="180">
        <v>0.535215586080851</v>
      </c>
      <c r="I35" s="180">
        <v>0.999050285390928</v>
      </c>
      <c r="J35" s="180">
        <v>3.09070313989171</v>
      </c>
      <c r="K35" s="180">
        <v>0.122721711948576</v>
      </c>
      <c r="L35" s="180">
        <v>0.299899951012098</v>
      </c>
      <c r="M35" s="180">
        <v>0.000218038887364315</v>
      </c>
      <c r="N35" s="180">
        <v>0.000398529571532888</v>
      </c>
      <c r="O35" s="180">
        <v>0.548476217926205</v>
      </c>
      <c r="P35" s="180">
        <v>0.98025440209259</v>
      </c>
      <c r="Q35" s="180">
        <v>0.0468573010777772</v>
      </c>
      <c r="R35" s="180">
        <v>0.5548505277799211</v>
      </c>
      <c r="S35" s="180">
        <v>0.0744547568005859</v>
      </c>
      <c r="T35" s="180">
        <v>0.102327762415537</v>
      </c>
      <c r="U35" s="180">
        <v>0.120321033733222</v>
      </c>
      <c r="V35" s="180">
        <v>0.459592704679026</v>
      </c>
      <c r="W35" s="180"/>
      <c r="X35" s="68"/>
      <c r="Y35" s="179"/>
      <c r="Z35" s="179"/>
      <c r="AA35" s="179"/>
      <c r="AB35" s="179"/>
      <c r="AC35" s="179"/>
      <c r="AD35" s="181"/>
      <c r="AE35" s="180"/>
    </row>
    <row r="36" ht="21.25" customHeight="1">
      <c r="A36" t="s" s="8">
        <v>193</v>
      </c>
      <c r="B36" t="s" s="177">
        <v>955</v>
      </c>
      <c r="C36" s="178">
        <v>25</v>
      </c>
      <c r="D36" t="s" s="177">
        <v>959</v>
      </c>
      <c r="E36" s="68">
        <v>80.45</v>
      </c>
      <c r="F36" s="179">
        <v>18.0808491066904</v>
      </c>
      <c r="G36" s="180">
        <v>0.43745466973669</v>
      </c>
      <c r="H36" s="180">
        <v>0.55894579014059</v>
      </c>
      <c r="I36" s="180">
        <v>0.99640045987728</v>
      </c>
      <c r="J36" s="180">
        <v>3.18454511160543</v>
      </c>
      <c r="K36" s="180">
        <v>0.123007122391288</v>
      </c>
      <c r="L36" s="180">
        <v>0.306860113908713</v>
      </c>
      <c r="M36" s="180">
        <v>0.000196194478884249</v>
      </c>
      <c r="N36" s="180">
        <v>0.000357683751130048</v>
      </c>
      <c r="O36" s="180">
        <v>0.411865587985988</v>
      </c>
      <c r="P36" s="180">
        <v>0.243471217278498</v>
      </c>
      <c r="Q36" s="180">
        <v>-0.0683935837989271</v>
      </c>
      <c r="R36" s="180">
        <v>0.323294286933932</v>
      </c>
      <c r="S36" s="180">
        <v>0.0503391038258018</v>
      </c>
      <c r="T36" s="180">
        <v>0.07600941026790289</v>
      </c>
      <c r="U36" s="180">
        <v>0.116378934311809</v>
      </c>
      <c r="V36" s="180">
        <v>0.39508323871673</v>
      </c>
      <c r="W36" s="180"/>
      <c r="X36" s="68"/>
      <c r="Y36" s="179"/>
      <c r="Z36" s="179"/>
      <c r="AA36" s="179"/>
      <c r="AB36" s="179"/>
      <c r="AC36" s="179"/>
      <c r="AD36" s="181"/>
      <c r="AE36" s="180"/>
    </row>
    <row r="37" ht="21.25" customHeight="1">
      <c r="A37" t="s" s="8">
        <v>165</v>
      </c>
      <c r="B37" t="s" s="177">
        <v>961</v>
      </c>
      <c r="C37" s="178">
        <v>37</v>
      </c>
      <c r="D37" t="s" s="177">
        <v>925</v>
      </c>
      <c r="E37" s="68">
        <v>78.1342857142857</v>
      </c>
      <c r="F37" s="179">
        <v>20.2489975033579</v>
      </c>
      <c r="G37" s="180">
        <v>0.540974579837723</v>
      </c>
      <c r="H37" s="180">
        <v>0.454868836360899</v>
      </c>
      <c r="I37" s="180">
        <v>0.995843416198622</v>
      </c>
      <c r="J37" s="180">
        <v>4.04276896721971</v>
      </c>
      <c r="K37" s="180">
        <v>0.186235608142261</v>
      </c>
      <c r="L37" s="180">
        <v>0.332140188701312</v>
      </c>
      <c r="M37" s="180">
        <v>9.26425749906634e-05</v>
      </c>
      <c r="N37" s="180">
        <v>0.000112762858647774</v>
      </c>
      <c r="O37" s="180">
        <v>0.341580378128368</v>
      </c>
      <c r="P37" s="180">
        <v>2.23419532767634</v>
      </c>
      <c r="Q37" s="180">
        <v>-0.0319339979512034</v>
      </c>
      <c r="R37" s="180">
        <v>0.395670605116611</v>
      </c>
      <c r="S37" s="180">
        <v>0.06654305787099379</v>
      </c>
      <c r="T37" s="180">
        <v>0.0396075552408102</v>
      </c>
      <c r="U37" s="180">
        <v>0.0839113292668698</v>
      </c>
      <c r="V37" s="180">
        <v>0.320659916891879</v>
      </c>
      <c r="W37" s="180"/>
      <c r="X37" s="68"/>
      <c r="Y37" s="179"/>
      <c r="Z37" s="179"/>
      <c r="AA37" s="179"/>
      <c r="AB37" s="179"/>
      <c r="AC37" s="179"/>
      <c r="AD37" s="181"/>
      <c r="AE37" s="180"/>
    </row>
    <row r="38" ht="21.25" customHeight="1">
      <c r="A38" t="s" s="8">
        <v>203</v>
      </c>
      <c r="B38" t="s" s="177">
        <v>962</v>
      </c>
      <c r="C38" s="178">
        <v>27</v>
      </c>
      <c r="D38" t="s" s="177">
        <v>925</v>
      </c>
      <c r="E38" s="68">
        <v>78.84392857142861</v>
      </c>
      <c r="F38" s="179">
        <v>17.5325611074309</v>
      </c>
      <c r="G38" s="180">
        <v>0.36223550219514</v>
      </c>
      <c r="H38" s="180">
        <v>0.628505126979911</v>
      </c>
      <c r="I38" s="180">
        <v>0.990740629175051</v>
      </c>
      <c r="J38" s="180">
        <v>3.04858273862439</v>
      </c>
      <c r="K38" s="180">
        <v>0.0852339453499705</v>
      </c>
      <c r="L38" s="180">
        <v>0.285018769784093</v>
      </c>
      <c r="M38" s="180">
        <v>0.000207279445917052</v>
      </c>
      <c r="N38" s="180">
        <v>0.000254848815558309</v>
      </c>
      <c r="O38" s="180">
        <v>0.282051651581588</v>
      </c>
      <c r="P38" s="180">
        <v>0.760317245663571</v>
      </c>
      <c r="Q38" s="180">
        <v>0.0155969402709652</v>
      </c>
      <c r="R38" s="180">
        <v>0.612762051651066</v>
      </c>
      <c r="S38" s="180">
        <v>0.0536329708700596</v>
      </c>
      <c r="T38" s="180">
        <v>0.0857219104920607</v>
      </c>
      <c r="U38" s="180">
        <v>0.134502851900437</v>
      </c>
      <c r="V38" s="180">
        <v>0.389247374186207</v>
      </c>
      <c r="W38" s="180"/>
      <c r="X38" s="68"/>
      <c r="Y38" s="179"/>
      <c r="Z38" s="179"/>
      <c r="AA38" s="179"/>
      <c r="AB38" s="179"/>
      <c r="AC38" s="179"/>
      <c r="AD38" s="181"/>
      <c r="AE38" s="180"/>
    </row>
    <row r="39" ht="21.25" customHeight="1">
      <c r="A39" t="s" s="8">
        <v>206</v>
      </c>
      <c r="B39" t="s" s="177">
        <v>963</v>
      </c>
      <c r="C39" s="178">
        <v>26</v>
      </c>
      <c r="D39" t="s" s="177">
        <v>924</v>
      </c>
      <c r="E39" s="68">
        <v>80.375</v>
      </c>
      <c r="F39" s="179">
        <v>19.9799803944147</v>
      </c>
      <c r="G39" s="180">
        <v>0.473336081549841</v>
      </c>
      <c r="H39" s="180">
        <v>0.515633365777372</v>
      </c>
      <c r="I39" s="180">
        <v>0.988969447327213</v>
      </c>
      <c r="J39" s="180">
        <v>2.93918899706059</v>
      </c>
      <c r="K39" s="180">
        <v>0.119823310050392</v>
      </c>
      <c r="L39" s="180">
        <v>0.269640213780661</v>
      </c>
      <c r="M39" s="180">
        <v>0.0275091545047529</v>
      </c>
      <c r="N39" s="180">
        <v>0.0418742013622759</v>
      </c>
      <c r="O39" s="180">
        <v>0.330327952870848</v>
      </c>
      <c r="P39" s="180">
        <v>0.880083061891721</v>
      </c>
      <c r="Q39" s="180">
        <v>0.106390994086786</v>
      </c>
      <c r="R39" s="180">
        <v>0.54634002397848</v>
      </c>
      <c r="S39" s="180">
        <v>0.08492709182642789</v>
      </c>
      <c r="T39" s="180">
        <v>7.27763919955385</v>
      </c>
      <c r="U39" s="180">
        <v>6.69774175381029</v>
      </c>
      <c r="V39" s="180">
        <v>0.520747106918898</v>
      </c>
      <c r="W39" s="180"/>
      <c r="X39" s="68"/>
      <c r="Y39" s="179"/>
      <c r="Z39" s="179"/>
      <c r="AA39" s="179"/>
      <c r="AB39" s="179"/>
      <c r="AC39" s="179"/>
      <c r="AD39" s="181"/>
      <c r="AE39" s="180"/>
    </row>
    <row r="40" ht="21.25" customHeight="1">
      <c r="A40" t="s" s="8">
        <v>192</v>
      </c>
      <c r="B40" t="s" s="177">
        <v>947</v>
      </c>
      <c r="C40" s="178">
        <v>24</v>
      </c>
      <c r="D40" t="s" s="177">
        <v>924</v>
      </c>
      <c r="E40" s="68">
        <v>78.47</v>
      </c>
      <c r="F40" s="179">
        <v>20.2532768230359</v>
      </c>
      <c r="G40" s="180">
        <v>0.380535354375093</v>
      </c>
      <c r="H40" s="180">
        <v>0.60237196928866</v>
      </c>
      <c r="I40" s="180">
        <v>0.982907323663752</v>
      </c>
      <c r="J40" s="180">
        <v>3.04527560196555</v>
      </c>
      <c r="K40" s="180">
        <v>0.0994241655238632</v>
      </c>
      <c r="L40" s="180">
        <v>0.260637259470293</v>
      </c>
      <c r="M40" s="180">
        <v>0.0287753956328439</v>
      </c>
      <c r="N40" s="180">
        <v>0.0477278421680002</v>
      </c>
      <c r="O40" s="180">
        <v>0.7478139422183649</v>
      </c>
      <c r="P40" s="180">
        <v>0.5741021006197879</v>
      </c>
      <c r="Q40" s="180">
        <v>0.0243783570444823</v>
      </c>
      <c r="R40" s="180">
        <v>0.235643332178606</v>
      </c>
      <c r="S40" s="180">
        <v>0.0559303180837171</v>
      </c>
      <c r="T40" s="180">
        <v>11.3490296646333</v>
      </c>
      <c r="U40" s="180">
        <v>9.91946735374961</v>
      </c>
      <c r="V40" s="180">
        <v>0.533607506671678</v>
      </c>
      <c r="W40" s="180"/>
      <c r="X40" s="68"/>
      <c r="Y40" s="179"/>
      <c r="Z40" s="179"/>
      <c r="AA40" s="179"/>
      <c r="AB40" s="179"/>
      <c r="AC40" s="179"/>
      <c r="AD40" s="181"/>
      <c r="AE40" s="180"/>
    </row>
    <row r="41" ht="21.25" customHeight="1">
      <c r="A41" t="s" s="8">
        <v>209</v>
      </c>
      <c r="B41" t="s" s="177">
        <v>951</v>
      </c>
      <c r="C41" s="178">
        <v>27</v>
      </c>
      <c r="D41" t="s" s="177">
        <v>926</v>
      </c>
      <c r="E41" s="68">
        <v>76.48999999999999</v>
      </c>
      <c r="F41" s="179">
        <v>19.9730849972836</v>
      </c>
      <c r="G41" s="180">
        <v>0.421549387046995</v>
      </c>
      <c r="H41" s="180">
        <v>0.557274102136543</v>
      </c>
      <c r="I41" s="180">
        <v>0.978823489183538</v>
      </c>
      <c r="J41" s="180">
        <v>3.04597701529552</v>
      </c>
      <c r="K41" s="180">
        <v>0.09526257777788071</v>
      </c>
      <c r="L41" s="180">
        <v>0.251367062958176</v>
      </c>
      <c r="M41" s="180">
        <v>0.013834442160933</v>
      </c>
      <c r="N41" s="180">
        <v>0.0152889138391882</v>
      </c>
      <c r="O41" s="180">
        <v>0.708657893450898</v>
      </c>
      <c r="P41" s="180">
        <v>0.795009918507998</v>
      </c>
      <c r="Q41" s="180">
        <v>0.0208877878728723</v>
      </c>
      <c r="R41" s="180">
        <v>0.380374385389918</v>
      </c>
      <c r="S41" s="180">
        <v>0.0539663548009935</v>
      </c>
      <c r="T41" s="180">
        <v>0.390011585638443</v>
      </c>
      <c r="U41" s="180">
        <v>0.569544766783032</v>
      </c>
      <c r="V41" s="180">
        <v>0.406449902243088</v>
      </c>
      <c r="W41" s="180"/>
      <c r="X41" s="68"/>
      <c r="Y41" s="179"/>
      <c r="Z41" s="179"/>
      <c r="AA41" s="179"/>
      <c r="AB41" s="179"/>
      <c r="AC41" s="179"/>
      <c r="AD41" s="181"/>
      <c r="AE41" s="180"/>
    </row>
    <row r="42" ht="21.25" customHeight="1">
      <c r="A42" t="s" s="8">
        <v>221</v>
      </c>
      <c r="B42" t="s" s="177">
        <v>954</v>
      </c>
      <c r="C42" s="178">
        <v>25</v>
      </c>
      <c r="D42" t="s" s="177">
        <v>944</v>
      </c>
      <c r="E42" s="68">
        <v>74.38</v>
      </c>
      <c r="F42" s="179">
        <v>19.1773035172879</v>
      </c>
      <c r="G42" s="180">
        <v>0.424382730501966</v>
      </c>
      <c r="H42" s="180">
        <v>0.537133001286041</v>
      </c>
      <c r="I42" s="180">
        <v>0.961515731788007</v>
      </c>
      <c r="J42" s="180">
        <v>3.11301232262716</v>
      </c>
      <c r="K42" s="180">
        <v>0.128064386108288</v>
      </c>
      <c r="L42" s="180">
        <v>0.279449402766957</v>
      </c>
      <c r="M42" s="180">
        <v>4.69727524727599e-05</v>
      </c>
      <c r="N42" s="180">
        <v>8.56828169802676e-05</v>
      </c>
      <c r="O42" s="180">
        <v>0.424808840677971</v>
      </c>
      <c r="P42" s="180">
        <v>0.610496599513885</v>
      </c>
      <c r="Q42" s="180">
        <v>-0.0569498180682991</v>
      </c>
      <c r="R42" s="180">
        <v>0.379373293554993</v>
      </c>
      <c r="S42" s="180">
        <v>0.0454755315278578</v>
      </c>
      <c r="T42" s="180">
        <v>0.416631557990102</v>
      </c>
      <c r="U42" s="180">
        <v>0.826767889228324</v>
      </c>
      <c r="V42" s="180">
        <v>0.335074588397266</v>
      </c>
      <c r="W42" s="180"/>
      <c r="X42" s="68"/>
      <c r="Y42" s="179"/>
      <c r="Z42" s="179"/>
      <c r="AA42" s="179"/>
      <c r="AB42" s="179"/>
      <c r="AC42" s="179"/>
      <c r="AD42" s="181"/>
      <c r="AE42" s="180"/>
    </row>
    <row r="43" ht="21.25" customHeight="1">
      <c r="A43" t="s" s="8">
        <v>253</v>
      </c>
      <c r="B43" t="s" s="177">
        <v>964</v>
      </c>
      <c r="C43" s="178">
        <v>30</v>
      </c>
      <c r="D43" t="s" s="177">
        <v>925</v>
      </c>
      <c r="E43" s="68">
        <v>80.7</v>
      </c>
      <c r="F43" s="179">
        <v>18.0033008230162</v>
      </c>
      <c r="G43" s="180">
        <v>0.267175521508382</v>
      </c>
      <c r="H43" s="180">
        <v>0.68222772904971</v>
      </c>
      <c r="I43" s="180">
        <v>0.949403250558091</v>
      </c>
      <c r="J43" s="180">
        <v>2.01646810806407</v>
      </c>
      <c r="K43" s="180">
        <v>0.0611140118052199</v>
      </c>
      <c r="L43" s="180">
        <v>0.288483574013093</v>
      </c>
      <c r="M43" s="180">
        <v>0.00221968347535601</v>
      </c>
      <c r="N43" s="180">
        <v>0.0038406296320887</v>
      </c>
      <c r="O43" s="180">
        <v>0.347393763245879</v>
      </c>
      <c r="P43" s="180">
        <v>0.975246837762444</v>
      </c>
      <c r="Q43" s="180">
        <v>0.0455339777634695</v>
      </c>
      <c r="R43" s="180">
        <v>0.448728183893946</v>
      </c>
      <c r="S43" s="180">
        <v>0.0446445621030868</v>
      </c>
      <c r="T43" s="180">
        <v>0.116410203660127</v>
      </c>
      <c r="U43" s="180">
        <v>0.213996360095998</v>
      </c>
      <c r="V43" s="180">
        <v>0.352324125576543</v>
      </c>
      <c r="W43" s="180"/>
      <c r="X43" s="68"/>
      <c r="Y43" s="179"/>
      <c r="Z43" s="179"/>
      <c r="AA43" s="179"/>
      <c r="AB43" s="179"/>
      <c r="AC43" s="179"/>
      <c r="AD43" s="181"/>
      <c r="AE43" s="180"/>
    </row>
    <row r="44" ht="21.25" customHeight="1">
      <c r="A44" t="s" s="8">
        <v>140</v>
      </c>
      <c r="B44" t="s" s="177">
        <v>965</v>
      </c>
      <c r="C44" s="178">
        <v>33</v>
      </c>
      <c r="D44" t="s" s="177">
        <v>927</v>
      </c>
      <c r="E44" s="68">
        <v>77.04428571428571</v>
      </c>
      <c r="F44" s="179">
        <v>26.0805629954268</v>
      </c>
      <c r="G44" s="180">
        <v>0.239968512626602</v>
      </c>
      <c r="H44" s="180">
        <v>0.703009922654152</v>
      </c>
      <c r="I44" s="180">
        <v>0.942978435280755</v>
      </c>
      <c r="J44" s="180">
        <v>2.58643591541937</v>
      </c>
      <c r="K44" s="180">
        <v>0.0510328036182967</v>
      </c>
      <c r="L44" s="180">
        <v>0.300586578560602</v>
      </c>
      <c r="M44" s="180">
        <v>0.000206559606447128</v>
      </c>
      <c r="N44" s="180">
        <v>0.00185346899285451</v>
      </c>
      <c r="O44" s="180">
        <v>1.19403284196001</v>
      </c>
      <c r="P44" s="180">
        <v>0.579828731114943</v>
      </c>
      <c r="Q44" s="180">
        <v>0.040290677117035</v>
      </c>
      <c r="R44" s="180">
        <v>0.374838147106834</v>
      </c>
      <c r="S44" s="180">
        <v>0.0297934717230083</v>
      </c>
      <c r="T44" s="180">
        <v>0</v>
      </c>
      <c r="U44" s="180">
        <v>0.0100486891615486</v>
      </c>
      <c r="V44" s="180">
        <v>0</v>
      </c>
      <c r="W44" s="180"/>
      <c r="X44" s="68"/>
      <c r="Y44" s="179"/>
      <c r="Z44" s="179"/>
      <c r="AA44" s="179"/>
      <c r="AB44" s="179"/>
      <c r="AC44" s="179"/>
      <c r="AD44" s="181"/>
      <c r="AE44" s="180"/>
    </row>
    <row r="45" ht="21.25" customHeight="1">
      <c r="A45" t="s" s="8">
        <v>281</v>
      </c>
      <c r="B45" t="s" s="177">
        <v>957</v>
      </c>
      <c r="C45" s="178">
        <v>27</v>
      </c>
      <c r="D45" t="s" s="177">
        <v>959</v>
      </c>
      <c r="E45" s="68">
        <v>75.4592857142857</v>
      </c>
      <c r="F45" s="179">
        <v>19.7934467182691</v>
      </c>
      <c r="G45" s="180">
        <v>0.35985506777898</v>
      </c>
      <c r="H45" s="180">
        <v>0.5801928592193</v>
      </c>
      <c r="I45" s="180">
        <v>0.94004792699828</v>
      </c>
      <c r="J45" s="180">
        <v>2.23866701138285</v>
      </c>
      <c r="K45" s="180">
        <v>0.09294091641024731</v>
      </c>
      <c r="L45" s="180">
        <v>0.199165743883248</v>
      </c>
      <c r="M45" s="180">
        <v>0.00141808703938945</v>
      </c>
      <c r="N45" s="180">
        <v>0.009327827625688999</v>
      </c>
      <c r="O45" s="180">
        <v>0.459079779752316</v>
      </c>
      <c r="P45" s="180">
        <v>0.279434766931961</v>
      </c>
      <c r="Q45" s="180">
        <v>-0.0145296944515627</v>
      </c>
      <c r="R45" s="180">
        <v>0.336675402063324</v>
      </c>
      <c r="S45" s="180">
        <v>0.0454124852889084</v>
      </c>
      <c r="T45" s="180">
        <v>1.3532581899401</v>
      </c>
      <c r="U45" s="180">
        <v>1.74323555623693</v>
      </c>
      <c r="V45" s="180">
        <v>0.437029201693318</v>
      </c>
      <c r="W45" s="180"/>
      <c r="X45" s="68"/>
      <c r="Y45" s="179"/>
      <c r="Z45" s="179"/>
      <c r="AA45" s="179"/>
      <c r="AB45" s="179"/>
      <c r="AC45" s="179"/>
      <c r="AD45" s="181"/>
      <c r="AE45" s="180"/>
    </row>
    <row r="46" ht="21.25" customHeight="1">
      <c r="A46" t="s" s="8">
        <v>223</v>
      </c>
      <c r="B46" t="s" s="177">
        <v>949</v>
      </c>
      <c r="C46" s="178">
        <v>35</v>
      </c>
      <c r="D46" t="s" s="177">
        <v>925</v>
      </c>
      <c r="E46" s="68">
        <v>78.3432142857143</v>
      </c>
      <c r="F46" s="179">
        <v>18.7016405879135</v>
      </c>
      <c r="G46" s="180">
        <v>0.333663747748366</v>
      </c>
      <c r="H46" s="180">
        <v>0.605944913418289</v>
      </c>
      <c r="I46" s="180">
        <v>0.939608661166655</v>
      </c>
      <c r="J46" s="180">
        <v>2.70555052791929</v>
      </c>
      <c r="K46" s="180">
        <v>0.0930336340960443</v>
      </c>
      <c r="L46" s="180">
        <v>0.337945103209357</v>
      </c>
      <c r="M46" s="180">
        <v>0.0133152190357171</v>
      </c>
      <c r="N46" s="180">
        <v>0.026360321593297</v>
      </c>
      <c r="O46" s="180">
        <v>0.316506041173133</v>
      </c>
      <c r="P46" s="180">
        <v>1.10593751058048</v>
      </c>
      <c r="Q46" s="180">
        <v>0.09457155453816959</v>
      </c>
      <c r="R46" s="180">
        <v>0.8806442083264761</v>
      </c>
      <c r="S46" s="180">
        <v>0.056015576951132</v>
      </c>
      <c r="T46" s="180">
        <v>0.263257942314282</v>
      </c>
      <c r="U46" s="180">
        <v>0.476432159270954</v>
      </c>
      <c r="V46" s="180">
        <v>0.355903021752071</v>
      </c>
      <c r="W46" s="180"/>
      <c r="X46" s="68"/>
      <c r="Y46" s="179"/>
      <c r="Z46" s="179"/>
      <c r="AA46" s="179"/>
      <c r="AB46" s="179"/>
      <c r="AC46" s="179"/>
      <c r="AD46" s="181"/>
      <c r="AE46" s="180"/>
    </row>
    <row r="47" ht="21.25" customHeight="1">
      <c r="A47" t="s" s="8">
        <v>217</v>
      </c>
      <c r="B47" t="s" s="177">
        <v>966</v>
      </c>
      <c r="C47" s="178">
        <v>26</v>
      </c>
      <c r="D47" t="s" s="177">
        <v>924</v>
      </c>
      <c r="E47" s="68">
        <v>72.43000000000001</v>
      </c>
      <c r="F47" s="179">
        <v>19.2655065249875</v>
      </c>
      <c r="G47" s="180">
        <v>0.382100934569406</v>
      </c>
      <c r="H47" s="180">
        <v>0.557078789707151</v>
      </c>
      <c r="I47" s="180">
        <v>0.939179724276557</v>
      </c>
      <c r="J47" s="180">
        <v>3.37034909944974</v>
      </c>
      <c r="K47" s="180">
        <v>0.0588728614718591</v>
      </c>
      <c r="L47" s="180">
        <v>0.260335784170266</v>
      </c>
      <c r="M47" s="180">
        <v>0.00187038581190954</v>
      </c>
      <c r="N47" s="180">
        <v>0.00341481439747217</v>
      </c>
      <c r="O47" s="180">
        <v>0.821018125083685</v>
      </c>
      <c r="P47" s="180">
        <v>0.962661325613115</v>
      </c>
      <c r="Q47" s="180">
        <v>0.08191817545846621</v>
      </c>
      <c r="R47" s="180">
        <v>0.233318992942289</v>
      </c>
      <c r="S47" s="180">
        <v>0.0624457182401399</v>
      </c>
      <c r="T47" s="180">
        <v>5.77794342585189</v>
      </c>
      <c r="U47" s="180">
        <v>6.59640707830087</v>
      </c>
      <c r="V47" s="180">
        <v>0.466929025803241</v>
      </c>
      <c r="W47" s="180"/>
      <c r="X47" s="68"/>
      <c r="Y47" s="179"/>
      <c r="Z47" s="179"/>
      <c r="AA47" s="179"/>
      <c r="AB47" s="179"/>
      <c r="AC47" s="179"/>
      <c r="AD47" s="181"/>
      <c r="AE47" s="180"/>
    </row>
    <row r="48" ht="21.25" customHeight="1">
      <c r="A48" t="s" s="8">
        <v>241</v>
      </c>
      <c r="B48" t="s" s="177">
        <v>967</v>
      </c>
      <c r="C48" s="178">
        <v>25</v>
      </c>
      <c r="D48" t="s" s="177">
        <v>926</v>
      </c>
      <c r="E48" s="68">
        <v>78.47</v>
      </c>
      <c r="F48" s="179">
        <v>19.746723321483</v>
      </c>
      <c r="G48" s="180">
        <v>0.414898667586587</v>
      </c>
      <c r="H48" s="180">
        <v>0.521347703637234</v>
      </c>
      <c r="I48" s="180">
        <v>0.936246371223821</v>
      </c>
      <c r="J48" s="180">
        <v>2.73386251849784</v>
      </c>
      <c r="K48" s="180">
        <v>0.09824200093700269</v>
      </c>
      <c r="L48" s="180">
        <v>0.217059759203535</v>
      </c>
      <c r="M48" s="180">
        <v>0.000944224152013979</v>
      </c>
      <c r="N48" s="180">
        <v>0.00170027920955221</v>
      </c>
      <c r="O48" s="180">
        <v>0.359329913910979</v>
      </c>
      <c r="P48" s="180">
        <v>0.217079658951365</v>
      </c>
      <c r="Q48" s="180">
        <v>-0.0844952921856246</v>
      </c>
      <c r="R48" s="180">
        <v>0.389512280071118</v>
      </c>
      <c r="S48" s="180">
        <v>0.0397734416204905</v>
      </c>
      <c r="T48" s="180">
        <v>0.0301211214611933</v>
      </c>
      <c r="U48" s="180">
        <v>0.0216751307636623</v>
      </c>
      <c r="V48" s="180">
        <v>0.581530905564998</v>
      </c>
      <c r="W48" s="180"/>
      <c r="X48" s="68"/>
      <c r="Y48" s="179"/>
      <c r="Z48" s="179"/>
      <c r="AA48" s="179"/>
      <c r="AB48" s="179"/>
      <c r="AC48" s="179"/>
      <c r="AD48" s="181"/>
      <c r="AE48" s="180"/>
    </row>
    <row r="49" ht="21.25" customHeight="1">
      <c r="A49" t="s" s="8">
        <v>198</v>
      </c>
      <c r="B49" t="s" s="177">
        <v>939</v>
      </c>
      <c r="C49" s="178">
        <v>31</v>
      </c>
      <c r="D49" t="s" s="177">
        <v>944</v>
      </c>
      <c r="E49" s="68">
        <v>78.7689285714286</v>
      </c>
      <c r="F49" s="179">
        <v>20.0994932053682</v>
      </c>
      <c r="G49" s="180">
        <v>0.422622619659423</v>
      </c>
      <c r="H49" s="180">
        <v>0.513317029267422</v>
      </c>
      <c r="I49" s="180">
        <v>0.935939648926845</v>
      </c>
      <c r="J49" s="180">
        <v>3.3320273093917</v>
      </c>
      <c r="K49" s="180">
        <v>0.151884615129385</v>
      </c>
      <c r="L49" s="180">
        <v>0.283015265393005</v>
      </c>
      <c r="M49" s="180">
        <v>0.00219227723848628</v>
      </c>
      <c r="N49" s="180">
        <v>0.00754959340350616</v>
      </c>
      <c r="O49" s="180">
        <v>0.298209111179195</v>
      </c>
      <c r="P49" s="180">
        <v>0.978539464179543</v>
      </c>
      <c r="Q49" s="180">
        <v>0.10182718135452</v>
      </c>
      <c r="R49" s="180">
        <v>0.517824276310789</v>
      </c>
      <c r="S49" s="180">
        <v>0.066896623574996</v>
      </c>
      <c r="T49" s="180">
        <v>0.185673610342917</v>
      </c>
      <c r="U49" s="180">
        <v>0.211161960367029</v>
      </c>
      <c r="V49" s="180">
        <v>0.467885502327182</v>
      </c>
      <c r="W49" s="180"/>
      <c r="X49" s="68"/>
      <c r="Y49" s="179"/>
      <c r="Z49" s="179"/>
      <c r="AA49" s="179"/>
      <c r="AB49" s="179"/>
      <c r="AC49" s="179"/>
      <c r="AD49" s="181"/>
      <c r="AE49" s="180"/>
    </row>
    <row r="50" ht="21.25" customHeight="1">
      <c r="A50" t="s" s="8">
        <v>130</v>
      </c>
      <c r="B50" t="s" s="177">
        <v>968</v>
      </c>
      <c r="C50" s="178">
        <v>33</v>
      </c>
      <c r="D50" t="s" s="177">
        <v>927</v>
      </c>
      <c r="E50" s="68">
        <v>77.92107142857139</v>
      </c>
      <c r="F50" s="179">
        <v>25.1969005726634</v>
      </c>
      <c r="G50" s="180">
        <v>0.238603766093627</v>
      </c>
      <c r="H50" s="180">
        <v>0.688205719135032</v>
      </c>
      <c r="I50" s="180">
        <v>0.926809485228659</v>
      </c>
      <c r="J50" s="180">
        <v>3.61656851378217</v>
      </c>
      <c r="K50" s="180">
        <v>0.102559899510561</v>
      </c>
      <c r="L50" s="180">
        <v>0.363923698819606</v>
      </c>
      <c r="M50" s="180">
        <v>0.000346606911249085</v>
      </c>
      <c r="N50" s="180">
        <v>0.00310807390755396</v>
      </c>
      <c r="O50" s="180">
        <v>1.8923682183181</v>
      </c>
      <c r="P50" s="180">
        <v>0.877743320267066</v>
      </c>
      <c r="Q50" s="180">
        <v>0.0223433046729366</v>
      </c>
      <c r="R50" s="180">
        <v>0.551875817105466</v>
      </c>
      <c r="S50" s="180">
        <v>0.0348423903110148</v>
      </c>
      <c r="T50" s="180">
        <v>0</v>
      </c>
      <c r="U50" s="180">
        <v>0</v>
      </c>
      <c r="V50" s="180">
        <v>0</v>
      </c>
      <c r="W50" s="180"/>
      <c r="X50" s="68"/>
      <c r="Y50" s="179"/>
      <c r="Z50" s="179"/>
      <c r="AA50" s="179"/>
      <c r="AB50" s="179"/>
      <c r="AC50" s="179"/>
      <c r="AD50" s="181"/>
      <c r="AE50" s="180"/>
    </row>
    <row r="51" ht="21.25" customHeight="1">
      <c r="A51" t="s" s="8">
        <v>155</v>
      </c>
      <c r="B51" t="s" s="177">
        <v>952</v>
      </c>
      <c r="C51" s="178">
        <v>23</v>
      </c>
      <c r="D51" t="s" s="177">
        <v>927</v>
      </c>
      <c r="E51" s="68">
        <v>80.495</v>
      </c>
      <c r="F51" s="179">
        <v>25.1793560281817</v>
      </c>
      <c r="G51" s="180">
        <v>0.0993356046891926</v>
      </c>
      <c r="H51" s="180">
        <v>0.827143965171783</v>
      </c>
      <c r="I51" s="180">
        <v>0.926479569860976</v>
      </c>
      <c r="J51" s="180">
        <v>1.9988999610053</v>
      </c>
      <c r="K51" s="180">
        <v>0.0160410377012138</v>
      </c>
      <c r="L51" s="180">
        <v>0.417889073603696</v>
      </c>
      <c r="M51" s="180">
        <v>0.000305710368703563</v>
      </c>
      <c r="N51" s="180">
        <v>0.008147822852034791</v>
      </c>
      <c r="O51" s="180">
        <v>0.971924304738327</v>
      </c>
      <c r="P51" s="180">
        <v>0.5065885783997151</v>
      </c>
      <c r="Q51" s="180">
        <v>0.0228179595746783</v>
      </c>
      <c r="R51" s="180">
        <v>0.43563783282643</v>
      </c>
      <c r="S51" s="180">
        <v>0.0140619133284345</v>
      </c>
      <c r="T51" s="180">
        <v>0.00436335028315685</v>
      </c>
      <c r="U51" s="180">
        <v>0.00510479284364424</v>
      </c>
      <c r="V51" s="180">
        <v>0.460845408093345</v>
      </c>
      <c r="W51" s="180"/>
      <c r="X51" s="68"/>
      <c r="Y51" s="179"/>
      <c r="Z51" s="179"/>
      <c r="AA51" s="179"/>
      <c r="AB51" s="179"/>
      <c r="AC51" s="179"/>
      <c r="AD51" s="181"/>
      <c r="AE51" s="180"/>
    </row>
    <row r="52" ht="21.25" customHeight="1">
      <c r="A52" t="s" s="8">
        <v>215</v>
      </c>
      <c r="B52" t="s" s="177">
        <v>947</v>
      </c>
      <c r="C52" s="178">
        <v>25</v>
      </c>
      <c r="D52" t="s" s="177">
        <v>944</v>
      </c>
      <c r="E52" s="68">
        <v>80.34999999999999</v>
      </c>
      <c r="F52" s="179">
        <v>17.6488646323171</v>
      </c>
      <c r="G52" s="180">
        <v>0.365620813936655</v>
      </c>
      <c r="H52" s="180">
        <v>0.560617005509255</v>
      </c>
      <c r="I52" s="180">
        <v>0.92623781944591</v>
      </c>
      <c r="J52" s="180">
        <v>2.60176867587924</v>
      </c>
      <c r="K52" s="180">
        <v>0.0882610337158841</v>
      </c>
      <c r="L52" s="180">
        <v>0.283446987338906</v>
      </c>
      <c r="M52" s="180">
        <v>0.000190629557931618</v>
      </c>
      <c r="N52" s="180">
        <v>0.000659367207053957</v>
      </c>
      <c r="O52" s="180">
        <v>0.330416651725011</v>
      </c>
      <c r="P52" s="180">
        <v>0.399462061444018</v>
      </c>
      <c r="Q52" s="180">
        <v>0.0244351023208589</v>
      </c>
      <c r="R52" s="180">
        <v>0.190048352152195</v>
      </c>
      <c r="S52" s="180">
        <v>0.0537382090425896</v>
      </c>
      <c r="T52" s="180">
        <v>0.00115598689919847</v>
      </c>
      <c r="U52" s="180">
        <v>0.0224251287173774</v>
      </c>
      <c r="V52" s="180">
        <v>0.0490217222117298</v>
      </c>
      <c r="W52" s="180"/>
      <c r="X52" s="68"/>
      <c r="Y52" s="179"/>
      <c r="Z52" s="179"/>
      <c r="AA52" s="179"/>
      <c r="AB52" s="179"/>
      <c r="AC52" s="179"/>
      <c r="AD52" s="181"/>
      <c r="AE52" s="180"/>
    </row>
    <row r="53" ht="21.25" customHeight="1">
      <c r="A53" t="s" s="8">
        <v>181</v>
      </c>
      <c r="B53" t="s" s="177">
        <v>945</v>
      </c>
      <c r="C53" s="178">
        <v>32</v>
      </c>
      <c r="D53" t="s" s="177">
        <v>924</v>
      </c>
      <c r="E53" s="68">
        <v>81.2625</v>
      </c>
      <c r="F53" s="179">
        <v>17.5896654537348</v>
      </c>
      <c r="G53" s="180">
        <v>0.375788538301516</v>
      </c>
      <c r="H53" s="180">
        <v>0.547606671389006</v>
      </c>
      <c r="I53" s="180">
        <v>0.923395209690522</v>
      </c>
      <c r="J53" s="180">
        <v>3.2302226320799</v>
      </c>
      <c r="K53" s="180">
        <v>0.171984395046498</v>
      </c>
      <c r="L53" s="180">
        <v>0.398331549712618</v>
      </c>
      <c r="M53" s="180">
        <v>7.10113094095396e-05</v>
      </c>
      <c r="N53" s="180">
        <v>0.000130799106493882</v>
      </c>
      <c r="O53" s="180">
        <v>0.467679822480377</v>
      </c>
      <c r="P53" s="180">
        <v>1.24852866213963</v>
      </c>
      <c r="Q53" s="180">
        <v>0.0639477661095311</v>
      </c>
      <c r="R53" s="180">
        <v>0.388176526657302</v>
      </c>
      <c r="S53" s="180">
        <v>0.0603703287950591</v>
      </c>
      <c r="T53" s="180">
        <v>9.12964512312405</v>
      </c>
      <c r="U53" s="180">
        <v>6.44448945435484</v>
      </c>
      <c r="V53" s="180">
        <v>0.58620561403945</v>
      </c>
      <c r="W53" s="180"/>
      <c r="X53" s="68"/>
      <c r="Y53" s="179"/>
      <c r="Z53" s="179"/>
      <c r="AA53" s="179"/>
      <c r="AB53" s="179"/>
      <c r="AC53" s="179"/>
      <c r="AD53" s="181"/>
      <c r="AE53" s="180"/>
    </row>
    <row r="54" ht="21.25" customHeight="1">
      <c r="A54" t="s" s="8">
        <v>180</v>
      </c>
      <c r="B54" t="s" s="177">
        <v>946</v>
      </c>
      <c r="C54" s="178">
        <v>22</v>
      </c>
      <c r="D54" t="s" s="177">
        <v>944</v>
      </c>
      <c r="E54" s="68">
        <v>79.09999999999999</v>
      </c>
      <c r="F54" s="179">
        <v>19.0849791416092</v>
      </c>
      <c r="G54" s="180">
        <v>0.412632494606166</v>
      </c>
      <c r="H54" s="180">
        <v>0.510310824240043</v>
      </c>
      <c r="I54" s="180">
        <v>0.9229433188462089</v>
      </c>
      <c r="J54" s="180">
        <v>3.18452542969168</v>
      </c>
      <c r="K54" s="180">
        <v>0.107531882839757</v>
      </c>
      <c r="L54" s="180">
        <v>0.338478365970435</v>
      </c>
      <c r="M54" s="180">
        <v>0.0008137014338007881</v>
      </c>
      <c r="N54" s="180">
        <v>0.0014824397794365</v>
      </c>
      <c r="O54" s="180">
        <v>0.396035388377055</v>
      </c>
      <c r="P54" s="180">
        <v>0.817471947821552</v>
      </c>
      <c r="Q54" s="180">
        <v>0.0520843952820594</v>
      </c>
      <c r="R54" s="180">
        <v>0.446347446010237</v>
      </c>
      <c r="S54" s="180">
        <v>0.0662590469169749</v>
      </c>
      <c r="T54" s="180">
        <v>0.840636492641028</v>
      </c>
      <c r="U54" s="180">
        <v>0.8501207741593551</v>
      </c>
      <c r="V54" s="180">
        <v>0.497195256319591</v>
      </c>
      <c r="W54" s="180"/>
      <c r="X54" s="68"/>
      <c r="Y54" s="179"/>
      <c r="Z54" s="179"/>
      <c r="AA54" s="179"/>
      <c r="AB54" s="179"/>
      <c r="AC54" s="179"/>
      <c r="AD54" s="181"/>
      <c r="AE54" s="180"/>
    </row>
    <row r="55" ht="21.25" customHeight="1">
      <c r="A55" t="s" s="8">
        <v>190</v>
      </c>
      <c r="B55" t="s" s="177">
        <v>969</v>
      </c>
      <c r="C55" s="178">
        <v>27</v>
      </c>
      <c r="D55" t="s" s="177">
        <v>924</v>
      </c>
      <c r="E55" s="68">
        <v>78.4053571428571</v>
      </c>
      <c r="F55" s="179">
        <v>19.8033006169797</v>
      </c>
      <c r="G55" s="180">
        <v>0.386061084108567</v>
      </c>
      <c r="H55" s="180">
        <v>0.53279246378801</v>
      </c>
      <c r="I55" s="180">
        <v>0.918853547896577</v>
      </c>
      <c r="J55" s="180">
        <v>3.01734228565363</v>
      </c>
      <c r="K55" s="180">
        <v>0.14819006778769</v>
      </c>
      <c r="L55" s="180">
        <v>0.316484533270912</v>
      </c>
      <c r="M55" s="180">
        <v>0.0108339216432266</v>
      </c>
      <c r="N55" s="180">
        <v>0.0174038889712776</v>
      </c>
      <c r="O55" s="180">
        <v>0.37630774796825</v>
      </c>
      <c r="P55" s="180">
        <v>0.75372795624252</v>
      </c>
      <c r="Q55" s="180">
        <v>-0.0365216814289743</v>
      </c>
      <c r="R55" s="180">
        <v>0.529194119302933</v>
      </c>
      <c r="S55" s="180">
        <v>0.0510897254960318</v>
      </c>
      <c r="T55" s="180">
        <v>9.0100665683561</v>
      </c>
      <c r="U55" s="180">
        <v>8.03735471172137</v>
      </c>
      <c r="V55" s="180">
        <v>0.528529589333593</v>
      </c>
      <c r="W55" s="180"/>
      <c r="X55" s="68"/>
      <c r="Y55" s="179"/>
      <c r="Z55" s="179"/>
      <c r="AA55" s="179"/>
      <c r="AB55" s="179"/>
      <c r="AC55" s="179"/>
      <c r="AD55" s="181"/>
      <c r="AE55" s="180"/>
    </row>
    <row r="56" ht="21.25" customHeight="1">
      <c r="A56" t="s" s="8">
        <v>230</v>
      </c>
      <c r="B56" t="s" s="177">
        <v>956</v>
      </c>
      <c r="C56" s="178">
        <v>30</v>
      </c>
      <c r="D56" t="s" s="177">
        <v>924</v>
      </c>
      <c r="E56" s="68">
        <v>79.55</v>
      </c>
      <c r="F56" s="179">
        <v>20.3373139438897</v>
      </c>
      <c r="G56" s="180">
        <v>0.447711187457177</v>
      </c>
      <c r="H56" s="180">
        <v>0.46935874334683</v>
      </c>
      <c r="I56" s="180">
        <v>0.917069930804007</v>
      </c>
      <c r="J56" s="180">
        <v>2.4893691926505</v>
      </c>
      <c r="K56" s="180">
        <v>0.120163151663861</v>
      </c>
      <c r="L56" s="180">
        <v>0.271404554752539</v>
      </c>
      <c r="M56" s="180">
        <v>0.00050681661319267</v>
      </c>
      <c r="N56" s="180">
        <v>0.0009264880355654</v>
      </c>
      <c r="O56" s="180">
        <v>0.524120649253684</v>
      </c>
      <c r="P56" s="180">
        <v>0.597233028503538</v>
      </c>
      <c r="Q56" s="180">
        <v>0.0122023740600141</v>
      </c>
      <c r="R56" s="180">
        <v>0.314457152215026</v>
      </c>
      <c r="S56" s="180">
        <v>0.069844443814156</v>
      </c>
      <c r="T56" s="180">
        <v>6.97991826445307</v>
      </c>
      <c r="U56" s="180">
        <v>7.1845969872972</v>
      </c>
      <c r="V56" s="180">
        <v>0.492774947846562</v>
      </c>
      <c r="W56" s="180"/>
      <c r="X56" s="68"/>
      <c r="Y56" s="179"/>
      <c r="Z56" s="179"/>
      <c r="AA56" s="179"/>
      <c r="AB56" s="179"/>
      <c r="AC56" s="179"/>
      <c r="AD56" s="181"/>
      <c r="AE56" s="180"/>
    </row>
    <row r="57" ht="21.25" customHeight="1">
      <c r="A57" t="s" s="8">
        <v>235</v>
      </c>
      <c r="B57" t="s" s="177">
        <v>970</v>
      </c>
      <c r="C57" s="178">
        <v>26</v>
      </c>
      <c r="D57" t="s" s="177">
        <v>926</v>
      </c>
      <c r="E57" s="68">
        <v>76.8339285714286</v>
      </c>
      <c r="F57" s="179">
        <v>20.0434017721037</v>
      </c>
      <c r="G57" s="180">
        <v>0.386483346889779</v>
      </c>
      <c r="H57" s="180">
        <v>0.527614896218456</v>
      </c>
      <c r="I57" s="180">
        <v>0.914098243108235</v>
      </c>
      <c r="J57" s="180">
        <v>3.06411856343521</v>
      </c>
      <c r="K57" s="180">
        <v>0.0640789626352096</v>
      </c>
      <c r="L57" s="180">
        <v>0.211455852926767</v>
      </c>
      <c r="M57" s="180">
        <v>0.0382206611413976</v>
      </c>
      <c r="N57" s="180">
        <v>0.0759885914352761</v>
      </c>
      <c r="O57" s="180">
        <v>0.58763673234153</v>
      </c>
      <c r="P57" s="180">
        <v>1.01773138309057</v>
      </c>
      <c r="Q57" s="180">
        <v>-0.0732582488982895</v>
      </c>
      <c r="R57" s="180">
        <v>0.745270202755191</v>
      </c>
      <c r="S57" s="180">
        <v>0.0454294332881256</v>
      </c>
      <c r="T57" s="180">
        <v>0.360662057033846</v>
      </c>
      <c r="U57" s="180">
        <v>0.487320587157483</v>
      </c>
      <c r="V57" s="180">
        <v>0.425317734395128</v>
      </c>
      <c r="W57" s="180"/>
      <c r="X57" s="68"/>
      <c r="Y57" s="179"/>
      <c r="Z57" s="179"/>
      <c r="AA57" s="179"/>
      <c r="AB57" s="179"/>
      <c r="AC57" s="179"/>
      <c r="AD57" s="181"/>
      <c r="AE57" s="180"/>
    </row>
    <row r="58" ht="21.25" customHeight="1">
      <c r="A58" t="s" s="8">
        <v>179</v>
      </c>
      <c r="B58" t="s" s="177">
        <v>958</v>
      </c>
      <c r="C58" s="178">
        <v>23</v>
      </c>
      <c r="D58" t="s" s="177">
        <v>925</v>
      </c>
      <c r="E58" s="68">
        <v>81.61750000000001</v>
      </c>
      <c r="F58" s="179">
        <v>18.1165430692073</v>
      </c>
      <c r="G58" s="180">
        <v>0.391614056412241</v>
      </c>
      <c r="H58" s="180">
        <v>0.52037678337355</v>
      </c>
      <c r="I58" s="180">
        <v>0.911990839785791</v>
      </c>
      <c r="J58" s="180">
        <v>3.84868126250466</v>
      </c>
      <c r="K58" s="180">
        <v>0.11634879950369</v>
      </c>
      <c r="L58" s="180">
        <v>0.279491629740872</v>
      </c>
      <c r="M58" s="180">
        <v>0.000311307027000791</v>
      </c>
      <c r="N58" s="180">
        <v>0.000566307414432472</v>
      </c>
      <c r="O58" s="180">
        <v>0.200183261381859</v>
      </c>
      <c r="P58" s="180">
        <v>2.84894455427148</v>
      </c>
      <c r="Q58" s="180">
        <v>0.0321614516399998</v>
      </c>
      <c r="R58" s="180">
        <v>1.06385627815425</v>
      </c>
      <c r="S58" s="180">
        <v>0.0588932355129722</v>
      </c>
      <c r="T58" s="180">
        <v>3.92105915504293</v>
      </c>
      <c r="U58" s="180">
        <v>4.1085239816411</v>
      </c>
      <c r="V58" s="180">
        <v>0.488326615254675</v>
      </c>
      <c r="W58" s="180"/>
      <c r="X58" s="68"/>
      <c r="Y58" s="179"/>
      <c r="Z58" s="179"/>
      <c r="AA58" s="179"/>
      <c r="AB58" s="179"/>
      <c r="AC58" s="179"/>
      <c r="AD58" s="181"/>
      <c r="AE58" s="180"/>
    </row>
    <row r="59" ht="21.25" customHeight="1">
      <c r="A59" t="s" s="8">
        <v>304</v>
      </c>
      <c r="B59" t="s" s="177">
        <v>966</v>
      </c>
      <c r="C59" s="178">
        <v>31</v>
      </c>
      <c r="D59" t="s" s="177">
        <v>926</v>
      </c>
      <c r="E59" s="68">
        <v>68.7735714285714</v>
      </c>
      <c r="F59" s="179">
        <v>19.6999410709727</v>
      </c>
      <c r="G59" s="180">
        <v>0.35060998945044</v>
      </c>
      <c r="H59" s="180">
        <v>0.560536483560933</v>
      </c>
      <c r="I59" s="180">
        <v>0.911146473011373</v>
      </c>
      <c r="J59" s="180">
        <v>2.47342965771649</v>
      </c>
      <c r="K59" s="180">
        <v>0.0858111238648918</v>
      </c>
      <c r="L59" s="180">
        <v>0.232272858020849</v>
      </c>
      <c r="M59" s="180">
        <v>0.0255945583827835</v>
      </c>
      <c r="N59" s="180">
        <v>0.0336612767592805</v>
      </c>
      <c r="O59" s="180">
        <v>0.575499425470512</v>
      </c>
      <c r="P59" s="180">
        <v>0.737201174927427</v>
      </c>
      <c r="Q59" s="180">
        <v>0.104469284721663</v>
      </c>
      <c r="R59" s="180">
        <v>0.365016975474965</v>
      </c>
      <c r="S59" s="180">
        <v>0.0572992385848867</v>
      </c>
      <c r="T59" s="180">
        <v>0.0622354768528262</v>
      </c>
      <c r="U59" s="180">
        <v>0.188792119421201</v>
      </c>
      <c r="V59" s="180">
        <v>0.247922849027676</v>
      </c>
      <c r="W59" s="180"/>
      <c r="X59" s="68"/>
      <c r="Y59" s="179"/>
      <c r="Z59" s="179"/>
      <c r="AA59" s="179"/>
      <c r="AB59" s="179"/>
      <c r="AC59" s="179"/>
      <c r="AD59" s="181"/>
      <c r="AE59" s="180"/>
    </row>
    <row r="60" ht="21.25" customHeight="1">
      <c r="A60" t="s" s="8">
        <v>250</v>
      </c>
      <c r="B60" t="s" s="177">
        <v>968</v>
      </c>
      <c r="C60" s="178">
        <v>29</v>
      </c>
      <c r="D60" t="s" s="177">
        <v>925</v>
      </c>
      <c r="E60" s="68">
        <v>72.0732142857143</v>
      </c>
      <c r="F60" s="179">
        <v>17.3823662698171</v>
      </c>
      <c r="G60" s="180">
        <v>0.415521596875282</v>
      </c>
      <c r="H60" s="180">
        <v>0.494735989955515</v>
      </c>
      <c r="I60" s="180">
        <v>0.9102575868307961</v>
      </c>
      <c r="J60" s="180">
        <v>3.04753383515315</v>
      </c>
      <c r="K60" s="180">
        <v>0.09045280246432109</v>
      </c>
      <c r="L60" s="180">
        <v>0.268383914658552</v>
      </c>
      <c r="M60" s="180">
        <v>0.000139824119813151</v>
      </c>
      <c r="N60" s="180">
        <v>0.000255661812278199</v>
      </c>
      <c r="O60" s="180">
        <v>0.484377372663904</v>
      </c>
      <c r="P60" s="180">
        <v>1.53937304303862</v>
      </c>
      <c r="Q60" s="180">
        <v>0.00320112121849126</v>
      </c>
      <c r="R60" s="180">
        <v>0.37501716671001</v>
      </c>
      <c r="S60" s="180">
        <v>0.0606770207277605</v>
      </c>
      <c r="T60" s="180">
        <v>0.0199025311600861</v>
      </c>
      <c r="U60" s="180">
        <v>0.0189352681072413</v>
      </c>
      <c r="V60" s="180">
        <v>0.5124525986422001</v>
      </c>
      <c r="W60" s="180"/>
      <c r="X60" s="68"/>
      <c r="Y60" s="179"/>
      <c r="Z60" s="179"/>
      <c r="AA60" s="179"/>
      <c r="AB60" s="179"/>
      <c r="AC60" s="179"/>
      <c r="AD60" s="181"/>
      <c r="AE60" s="180"/>
    </row>
    <row r="61" ht="21.25" customHeight="1">
      <c r="A61" t="s" s="8">
        <v>201</v>
      </c>
      <c r="B61" t="s" s="177">
        <v>963</v>
      </c>
      <c r="C61" s="178">
        <v>23</v>
      </c>
      <c r="D61" t="s" s="177">
        <v>944</v>
      </c>
      <c r="E61" s="68">
        <v>78.1385714285714</v>
      </c>
      <c r="F61" s="179">
        <v>17.9701293610518</v>
      </c>
      <c r="G61" s="180">
        <v>0.378736001438571</v>
      </c>
      <c r="H61" s="180">
        <v>0.529722674005388</v>
      </c>
      <c r="I61" s="180">
        <v>0.908458675443959</v>
      </c>
      <c r="J61" s="180">
        <v>3.11634022703189</v>
      </c>
      <c r="K61" s="180">
        <v>0.088808075729349</v>
      </c>
      <c r="L61" s="180">
        <v>0.275377462798891</v>
      </c>
      <c r="M61" s="180">
        <v>0.000187922352418361</v>
      </c>
      <c r="N61" s="180">
        <v>0.000341640155579045</v>
      </c>
      <c r="O61" s="180">
        <v>0.276401043947422</v>
      </c>
      <c r="P61" s="180">
        <v>2.11389669364134</v>
      </c>
      <c r="Q61" s="180">
        <v>0.113391061830856</v>
      </c>
      <c r="R61" s="180">
        <v>0.879598308479539</v>
      </c>
      <c r="S61" s="180">
        <v>0.0679537191984818</v>
      </c>
      <c r="T61" s="180">
        <v>0.0312691483441301</v>
      </c>
      <c r="U61" s="180">
        <v>0.0950874406876039</v>
      </c>
      <c r="V61" s="180">
        <v>0.247467493256541</v>
      </c>
      <c r="W61" s="180"/>
      <c r="X61" s="68"/>
      <c r="Y61" s="179"/>
      <c r="Z61" s="179"/>
      <c r="AA61" s="179"/>
      <c r="AB61" s="179"/>
      <c r="AC61" s="179"/>
      <c r="AD61" s="181"/>
      <c r="AE61" s="180"/>
    </row>
    <row r="62" ht="21.25" customHeight="1">
      <c r="A62" t="s" s="8">
        <v>150</v>
      </c>
      <c r="B62" t="s" s="177">
        <v>950</v>
      </c>
      <c r="C62" s="178">
        <v>25</v>
      </c>
      <c r="D62" t="s" s="177">
        <v>927</v>
      </c>
      <c r="E62" s="68">
        <v>81.3335714285714</v>
      </c>
      <c r="F62" s="179">
        <v>24.4628458803354</v>
      </c>
      <c r="G62" s="180">
        <v>0.136235969216078</v>
      </c>
      <c r="H62" s="180">
        <v>0.771641239620844</v>
      </c>
      <c r="I62" s="180">
        <v>0.907877208836922</v>
      </c>
      <c r="J62" s="180">
        <v>2.01105786988338</v>
      </c>
      <c r="K62" s="180">
        <v>0.0156073392284694</v>
      </c>
      <c r="L62" s="180">
        <v>0.391371993305639</v>
      </c>
      <c r="M62" s="180">
        <v>0.00560730117998457</v>
      </c>
      <c r="N62" s="180">
        <v>0.0295101578358138</v>
      </c>
      <c r="O62" s="180">
        <v>1.58903915013183</v>
      </c>
      <c r="P62" s="180">
        <v>0.486595445733057</v>
      </c>
      <c r="Q62" s="180">
        <v>0.097344627247217</v>
      </c>
      <c r="R62" s="180">
        <v>0.390822124522468</v>
      </c>
      <c r="S62" s="180">
        <v>0.0232143547509852</v>
      </c>
      <c r="T62" s="180">
        <v>0</v>
      </c>
      <c r="U62" s="180">
        <v>0.0018919021883145</v>
      </c>
      <c r="V62" s="180">
        <v>0</v>
      </c>
      <c r="W62" s="180"/>
      <c r="X62" s="68"/>
      <c r="Y62" s="179"/>
      <c r="Z62" s="179"/>
      <c r="AA62" s="179"/>
      <c r="AB62" s="179"/>
      <c r="AC62" s="179"/>
      <c r="AD62" s="181"/>
      <c r="AE62" s="180"/>
    </row>
    <row r="63" ht="21.25" customHeight="1">
      <c r="A63" t="s" s="8">
        <v>243</v>
      </c>
      <c r="B63" t="s" s="177">
        <v>953</v>
      </c>
      <c r="C63" s="178">
        <v>37</v>
      </c>
      <c r="D63" t="s" s="177">
        <v>924</v>
      </c>
      <c r="E63" s="68">
        <v>73.02464285714289</v>
      </c>
      <c r="F63" s="179">
        <v>18.3297270756479</v>
      </c>
      <c r="G63" s="180">
        <v>0.321251462236229</v>
      </c>
      <c r="H63" s="180">
        <v>0.584424214333663</v>
      </c>
      <c r="I63" s="180">
        <v>0.905675676569893</v>
      </c>
      <c r="J63" s="180">
        <v>2.83700850967129</v>
      </c>
      <c r="K63" s="180">
        <v>0.131938285796696</v>
      </c>
      <c r="L63" s="180">
        <v>0.38292336876867</v>
      </c>
      <c r="M63" s="180">
        <v>8.52789880019061e-05</v>
      </c>
      <c r="N63" s="180">
        <v>0.000159464995778561</v>
      </c>
      <c r="O63" s="180">
        <v>0.411483335272189</v>
      </c>
      <c r="P63" s="180">
        <v>0.667024337722559</v>
      </c>
      <c r="Q63" s="180">
        <v>0.0365913939605748</v>
      </c>
      <c r="R63" s="180">
        <v>0.627911622074528</v>
      </c>
      <c r="S63" s="180">
        <v>0.0515672922448634</v>
      </c>
      <c r="T63" s="180">
        <v>4.81620601470468</v>
      </c>
      <c r="U63" s="180">
        <v>5.44594362911937</v>
      </c>
      <c r="V63" s="180">
        <v>0.469317460947684</v>
      </c>
      <c r="W63" s="180"/>
      <c r="X63" s="68"/>
      <c r="Y63" s="179"/>
      <c r="Z63" s="179"/>
      <c r="AA63" s="179"/>
      <c r="AB63" s="179"/>
      <c r="AC63" s="179"/>
      <c r="AD63" s="181"/>
      <c r="AE63" s="180"/>
    </row>
    <row r="64" ht="21.25" customHeight="1">
      <c r="A64" t="s" s="8">
        <v>226</v>
      </c>
      <c r="B64" t="s" s="177">
        <v>943</v>
      </c>
      <c r="C64" s="178">
        <v>28</v>
      </c>
      <c r="D64" t="s" s="177">
        <v>940</v>
      </c>
      <c r="E64" s="68">
        <v>79.3989285714286</v>
      </c>
      <c r="F64" s="179">
        <v>18.2777310597683</v>
      </c>
      <c r="G64" s="180">
        <v>0.456604061984298</v>
      </c>
      <c r="H64" s="180">
        <v>0.445409419767393</v>
      </c>
      <c r="I64" s="180">
        <v>0.90201348175169</v>
      </c>
      <c r="J64" s="180">
        <v>3.3300983277551</v>
      </c>
      <c r="K64" s="180">
        <v>0.09010619414947001</v>
      </c>
      <c r="L64" s="180">
        <v>0.188939424368533</v>
      </c>
      <c r="M64" s="180">
        <v>0.000230678729855211</v>
      </c>
      <c r="N64" s="180">
        <v>0.000303873321211078</v>
      </c>
      <c r="O64" s="180">
        <v>0.366148771946326</v>
      </c>
      <c r="P64" s="180">
        <v>0.5174350247859379</v>
      </c>
      <c r="Q64" s="180">
        <v>0.0940153899850617</v>
      </c>
      <c r="R64" s="180">
        <v>0.6204453209338771</v>
      </c>
      <c r="S64" s="180">
        <v>0.0655008941976413</v>
      </c>
      <c r="T64" s="180">
        <v>0.310122095193933</v>
      </c>
      <c r="U64" s="180">
        <v>0.259110154296318</v>
      </c>
      <c r="V64" s="180">
        <v>0.544807669403215</v>
      </c>
      <c r="W64" s="180"/>
      <c r="X64" s="68"/>
      <c r="Y64" s="179"/>
      <c r="Z64" s="179"/>
      <c r="AA64" s="179"/>
      <c r="AB64" s="179"/>
      <c r="AC64" s="179"/>
      <c r="AD64" s="181"/>
      <c r="AE64" s="180"/>
    </row>
    <row r="65" ht="21.25" customHeight="1">
      <c r="A65" t="s" s="8">
        <v>233</v>
      </c>
      <c r="B65" t="s" s="177">
        <v>967</v>
      </c>
      <c r="C65" s="178">
        <v>22</v>
      </c>
      <c r="D65" t="s" s="177">
        <v>924</v>
      </c>
      <c r="E65" s="68">
        <v>81.29000000000001</v>
      </c>
      <c r="F65" s="179">
        <v>19.251722162931</v>
      </c>
      <c r="G65" s="180">
        <v>0.329679006940335</v>
      </c>
      <c r="H65" s="180">
        <v>0.570527642305466</v>
      </c>
      <c r="I65" s="180">
        <v>0.900206649245801</v>
      </c>
      <c r="J65" s="180">
        <v>2.46089218470861</v>
      </c>
      <c r="K65" s="180">
        <v>0.0874814287462691</v>
      </c>
      <c r="L65" s="180">
        <v>0.256503391185084</v>
      </c>
      <c r="M65" s="180">
        <v>0.000311233736204957</v>
      </c>
      <c r="N65" s="180">
        <v>0.000561695137226715</v>
      </c>
      <c r="O65" s="180">
        <v>0.376143220051612</v>
      </c>
      <c r="P65" s="180">
        <v>0.672290415017968</v>
      </c>
      <c r="Q65" s="180">
        <v>-0.11435506269676</v>
      </c>
      <c r="R65" s="180">
        <v>0.635928677758687</v>
      </c>
      <c r="S65" s="180">
        <v>0.0316040271045368</v>
      </c>
      <c r="T65" s="180">
        <v>2.96770527270732</v>
      </c>
      <c r="U65" s="180">
        <v>4.26640427160939</v>
      </c>
      <c r="V65" s="180">
        <v>0.410237812204381</v>
      </c>
      <c r="W65" s="180"/>
      <c r="X65" s="68"/>
      <c r="Y65" s="179"/>
      <c r="Z65" s="179"/>
      <c r="AA65" s="179"/>
      <c r="AB65" s="179"/>
      <c r="AC65" s="179"/>
      <c r="AD65" s="181"/>
      <c r="AE65" s="180"/>
    </row>
    <row r="66" ht="21.25" customHeight="1">
      <c r="A66" t="s" s="8">
        <v>240</v>
      </c>
      <c r="B66" t="s" s="177">
        <v>971</v>
      </c>
      <c r="C66" s="178">
        <v>26</v>
      </c>
      <c r="D66" t="s" s="177">
        <v>959</v>
      </c>
      <c r="E66" s="68">
        <v>76.3860714285714</v>
      </c>
      <c r="F66" s="179">
        <v>18.7420919846142</v>
      </c>
      <c r="G66" s="180">
        <v>0.266052149592754</v>
      </c>
      <c r="H66" s="180">
        <v>0.628744619634193</v>
      </c>
      <c r="I66" s="180">
        <v>0.894796769226946</v>
      </c>
      <c r="J66" s="180">
        <v>2.45271125293167</v>
      </c>
      <c r="K66" s="180">
        <v>0.0500889564366517</v>
      </c>
      <c r="L66" s="180">
        <v>0.306711086293577</v>
      </c>
      <c r="M66" s="180">
        <v>9.052636901035209e-05</v>
      </c>
      <c r="N66" s="180">
        <v>0.000165103797958322</v>
      </c>
      <c r="O66" s="180">
        <v>0.454769231047782</v>
      </c>
      <c r="P66" s="180">
        <v>0.5170194258354061</v>
      </c>
      <c r="Q66" s="180">
        <v>0.040285093094251</v>
      </c>
      <c r="R66" s="180">
        <v>0.418045047076716</v>
      </c>
      <c r="S66" s="180">
        <v>0.0411108723050605</v>
      </c>
      <c r="T66" s="180">
        <v>2.3220974145661</v>
      </c>
      <c r="U66" s="180">
        <v>3.2705159228776</v>
      </c>
      <c r="V66" s="180">
        <v>0.415207931329559</v>
      </c>
      <c r="W66" s="180"/>
      <c r="X66" s="68"/>
      <c r="Y66" s="179"/>
      <c r="Z66" s="179"/>
      <c r="AA66" s="179"/>
      <c r="AB66" s="179"/>
      <c r="AC66" s="179"/>
      <c r="AD66" s="181"/>
      <c r="AE66" s="180"/>
    </row>
    <row r="67" ht="21.25" customHeight="1">
      <c r="A67" t="s" s="8">
        <v>255</v>
      </c>
      <c r="B67" t="s" s="177">
        <v>946</v>
      </c>
      <c r="C67" s="178">
        <v>35</v>
      </c>
      <c r="D67" t="s" s="177">
        <v>926</v>
      </c>
      <c r="E67" s="68">
        <v>78.2</v>
      </c>
      <c r="F67" s="179">
        <v>18.9603441546428</v>
      </c>
      <c r="G67" s="180">
        <v>0.2844578889831</v>
      </c>
      <c r="H67" s="180">
        <v>0.609221969687723</v>
      </c>
      <c r="I67" s="180">
        <v>0.893679858670823</v>
      </c>
      <c r="J67" s="180">
        <v>2.40915145725877</v>
      </c>
      <c r="K67" s="180">
        <v>0.102621952514438</v>
      </c>
      <c r="L67" s="180">
        <v>0.356073800637804</v>
      </c>
      <c r="M67" s="180">
        <v>0.000534570334335568</v>
      </c>
      <c r="N67" s="180">
        <v>0.00101080537153561</v>
      </c>
      <c r="O67" s="180">
        <v>0.5615254147484</v>
      </c>
      <c r="P67" s="180">
        <v>0.61927768534959</v>
      </c>
      <c r="Q67" s="180">
        <v>0.0291700104983962</v>
      </c>
      <c r="R67" s="180">
        <v>0.338134405834124</v>
      </c>
      <c r="S67" s="180">
        <v>0.0456772281834568</v>
      </c>
      <c r="T67" s="180">
        <v>0.287054962032429</v>
      </c>
      <c r="U67" s="180">
        <v>0.456537611678821</v>
      </c>
      <c r="V67" s="180">
        <v>0.386037962428465</v>
      </c>
      <c r="W67" s="180"/>
      <c r="X67" s="68"/>
      <c r="Y67" s="179"/>
      <c r="Z67" s="179"/>
      <c r="AA67" s="179"/>
      <c r="AB67" s="179"/>
      <c r="AC67" s="179"/>
      <c r="AD67" s="181"/>
      <c r="AE67" s="180"/>
    </row>
    <row r="68" ht="21.25" customHeight="1">
      <c r="A68" t="s" s="8">
        <v>176</v>
      </c>
      <c r="B68" t="s" s="177">
        <v>947</v>
      </c>
      <c r="C68" s="178">
        <v>26</v>
      </c>
      <c r="D68" t="s" s="177">
        <v>944</v>
      </c>
      <c r="E68" s="68">
        <v>80.48999999999999</v>
      </c>
      <c r="F68" s="179">
        <v>18.5460134320808</v>
      </c>
      <c r="G68" s="180">
        <v>0.465392933696478</v>
      </c>
      <c r="H68" s="180">
        <v>0.426905592534252</v>
      </c>
      <c r="I68" s="180">
        <v>0.89229852623073</v>
      </c>
      <c r="J68" s="180">
        <v>3.92614196214921</v>
      </c>
      <c r="K68" s="180">
        <v>0.192904255512412</v>
      </c>
      <c r="L68" s="180">
        <v>0.307888843738884</v>
      </c>
      <c r="M68" s="180">
        <v>0.000575579734908178</v>
      </c>
      <c r="N68" s="180">
        <v>0.00105161298952136</v>
      </c>
      <c r="O68" s="180">
        <v>0.5194961033682181</v>
      </c>
      <c r="P68" s="180">
        <v>1.76810530476588</v>
      </c>
      <c r="Q68" s="180">
        <v>0.0272086953230213</v>
      </c>
      <c r="R68" s="180">
        <v>0.565048634722338</v>
      </c>
      <c r="S68" s="180">
        <v>0.06840251376459761</v>
      </c>
      <c r="T68" s="180">
        <v>0.25819085424255</v>
      </c>
      <c r="U68" s="180">
        <v>0.405626040714472</v>
      </c>
      <c r="V68" s="180">
        <v>0.38894890474167</v>
      </c>
      <c r="W68" s="180"/>
      <c r="X68" s="68"/>
      <c r="Y68" s="179"/>
      <c r="Z68" s="179"/>
      <c r="AA68" s="179"/>
      <c r="AB68" s="179"/>
      <c r="AC68" s="179"/>
      <c r="AD68" s="181"/>
      <c r="AE68" s="180"/>
    </row>
    <row r="69" ht="21.25" customHeight="1">
      <c r="A69" t="s" s="8">
        <v>232</v>
      </c>
      <c r="B69" t="s" s="177">
        <v>943</v>
      </c>
      <c r="C69" s="178">
        <v>27</v>
      </c>
      <c r="D69" t="s" s="177">
        <v>959</v>
      </c>
      <c r="E69" s="68">
        <v>81.1871428571429</v>
      </c>
      <c r="F69" s="179">
        <v>19.4591950002287</v>
      </c>
      <c r="G69" s="180">
        <v>0.398594414187545</v>
      </c>
      <c r="H69" s="180">
        <v>0.491563260686748</v>
      </c>
      <c r="I69" s="180">
        <v>0.890157674874293</v>
      </c>
      <c r="J69" s="180">
        <v>2.65805437712891</v>
      </c>
      <c r="K69" s="180">
        <v>0.174289365919955</v>
      </c>
      <c r="L69" s="180">
        <v>0.332830565482034</v>
      </c>
      <c r="M69" s="180">
        <v>0.00160061525732829</v>
      </c>
      <c r="N69" s="180">
        <v>0.0343758457596087</v>
      </c>
      <c r="O69" s="180">
        <v>0.5458143431753379</v>
      </c>
      <c r="P69" s="180">
        <v>0.716500483481032</v>
      </c>
      <c r="Q69" s="180">
        <v>0.0460529731792977</v>
      </c>
      <c r="R69" s="180">
        <v>0.211672216461171</v>
      </c>
      <c r="S69" s="180">
        <v>0.0571792779021906</v>
      </c>
      <c r="T69" s="180">
        <v>2.67785209938874</v>
      </c>
      <c r="U69" s="180">
        <v>2.78790057917526</v>
      </c>
      <c r="V69" s="180">
        <v>0.489932907116516</v>
      </c>
      <c r="W69" s="180"/>
      <c r="X69" s="68"/>
      <c r="Y69" s="179"/>
      <c r="Z69" s="179"/>
      <c r="AA69" s="179"/>
      <c r="AB69" s="179"/>
      <c r="AC69" s="179"/>
      <c r="AD69" s="181"/>
      <c r="AE69" s="180"/>
    </row>
    <row r="70" ht="21.25" customHeight="1">
      <c r="A70" t="s" s="8">
        <v>273</v>
      </c>
      <c r="B70" t="s" s="177">
        <v>956</v>
      </c>
      <c r="C70" s="178">
        <v>27</v>
      </c>
      <c r="D70" t="s" s="177">
        <v>925</v>
      </c>
      <c r="E70" s="68">
        <v>71.3946428571429</v>
      </c>
      <c r="F70" s="179">
        <v>16.8098446099355</v>
      </c>
      <c r="G70" s="180">
        <v>0.361930953854206</v>
      </c>
      <c r="H70" s="180">
        <v>0.524494821905968</v>
      </c>
      <c r="I70" s="180">
        <v>0.886425775760174</v>
      </c>
      <c r="J70" s="180">
        <v>3.20255200959202</v>
      </c>
      <c r="K70" s="180">
        <v>0.0949717805470128</v>
      </c>
      <c r="L70" s="180">
        <v>0.27299491120596</v>
      </c>
      <c r="M70" s="180">
        <v>0</v>
      </c>
      <c r="N70" s="180">
        <v>0</v>
      </c>
      <c r="O70" s="180">
        <v>0.311941511956854</v>
      </c>
      <c r="P70" s="180">
        <v>0.72359040759699</v>
      </c>
      <c r="Q70" s="180">
        <v>0.0561929617564384</v>
      </c>
      <c r="R70" s="180">
        <v>0.319969978156659</v>
      </c>
      <c r="S70" s="180">
        <v>0.0564624402500371</v>
      </c>
      <c r="T70" s="180">
        <v>0.0295672324420284</v>
      </c>
      <c r="U70" s="180">
        <v>0.0136005748174811</v>
      </c>
      <c r="V70" s="180">
        <v>0.684937093614246</v>
      </c>
      <c r="W70" s="180"/>
      <c r="X70" s="68"/>
      <c r="Y70" s="179"/>
      <c r="Z70" s="179"/>
      <c r="AA70" s="179"/>
      <c r="AB70" s="179"/>
      <c r="AC70" s="179"/>
      <c r="AD70" s="181"/>
      <c r="AE70" s="180"/>
    </row>
    <row r="71" ht="21.25" customHeight="1">
      <c r="A71" t="s" s="8">
        <v>305</v>
      </c>
      <c r="B71" t="s" s="177">
        <v>952</v>
      </c>
      <c r="C71" s="178">
        <v>27</v>
      </c>
      <c r="D71" t="s" s="177">
        <v>925</v>
      </c>
      <c r="E71" s="68">
        <v>81.61499999999999</v>
      </c>
      <c r="F71" s="179">
        <v>16.791718638704</v>
      </c>
      <c r="G71" s="180">
        <v>0.441274665890721</v>
      </c>
      <c r="H71" s="180">
        <v>0.443778868442817</v>
      </c>
      <c r="I71" s="180">
        <v>0.885053534333538</v>
      </c>
      <c r="J71" s="180">
        <v>1.8817017166173</v>
      </c>
      <c r="K71" s="180">
        <v>0.131246639974728</v>
      </c>
      <c r="L71" s="180">
        <v>0.21417039025734</v>
      </c>
      <c r="M71" s="180">
        <v>1.37749531965182e-05</v>
      </c>
      <c r="N71" s="180">
        <v>2.51358235343356e-05</v>
      </c>
      <c r="O71" s="180">
        <v>0.262028255488563</v>
      </c>
      <c r="P71" s="180">
        <v>0.294403569184896</v>
      </c>
      <c r="Q71" s="180">
        <v>0.0367454945269809</v>
      </c>
      <c r="R71" s="180">
        <v>0.197805410226437</v>
      </c>
      <c r="S71" s="180">
        <v>0.0624666867957801</v>
      </c>
      <c r="T71" s="180">
        <v>0</v>
      </c>
      <c r="U71" s="180">
        <v>0.0127637381525289</v>
      </c>
      <c r="V71" s="180">
        <v>0</v>
      </c>
      <c r="W71" s="180"/>
      <c r="X71" s="68"/>
      <c r="Y71" s="179"/>
      <c r="Z71" s="179"/>
      <c r="AA71" s="179"/>
      <c r="AB71" s="179"/>
      <c r="AC71" s="179"/>
      <c r="AD71" s="181"/>
      <c r="AE71" s="180"/>
    </row>
    <row r="72" ht="21.25" customHeight="1">
      <c r="A72" t="s" s="8">
        <v>252</v>
      </c>
      <c r="B72" t="s" s="177">
        <v>941</v>
      </c>
      <c r="C72" s="178">
        <v>28</v>
      </c>
      <c r="D72" t="s" s="177">
        <v>944</v>
      </c>
      <c r="E72" s="68">
        <v>73.98607142857141</v>
      </c>
      <c r="F72" s="179">
        <v>20.4072528168251</v>
      </c>
      <c r="G72" s="180">
        <v>0.375533347441324</v>
      </c>
      <c r="H72" s="180">
        <v>0.507733577114262</v>
      </c>
      <c r="I72" s="180">
        <v>0.883266924555587</v>
      </c>
      <c r="J72" s="180">
        <v>2.98555313243855</v>
      </c>
      <c r="K72" s="180">
        <v>0.152500113450949</v>
      </c>
      <c r="L72" s="180">
        <v>0.2755798885887</v>
      </c>
      <c r="M72" s="180">
        <v>0.0151744532548134</v>
      </c>
      <c r="N72" s="180">
        <v>0.034432817350883</v>
      </c>
      <c r="O72" s="180">
        <v>0.617537174538582</v>
      </c>
      <c r="P72" s="180">
        <v>1.15130364497078</v>
      </c>
      <c r="Q72" s="180">
        <v>0.083060242653234</v>
      </c>
      <c r="R72" s="180">
        <v>0.198236445597038</v>
      </c>
      <c r="S72" s="180">
        <v>0.0594150336284816</v>
      </c>
      <c r="T72" s="180">
        <v>0.00472474324778473</v>
      </c>
      <c r="U72" s="180">
        <v>0.0733487851696062</v>
      </c>
      <c r="V72" s="180">
        <v>0.0605165840914177</v>
      </c>
      <c r="W72" s="180"/>
      <c r="X72" s="68"/>
      <c r="Y72" s="179"/>
      <c r="Z72" s="179"/>
      <c r="AA72" s="179"/>
      <c r="AB72" s="179"/>
      <c r="AC72" s="179"/>
      <c r="AD72" s="181"/>
      <c r="AE72" s="180"/>
    </row>
    <row r="73" ht="21.25" customHeight="1">
      <c r="A73" t="s" s="8">
        <v>231</v>
      </c>
      <c r="B73" t="s" s="177">
        <v>951</v>
      </c>
      <c r="C73" s="178">
        <v>31</v>
      </c>
      <c r="D73" t="s" s="177">
        <v>925</v>
      </c>
      <c r="E73" s="68">
        <v>80.48999999999999</v>
      </c>
      <c r="F73" s="179">
        <v>18.0525463591648</v>
      </c>
      <c r="G73" s="180">
        <v>0.391172782772173</v>
      </c>
      <c r="H73" s="180">
        <v>0.483014928495682</v>
      </c>
      <c r="I73" s="180">
        <v>0.874187711267855</v>
      </c>
      <c r="J73" s="180">
        <v>3.1341699910854</v>
      </c>
      <c r="K73" s="180">
        <v>0.09426019560559951</v>
      </c>
      <c r="L73" s="180">
        <v>0.235738245183076</v>
      </c>
      <c r="M73" s="180">
        <v>0.000177734304644641</v>
      </c>
      <c r="N73" s="180">
        <v>0.000325888105177499</v>
      </c>
      <c r="O73" s="180">
        <v>0.232039788284216</v>
      </c>
      <c r="P73" s="180">
        <v>0.388153906602261</v>
      </c>
      <c r="Q73" s="180">
        <v>0.0116375580547468</v>
      </c>
      <c r="R73" s="180">
        <v>0.398736950066293</v>
      </c>
      <c r="S73" s="180">
        <v>0.0500775705818348</v>
      </c>
      <c r="T73" s="180">
        <v>1.59361241708252</v>
      </c>
      <c r="U73" s="180">
        <v>1.97449879016913</v>
      </c>
      <c r="V73" s="180">
        <v>0.446626330996563</v>
      </c>
      <c r="W73" s="180"/>
      <c r="X73" s="68"/>
      <c r="Y73" s="179"/>
      <c r="Z73" s="179"/>
      <c r="AA73" s="179"/>
      <c r="AB73" s="179"/>
      <c r="AC73" s="179"/>
      <c r="AD73" s="181"/>
      <c r="AE73" s="180"/>
    </row>
    <row r="74" ht="21.25" customHeight="1">
      <c r="A74" t="s" s="8">
        <v>251</v>
      </c>
      <c r="B74" t="s" s="177">
        <v>964</v>
      </c>
      <c r="C74" s="178">
        <v>28</v>
      </c>
      <c r="D74" t="s" s="177">
        <v>924</v>
      </c>
      <c r="E74" s="68">
        <v>81.51000000000001</v>
      </c>
      <c r="F74" s="179">
        <v>19.3996199273993</v>
      </c>
      <c r="G74" s="180">
        <v>0.366505993319699</v>
      </c>
      <c r="H74" s="180">
        <v>0.5033218278427281</v>
      </c>
      <c r="I74" s="180">
        <v>0.869827821162427</v>
      </c>
      <c r="J74" s="180">
        <v>2.52648125390346</v>
      </c>
      <c r="K74" s="180">
        <v>0.1297276834932</v>
      </c>
      <c r="L74" s="180">
        <v>0.267550645174876</v>
      </c>
      <c r="M74" s="180">
        <v>0.0100368834489108</v>
      </c>
      <c r="N74" s="180">
        <v>0.0282219816487346</v>
      </c>
      <c r="O74" s="180">
        <v>0.623722212889552</v>
      </c>
      <c r="P74" s="180">
        <v>1.10287634096662</v>
      </c>
      <c r="Q74" s="180">
        <v>0.0597426003506511</v>
      </c>
      <c r="R74" s="180">
        <v>0.283864950470149</v>
      </c>
      <c r="S74" s="180">
        <v>0.0612425101204546</v>
      </c>
      <c r="T74" s="180">
        <v>10.4959077833475</v>
      </c>
      <c r="U74" s="180">
        <v>9.00955931988811</v>
      </c>
      <c r="V74" s="180">
        <v>0.538100816955386</v>
      </c>
      <c r="W74" s="180"/>
      <c r="X74" s="68"/>
      <c r="Y74" s="179"/>
      <c r="Z74" s="179"/>
      <c r="AA74" s="179"/>
      <c r="AB74" s="179"/>
      <c r="AC74" s="179"/>
      <c r="AD74" s="181"/>
      <c r="AE74" s="180"/>
    </row>
    <row r="75" ht="21.25" customHeight="1">
      <c r="A75" t="s" s="8">
        <v>268</v>
      </c>
      <c r="B75" t="s" s="177">
        <v>972</v>
      </c>
      <c r="C75" s="178">
        <v>20</v>
      </c>
      <c r="D75" t="s" s="177">
        <v>924</v>
      </c>
      <c r="E75" s="68">
        <v>81.2</v>
      </c>
      <c r="F75" s="179">
        <v>18.6504598814529</v>
      </c>
      <c r="G75" s="180">
        <v>0.360608440246826</v>
      </c>
      <c r="H75" s="180">
        <v>0.506678933901891</v>
      </c>
      <c r="I75" s="180">
        <v>0.867287374148717</v>
      </c>
      <c r="J75" s="180">
        <v>2.13175620095656</v>
      </c>
      <c r="K75" s="180">
        <v>0.0830395720920029</v>
      </c>
      <c r="L75" s="180">
        <v>0.201555365380951</v>
      </c>
      <c r="M75" s="180">
        <v>0.0013947815875857</v>
      </c>
      <c r="N75" s="180">
        <v>0.009096898984486569</v>
      </c>
      <c r="O75" s="180">
        <v>0.618314236116328</v>
      </c>
      <c r="P75" s="180">
        <v>1.03474906004394</v>
      </c>
      <c r="Q75" s="180">
        <v>0.0267877966351179</v>
      </c>
      <c r="R75" s="180">
        <v>0.146325929245655</v>
      </c>
      <c r="S75" s="180">
        <v>0.0506874743752037</v>
      </c>
      <c r="T75" s="180">
        <v>5.54859389021796</v>
      </c>
      <c r="U75" s="180">
        <v>7.59179246324962</v>
      </c>
      <c r="V75" s="180">
        <v>0.42225500384574</v>
      </c>
      <c r="W75" s="180"/>
      <c r="X75" s="68"/>
      <c r="Y75" s="179"/>
      <c r="Z75" s="179"/>
      <c r="AA75" s="179"/>
      <c r="AB75" s="179"/>
      <c r="AC75" s="179"/>
      <c r="AD75" s="181"/>
      <c r="AE75" s="180"/>
    </row>
    <row r="76" ht="21.25" customHeight="1">
      <c r="A76" t="s" s="8">
        <v>260</v>
      </c>
      <c r="B76" t="s" s="177">
        <v>971</v>
      </c>
      <c r="C76" s="178">
        <v>31</v>
      </c>
      <c r="D76" t="s" s="177">
        <v>924</v>
      </c>
      <c r="E76" s="68">
        <v>80.655</v>
      </c>
      <c r="F76" s="179">
        <v>18.6743720439024</v>
      </c>
      <c r="G76" s="180">
        <v>0.435422552189198</v>
      </c>
      <c r="H76" s="180">
        <v>0.417391855444457</v>
      </c>
      <c r="I76" s="180">
        <v>0.852814407633655</v>
      </c>
      <c r="J76" s="180">
        <v>2.69586782573546</v>
      </c>
      <c r="K76" s="180">
        <v>0.117136987170724</v>
      </c>
      <c r="L76" s="180">
        <v>0.233949386402804</v>
      </c>
      <c r="M76" s="180">
        <v>0.00106303279788644</v>
      </c>
      <c r="N76" s="180">
        <v>0.00193974698505398</v>
      </c>
      <c r="O76" s="180">
        <v>0.537839682148234</v>
      </c>
      <c r="P76" s="180">
        <v>0.619043645054588</v>
      </c>
      <c r="Q76" s="180">
        <v>0.0272209823693128</v>
      </c>
      <c r="R76" s="180">
        <v>0.36643212617268</v>
      </c>
      <c r="S76" s="180">
        <v>0.0672823014931249</v>
      </c>
      <c r="T76" s="180">
        <v>6.30051137164682</v>
      </c>
      <c r="U76" s="180">
        <v>6.72883655808463</v>
      </c>
      <c r="V76" s="180">
        <v>0.483563061300235</v>
      </c>
      <c r="W76" s="180"/>
      <c r="X76" s="68"/>
      <c r="Y76" s="179"/>
      <c r="Z76" s="179"/>
      <c r="AA76" s="179"/>
      <c r="AB76" s="179"/>
      <c r="AC76" s="179"/>
      <c r="AD76" s="181"/>
      <c r="AE76" s="180"/>
    </row>
    <row r="77" ht="21.25" customHeight="1">
      <c r="A77" t="s" s="8">
        <v>285</v>
      </c>
      <c r="B77" t="s" s="177">
        <v>965</v>
      </c>
      <c r="C77" s="178">
        <v>29</v>
      </c>
      <c r="D77" t="s" s="177">
        <v>924</v>
      </c>
      <c r="E77" s="68">
        <v>80</v>
      </c>
      <c r="F77" s="179">
        <v>19.5370014793725</v>
      </c>
      <c r="G77" s="180">
        <v>0.337310776309551</v>
      </c>
      <c r="H77" s="180">
        <v>0.51484530452877</v>
      </c>
      <c r="I77" s="180">
        <v>0.852156080838321</v>
      </c>
      <c r="J77" s="180">
        <v>2.45489543909957</v>
      </c>
      <c r="K77" s="180">
        <v>0.0867676343161216</v>
      </c>
      <c r="L77" s="180">
        <v>0.277077396533718</v>
      </c>
      <c r="M77" s="180">
        <v>0.000770496246116179</v>
      </c>
      <c r="N77" s="180">
        <v>0.00182064303617949</v>
      </c>
      <c r="O77" s="180">
        <v>0.672802047444427</v>
      </c>
      <c r="P77" s="180">
        <v>1.12362777917395</v>
      </c>
      <c r="Q77" s="180">
        <v>0.00652358448533217</v>
      </c>
      <c r="R77" s="180">
        <v>0.47831659364611</v>
      </c>
      <c r="S77" s="180">
        <v>0.0418790739078427</v>
      </c>
      <c r="T77" s="180">
        <v>9.87968044792121</v>
      </c>
      <c r="U77" s="180">
        <v>8.427242164664101</v>
      </c>
      <c r="V77" s="180">
        <v>0.539669099880791</v>
      </c>
      <c r="W77" s="180"/>
      <c r="X77" s="68"/>
      <c r="Y77" s="179"/>
      <c r="Z77" s="179"/>
      <c r="AA77" s="179"/>
      <c r="AB77" s="179"/>
      <c r="AC77" s="179"/>
      <c r="AD77" s="181"/>
      <c r="AE77" s="180"/>
    </row>
    <row r="78" ht="21.25" customHeight="1">
      <c r="A78" t="s" s="8">
        <v>275</v>
      </c>
      <c r="B78" t="s" s="177">
        <v>973</v>
      </c>
      <c r="C78" s="178">
        <v>24</v>
      </c>
      <c r="D78" t="s" s="177">
        <v>924</v>
      </c>
      <c r="E78" s="68">
        <v>82.03</v>
      </c>
      <c r="F78" s="179">
        <v>20.9974186128049</v>
      </c>
      <c r="G78" s="180">
        <v>0.325240539980013</v>
      </c>
      <c r="H78" s="180">
        <v>0.526521182957787</v>
      </c>
      <c r="I78" s="180">
        <v>0.8517617229377999</v>
      </c>
      <c r="J78" s="180">
        <v>2.15939020671296</v>
      </c>
      <c r="K78" s="180">
        <v>0.100342489659561</v>
      </c>
      <c r="L78" s="180">
        <v>0.252713269620973</v>
      </c>
      <c r="M78" s="180">
        <v>0.0203532143837313</v>
      </c>
      <c r="N78" s="180">
        <v>0.0310535956576933</v>
      </c>
      <c r="O78" s="180">
        <v>0.690116377344304</v>
      </c>
      <c r="P78" s="180">
        <v>0.770204134986745</v>
      </c>
      <c r="Q78" s="180">
        <v>-0.109778326621316</v>
      </c>
      <c r="R78" s="180">
        <v>0.378864523550063</v>
      </c>
      <c r="S78" s="180">
        <v>0.0333183286637841</v>
      </c>
      <c r="T78" s="180">
        <v>8.1168924451139</v>
      </c>
      <c r="U78" s="180">
        <v>8.92561700601483</v>
      </c>
      <c r="V78" s="180">
        <v>0.47627331341021</v>
      </c>
      <c r="W78" s="180"/>
      <c r="X78" s="68"/>
      <c r="Y78" s="179"/>
      <c r="Z78" s="179"/>
      <c r="AA78" s="179"/>
      <c r="AB78" s="179"/>
      <c r="AC78" s="179"/>
      <c r="AD78" s="181"/>
      <c r="AE78" s="180"/>
    </row>
    <row r="79" ht="21.25" customHeight="1">
      <c r="A79" t="s" s="8">
        <v>228</v>
      </c>
      <c r="B79" t="s" s="177">
        <v>971</v>
      </c>
      <c r="C79" s="178">
        <v>28</v>
      </c>
      <c r="D79" t="s" s="177">
        <v>924</v>
      </c>
      <c r="E79" s="68">
        <v>79.8475</v>
      </c>
      <c r="F79" s="179">
        <v>21.0077869443916</v>
      </c>
      <c r="G79" s="180">
        <v>0.451992957367751</v>
      </c>
      <c r="H79" s="180">
        <v>0.398918399909261</v>
      </c>
      <c r="I79" s="180">
        <v>0.8509113572770119</v>
      </c>
      <c r="J79" s="180">
        <v>2.89015399289377</v>
      </c>
      <c r="K79" s="180">
        <v>0.149927667651427</v>
      </c>
      <c r="L79" s="180">
        <v>0.262525319819976</v>
      </c>
      <c r="M79" s="180">
        <v>0.0271573295254926</v>
      </c>
      <c r="N79" s="180">
        <v>0.0374475503920988</v>
      </c>
      <c r="O79" s="180">
        <v>0.6935758018943839</v>
      </c>
      <c r="P79" s="180">
        <v>0.9317033903384629</v>
      </c>
      <c r="Q79" s="180">
        <v>0.00416484029479426</v>
      </c>
      <c r="R79" s="180">
        <v>0.408573056427757</v>
      </c>
      <c r="S79" s="180">
        <v>0.0698427912782343</v>
      </c>
      <c r="T79" s="180">
        <v>12.3469696927726</v>
      </c>
      <c r="U79" s="180">
        <v>9.631199574444899</v>
      </c>
      <c r="V79" s="180">
        <v>0.5617833561410071</v>
      </c>
      <c r="W79" s="180"/>
      <c r="X79" s="68"/>
      <c r="Y79" s="179"/>
      <c r="Z79" s="179"/>
      <c r="AA79" s="179"/>
      <c r="AB79" s="179"/>
      <c r="AC79" s="179"/>
      <c r="AD79" s="181"/>
      <c r="AE79" s="180"/>
    </row>
    <row r="80" ht="21.25" customHeight="1">
      <c r="A80" t="s" s="8">
        <v>244</v>
      </c>
      <c r="B80" t="s" s="177">
        <v>948</v>
      </c>
      <c r="C80" s="178">
        <v>39</v>
      </c>
      <c r="D80" t="s" s="177">
        <v>959</v>
      </c>
      <c r="E80" s="68">
        <v>82.03</v>
      </c>
      <c r="F80" s="179">
        <v>17.4188282092397</v>
      </c>
      <c r="G80" s="180">
        <v>0.311121629388278</v>
      </c>
      <c r="H80" s="180">
        <v>0.53975065284496</v>
      </c>
      <c r="I80" s="180">
        <v>0.850872282233238</v>
      </c>
      <c r="J80" s="180">
        <v>2.31297902609095</v>
      </c>
      <c r="K80" s="180">
        <v>0.142750771383744</v>
      </c>
      <c r="L80" s="180">
        <v>0.303381135742577</v>
      </c>
      <c r="M80" s="180">
        <v>0.0006488465776258989</v>
      </c>
      <c r="N80" s="180">
        <v>0.0043416982136734</v>
      </c>
      <c r="O80" s="180">
        <v>0.727472096420532</v>
      </c>
      <c r="P80" s="180">
        <v>1.10616501350301</v>
      </c>
      <c r="Q80" s="180">
        <v>0.115605668625662</v>
      </c>
      <c r="R80" s="180">
        <v>0.194038801822411</v>
      </c>
      <c r="S80" s="180">
        <v>0.0497772551439506</v>
      </c>
      <c r="T80" s="180">
        <v>4.57314092140999</v>
      </c>
      <c r="U80" s="180">
        <v>4.08956002263288</v>
      </c>
      <c r="V80" s="180">
        <v>0.5279116699226269</v>
      </c>
      <c r="W80" s="180"/>
      <c r="X80" s="68"/>
      <c r="Y80" s="179"/>
      <c r="Z80" s="179"/>
      <c r="AA80" s="179"/>
      <c r="AB80" s="179"/>
      <c r="AC80" s="179"/>
      <c r="AD80" s="181"/>
      <c r="AE80" s="180"/>
    </row>
    <row r="81" ht="21.25" customHeight="1">
      <c r="A81" t="s" s="8">
        <v>208</v>
      </c>
      <c r="B81" t="s" s="177">
        <v>951</v>
      </c>
      <c r="C81" s="178">
        <v>22</v>
      </c>
      <c r="D81" t="s" s="177">
        <v>924</v>
      </c>
      <c r="E81" s="68">
        <v>81.48999999999999</v>
      </c>
      <c r="F81" s="179">
        <v>18.9416748033175</v>
      </c>
      <c r="G81" s="180">
        <v>0.3473120328111</v>
      </c>
      <c r="H81" s="180">
        <v>0.501474699621601</v>
      </c>
      <c r="I81" s="180">
        <v>0.848786732432701</v>
      </c>
      <c r="J81" s="180">
        <v>2.78710428192377</v>
      </c>
      <c r="K81" s="180">
        <v>0.0825953411021445</v>
      </c>
      <c r="L81" s="180">
        <v>0.277088864144363</v>
      </c>
      <c r="M81" s="180">
        <v>0.009928775229423059</v>
      </c>
      <c r="N81" s="180">
        <v>0.024203861085284</v>
      </c>
      <c r="O81" s="180">
        <v>0.399873018536162</v>
      </c>
      <c r="P81" s="180">
        <v>0.729004928938806</v>
      </c>
      <c r="Q81" s="180">
        <v>-0.031796440716067</v>
      </c>
      <c r="R81" s="180">
        <v>0.549084932112083</v>
      </c>
      <c r="S81" s="180">
        <v>0.0444625587541149</v>
      </c>
      <c r="T81" s="180">
        <v>7.23148063792162</v>
      </c>
      <c r="U81" s="180">
        <v>8.107173081895009</v>
      </c>
      <c r="V81" s="180">
        <v>0.471454716301404</v>
      </c>
      <c r="W81" s="180"/>
      <c r="X81" s="68"/>
      <c r="Y81" s="179"/>
      <c r="Z81" s="179"/>
      <c r="AA81" s="179"/>
      <c r="AB81" s="179"/>
      <c r="AC81" s="179"/>
      <c r="AD81" s="181"/>
      <c r="AE81" s="180"/>
    </row>
    <row r="82" ht="21.25" customHeight="1">
      <c r="A82" t="s" s="8">
        <v>199</v>
      </c>
      <c r="B82" t="s" s="177">
        <v>969</v>
      </c>
      <c r="C82" s="178">
        <v>25</v>
      </c>
      <c r="D82" t="s" s="177">
        <v>944</v>
      </c>
      <c r="E82" s="68">
        <v>81.4442857142857</v>
      </c>
      <c r="F82" s="179">
        <v>18.3494528229802</v>
      </c>
      <c r="G82" s="180">
        <v>0.39115560500594</v>
      </c>
      <c r="H82" s="180">
        <v>0.450788193500556</v>
      </c>
      <c r="I82" s="180">
        <v>0.841943798506496</v>
      </c>
      <c r="J82" s="180">
        <v>2.96585983651444</v>
      </c>
      <c r="K82" s="180">
        <v>0.132062449551926</v>
      </c>
      <c r="L82" s="180">
        <v>0.318815802272296</v>
      </c>
      <c r="M82" s="180">
        <v>0.000257320997785654</v>
      </c>
      <c r="N82" s="180">
        <v>0.000339043403591754</v>
      </c>
      <c r="O82" s="180">
        <v>0.432302859286321</v>
      </c>
      <c r="P82" s="180">
        <v>1.21853554029001</v>
      </c>
      <c r="Q82" s="180">
        <v>-0.0302031655852673</v>
      </c>
      <c r="R82" s="180">
        <v>0.285334251524366</v>
      </c>
      <c r="S82" s="180">
        <v>0.0517639132991915</v>
      </c>
      <c r="T82" s="180">
        <v>0.154825542429152</v>
      </c>
      <c r="U82" s="180">
        <v>0.193272891769402</v>
      </c>
      <c r="V82" s="180">
        <v>0.444775176267641</v>
      </c>
      <c r="W82" s="180"/>
      <c r="X82" s="68"/>
      <c r="Y82" s="179"/>
      <c r="Z82" s="179"/>
      <c r="AA82" s="179"/>
      <c r="AB82" s="179"/>
      <c r="AC82" s="179"/>
      <c r="AD82" s="181"/>
      <c r="AE82" s="180"/>
    </row>
    <row r="83" ht="21.25" customHeight="1">
      <c r="A83" t="s" s="8">
        <v>249</v>
      </c>
      <c r="B83" t="s" s="177">
        <v>963</v>
      </c>
      <c r="C83" s="178">
        <v>24</v>
      </c>
      <c r="D83" t="s" s="177">
        <v>959</v>
      </c>
      <c r="E83" s="68">
        <v>81.0407142857143</v>
      </c>
      <c r="F83" s="179">
        <v>18.3565549174542</v>
      </c>
      <c r="G83" s="180">
        <v>0.317553887374385</v>
      </c>
      <c r="H83" s="180">
        <v>0.520479114002545</v>
      </c>
      <c r="I83" s="180">
        <v>0.83803300137693</v>
      </c>
      <c r="J83" s="180">
        <v>2.76643764552634</v>
      </c>
      <c r="K83" s="180">
        <v>0.0860352191000404</v>
      </c>
      <c r="L83" s="180">
        <v>0.26481706752701</v>
      </c>
      <c r="M83" s="180">
        <v>0.00359814458275432</v>
      </c>
      <c r="N83" s="180">
        <v>0.008440212728567551</v>
      </c>
      <c r="O83" s="180">
        <v>0.296090255957333</v>
      </c>
      <c r="P83" s="180">
        <v>0.752731493341191</v>
      </c>
      <c r="Q83" s="180">
        <v>0.0751642203189926</v>
      </c>
      <c r="R83" s="180">
        <v>0.391896602403841</v>
      </c>
      <c r="S83" s="180">
        <v>0.0569762779642309</v>
      </c>
      <c r="T83" s="180">
        <v>1.91331263644224</v>
      </c>
      <c r="U83" s="180">
        <v>2.31908021260478</v>
      </c>
      <c r="V83" s="180">
        <v>0.452064046198605</v>
      </c>
      <c r="W83" s="180"/>
      <c r="X83" s="68"/>
      <c r="Y83" s="179"/>
      <c r="Z83" s="179"/>
      <c r="AA83" s="179"/>
      <c r="AB83" s="179"/>
      <c r="AC83" s="179"/>
      <c r="AD83" s="181"/>
      <c r="AE83" s="180"/>
    </row>
    <row r="84" ht="21.25" customHeight="1">
      <c r="A84" t="s" s="8">
        <v>278</v>
      </c>
      <c r="B84" t="s" s="177">
        <v>972</v>
      </c>
      <c r="C84" s="178">
        <v>27</v>
      </c>
      <c r="D84" t="s" s="177">
        <v>925</v>
      </c>
      <c r="E84" s="68">
        <v>77.7</v>
      </c>
      <c r="F84" s="179">
        <v>17.1326661405331</v>
      </c>
      <c r="G84" s="180">
        <v>0.439134943700101</v>
      </c>
      <c r="H84" s="180">
        <v>0.394890535337405</v>
      </c>
      <c r="I84" s="180">
        <v>0.834025479037506</v>
      </c>
      <c r="J84" s="180">
        <v>2.73702828065261</v>
      </c>
      <c r="K84" s="180">
        <v>0.107654043331725</v>
      </c>
      <c r="L84" s="180">
        <v>0.227950042862174</v>
      </c>
      <c r="M84" s="180">
        <v>0.0244322240919874</v>
      </c>
      <c r="N84" s="180">
        <v>0.0256970400395441</v>
      </c>
      <c r="O84" s="180">
        <v>0.394889451284182</v>
      </c>
      <c r="P84" s="180">
        <v>0.900267927210694</v>
      </c>
      <c r="Q84" s="180">
        <v>0.0297197725300412</v>
      </c>
      <c r="R84" s="180">
        <v>0.275890728482272</v>
      </c>
      <c r="S84" s="180">
        <v>0.0617252363555884</v>
      </c>
      <c r="T84" s="180">
        <v>0.833936412909535</v>
      </c>
      <c r="U84" s="180">
        <v>1.28930938799716</v>
      </c>
      <c r="V84" s="180">
        <v>0.392764894461779</v>
      </c>
      <c r="W84" s="180"/>
      <c r="X84" s="68"/>
      <c r="Y84" s="179"/>
      <c r="Z84" s="179"/>
      <c r="AA84" s="179"/>
      <c r="AB84" s="179"/>
      <c r="AC84" s="179"/>
      <c r="AD84" s="181"/>
      <c r="AE84" s="180"/>
    </row>
    <row r="85" ht="21.25" customHeight="1">
      <c r="A85" t="s" s="8">
        <v>143</v>
      </c>
      <c r="B85" t="s" s="177">
        <v>951</v>
      </c>
      <c r="C85" s="178">
        <v>23</v>
      </c>
      <c r="D85" t="s" s="177">
        <v>927</v>
      </c>
      <c r="E85" s="68">
        <v>81.48</v>
      </c>
      <c r="F85" s="179">
        <v>25.6128182727486</v>
      </c>
      <c r="G85" s="180">
        <v>0.17747077638923</v>
      </c>
      <c r="H85" s="180">
        <v>0.651772722324034</v>
      </c>
      <c r="I85" s="180">
        <v>0.829243498713265</v>
      </c>
      <c r="J85" s="180">
        <v>2.5103576767553</v>
      </c>
      <c r="K85" s="180">
        <v>0.0607568187163902</v>
      </c>
      <c r="L85" s="180">
        <v>0.367833293414267</v>
      </c>
      <c r="M85" s="180">
        <v>0.000314330013056262</v>
      </c>
      <c r="N85" s="180">
        <v>0.00384695655086245</v>
      </c>
      <c r="O85" s="180">
        <v>1.50186014901326</v>
      </c>
      <c r="P85" s="180">
        <v>1.38743927539798</v>
      </c>
      <c r="Q85" s="180">
        <v>-0.00710670276082574</v>
      </c>
      <c r="R85" s="180">
        <v>0.88094084114975</v>
      </c>
      <c r="S85" s="180">
        <v>0.0227196413509701</v>
      </c>
      <c r="T85" s="180">
        <v>0</v>
      </c>
      <c r="U85" s="180">
        <v>0</v>
      </c>
      <c r="V85" s="180">
        <v>0</v>
      </c>
      <c r="W85" s="180"/>
      <c r="X85" s="68"/>
      <c r="Y85" s="179"/>
      <c r="Z85" s="179"/>
      <c r="AA85" s="179"/>
      <c r="AB85" s="179"/>
      <c r="AC85" s="179"/>
      <c r="AD85" s="181"/>
      <c r="AE85" s="180"/>
    </row>
    <row r="86" ht="21.25" customHeight="1">
      <c r="A86" t="s" s="8">
        <v>266</v>
      </c>
      <c r="B86" t="s" s="177">
        <v>962</v>
      </c>
      <c r="C86" s="178">
        <v>25</v>
      </c>
      <c r="D86" t="s" s="177">
        <v>940</v>
      </c>
      <c r="E86" s="68">
        <v>78.83071428571429</v>
      </c>
      <c r="F86" s="179">
        <v>18.5890841412554</v>
      </c>
      <c r="G86" s="180">
        <v>0.351972025578877</v>
      </c>
      <c r="H86" s="180">
        <v>0.466774398251424</v>
      </c>
      <c r="I86" s="180">
        <v>0.8187464238303011</v>
      </c>
      <c r="J86" s="180">
        <v>2.7293317749138</v>
      </c>
      <c r="K86" s="180">
        <v>0.13728214585513</v>
      </c>
      <c r="L86" s="180">
        <v>0.260313254965273</v>
      </c>
      <c r="M86" s="180">
        <v>0.000424951152801817</v>
      </c>
      <c r="N86" s="180">
        <v>0.00077539299126708</v>
      </c>
      <c r="O86" s="180">
        <v>0.600426550555767</v>
      </c>
      <c r="P86" s="180">
        <v>1.11205378470952</v>
      </c>
      <c r="Q86" s="180">
        <v>0.0136529103040746</v>
      </c>
      <c r="R86" s="180">
        <v>0.930825074556799</v>
      </c>
      <c r="S86" s="180">
        <v>0.0521133496870176</v>
      </c>
      <c r="T86" s="180">
        <v>6.34013525926732</v>
      </c>
      <c r="U86" s="180">
        <v>7.04217771927909</v>
      </c>
      <c r="V86" s="180">
        <v>0.47376976382419</v>
      </c>
      <c r="W86" s="180"/>
      <c r="X86" s="68"/>
      <c r="Y86" s="179"/>
      <c r="Z86" s="179"/>
      <c r="AA86" s="179"/>
      <c r="AB86" s="179"/>
      <c r="AC86" s="179"/>
      <c r="AD86" s="181"/>
      <c r="AE86" s="180"/>
    </row>
    <row r="87" ht="21.25" customHeight="1">
      <c r="A87" t="s" s="8">
        <v>288</v>
      </c>
      <c r="B87" t="s" s="177">
        <v>942</v>
      </c>
      <c r="C87" s="178">
        <v>24</v>
      </c>
      <c r="D87" t="s" s="177">
        <v>925</v>
      </c>
      <c r="E87" s="68">
        <v>81.2</v>
      </c>
      <c r="F87" s="179">
        <v>19.4630187895212</v>
      </c>
      <c r="G87" s="180">
        <v>0.388066105079956</v>
      </c>
      <c r="H87" s="180">
        <v>0.428424360240216</v>
      </c>
      <c r="I87" s="180">
        <v>0.816490465320172</v>
      </c>
      <c r="J87" s="180">
        <v>2.28170475923333</v>
      </c>
      <c r="K87" s="180">
        <v>0.101915916715601</v>
      </c>
      <c r="L87" s="180">
        <v>0.214878441506388</v>
      </c>
      <c r="M87" s="180">
        <v>0.013582457581337</v>
      </c>
      <c r="N87" s="180">
        <v>0.0426190601212045</v>
      </c>
      <c r="O87" s="180">
        <v>0.64922722120383</v>
      </c>
      <c r="P87" s="180">
        <v>0.932439864715172</v>
      </c>
      <c r="Q87" s="180">
        <v>0.00446194666237713</v>
      </c>
      <c r="R87" s="180">
        <v>0.497100176200928</v>
      </c>
      <c r="S87" s="180">
        <v>0.0607324864102683</v>
      </c>
      <c r="T87" s="180">
        <v>0.343340971815887</v>
      </c>
      <c r="U87" s="180">
        <v>0.645067583954824</v>
      </c>
      <c r="V87" s="180">
        <v>0.347367462383171</v>
      </c>
      <c r="W87" s="180"/>
      <c r="X87" s="68"/>
      <c r="Y87" s="179"/>
      <c r="Z87" s="179"/>
      <c r="AA87" s="179"/>
      <c r="AB87" s="179"/>
      <c r="AC87" s="179"/>
      <c r="AD87" s="181"/>
      <c r="AE87" s="180"/>
    </row>
    <row r="88" ht="21.25" customHeight="1">
      <c r="A88" t="s" s="8">
        <v>309</v>
      </c>
      <c r="B88" t="s" s="177">
        <v>949</v>
      </c>
      <c r="C88" s="178">
        <v>26</v>
      </c>
      <c r="D88" t="s" s="177">
        <v>924</v>
      </c>
      <c r="E88" s="68">
        <v>79.5014285714286</v>
      </c>
      <c r="F88" s="179">
        <v>20.0239784051194</v>
      </c>
      <c r="G88" s="180">
        <v>0.32479224670674</v>
      </c>
      <c r="H88" s="180">
        <v>0.490144951424522</v>
      </c>
      <c r="I88" s="180">
        <v>0.814937198131262</v>
      </c>
      <c r="J88" s="180">
        <v>2.18721962098177</v>
      </c>
      <c r="K88" s="180">
        <v>0.084062150076248</v>
      </c>
      <c r="L88" s="180">
        <v>0.20488540459106</v>
      </c>
      <c r="M88" s="180">
        <v>0.00251681602394906</v>
      </c>
      <c r="N88" s="180">
        <v>0.0141761633587755</v>
      </c>
      <c r="O88" s="180">
        <v>0.334001139006027</v>
      </c>
      <c r="P88" s="180">
        <v>1.0322925495062</v>
      </c>
      <c r="Q88" s="180">
        <v>0.0475960431376246</v>
      </c>
      <c r="R88" s="180">
        <v>0.321442676335072</v>
      </c>
      <c r="S88" s="180">
        <v>0.0545262265118867</v>
      </c>
      <c r="T88" s="180">
        <v>2.76431091783287</v>
      </c>
      <c r="U88" s="180">
        <v>2.98397314613712</v>
      </c>
      <c r="V88" s="180">
        <v>0.480893234758431</v>
      </c>
      <c r="W88" s="180"/>
      <c r="X88" s="68"/>
      <c r="Y88" s="179"/>
      <c r="Z88" s="179"/>
      <c r="AA88" s="179"/>
      <c r="AB88" s="179"/>
      <c r="AC88" s="179"/>
      <c r="AD88" s="181"/>
      <c r="AE88" s="180"/>
    </row>
    <row r="89" ht="21.25" customHeight="1">
      <c r="A89" t="s" s="8">
        <v>257</v>
      </c>
      <c r="B89" t="s" s="177">
        <v>973</v>
      </c>
      <c r="C89" s="178">
        <v>22</v>
      </c>
      <c r="D89" t="s" s="177">
        <v>944</v>
      </c>
      <c r="E89" s="68">
        <v>73.03</v>
      </c>
      <c r="F89" s="179">
        <v>18.1097208337553</v>
      </c>
      <c r="G89" s="180">
        <v>0.474423136662839</v>
      </c>
      <c r="H89" s="180">
        <v>0.337725467443533</v>
      </c>
      <c r="I89" s="180">
        <v>0.812148604106372</v>
      </c>
      <c r="J89" s="180">
        <v>3.28420984253956</v>
      </c>
      <c r="K89" s="180">
        <v>0.127674499468044</v>
      </c>
      <c r="L89" s="180">
        <v>0.245981683600821</v>
      </c>
      <c r="M89" s="180">
        <v>4.58180614513328e-05</v>
      </c>
      <c r="N89" s="180">
        <v>8.4379486605225e-05</v>
      </c>
      <c r="O89" s="180">
        <v>0.247038483241584</v>
      </c>
      <c r="P89" s="180">
        <v>0.453243728564677</v>
      </c>
      <c r="Q89" s="180">
        <v>-0.096168649197274</v>
      </c>
      <c r="R89" s="180">
        <v>0.194536207361005</v>
      </c>
      <c r="S89" s="180">
        <v>0.0486009093270083</v>
      </c>
      <c r="T89" s="180">
        <v>0.008627762117359911</v>
      </c>
      <c r="U89" s="180">
        <v>0.025612103890248</v>
      </c>
      <c r="V89" s="180">
        <v>0.251980019882171</v>
      </c>
      <c r="W89" s="180"/>
      <c r="X89" s="68"/>
      <c r="Y89" s="179"/>
      <c r="Z89" s="179"/>
      <c r="AA89" s="179"/>
      <c r="AB89" s="179"/>
      <c r="AC89" s="179"/>
      <c r="AD89" s="181"/>
      <c r="AE89" s="180"/>
    </row>
    <row r="90" ht="21.25" customHeight="1">
      <c r="A90" t="s" s="8">
        <v>259</v>
      </c>
      <c r="B90" t="s" s="177">
        <v>958</v>
      </c>
      <c r="C90" s="178">
        <v>25</v>
      </c>
      <c r="D90" t="s" s="177">
        <v>926</v>
      </c>
      <c r="E90" s="68">
        <v>77.08</v>
      </c>
      <c r="F90" s="179">
        <v>18.2517564047637</v>
      </c>
      <c r="G90" s="180">
        <v>0.313373433794943</v>
      </c>
      <c r="H90" s="180">
        <v>0.498448100324477</v>
      </c>
      <c r="I90" s="180">
        <v>0.81182153411942</v>
      </c>
      <c r="J90" s="180">
        <v>2.79647449947766</v>
      </c>
      <c r="K90" s="180">
        <v>0.125427143232578</v>
      </c>
      <c r="L90" s="180">
        <v>0.313272426218302</v>
      </c>
      <c r="M90" s="180">
        <v>0.000254010280885744</v>
      </c>
      <c r="N90" s="180">
        <v>0.000462694611949909</v>
      </c>
      <c r="O90" s="180">
        <v>0.41781138044535</v>
      </c>
      <c r="P90" s="180">
        <v>1.4403371069064</v>
      </c>
      <c r="Q90" s="180">
        <v>0.00392953131626374</v>
      </c>
      <c r="R90" s="180">
        <v>0.379769640847613</v>
      </c>
      <c r="S90" s="180">
        <v>0.0471269484274249</v>
      </c>
      <c r="T90" s="180">
        <v>0.176600197583489</v>
      </c>
      <c r="U90" s="180">
        <v>0.300478148555235</v>
      </c>
      <c r="V90" s="180">
        <v>0.370170222590939</v>
      </c>
      <c r="W90" s="180"/>
      <c r="X90" s="68"/>
      <c r="Y90" s="179"/>
      <c r="Z90" s="179"/>
      <c r="AA90" s="179"/>
      <c r="AB90" s="179"/>
      <c r="AC90" s="179"/>
      <c r="AD90" s="181"/>
      <c r="AE90" s="180"/>
    </row>
    <row r="91" ht="21.25" customHeight="1">
      <c r="A91" t="s" s="8">
        <v>310</v>
      </c>
      <c r="B91" t="s" s="177">
        <v>972</v>
      </c>
      <c r="C91" s="178">
        <v>28</v>
      </c>
      <c r="D91" t="s" s="177">
        <v>944</v>
      </c>
      <c r="E91" s="68">
        <v>75.45821428571431</v>
      </c>
      <c r="F91" s="179">
        <v>16.6575737399841</v>
      </c>
      <c r="G91" s="180">
        <v>0.294074610939898</v>
      </c>
      <c r="H91" s="180">
        <v>0.513475964841123</v>
      </c>
      <c r="I91" s="180">
        <v>0.807550575781021</v>
      </c>
      <c r="J91" s="180">
        <v>2.12885198907271</v>
      </c>
      <c r="K91" s="180">
        <v>0.0816224817362288</v>
      </c>
      <c r="L91" s="180">
        <v>0.248926852709862</v>
      </c>
      <c r="M91" s="180">
        <v>2.15340654735096e-05</v>
      </c>
      <c r="N91" s="180">
        <v>3.95300498360382e-05</v>
      </c>
      <c r="O91" s="180">
        <v>0.362193783581293</v>
      </c>
      <c r="P91" s="180">
        <v>0.525010169988509</v>
      </c>
      <c r="Q91" s="180">
        <v>-0.00877036666756867</v>
      </c>
      <c r="R91" s="180">
        <v>0.281578582424938</v>
      </c>
      <c r="S91" s="180">
        <v>0.041335414379684</v>
      </c>
      <c r="T91" s="180">
        <v>0.0413980226166099</v>
      </c>
      <c r="U91" s="180">
        <v>0.105155885623495</v>
      </c>
      <c r="V91" s="180">
        <v>0.282476415086699</v>
      </c>
      <c r="W91" s="180"/>
      <c r="X91" s="68"/>
      <c r="Y91" s="179"/>
      <c r="Z91" s="179"/>
      <c r="AA91" s="179"/>
      <c r="AB91" s="179"/>
      <c r="AC91" s="179"/>
      <c r="AD91" s="181"/>
      <c r="AE91" s="180"/>
    </row>
    <row r="92" ht="21.25" customHeight="1">
      <c r="A92" t="s" s="8">
        <v>284</v>
      </c>
      <c r="B92" t="s" s="177">
        <v>962</v>
      </c>
      <c r="C92" s="178">
        <v>35</v>
      </c>
      <c r="D92" t="s" s="177">
        <v>924</v>
      </c>
      <c r="E92" s="68">
        <v>81.8925</v>
      </c>
      <c r="F92" s="179">
        <v>20.2419070903201</v>
      </c>
      <c r="G92" s="180">
        <v>0.265435915594921</v>
      </c>
      <c r="H92" s="180">
        <v>0.541040816577007</v>
      </c>
      <c r="I92" s="180">
        <v>0.8064767321719279</v>
      </c>
      <c r="J92" s="180">
        <v>2.20638311305157</v>
      </c>
      <c r="K92" s="180">
        <v>0.0683844585330846</v>
      </c>
      <c r="L92" s="180">
        <v>0.238678341087899</v>
      </c>
      <c r="M92" s="180">
        <v>0.00138014742204632</v>
      </c>
      <c r="N92" s="180">
        <v>0.0113357394797684</v>
      </c>
      <c r="O92" s="180">
        <v>0.946234555544854</v>
      </c>
      <c r="P92" s="180">
        <v>0.857809117644584</v>
      </c>
      <c r="Q92" s="180">
        <v>0.00946806114599282</v>
      </c>
      <c r="R92" s="180">
        <v>0.16672786830338</v>
      </c>
      <c r="S92" s="180">
        <v>0.0393007218858985</v>
      </c>
      <c r="T92" s="180">
        <v>10.9424740108674</v>
      </c>
      <c r="U92" s="180">
        <v>8.42462043384338</v>
      </c>
      <c r="V92" s="180">
        <v>0.565003389749867</v>
      </c>
      <c r="W92" s="180"/>
      <c r="X92" s="68"/>
      <c r="Y92" s="179"/>
      <c r="Z92" s="179"/>
      <c r="AA92" s="179"/>
      <c r="AB92" s="179"/>
      <c r="AC92" s="179"/>
      <c r="AD92" s="181"/>
      <c r="AE92" s="180"/>
    </row>
    <row r="93" ht="21.25" customHeight="1">
      <c r="A93" t="s" s="8">
        <v>326</v>
      </c>
      <c r="B93" t="s" s="177">
        <v>966</v>
      </c>
      <c r="C93" s="178">
        <v>29</v>
      </c>
      <c r="D93" t="s" s="177">
        <v>924</v>
      </c>
      <c r="E93" s="68">
        <v>80.70785714285709</v>
      </c>
      <c r="F93" s="179">
        <v>19.2897864609211</v>
      </c>
      <c r="G93" s="180">
        <v>0.243669327902955</v>
      </c>
      <c r="H93" s="180">
        <v>0.5565015885629651</v>
      </c>
      <c r="I93" s="180">
        <v>0.80017091646592</v>
      </c>
      <c r="J93" s="180">
        <v>1.65929241797509</v>
      </c>
      <c r="K93" s="180">
        <v>0.06919668252762221</v>
      </c>
      <c r="L93" s="180">
        <v>0.183562937876433</v>
      </c>
      <c r="M93" s="180">
        <v>0.0137862500081551</v>
      </c>
      <c r="N93" s="180">
        <v>0.0342478561403956</v>
      </c>
      <c r="O93" s="180">
        <v>0.640030153716861</v>
      </c>
      <c r="P93" s="180">
        <v>0.911724229048017</v>
      </c>
      <c r="Q93" s="180">
        <v>0.0810354720503548</v>
      </c>
      <c r="R93" s="180">
        <v>0.309259813179017</v>
      </c>
      <c r="S93" s="180">
        <v>0.039822216637966</v>
      </c>
      <c r="T93" s="180">
        <v>8.100395025576701</v>
      </c>
      <c r="U93" s="180">
        <v>6.74808923757363</v>
      </c>
      <c r="V93" s="180">
        <v>0.545536829350289</v>
      </c>
      <c r="W93" s="180"/>
      <c r="X93" s="68"/>
      <c r="Y93" s="179"/>
      <c r="Z93" s="179"/>
      <c r="AA93" s="179"/>
      <c r="AB93" s="179"/>
      <c r="AC93" s="179"/>
      <c r="AD93" s="181"/>
      <c r="AE93" s="180"/>
    </row>
    <row r="94" ht="21.25" customHeight="1">
      <c r="A94" t="s" s="8">
        <v>245</v>
      </c>
      <c r="B94" t="s" s="177">
        <v>966</v>
      </c>
      <c r="C94" s="178">
        <v>32</v>
      </c>
      <c r="D94" t="s" s="177">
        <v>926</v>
      </c>
      <c r="E94" s="68">
        <v>79.9935714285714</v>
      </c>
      <c r="F94" s="179">
        <v>17.6431850338474</v>
      </c>
      <c r="G94" s="180">
        <v>0.36674609769929</v>
      </c>
      <c r="H94" s="180">
        <v>0.431569075133832</v>
      </c>
      <c r="I94" s="180">
        <v>0.798315172833122</v>
      </c>
      <c r="J94" s="180">
        <v>3.2550332132248</v>
      </c>
      <c r="K94" s="180">
        <v>0.10633266023503</v>
      </c>
      <c r="L94" s="180">
        <v>0.249358197721561</v>
      </c>
      <c r="M94" s="180">
        <v>8.858091609002591e-06</v>
      </c>
      <c r="N94" s="180">
        <v>1.62461006167416e-05</v>
      </c>
      <c r="O94" s="180">
        <v>0.24967487971121</v>
      </c>
      <c r="P94" s="180">
        <v>0.941156832171035</v>
      </c>
      <c r="Q94" s="180">
        <v>0.0623948289903935</v>
      </c>
      <c r="R94" s="180">
        <v>0.369041963216771</v>
      </c>
      <c r="S94" s="180">
        <v>0.0599363189425561</v>
      </c>
      <c r="T94" s="180">
        <v>0.388563281930302</v>
      </c>
      <c r="U94" s="180">
        <v>0.552923038955709</v>
      </c>
      <c r="V94" s="180">
        <v>0.412712615478719</v>
      </c>
      <c r="W94" s="180"/>
      <c r="X94" s="68"/>
      <c r="Y94" s="179"/>
      <c r="Z94" s="179"/>
      <c r="AA94" s="179"/>
      <c r="AB94" s="179"/>
      <c r="AC94" s="179"/>
      <c r="AD94" s="181"/>
      <c r="AE94" s="180"/>
    </row>
    <row r="95" ht="21.25" customHeight="1">
      <c r="A95" t="s" s="8">
        <v>410</v>
      </c>
      <c r="B95" t="s" s="177">
        <v>970</v>
      </c>
      <c r="C95" s="178">
        <v>30</v>
      </c>
      <c r="D95" t="s" s="177">
        <v>924</v>
      </c>
      <c r="E95" s="68">
        <v>58.5767857142857</v>
      </c>
      <c r="F95" s="179">
        <v>20.2187346493902</v>
      </c>
      <c r="G95" s="180">
        <v>0.323251964534238</v>
      </c>
      <c r="H95" s="180">
        <v>0.472188621307512</v>
      </c>
      <c r="I95" s="180">
        <v>0.79544058584175</v>
      </c>
      <c r="J95" s="180">
        <v>2.81963534306951</v>
      </c>
      <c r="K95" s="180">
        <v>0.0671350107976843</v>
      </c>
      <c r="L95" s="180">
        <v>0.193077040731894</v>
      </c>
      <c r="M95" s="180">
        <v>0.00492103319985421</v>
      </c>
      <c r="N95" s="180">
        <v>0.0196626336884707</v>
      </c>
      <c r="O95" s="180">
        <v>0.58372172625312</v>
      </c>
      <c r="P95" s="180">
        <v>0.8891802692535939</v>
      </c>
      <c r="Q95" s="180">
        <v>-0.06330938486838179</v>
      </c>
      <c r="R95" s="180"/>
      <c r="S95" s="180">
        <v>0.0379968598291293</v>
      </c>
      <c r="T95" s="180">
        <v>9.17772124871896</v>
      </c>
      <c r="U95" s="180">
        <v>7.1283459403099</v>
      </c>
      <c r="V95" s="180">
        <v>0.5628408826190761</v>
      </c>
      <c r="W95" s="180"/>
      <c r="X95" s="68"/>
      <c r="Y95" s="179"/>
      <c r="Z95" s="179"/>
      <c r="AA95" s="179"/>
      <c r="AB95" s="179"/>
      <c r="AC95" s="179"/>
      <c r="AD95" s="181"/>
      <c r="AE95" s="180"/>
    </row>
    <row r="96" ht="21.25" customHeight="1">
      <c r="A96" t="s" s="8">
        <v>289</v>
      </c>
      <c r="B96" t="s" s="177">
        <v>958</v>
      </c>
      <c r="C96" s="178">
        <v>35</v>
      </c>
      <c r="D96" t="s" s="177">
        <v>959</v>
      </c>
      <c r="E96" s="68">
        <v>80.77464285714289</v>
      </c>
      <c r="F96" s="179">
        <v>18.1683663300304</v>
      </c>
      <c r="G96" s="180">
        <v>0.31703297957458</v>
      </c>
      <c r="H96" s="180">
        <v>0.471596986493759</v>
      </c>
      <c r="I96" s="180">
        <v>0.788629966068339</v>
      </c>
      <c r="J96" s="180">
        <v>2.49080223019571</v>
      </c>
      <c r="K96" s="180">
        <v>0.0460286110754899</v>
      </c>
      <c r="L96" s="180">
        <v>0.18549534592684</v>
      </c>
      <c r="M96" s="180">
        <v>0.0010157217159743</v>
      </c>
      <c r="N96" s="180">
        <v>0.00188412603335705</v>
      </c>
      <c r="O96" s="180">
        <v>0.333436641493418</v>
      </c>
      <c r="P96" s="180">
        <v>0.899899464046429</v>
      </c>
      <c r="Q96" s="180">
        <v>0.046495424237938</v>
      </c>
      <c r="R96" s="180">
        <v>0.362424737427218</v>
      </c>
      <c r="S96" s="180">
        <v>0.0476772925428666</v>
      </c>
      <c r="T96" s="180">
        <v>8.66366601397454</v>
      </c>
      <c r="U96" s="180">
        <v>5.95049117115662</v>
      </c>
      <c r="V96" s="180">
        <v>0.592826935157724</v>
      </c>
      <c r="W96" s="180"/>
      <c r="X96" s="68"/>
      <c r="Y96" s="179"/>
      <c r="Z96" s="179"/>
      <c r="AA96" s="179"/>
      <c r="AB96" s="179"/>
      <c r="AC96" s="179"/>
      <c r="AD96" s="181"/>
      <c r="AE96" s="180"/>
    </row>
    <row r="97" ht="21.25" customHeight="1">
      <c r="A97" t="s" s="8">
        <v>152</v>
      </c>
      <c r="B97" t="s" s="177">
        <v>948</v>
      </c>
      <c r="C97" s="178">
        <v>24</v>
      </c>
      <c r="D97" t="s" s="177">
        <v>927</v>
      </c>
      <c r="E97" s="68">
        <v>79.7010714285714</v>
      </c>
      <c r="F97" s="179">
        <v>25.6022257069601</v>
      </c>
      <c r="G97" s="180">
        <v>0.130955067053766</v>
      </c>
      <c r="H97" s="180">
        <v>0.649832554416391</v>
      </c>
      <c r="I97" s="180">
        <v>0.780787621470157</v>
      </c>
      <c r="J97" s="180">
        <v>2.49411533622698</v>
      </c>
      <c r="K97" s="180">
        <v>0.0424029290369107</v>
      </c>
      <c r="L97" s="180">
        <v>0.350724208129532</v>
      </c>
      <c r="M97" s="180">
        <v>0.000399546115784387</v>
      </c>
      <c r="N97" s="180">
        <v>0.00756840153617779</v>
      </c>
      <c r="O97" s="180">
        <v>1.31183060401615</v>
      </c>
      <c r="P97" s="180">
        <v>0.788985984750071</v>
      </c>
      <c r="Q97" s="180">
        <v>0.08915780193928551</v>
      </c>
      <c r="R97" s="180">
        <v>0.389268833011218</v>
      </c>
      <c r="S97" s="180">
        <v>0.0209518823810006</v>
      </c>
      <c r="T97" s="180">
        <v>0</v>
      </c>
      <c r="U97" s="180">
        <v>0</v>
      </c>
      <c r="V97" s="180">
        <v>0</v>
      </c>
      <c r="W97" s="180"/>
      <c r="X97" s="68"/>
      <c r="Y97" s="179"/>
      <c r="Z97" s="179"/>
      <c r="AA97" s="179"/>
      <c r="AB97" s="179"/>
      <c r="AC97" s="179"/>
      <c r="AD97" s="181"/>
      <c r="AE97" s="180"/>
    </row>
    <row r="98" ht="21.25" customHeight="1">
      <c r="A98" t="s" s="8">
        <v>207</v>
      </c>
      <c r="B98" t="s" s="177">
        <v>943</v>
      </c>
      <c r="C98" s="178">
        <v>29</v>
      </c>
      <c r="D98" t="s" s="177">
        <v>927</v>
      </c>
      <c r="E98" s="68">
        <v>70</v>
      </c>
      <c r="F98" s="179">
        <v>23.8134284774009</v>
      </c>
      <c r="G98" s="180">
        <v>0.175777389258573</v>
      </c>
      <c r="H98" s="180">
        <v>0.603711275831971</v>
      </c>
      <c r="I98" s="180">
        <v>0.779488665090544</v>
      </c>
      <c r="J98" s="180">
        <v>2.79973364939849</v>
      </c>
      <c r="K98" s="180">
        <v>0.034792922865515</v>
      </c>
      <c r="L98" s="180">
        <v>0.330372795049032</v>
      </c>
      <c r="M98" s="180">
        <v>0.00173278615721652</v>
      </c>
      <c r="N98" s="180">
        <v>0.00251264865229459</v>
      </c>
      <c r="O98" s="180">
        <v>1.19289528076719</v>
      </c>
      <c r="P98" s="180">
        <v>1.09889161632779</v>
      </c>
      <c r="Q98" s="180">
        <v>0.0615456765897548</v>
      </c>
      <c r="R98" s="180">
        <v>0.72177194246822</v>
      </c>
      <c r="S98" s="180">
        <v>0.025215667434337</v>
      </c>
      <c r="T98" s="180">
        <v>0</v>
      </c>
      <c r="U98" s="180">
        <v>0</v>
      </c>
      <c r="V98" s="180">
        <v>0</v>
      </c>
      <c r="W98" s="180"/>
      <c r="X98" s="68"/>
      <c r="Y98" s="179"/>
      <c r="Z98" s="179"/>
      <c r="AA98" s="179"/>
      <c r="AB98" s="179"/>
      <c r="AC98" s="179"/>
      <c r="AD98" s="181"/>
      <c r="AE98" s="180"/>
    </row>
    <row r="99" ht="21.25" customHeight="1">
      <c r="A99" t="s" s="8">
        <v>300</v>
      </c>
      <c r="B99" t="s" s="177">
        <v>941</v>
      </c>
      <c r="C99" s="178">
        <v>28</v>
      </c>
      <c r="D99" t="s" s="177">
        <v>925</v>
      </c>
      <c r="E99" s="68">
        <v>76.41714285714291</v>
      </c>
      <c r="F99" s="179">
        <v>19.6684192243607</v>
      </c>
      <c r="G99" s="180">
        <v>0.335184762498934</v>
      </c>
      <c r="H99" s="180">
        <v>0.441254729520255</v>
      </c>
      <c r="I99" s="180">
        <v>0.776439492019189</v>
      </c>
      <c r="J99" s="180">
        <v>2.4685691118115</v>
      </c>
      <c r="K99" s="180">
        <v>0.11337406459396</v>
      </c>
      <c r="L99" s="180">
        <v>0.27530600894774</v>
      </c>
      <c r="M99" s="180">
        <v>0.0185940676671217</v>
      </c>
      <c r="N99" s="180">
        <v>0.021998890016966</v>
      </c>
      <c r="O99" s="180">
        <v>0.618851818884654</v>
      </c>
      <c r="P99" s="180">
        <v>1.37111811022333</v>
      </c>
      <c r="Q99" s="180">
        <v>0.0624651704725087</v>
      </c>
      <c r="R99" s="180">
        <v>0.397485949244063</v>
      </c>
      <c r="S99" s="180">
        <v>0.0530312795689613</v>
      </c>
      <c r="T99" s="180">
        <v>0.0895806706340079</v>
      </c>
      <c r="U99" s="180">
        <v>0.28343090506056</v>
      </c>
      <c r="V99" s="180">
        <v>0.240155202870592</v>
      </c>
      <c r="W99" s="180"/>
      <c r="X99" s="68"/>
      <c r="Y99" s="179"/>
      <c r="Z99" s="179"/>
      <c r="AA99" s="179"/>
      <c r="AB99" s="179"/>
      <c r="AC99" s="179"/>
      <c r="AD99" s="181"/>
      <c r="AE99" s="180"/>
    </row>
    <row r="100" ht="21.25" customHeight="1">
      <c r="A100" t="s" s="8">
        <v>147</v>
      </c>
      <c r="B100" t="s" s="177">
        <v>947</v>
      </c>
      <c r="C100" s="178">
        <v>30</v>
      </c>
      <c r="D100" t="s" s="177">
        <v>927</v>
      </c>
      <c r="E100" s="68">
        <v>79.1335714285714</v>
      </c>
      <c r="F100" s="179">
        <v>22.4542655945122</v>
      </c>
      <c r="G100" s="180">
        <v>0.210621919144567</v>
      </c>
      <c r="H100" s="180">
        <v>0.562359089844615</v>
      </c>
      <c r="I100" s="180">
        <v>0.772981008989182</v>
      </c>
      <c r="J100" s="180">
        <v>3.28805157135424</v>
      </c>
      <c r="K100" s="180">
        <v>0.07664445698019649</v>
      </c>
      <c r="L100" s="180">
        <v>0.31568076512871</v>
      </c>
      <c r="M100" s="180">
        <v>0.00164878723209684</v>
      </c>
      <c r="N100" s="180">
        <v>0.00238476350723595</v>
      </c>
      <c r="O100" s="180">
        <v>1.22828225276006</v>
      </c>
      <c r="P100" s="180">
        <v>0.964420033199693</v>
      </c>
      <c r="Q100" s="180">
        <v>0.0168171178499395</v>
      </c>
      <c r="R100" s="180">
        <v>0.6089825746020801</v>
      </c>
      <c r="S100" s="180">
        <v>0.0309567844294091</v>
      </c>
      <c r="T100" s="180">
        <v>0</v>
      </c>
      <c r="U100" s="180">
        <v>0</v>
      </c>
      <c r="V100" s="180">
        <v>0</v>
      </c>
      <c r="W100" s="180"/>
      <c r="X100" s="68"/>
      <c r="Y100" s="179"/>
      <c r="Z100" s="179"/>
      <c r="AA100" s="179"/>
      <c r="AB100" s="179"/>
      <c r="AC100" s="179"/>
      <c r="AD100" s="181"/>
      <c r="AE100" s="180"/>
    </row>
    <row r="101" ht="21.25" customHeight="1">
      <c r="A101" t="s" s="8">
        <v>242</v>
      </c>
      <c r="B101" t="s" s="177">
        <v>946</v>
      </c>
      <c r="C101" s="178">
        <v>26</v>
      </c>
      <c r="D101" t="s" s="177">
        <v>924</v>
      </c>
      <c r="E101" s="68">
        <v>80.63249999999999</v>
      </c>
      <c r="F101" s="179">
        <v>19.4013634349118</v>
      </c>
      <c r="G101" s="180">
        <v>0.343536796430574</v>
      </c>
      <c r="H101" s="180">
        <v>0.423443748109837</v>
      </c>
      <c r="I101" s="180">
        <v>0.766980544540411</v>
      </c>
      <c r="J101" s="180">
        <v>3.08457738793255</v>
      </c>
      <c r="K101" s="180">
        <v>0.149780872212009</v>
      </c>
      <c r="L101" s="180">
        <v>0.274335066448501</v>
      </c>
      <c r="M101" s="180">
        <v>0.0139733906471405</v>
      </c>
      <c r="N101" s="180">
        <v>0.0216444122569978</v>
      </c>
      <c r="O101" s="180">
        <v>0.666752283223354</v>
      </c>
      <c r="P101" s="180">
        <v>1.58759053940321</v>
      </c>
      <c r="Q101" s="180">
        <v>0.0487411254473802</v>
      </c>
      <c r="R101" s="180">
        <v>0.480817676706917</v>
      </c>
      <c r="S101" s="180">
        <v>0.055163907375075</v>
      </c>
      <c r="T101" s="180">
        <v>8.834669604471831</v>
      </c>
      <c r="U101" s="180">
        <v>9.45497733628172</v>
      </c>
      <c r="V101" s="180">
        <v>0.483042107542609</v>
      </c>
      <c r="W101" s="180"/>
      <c r="X101" s="68"/>
      <c r="Y101" s="179"/>
      <c r="Z101" s="179"/>
      <c r="AA101" s="179"/>
      <c r="AB101" s="179"/>
      <c r="AC101" s="179"/>
      <c r="AD101" s="181"/>
      <c r="AE101" s="180"/>
    </row>
    <row r="102" ht="21.25" customHeight="1">
      <c r="A102" t="s" s="8">
        <v>177</v>
      </c>
      <c r="B102" t="s" s="177">
        <v>942</v>
      </c>
      <c r="C102" s="178">
        <v>32</v>
      </c>
      <c r="D102" t="s" s="177">
        <v>927</v>
      </c>
      <c r="E102" s="68">
        <v>81.40000000000001</v>
      </c>
      <c r="F102" s="179">
        <v>23.9259320894176</v>
      </c>
      <c r="G102" s="180">
        <v>0.159664974442905</v>
      </c>
      <c r="H102" s="180">
        <v>0.603188801718996</v>
      </c>
      <c r="I102" s="180">
        <v>0.762853776161901</v>
      </c>
      <c r="J102" s="180">
        <v>2.45398619317588</v>
      </c>
      <c r="K102" s="180">
        <v>0.031620557832005</v>
      </c>
      <c r="L102" s="180">
        <v>0.282297812338795</v>
      </c>
      <c r="M102" s="180">
        <v>0.00527983128127755</v>
      </c>
      <c r="N102" s="180">
        <v>0.011383759141358</v>
      </c>
      <c r="O102" s="180">
        <v>1.67213488186223</v>
      </c>
      <c r="P102" s="180">
        <v>1.19354424084849</v>
      </c>
      <c r="Q102" s="180">
        <v>-0.000225309957761518</v>
      </c>
      <c r="R102" s="180">
        <v>0.456452760248949</v>
      </c>
      <c r="S102" s="180">
        <v>0.0249876264987163</v>
      </c>
      <c r="T102" s="180">
        <v>0</v>
      </c>
      <c r="U102" s="180">
        <v>0</v>
      </c>
      <c r="V102" s="180">
        <v>0</v>
      </c>
      <c r="W102" s="180"/>
      <c r="X102" s="68"/>
      <c r="Y102" s="179"/>
      <c r="Z102" s="179"/>
      <c r="AA102" s="179"/>
      <c r="AB102" s="179"/>
      <c r="AC102" s="179"/>
      <c r="AD102" s="181"/>
      <c r="AE102" s="180"/>
    </row>
    <row r="103" ht="21.25" customHeight="1">
      <c r="A103" t="s" s="8">
        <v>256</v>
      </c>
      <c r="B103" t="s" s="177">
        <v>962</v>
      </c>
      <c r="C103" s="178">
        <v>26</v>
      </c>
      <c r="D103" t="s" s="177">
        <v>959</v>
      </c>
      <c r="E103" s="68">
        <v>81.48</v>
      </c>
      <c r="F103" s="179">
        <v>18.7638607183689</v>
      </c>
      <c r="G103" s="180">
        <v>0.441053388693482</v>
      </c>
      <c r="H103" s="180">
        <v>0.319248026034848</v>
      </c>
      <c r="I103" s="180">
        <v>0.760301414728329</v>
      </c>
      <c r="J103" s="180">
        <v>2.97511711337922</v>
      </c>
      <c r="K103" s="180">
        <v>0.10804857602192</v>
      </c>
      <c r="L103" s="180">
        <v>0.235348528284174</v>
      </c>
      <c r="M103" s="180">
        <v>0.0317951827464139</v>
      </c>
      <c r="N103" s="180">
        <v>0.0331022422650585</v>
      </c>
      <c r="O103" s="180">
        <v>0.399064335305221</v>
      </c>
      <c r="P103" s="180">
        <v>1.3829429628705</v>
      </c>
      <c r="Q103" s="180">
        <v>0.0009832629964627319</v>
      </c>
      <c r="R103" s="180">
        <v>0.551571289254034</v>
      </c>
      <c r="S103" s="180">
        <v>0.0653028303537056</v>
      </c>
      <c r="T103" s="180">
        <v>0.275165560779987</v>
      </c>
      <c r="U103" s="180">
        <v>0.420186392643491</v>
      </c>
      <c r="V103" s="180">
        <v>0.395721273845919</v>
      </c>
      <c r="W103" s="180"/>
      <c r="X103" s="68"/>
      <c r="Y103" s="179"/>
      <c r="Z103" s="179"/>
      <c r="AA103" s="179"/>
      <c r="AB103" s="179"/>
      <c r="AC103" s="179"/>
      <c r="AD103" s="181"/>
      <c r="AE103" s="180"/>
    </row>
    <row r="104" ht="21.25" customHeight="1">
      <c r="A104" t="s" s="8">
        <v>274</v>
      </c>
      <c r="B104" t="s" s="177">
        <v>964</v>
      </c>
      <c r="C104" s="178">
        <v>32</v>
      </c>
      <c r="D104" t="s" s="177">
        <v>924</v>
      </c>
      <c r="E104" s="68">
        <v>80.5175</v>
      </c>
      <c r="F104" s="179">
        <v>16.9462491491204</v>
      </c>
      <c r="G104" s="180">
        <v>0.278084907515776</v>
      </c>
      <c r="H104" s="180">
        <v>0.481861854811824</v>
      </c>
      <c r="I104" s="180">
        <v>0.7599467623275999</v>
      </c>
      <c r="J104" s="180">
        <v>3.09000305081946</v>
      </c>
      <c r="K104" s="180">
        <v>0.0972606134238605</v>
      </c>
      <c r="L104" s="180">
        <v>0.241805856253279</v>
      </c>
      <c r="M104" s="180">
        <v>0.000364967285415759</v>
      </c>
      <c r="N104" s="180">
        <v>0.000678438190413084</v>
      </c>
      <c r="O104" s="180">
        <v>0.34937473711438</v>
      </c>
      <c r="P104" s="180">
        <v>1.01503744828711</v>
      </c>
      <c r="Q104" s="180">
        <v>0.0331833821757934</v>
      </c>
      <c r="R104" s="180">
        <v>0.553065531890646</v>
      </c>
      <c r="S104" s="180">
        <v>0.0464675014141583</v>
      </c>
      <c r="T104" s="180">
        <v>7.22519992762406</v>
      </c>
      <c r="U104" s="180">
        <v>7.45183659680966</v>
      </c>
      <c r="V104" s="180">
        <v>0.492279208789584</v>
      </c>
      <c r="W104" s="180"/>
      <c r="X104" s="68"/>
      <c r="Y104" s="179"/>
      <c r="Z104" s="179"/>
      <c r="AA104" s="179"/>
      <c r="AB104" s="179"/>
      <c r="AC104" s="179"/>
      <c r="AD104" s="181"/>
      <c r="AE104" s="180"/>
    </row>
    <row r="105" ht="21.25" customHeight="1">
      <c r="A105" t="s" s="8">
        <v>333</v>
      </c>
      <c r="B105" t="s" s="177">
        <v>955</v>
      </c>
      <c r="C105" s="178">
        <v>31</v>
      </c>
      <c r="D105" t="s" s="177">
        <v>940</v>
      </c>
      <c r="E105" s="68">
        <v>79.28</v>
      </c>
      <c r="F105" s="179">
        <v>17.9408705585452</v>
      </c>
      <c r="G105" s="180">
        <v>0.276941797576759</v>
      </c>
      <c r="H105" s="180">
        <v>0.480019954298732</v>
      </c>
      <c r="I105" s="180">
        <v>0.75696175187549</v>
      </c>
      <c r="J105" s="180">
        <v>1.8180382390817</v>
      </c>
      <c r="K105" s="180">
        <v>0.0862523425982339</v>
      </c>
      <c r="L105" s="180">
        <v>0.205902621104096</v>
      </c>
      <c r="M105" s="180">
        <v>0.00134389455108989</v>
      </c>
      <c r="N105" s="180">
        <v>0.00249226487406906</v>
      </c>
      <c r="O105" s="180">
        <v>0.452518182718738</v>
      </c>
      <c r="P105" s="180">
        <v>1.63158911547512</v>
      </c>
      <c r="Q105" s="180">
        <v>-0.0690653515384082</v>
      </c>
      <c r="R105" s="180">
        <v>0.505422324908154</v>
      </c>
      <c r="S105" s="180">
        <v>0.0318684491591138</v>
      </c>
      <c r="T105" s="180">
        <v>5.60844382722307</v>
      </c>
      <c r="U105" s="180">
        <v>5.93514466302056</v>
      </c>
      <c r="V105" s="180">
        <v>0.485849251466578</v>
      </c>
      <c r="W105" s="180"/>
      <c r="X105" s="68"/>
      <c r="Y105" s="179"/>
      <c r="Z105" s="179"/>
      <c r="AA105" s="179"/>
      <c r="AB105" s="179"/>
      <c r="AC105" s="179"/>
      <c r="AD105" s="181"/>
      <c r="AE105" s="180"/>
    </row>
    <row r="106" ht="21.25" customHeight="1">
      <c r="A106" t="s" s="8">
        <v>393</v>
      </c>
      <c r="B106" t="s" s="177">
        <v>957</v>
      </c>
      <c r="C106" s="178">
        <v>22</v>
      </c>
      <c r="D106" t="s" s="177">
        <v>925</v>
      </c>
      <c r="E106" s="68">
        <v>74.56</v>
      </c>
      <c r="F106" s="179">
        <v>16.532772008532</v>
      </c>
      <c r="G106" s="180">
        <v>0.199487593884106</v>
      </c>
      <c r="H106" s="180">
        <v>0.553865842338702</v>
      </c>
      <c r="I106" s="180">
        <v>0.753353436222809</v>
      </c>
      <c r="J106" s="180">
        <v>1.20008860808642</v>
      </c>
      <c r="K106" s="180">
        <v>0.0325901153665959</v>
      </c>
      <c r="L106" s="180">
        <v>0.223480498241101</v>
      </c>
      <c r="M106" s="180">
        <v>0.00118983018309053</v>
      </c>
      <c r="N106" s="180">
        <v>0.00209967592723805</v>
      </c>
      <c r="O106" s="180">
        <v>0.353694198241417</v>
      </c>
      <c r="P106" s="180">
        <v>0.511285435455711</v>
      </c>
      <c r="Q106" s="180">
        <v>-0.029941821823157</v>
      </c>
      <c r="R106" s="180">
        <v>0.321648623988907</v>
      </c>
      <c r="S106" s="180">
        <v>0.0251746556703928</v>
      </c>
      <c r="T106" s="180">
        <v>0.024317681244956</v>
      </c>
      <c r="U106" s="180">
        <v>0.09011216103493</v>
      </c>
      <c r="V106" s="180">
        <v>0.212511708138834</v>
      </c>
      <c r="W106" s="180"/>
      <c r="X106" s="68"/>
      <c r="Y106" s="179"/>
      <c r="Z106" s="179"/>
      <c r="AA106" s="179"/>
      <c r="AB106" s="179"/>
      <c r="AC106" s="179"/>
      <c r="AD106" s="181"/>
      <c r="AE106" s="180"/>
    </row>
    <row r="107" ht="21.25" customHeight="1">
      <c r="A107" t="s" s="8">
        <v>351</v>
      </c>
      <c r="B107" t="s" s="177">
        <v>968</v>
      </c>
      <c r="C107" s="178">
        <v>26</v>
      </c>
      <c r="D107" t="s" s="177">
        <v>924</v>
      </c>
      <c r="E107" s="68">
        <v>74.09</v>
      </c>
      <c r="F107" s="179">
        <v>15.7015269812066</v>
      </c>
      <c r="G107" s="180">
        <v>0.286070989088887</v>
      </c>
      <c r="H107" s="180">
        <v>0.464672613343302</v>
      </c>
      <c r="I107" s="180">
        <v>0.750743602432189</v>
      </c>
      <c r="J107" s="180">
        <v>1.92920238672257</v>
      </c>
      <c r="K107" s="180">
        <v>0.0986039017281623</v>
      </c>
      <c r="L107" s="180">
        <v>0.253756964350063</v>
      </c>
      <c r="M107" s="180">
        <v>7.51767955349763e-05</v>
      </c>
      <c r="N107" s="180">
        <v>0.000137499993197234</v>
      </c>
      <c r="O107" s="180">
        <v>0.451460227020901</v>
      </c>
      <c r="P107" s="180">
        <v>0.402786895898617</v>
      </c>
      <c r="Q107" s="180">
        <v>-0.0167819698103072</v>
      </c>
      <c r="R107" s="180">
        <v>0.240537577442239</v>
      </c>
      <c r="S107" s="180">
        <v>0.0417738463297427</v>
      </c>
      <c r="T107" s="180">
        <v>3.69513957494609</v>
      </c>
      <c r="U107" s="180">
        <v>4.63057639128493</v>
      </c>
      <c r="V107" s="180">
        <v>0.443822440007985</v>
      </c>
      <c r="W107" s="180"/>
      <c r="X107" s="68"/>
      <c r="Y107" s="179"/>
      <c r="Z107" s="179"/>
      <c r="AA107" s="179"/>
      <c r="AB107" s="179"/>
      <c r="AC107" s="179"/>
      <c r="AD107" s="181"/>
      <c r="AE107" s="180"/>
    </row>
    <row r="108" ht="21.25" customHeight="1">
      <c r="A108" t="s" s="8">
        <v>222</v>
      </c>
      <c r="B108" t="s" s="177">
        <v>961</v>
      </c>
      <c r="C108" s="178">
        <v>33</v>
      </c>
      <c r="D108" t="s" s="177">
        <v>927</v>
      </c>
      <c r="E108" s="68">
        <v>72.59999999999999</v>
      </c>
      <c r="F108" s="179">
        <v>23.0603033650915</v>
      </c>
      <c r="G108" s="180">
        <v>0.183880953090765</v>
      </c>
      <c r="H108" s="180">
        <v>0.566491697074028</v>
      </c>
      <c r="I108" s="180">
        <v>0.750372650164793</v>
      </c>
      <c r="J108" s="180">
        <v>2.60006566588967</v>
      </c>
      <c r="K108" s="180">
        <v>0.0615296266580407</v>
      </c>
      <c r="L108" s="180">
        <v>0.270522700810307</v>
      </c>
      <c r="M108" s="180">
        <v>0.00681571413055189</v>
      </c>
      <c r="N108" s="180">
        <v>0.019234593390437</v>
      </c>
      <c r="O108" s="180">
        <v>1.75292511242966</v>
      </c>
      <c r="P108" s="180">
        <v>1.15882810813752</v>
      </c>
      <c r="Q108" s="180">
        <v>-0.0350363733430973</v>
      </c>
      <c r="R108" s="180">
        <v>0.308114970441577</v>
      </c>
      <c r="S108" s="180">
        <v>0.0226184396807752</v>
      </c>
      <c r="T108" s="180">
        <v>0</v>
      </c>
      <c r="U108" s="180">
        <v>0</v>
      </c>
      <c r="V108" s="180">
        <v>0</v>
      </c>
      <c r="W108" s="180"/>
      <c r="X108" s="68"/>
      <c r="Y108" s="179"/>
      <c r="Z108" s="179"/>
      <c r="AA108" s="179"/>
      <c r="AB108" s="179"/>
      <c r="AC108" s="179"/>
      <c r="AD108" s="181"/>
      <c r="AE108" s="180"/>
    </row>
    <row r="109" ht="21.25" customHeight="1">
      <c r="A109" t="s" s="8">
        <v>339</v>
      </c>
      <c r="B109" t="s" s="177">
        <v>958</v>
      </c>
      <c r="C109" s="178">
        <v>24</v>
      </c>
      <c r="D109" t="s" s="177">
        <v>924</v>
      </c>
      <c r="E109" s="68">
        <v>72.55249999999999</v>
      </c>
      <c r="F109" s="179">
        <v>18.3735997935614</v>
      </c>
      <c r="G109" s="180">
        <v>0.411069835074238</v>
      </c>
      <c r="H109" s="180">
        <v>0.338743062497912</v>
      </c>
      <c r="I109" s="180">
        <v>0.74981289757215</v>
      </c>
      <c r="J109" s="180">
        <v>2.22227032398646</v>
      </c>
      <c r="K109" s="180">
        <v>0.153338508915488</v>
      </c>
      <c r="L109" s="180">
        <v>0.276839497193715</v>
      </c>
      <c r="M109" s="180">
        <v>0.00645541129666885</v>
      </c>
      <c r="N109" s="180">
        <v>0.0109813428879293</v>
      </c>
      <c r="O109" s="180">
        <v>0.639087505661784</v>
      </c>
      <c r="P109" s="180">
        <v>1.08553964419345</v>
      </c>
      <c r="Q109" s="180">
        <v>0.01934301106778</v>
      </c>
      <c r="R109" s="180">
        <v>0.339022771780761</v>
      </c>
      <c r="S109" s="180">
        <v>0.0618191104555791</v>
      </c>
      <c r="T109" s="180">
        <v>6.84106854753849</v>
      </c>
      <c r="U109" s="180">
        <v>6.30254217370624</v>
      </c>
      <c r="V109" s="180">
        <v>0.520486241766191</v>
      </c>
      <c r="W109" s="180"/>
      <c r="X109" s="68"/>
      <c r="Y109" s="179"/>
      <c r="Z109" s="179"/>
      <c r="AA109" s="179"/>
      <c r="AB109" s="179"/>
      <c r="AC109" s="179"/>
      <c r="AD109" s="181"/>
      <c r="AE109" s="180"/>
    </row>
    <row r="110" ht="21.25" customHeight="1">
      <c r="A110" t="s" s="8">
        <v>411</v>
      </c>
      <c r="B110" t="s" s="177">
        <v>965</v>
      </c>
      <c r="C110" s="178">
        <v>20</v>
      </c>
      <c r="D110" t="s" s="177">
        <v>924</v>
      </c>
      <c r="E110" s="68">
        <v>66</v>
      </c>
      <c r="F110" s="179">
        <v>18.0726914871447</v>
      </c>
      <c r="G110" s="180">
        <v>0.303076798681746</v>
      </c>
      <c r="H110" s="180">
        <v>0.444543581634723</v>
      </c>
      <c r="I110" s="180">
        <v>0.74762038031647</v>
      </c>
      <c r="J110" s="180">
        <v>2.11300717543289</v>
      </c>
      <c r="K110" s="180">
        <v>0.0775277207669855</v>
      </c>
      <c r="L110" s="180">
        <v>0.290762637058244</v>
      </c>
      <c r="M110" s="180">
        <v>0.00190457970487817</v>
      </c>
      <c r="N110" s="180">
        <v>0.00337026111435049</v>
      </c>
      <c r="O110" s="180">
        <v>0.50535504180432</v>
      </c>
      <c r="P110" s="180">
        <v>0.856833695839317</v>
      </c>
      <c r="Q110" s="180">
        <v>-0.009995471961913209</v>
      </c>
      <c r="R110" s="180">
        <v>0.4805947290454</v>
      </c>
      <c r="S110" s="180">
        <v>0.0376287285885501</v>
      </c>
      <c r="T110" s="180">
        <v>0.26122858864484</v>
      </c>
      <c r="U110" s="180">
        <v>0.484904143771824</v>
      </c>
      <c r="V110" s="180">
        <v>0.350110077329997</v>
      </c>
      <c r="W110" s="180"/>
      <c r="X110" s="68"/>
      <c r="Y110" s="179"/>
      <c r="Z110" s="179"/>
      <c r="AA110" s="179"/>
      <c r="AB110" s="179"/>
      <c r="AC110" s="179"/>
      <c r="AD110" s="181"/>
      <c r="AE110" s="180"/>
    </row>
    <row r="111" ht="21.25" customHeight="1">
      <c r="A111" t="s" s="8">
        <v>325</v>
      </c>
      <c r="B111" t="s" s="177">
        <v>974</v>
      </c>
      <c r="C111" s="178">
        <v>31</v>
      </c>
      <c r="D111" t="s" s="177">
        <v>926</v>
      </c>
      <c r="E111" s="68">
        <v>74.07428571428569</v>
      </c>
      <c r="F111" s="179">
        <v>16.1419117937233</v>
      </c>
      <c r="G111" s="180">
        <v>0.287355183757756</v>
      </c>
      <c r="H111" s="180">
        <v>0.45722354601992</v>
      </c>
      <c r="I111" s="180">
        <v>0.744578729777676</v>
      </c>
      <c r="J111" s="180">
        <v>2.415562702273</v>
      </c>
      <c r="K111" s="180">
        <v>0.0440266635534551</v>
      </c>
      <c r="L111" s="180">
        <v>0.173244450028493</v>
      </c>
      <c r="M111" s="180">
        <v>0.000113507164679608</v>
      </c>
      <c r="N111" s="180">
        <v>0.00020973141557397</v>
      </c>
      <c r="O111" s="180">
        <v>0.520436077745821</v>
      </c>
      <c r="P111" s="180">
        <v>1.04784031886838</v>
      </c>
      <c r="Q111" s="180">
        <v>0.00301184196456529</v>
      </c>
      <c r="R111" s="180">
        <v>0.213055093878189</v>
      </c>
      <c r="S111" s="180"/>
      <c r="T111" s="180">
        <v>0.00712295508979545</v>
      </c>
      <c r="U111" s="180">
        <v>0.0386094072464945</v>
      </c>
      <c r="V111" s="180">
        <v>0.155753053765674</v>
      </c>
      <c r="W111" s="180"/>
      <c r="X111" s="68"/>
      <c r="Y111" s="179"/>
      <c r="Z111" s="179"/>
      <c r="AA111" s="179"/>
      <c r="AB111" s="179"/>
      <c r="AC111" s="179"/>
      <c r="AD111" s="181"/>
      <c r="AE111" s="180"/>
    </row>
    <row r="112" ht="21.25" customHeight="1">
      <c r="A112" t="s" s="8">
        <v>272</v>
      </c>
      <c r="B112" t="s" s="177">
        <v>950</v>
      </c>
      <c r="C112" s="178">
        <v>32</v>
      </c>
      <c r="D112" t="s" s="177">
        <v>925</v>
      </c>
      <c r="E112" s="68">
        <v>80.48142857142859</v>
      </c>
      <c r="F112" s="179">
        <v>18.5373016328704</v>
      </c>
      <c r="G112" s="180">
        <v>0.475524044231687</v>
      </c>
      <c r="H112" s="180">
        <v>0.267477158205566</v>
      </c>
      <c r="I112" s="180">
        <v>0.743001202437252</v>
      </c>
      <c r="J112" s="180">
        <v>2.860811204533</v>
      </c>
      <c r="K112" s="180">
        <v>0.17786315977061</v>
      </c>
      <c r="L112" s="180">
        <v>0.292077882286541</v>
      </c>
      <c r="M112" s="180">
        <v>0.0414812148824423</v>
      </c>
      <c r="N112" s="180">
        <v>0.04247474579577</v>
      </c>
      <c r="O112" s="180">
        <v>0.394943711488539</v>
      </c>
      <c r="P112" s="180">
        <v>1.60949609885607</v>
      </c>
      <c r="Q112" s="180">
        <v>0.0786711111844898</v>
      </c>
      <c r="R112" s="180">
        <v>0.396046044484554</v>
      </c>
      <c r="S112" s="180">
        <v>0.0810284091560952</v>
      </c>
      <c r="T112" s="180">
        <v>0.55735121123602</v>
      </c>
      <c r="U112" s="180">
        <v>0.658566643227941</v>
      </c>
      <c r="V112" s="180">
        <v>0.458379000842724</v>
      </c>
      <c r="W112" s="180"/>
      <c r="X112" s="68"/>
      <c r="Y112" s="179"/>
      <c r="Z112" s="179"/>
      <c r="AA112" s="179"/>
      <c r="AB112" s="179"/>
      <c r="AC112" s="179"/>
      <c r="AD112" s="181"/>
      <c r="AE112" s="180"/>
    </row>
    <row r="113" ht="21.25" customHeight="1">
      <c r="A113" t="s" s="8">
        <v>295</v>
      </c>
      <c r="B113" t="s" s="177">
        <v>969</v>
      </c>
      <c r="C113" s="178">
        <v>21</v>
      </c>
      <c r="D113" t="s" s="177">
        <v>944</v>
      </c>
      <c r="E113" s="68">
        <v>80.20999999999999</v>
      </c>
      <c r="F113" s="179">
        <v>17.9453802520324</v>
      </c>
      <c r="G113" s="180">
        <v>0.292939080326039</v>
      </c>
      <c r="H113" s="180">
        <v>0.449638892363773</v>
      </c>
      <c r="I113" s="180">
        <v>0.742577972689812</v>
      </c>
      <c r="J113" s="180">
        <v>2.03850055536765</v>
      </c>
      <c r="K113" s="180">
        <v>0.08065651569615891</v>
      </c>
      <c r="L113" s="180">
        <v>0.271468608361357</v>
      </c>
      <c r="M113" s="180">
        <v>0.000229549668652993</v>
      </c>
      <c r="N113" s="180">
        <v>0.000415180508938905</v>
      </c>
      <c r="O113" s="180">
        <v>0.30194301766567</v>
      </c>
      <c r="P113" s="180">
        <v>0.679188924766721</v>
      </c>
      <c r="Q113" s="180">
        <v>-0.0590778421948384</v>
      </c>
      <c r="R113" s="180">
        <v>0.305123851973076</v>
      </c>
      <c r="S113" s="180">
        <v>0.0387663450603289</v>
      </c>
      <c r="T113" s="180">
        <v>0.0895098075159495</v>
      </c>
      <c r="U113" s="180">
        <v>0.174010885837535</v>
      </c>
      <c r="V113" s="180">
        <v>0.339668989091045</v>
      </c>
      <c r="W113" s="180"/>
      <c r="X113" s="68"/>
      <c r="Y113" s="179"/>
      <c r="Z113" s="179"/>
      <c r="AA113" s="179"/>
      <c r="AB113" s="179"/>
      <c r="AC113" s="179"/>
      <c r="AD113" s="181"/>
      <c r="AE113" s="180"/>
    </row>
    <row r="114" ht="21.25" customHeight="1">
      <c r="A114" t="s" s="8">
        <v>297</v>
      </c>
      <c r="B114" t="s" s="177">
        <v>949</v>
      </c>
      <c r="C114" s="178">
        <v>26</v>
      </c>
      <c r="D114" t="s" s="177">
        <v>944</v>
      </c>
      <c r="E114" s="68">
        <v>75.9510714285714</v>
      </c>
      <c r="F114" s="179">
        <v>17.7522317185192</v>
      </c>
      <c r="G114" s="180">
        <v>0.37658957148954</v>
      </c>
      <c r="H114" s="180">
        <v>0.355366240487688</v>
      </c>
      <c r="I114" s="180">
        <v>0.731955811977228</v>
      </c>
      <c r="J114" s="180">
        <v>2.9834052271073</v>
      </c>
      <c r="K114" s="180">
        <v>0.0999239524118011</v>
      </c>
      <c r="L114" s="180">
        <v>0.216856687751983</v>
      </c>
      <c r="M114" s="180">
        <v>0.00169349367070862</v>
      </c>
      <c r="N114" s="180">
        <v>0.0111418001145897</v>
      </c>
      <c r="O114" s="180">
        <v>0.391178184157961</v>
      </c>
      <c r="P114" s="180">
        <v>1.22031048607707</v>
      </c>
      <c r="Q114" s="180">
        <v>0.0757024045570657</v>
      </c>
      <c r="R114" s="180">
        <v>0.256301182953662</v>
      </c>
      <c r="S114" s="180">
        <v>0.0632219780036606</v>
      </c>
      <c r="T114" s="180">
        <v>0.100988249718242</v>
      </c>
      <c r="U114" s="180">
        <v>0.177975031065906</v>
      </c>
      <c r="V114" s="180">
        <v>0.362012697278188</v>
      </c>
      <c r="W114" s="180"/>
      <c r="X114" s="68"/>
      <c r="Y114" s="179"/>
      <c r="Z114" s="179"/>
      <c r="AA114" s="179"/>
      <c r="AB114" s="179"/>
      <c r="AC114" s="179"/>
      <c r="AD114" s="181"/>
      <c r="AE114" s="180"/>
    </row>
    <row r="115" ht="21.25" customHeight="1">
      <c r="A115" t="s" s="8">
        <v>290</v>
      </c>
      <c r="B115" t="s" s="177">
        <v>960</v>
      </c>
      <c r="C115" s="178">
        <v>31</v>
      </c>
      <c r="D115" t="s" s="177">
        <v>925</v>
      </c>
      <c r="E115" s="68">
        <v>77.7257142857143</v>
      </c>
      <c r="F115" s="179">
        <v>18.178314869835</v>
      </c>
      <c r="G115" s="180">
        <v>0.274282424147849</v>
      </c>
      <c r="H115" s="180">
        <v>0.457352857571645</v>
      </c>
      <c r="I115" s="180">
        <v>0.731635281719494</v>
      </c>
      <c r="J115" s="180">
        <v>2.83227240710915</v>
      </c>
      <c r="K115" s="180">
        <v>0.0837846431326023</v>
      </c>
      <c r="L115" s="180">
        <v>0.195664400226422</v>
      </c>
      <c r="M115" s="180">
        <v>0.000104435228514108</v>
      </c>
      <c r="N115" s="180">
        <v>0.000193911371018837</v>
      </c>
      <c r="O115" s="180">
        <v>0.53357411745429</v>
      </c>
      <c r="P115" s="180">
        <v>0.72169421429407</v>
      </c>
      <c r="Q115" s="180">
        <v>-0.0526534881800645</v>
      </c>
      <c r="R115" s="180">
        <v>0.46466374208939</v>
      </c>
      <c r="S115" s="180">
        <v>0.0321408401347985</v>
      </c>
      <c r="T115" s="180">
        <v>0.11523527265676</v>
      </c>
      <c r="U115" s="180">
        <v>0.143899331259665</v>
      </c>
      <c r="V115" s="180">
        <v>0.444692723068066</v>
      </c>
      <c r="W115" s="180"/>
      <c r="X115" s="68"/>
      <c r="Y115" s="179"/>
      <c r="Z115" s="179"/>
      <c r="AA115" s="179"/>
      <c r="AB115" s="179"/>
      <c r="AC115" s="179"/>
      <c r="AD115" s="181"/>
      <c r="AE115" s="180"/>
    </row>
    <row r="116" ht="21.25" customHeight="1">
      <c r="A116" t="s" s="8">
        <v>301</v>
      </c>
      <c r="B116" t="s" s="177">
        <v>965</v>
      </c>
      <c r="C116" s="178">
        <v>34</v>
      </c>
      <c r="D116" t="s" s="177">
        <v>924</v>
      </c>
      <c r="E116" s="68">
        <v>80.59999999999999</v>
      </c>
      <c r="F116" s="179">
        <v>19.2386906000381</v>
      </c>
      <c r="G116" s="180">
        <v>0.292452051979318</v>
      </c>
      <c r="H116" s="180">
        <v>0.438964737376174</v>
      </c>
      <c r="I116" s="180">
        <v>0.731416789355493</v>
      </c>
      <c r="J116" s="180">
        <v>2.48468124746017</v>
      </c>
      <c r="K116" s="180">
        <v>0.06754168422397611</v>
      </c>
      <c r="L116" s="180">
        <v>0.24128196719521</v>
      </c>
      <c r="M116" s="180">
        <v>0.0157435847348345</v>
      </c>
      <c r="N116" s="180">
        <v>0.0205747864154641</v>
      </c>
      <c r="O116" s="180">
        <v>0.788018547150877</v>
      </c>
      <c r="P116" s="180">
        <v>1.37592775589937</v>
      </c>
      <c r="Q116" s="180">
        <v>0.00468009732939321</v>
      </c>
      <c r="R116" s="180">
        <v>0.309127156395378</v>
      </c>
      <c r="S116" s="180">
        <v>0.0363096051461529</v>
      </c>
      <c r="T116" s="180">
        <v>8.01901799838774</v>
      </c>
      <c r="U116" s="180">
        <v>8.60732620900078</v>
      </c>
      <c r="V116" s="180">
        <v>0.482307950464793</v>
      </c>
      <c r="W116" s="180"/>
      <c r="X116" s="68"/>
      <c r="Y116" s="179"/>
      <c r="Z116" s="179"/>
      <c r="AA116" s="179"/>
      <c r="AB116" s="179"/>
      <c r="AC116" s="179"/>
      <c r="AD116" s="181"/>
      <c r="AE116" s="180"/>
    </row>
    <row r="117" ht="21.25" customHeight="1">
      <c r="A117" t="s" s="8">
        <v>291</v>
      </c>
      <c r="B117" t="s" s="177">
        <v>974</v>
      </c>
      <c r="C117" s="178">
        <v>34</v>
      </c>
      <c r="D117" t="s" s="177">
        <v>926</v>
      </c>
      <c r="E117" s="68">
        <v>79.88249999999999</v>
      </c>
      <c r="F117" s="179">
        <v>16.5818151001963</v>
      </c>
      <c r="G117" s="180">
        <v>0.2245106030345</v>
      </c>
      <c r="H117" s="180">
        <v>0.506420957915506</v>
      </c>
      <c r="I117" s="180">
        <v>0.730931560950006</v>
      </c>
      <c r="J117" s="180">
        <v>2.65496765990062</v>
      </c>
      <c r="K117" s="180">
        <v>0.0580619305485168</v>
      </c>
      <c r="L117" s="180">
        <v>0.248936866192096</v>
      </c>
      <c r="M117" s="180">
        <v>0</v>
      </c>
      <c r="N117" s="180">
        <v>0</v>
      </c>
      <c r="O117" s="180">
        <v>0.250988221541478</v>
      </c>
      <c r="P117" s="180">
        <v>0.223031129322735</v>
      </c>
      <c r="Q117" s="180">
        <v>-0.0128026776243295</v>
      </c>
      <c r="R117" s="180">
        <v>0.216563477412216</v>
      </c>
      <c r="S117" s="180"/>
      <c r="T117" s="180">
        <v>0.0190739791166384</v>
      </c>
      <c r="U117" s="180">
        <v>0.0227690164934573</v>
      </c>
      <c r="V117" s="180">
        <v>0.455846404840965</v>
      </c>
      <c r="W117" s="180"/>
      <c r="X117" s="68"/>
      <c r="Y117" s="179"/>
      <c r="Z117" s="179"/>
      <c r="AA117" s="179"/>
      <c r="AB117" s="179"/>
      <c r="AC117" s="179"/>
      <c r="AD117" s="181"/>
      <c r="AE117" s="180"/>
    </row>
    <row r="118" ht="21.25" customHeight="1">
      <c r="A118" t="s" s="8">
        <v>214</v>
      </c>
      <c r="B118" t="s" s="177">
        <v>949</v>
      </c>
      <c r="C118" s="178">
        <v>25</v>
      </c>
      <c r="D118" t="s" s="177">
        <v>927</v>
      </c>
      <c r="E118" s="68">
        <v>78.08535714285711</v>
      </c>
      <c r="F118" s="179">
        <v>23.3350877745097</v>
      </c>
      <c r="G118" s="180">
        <v>0.117826858665386</v>
      </c>
      <c r="H118" s="180">
        <v>0.610182073937339</v>
      </c>
      <c r="I118" s="180">
        <v>0.728008932602724</v>
      </c>
      <c r="J118" s="180">
        <v>1.81352144498788</v>
      </c>
      <c r="K118" s="180">
        <v>0.0379378929215843</v>
      </c>
      <c r="L118" s="180">
        <v>0.266240806570026</v>
      </c>
      <c r="M118" s="180">
        <v>0.000394592267962111</v>
      </c>
      <c r="N118" s="180">
        <v>0.00358023858182857</v>
      </c>
      <c r="O118" s="180">
        <v>1.79432599236467</v>
      </c>
      <c r="P118" s="180">
        <v>1.41932107368372</v>
      </c>
      <c r="Q118" s="180">
        <v>0.0994448817895232</v>
      </c>
      <c r="R118" s="180">
        <v>0.7747903063643981</v>
      </c>
      <c r="S118" s="180">
        <v>0.0197808108103449</v>
      </c>
      <c r="T118" s="180">
        <v>0</v>
      </c>
      <c r="U118" s="180">
        <v>0</v>
      </c>
      <c r="V118" s="180">
        <v>0</v>
      </c>
      <c r="W118" s="180"/>
      <c r="X118" s="68"/>
      <c r="Y118" s="179"/>
      <c r="Z118" s="179"/>
      <c r="AA118" s="179"/>
      <c r="AB118" s="179"/>
      <c r="AC118" s="179"/>
      <c r="AD118" s="181"/>
      <c r="AE118" s="180"/>
    </row>
    <row r="119" ht="21.25" customHeight="1">
      <c r="A119" t="s" s="8">
        <v>197</v>
      </c>
      <c r="B119" t="s" s="177">
        <v>942</v>
      </c>
      <c r="C119" s="178">
        <v>25</v>
      </c>
      <c r="D119" t="s" s="177">
        <v>927</v>
      </c>
      <c r="E119" s="68">
        <v>81.3</v>
      </c>
      <c r="F119" s="179">
        <v>24.0861238488924</v>
      </c>
      <c r="G119" s="180">
        <v>0.117920122739543</v>
      </c>
      <c r="H119" s="180">
        <v>0.608436941112629</v>
      </c>
      <c r="I119" s="180">
        <v>0.726357063852173</v>
      </c>
      <c r="J119" s="180">
        <v>2.05663509894902</v>
      </c>
      <c r="K119" s="180">
        <v>0.031826430662784</v>
      </c>
      <c r="L119" s="180">
        <v>0.277993690901646</v>
      </c>
      <c r="M119" s="180">
        <v>0.000311109468649889</v>
      </c>
      <c r="N119" s="180">
        <v>0.0112976858646626</v>
      </c>
      <c r="O119" s="180">
        <v>1.77395082206318</v>
      </c>
      <c r="P119" s="180">
        <v>1.5666514009852</v>
      </c>
      <c r="Q119" s="180">
        <v>0.0123649810023324</v>
      </c>
      <c r="R119" s="180">
        <v>0.692787543927823</v>
      </c>
      <c r="S119" s="180">
        <v>0.0184545420432968</v>
      </c>
      <c r="T119" s="180">
        <v>0</v>
      </c>
      <c r="U119" s="180">
        <v>0</v>
      </c>
      <c r="V119" s="180">
        <v>0</v>
      </c>
      <c r="W119" s="180"/>
      <c r="X119" s="68"/>
      <c r="Y119" s="179"/>
      <c r="Z119" s="179"/>
      <c r="AA119" s="179"/>
      <c r="AB119" s="179"/>
      <c r="AC119" s="179"/>
      <c r="AD119" s="181"/>
      <c r="AE119" s="180"/>
    </row>
    <row r="120" ht="21.25" customHeight="1">
      <c r="A120" t="s" s="8">
        <v>331</v>
      </c>
      <c r="B120" t="s" s="177">
        <v>961</v>
      </c>
      <c r="C120" s="178">
        <v>31</v>
      </c>
      <c r="D120" t="s" s="177">
        <v>924</v>
      </c>
      <c r="E120" s="68">
        <v>79.2435714285714</v>
      </c>
      <c r="F120" s="179">
        <v>18.2409176594023</v>
      </c>
      <c r="G120" s="180">
        <v>0.197317064911545</v>
      </c>
      <c r="H120" s="180">
        <v>0.5212686745191289</v>
      </c>
      <c r="I120" s="180">
        <v>0.7185857394306741</v>
      </c>
      <c r="J120" s="180">
        <v>2.18413497943398</v>
      </c>
      <c r="K120" s="180">
        <v>0.0569913207835448</v>
      </c>
      <c r="L120" s="180">
        <v>0.219551982495152</v>
      </c>
      <c r="M120" s="180">
        <v>0.00994563125748244</v>
      </c>
      <c r="N120" s="180">
        <v>0.0205148001334785</v>
      </c>
      <c r="O120" s="180">
        <v>0.376555995927868</v>
      </c>
      <c r="P120" s="180">
        <v>0.579707633715168</v>
      </c>
      <c r="Q120" s="180">
        <v>-0.0460074791459339</v>
      </c>
      <c r="R120" s="180">
        <v>0.536614969424691</v>
      </c>
      <c r="S120" s="180">
        <v>0.0242711605289887</v>
      </c>
      <c r="T120" s="180">
        <v>6.00047799051866</v>
      </c>
      <c r="U120" s="180">
        <v>7.3131938040297</v>
      </c>
      <c r="V120" s="180">
        <v>0.45070045913072</v>
      </c>
      <c r="W120" s="180"/>
      <c r="X120" s="68"/>
      <c r="Y120" s="179"/>
      <c r="Z120" s="179"/>
      <c r="AA120" s="179"/>
      <c r="AB120" s="179"/>
      <c r="AC120" s="179"/>
      <c r="AD120" s="181"/>
      <c r="AE120" s="180"/>
    </row>
    <row r="121" ht="21.25" customHeight="1">
      <c r="A121" t="s" s="8">
        <v>368</v>
      </c>
      <c r="B121" t="s" s="177">
        <v>968</v>
      </c>
      <c r="C121" s="178">
        <v>21</v>
      </c>
      <c r="D121" t="s" s="177">
        <v>926</v>
      </c>
      <c r="E121" s="68">
        <v>72.90000000000001</v>
      </c>
      <c r="F121" s="179">
        <v>16.6149850521549</v>
      </c>
      <c r="G121" s="180">
        <v>0.312733847440666</v>
      </c>
      <c r="H121" s="180">
        <v>0.402138895973848</v>
      </c>
      <c r="I121" s="180">
        <v>0.714872743414513</v>
      </c>
      <c r="J121" s="180">
        <v>2.27747925688066</v>
      </c>
      <c r="K121" s="180">
        <v>0.0466965932749274</v>
      </c>
      <c r="L121" s="180">
        <v>0.163649560391977</v>
      </c>
      <c r="M121" s="180">
        <v>2.43420738949348e-05</v>
      </c>
      <c r="N121" s="180">
        <v>4.4251376710753e-05</v>
      </c>
      <c r="O121" s="180">
        <v>0.32107803864239</v>
      </c>
      <c r="P121" s="180">
        <v>0.603922634059983</v>
      </c>
      <c r="Q121" s="180">
        <v>-0.00287689530722085</v>
      </c>
      <c r="R121" s="180">
        <v>0.34912585234826</v>
      </c>
      <c r="S121" s="180">
        <v>0.0456673209915611</v>
      </c>
      <c r="T121" s="180">
        <v>0</v>
      </c>
      <c r="U121" s="180">
        <v>0</v>
      </c>
      <c r="V121" s="180">
        <v>0</v>
      </c>
      <c r="W121" s="180"/>
      <c r="X121" s="68"/>
      <c r="Y121" s="179"/>
      <c r="Z121" s="179"/>
      <c r="AA121" s="179"/>
      <c r="AB121" s="179"/>
      <c r="AC121" s="179"/>
      <c r="AD121" s="181"/>
      <c r="AE121" s="180"/>
    </row>
    <row r="122" ht="21.25" customHeight="1">
      <c r="A122" t="s" s="8">
        <v>346</v>
      </c>
      <c r="B122" t="s" s="177">
        <v>957</v>
      </c>
      <c r="C122" s="182">
        <v>19</v>
      </c>
      <c r="D122" t="s" s="177">
        <v>924</v>
      </c>
      <c r="E122" s="68">
        <v>78</v>
      </c>
      <c r="F122" s="179">
        <v>17.5</v>
      </c>
      <c r="G122" s="180">
        <v>0.274454802150009</v>
      </c>
      <c r="H122" s="180">
        <v>0.44034956532813</v>
      </c>
      <c r="I122" s="180">
        <v>0.714804367478139</v>
      </c>
      <c r="J122" s="180">
        <v>2.05823025303187</v>
      </c>
      <c r="K122" s="180">
        <v>0.07700502477180669</v>
      </c>
      <c r="L122" s="180">
        <v>0.20055589333272</v>
      </c>
      <c r="M122" s="180">
        <v>0</v>
      </c>
      <c r="N122" s="180">
        <v>0</v>
      </c>
      <c r="O122" s="180">
        <v>0.445121951219512</v>
      </c>
      <c r="P122" s="180">
        <v>0.731707317073171</v>
      </c>
      <c r="Q122" s="180">
        <v>0.005</v>
      </c>
      <c r="R122" s="180">
        <v>0.404268292682927</v>
      </c>
      <c r="S122" s="180">
        <v>0.0346352623072202</v>
      </c>
      <c r="T122" s="180">
        <v>5.17852322741024</v>
      </c>
      <c r="U122" s="180">
        <v>7.15129398070939</v>
      </c>
      <c r="V122" s="180">
        <v>0.42</v>
      </c>
      <c r="W122" s="180"/>
      <c r="X122" s="68"/>
      <c r="Y122" s="180"/>
      <c r="Z122" s="180"/>
      <c r="AA122" s="180"/>
      <c r="AB122" s="180"/>
      <c r="AC122" s="179"/>
      <c r="AD122" s="181"/>
      <c r="AE122" s="180"/>
    </row>
    <row r="123" ht="21.25" customHeight="1">
      <c r="A123" t="s" s="8">
        <v>332</v>
      </c>
      <c r="B123" t="s" s="177">
        <v>967</v>
      </c>
      <c r="C123" s="178">
        <v>33</v>
      </c>
      <c r="D123" t="s" s="177">
        <v>944</v>
      </c>
      <c r="E123" s="68">
        <v>82</v>
      </c>
      <c r="F123" s="179">
        <v>18.4216191187854</v>
      </c>
      <c r="G123" s="180">
        <v>0.300427826783835</v>
      </c>
      <c r="H123" s="180">
        <v>0.409980877878082</v>
      </c>
      <c r="I123" s="180">
        <v>0.710408704661917</v>
      </c>
      <c r="J123" s="180">
        <v>1.9680066820621</v>
      </c>
      <c r="K123" s="180">
        <v>0.0536572050649156</v>
      </c>
      <c r="L123" s="180">
        <v>0.14264353138259</v>
      </c>
      <c r="M123" s="180">
        <v>0.00741645742935509</v>
      </c>
      <c r="N123" s="180">
        <v>0.0167107869339893</v>
      </c>
      <c r="O123" s="180">
        <v>0.392005462873229</v>
      </c>
      <c r="P123" s="180">
        <v>0.907077880979951</v>
      </c>
      <c r="Q123" s="180">
        <v>-0.0779221836634604</v>
      </c>
      <c r="R123" s="180">
        <v>0.646019447241473</v>
      </c>
      <c r="S123" s="180">
        <v>0.0287999204703737</v>
      </c>
      <c r="T123" s="180">
        <v>0.016513268001687</v>
      </c>
      <c r="U123" s="180">
        <v>0.0319924988619396</v>
      </c>
      <c r="V123" s="180">
        <v>0.340439272883033</v>
      </c>
      <c r="W123" s="180"/>
      <c r="X123" s="68"/>
      <c r="Y123" s="179"/>
      <c r="Z123" s="179"/>
      <c r="AA123" s="179"/>
      <c r="AB123" s="179"/>
      <c r="AC123" s="179"/>
      <c r="AD123" s="181"/>
      <c r="AE123" s="180"/>
    </row>
    <row r="124" ht="21.25" customHeight="1">
      <c r="A124" t="s" s="8">
        <v>311</v>
      </c>
      <c r="B124" t="s" s="177">
        <v>948</v>
      </c>
      <c r="C124" s="182">
        <v>34</v>
      </c>
      <c r="D124" t="s" s="177">
        <v>925</v>
      </c>
      <c r="E124" s="68">
        <v>81.4442857142857</v>
      </c>
      <c r="F124" s="179">
        <v>16.0773216632386</v>
      </c>
      <c r="G124" s="180">
        <v>0.285901991441077</v>
      </c>
      <c r="H124" s="180">
        <v>0.421319844258461</v>
      </c>
      <c r="I124" s="180">
        <v>0.707221835699538</v>
      </c>
      <c r="J124" s="180">
        <v>2.23407469114933</v>
      </c>
      <c r="K124" s="180">
        <v>0.0973171643048885</v>
      </c>
      <c r="L124" s="180">
        <v>0.246992537347144</v>
      </c>
      <c r="M124" s="180">
        <v>0.020089024801421</v>
      </c>
      <c r="N124" s="180">
        <v>0.0291689166450841</v>
      </c>
      <c r="O124" s="180">
        <v>0.543640846563207</v>
      </c>
      <c r="P124" s="180">
        <v>1.2929347178386</v>
      </c>
      <c r="Q124" s="180">
        <v>0.07101093552974889</v>
      </c>
      <c r="R124" s="180">
        <v>0.559992757353261</v>
      </c>
      <c r="S124" s="180">
        <v>0.0457422918557852</v>
      </c>
      <c r="T124" s="180">
        <v>5.99901700947004</v>
      </c>
      <c r="U124" s="180">
        <v>4.43360612023067</v>
      </c>
      <c r="V124" s="180">
        <v>0.575024798163311</v>
      </c>
      <c r="W124" s="180"/>
      <c r="X124" s="68"/>
      <c r="Y124" s="179"/>
      <c r="Z124" s="179"/>
      <c r="AA124" s="179"/>
      <c r="AB124" s="179"/>
      <c r="AC124" s="179"/>
      <c r="AD124" s="181"/>
      <c r="AE124" s="180"/>
    </row>
    <row r="125" ht="21.25" customHeight="1">
      <c r="A125" t="s" s="8">
        <v>312</v>
      </c>
      <c r="B125" t="s" s="177">
        <v>947</v>
      </c>
      <c r="C125" s="178">
        <v>31</v>
      </c>
      <c r="D125" t="s" s="177">
        <v>926</v>
      </c>
      <c r="E125" s="68">
        <v>80.3442857142857</v>
      </c>
      <c r="F125" s="179">
        <v>16.3001630333052</v>
      </c>
      <c r="G125" s="180">
        <v>0.326260136458355</v>
      </c>
      <c r="H125" s="180">
        <v>0.380473427038026</v>
      </c>
      <c r="I125" s="180">
        <v>0.7067335634963799</v>
      </c>
      <c r="J125" s="180">
        <v>2.93438284095721</v>
      </c>
      <c r="K125" s="180">
        <v>0.07002338209759271</v>
      </c>
      <c r="L125" s="180">
        <v>0.161697551619084</v>
      </c>
      <c r="M125" s="180">
        <v>0.00544243402861168</v>
      </c>
      <c r="N125" s="180">
        <v>0.009556311255866661</v>
      </c>
      <c r="O125" s="180">
        <v>0.252082351245878</v>
      </c>
      <c r="P125" s="180">
        <v>0.90041440615585</v>
      </c>
      <c r="Q125" s="180">
        <v>0.0162973106117732</v>
      </c>
      <c r="R125" s="180">
        <v>0.324818191282038</v>
      </c>
      <c r="S125" s="180">
        <v>0.0479530561361873</v>
      </c>
      <c r="T125" s="180">
        <v>0.144448163039263</v>
      </c>
      <c r="U125" s="180">
        <v>0.128728241542451</v>
      </c>
      <c r="V125" s="180">
        <v>0.5287724730854449</v>
      </c>
      <c r="W125" s="180"/>
      <c r="X125" s="68"/>
      <c r="Y125" s="179"/>
      <c r="Z125" s="179"/>
      <c r="AA125" s="179"/>
      <c r="AB125" s="179"/>
      <c r="AC125" s="179"/>
      <c r="AD125" s="181"/>
      <c r="AE125" s="180"/>
    </row>
    <row r="126" ht="21.25" customHeight="1">
      <c r="A126" t="s" s="8">
        <v>322</v>
      </c>
      <c r="B126" t="s" s="177">
        <v>950</v>
      </c>
      <c r="C126" s="178">
        <v>30</v>
      </c>
      <c r="D126" t="s" s="177">
        <v>924</v>
      </c>
      <c r="E126" s="68">
        <v>80.5746428571429</v>
      </c>
      <c r="F126" s="179">
        <v>18.2873707247417</v>
      </c>
      <c r="G126" s="180">
        <v>0.261581367726227</v>
      </c>
      <c r="H126" s="180">
        <v>0.443776758644148</v>
      </c>
      <c r="I126" s="180">
        <v>0.705358126370374</v>
      </c>
      <c r="J126" s="180">
        <v>2.48598724616334</v>
      </c>
      <c r="K126" s="180">
        <v>0.06972099543962899</v>
      </c>
      <c r="L126" s="180">
        <v>0.157687748463291</v>
      </c>
      <c r="M126" s="180">
        <v>0.000882600232838954</v>
      </c>
      <c r="N126" s="180">
        <v>0.0016364379944407</v>
      </c>
      <c r="O126" s="180">
        <v>0.531994485954961</v>
      </c>
      <c r="P126" s="180">
        <v>2.10713812000176</v>
      </c>
      <c r="Q126" s="180">
        <v>0.0681961705166535</v>
      </c>
      <c r="R126" s="180">
        <v>0.659072646576454</v>
      </c>
      <c r="S126" s="180">
        <v>0.0445729765904429</v>
      </c>
      <c r="T126" s="180">
        <v>8.39135160248205</v>
      </c>
      <c r="U126" s="180">
        <v>6.71889489161933</v>
      </c>
      <c r="V126" s="180">
        <v>0.555341807677181</v>
      </c>
      <c r="W126" s="180"/>
      <c r="X126" s="68"/>
      <c r="Y126" s="179"/>
      <c r="Z126" s="179"/>
      <c r="AA126" s="179"/>
      <c r="AB126" s="179"/>
      <c r="AC126" s="179"/>
      <c r="AD126" s="181"/>
      <c r="AE126" s="180"/>
    </row>
    <row r="127" ht="21.25" customHeight="1">
      <c r="A127" t="s" s="8">
        <v>302</v>
      </c>
      <c r="B127" t="s" s="177">
        <v>969</v>
      </c>
      <c r="C127" s="178">
        <v>35</v>
      </c>
      <c r="D127" t="s" s="177">
        <v>944</v>
      </c>
      <c r="E127" s="68">
        <v>79.9675</v>
      </c>
      <c r="F127" s="179">
        <v>16.6222934178735</v>
      </c>
      <c r="G127" s="180">
        <v>0.293340660160874</v>
      </c>
      <c r="H127" s="180">
        <v>0.408878856049165</v>
      </c>
      <c r="I127" s="180">
        <v>0.702219516210039</v>
      </c>
      <c r="J127" s="180">
        <v>2.38974676257923</v>
      </c>
      <c r="K127" s="180">
        <v>0.0947192534625635</v>
      </c>
      <c r="L127" s="180">
        <v>0.287856769223593</v>
      </c>
      <c r="M127" s="180">
        <v>2.24586394361209e-05</v>
      </c>
      <c r="N127" s="180">
        <v>4.15269422865473e-05</v>
      </c>
      <c r="O127" s="180">
        <v>0.282144128945311</v>
      </c>
      <c r="P127" s="180">
        <v>1.1916662925904</v>
      </c>
      <c r="Q127" s="180">
        <v>-0.0202574342613743</v>
      </c>
      <c r="R127" s="180">
        <v>0.5241871337677509</v>
      </c>
      <c r="S127" s="180">
        <v>0.0388194884730451</v>
      </c>
      <c r="T127" s="180">
        <v>0.0196233680021354</v>
      </c>
      <c r="U127" s="180">
        <v>0.09863632703706229</v>
      </c>
      <c r="V127" s="180">
        <v>0.165934539198931</v>
      </c>
      <c r="W127" s="180"/>
      <c r="X127" s="68"/>
      <c r="Y127" s="179"/>
      <c r="Z127" s="179"/>
      <c r="AA127" s="179"/>
      <c r="AB127" s="179"/>
      <c r="AC127" s="179"/>
      <c r="AD127" s="181"/>
      <c r="AE127" s="180"/>
    </row>
    <row r="128" ht="21.25" customHeight="1">
      <c r="A128" t="s" s="8">
        <v>191</v>
      </c>
      <c r="B128" t="s" s="177">
        <v>956</v>
      </c>
      <c r="C128" s="178">
        <v>28</v>
      </c>
      <c r="D128" t="s" s="177">
        <v>927</v>
      </c>
      <c r="E128" s="68">
        <v>80.52</v>
      </c>
      <c r="F128" s="179">
        <v>24.0288122801663</v>
      </c>
      <c r="G128" s="180">
        <v>0.157213168291383</v>
      </c>
      <c r="H128" s="180">
        <v>0.54410759719964</v>
      </c>
      <c r="I128" s="180">
        <v>0.701320765491023</v>
      </c>
      <c r="J128" s="180">
        <v>2.21414305165517</v>
      </c>
      <c r="K128" s="180">
        <v>0.0453272339567239</v>
      </c>
      <c r="L128" s="180">
        <v>0.290621337756822</v>
      </c>
      <c r="M128" s="180">
        <v>0.000138490806003156</v>
      </c>
      <c r="N128" s="180">
        <v>0.000515045006209379</v>
      </c>
      <c r="O128" s="180">
        <v>1.44139092456587</v>
      </c>
      <c r="P128" s="180">
        <v>1.3413757335153</v>
      </c>
      <c r="Q128" s="180">
        <v>0.0307204461075063</v>
      </c>
      <c r="R128" s="180">
        <v>0.596005757153878</v>
      </c>
      <c r="S128" s="180">
        <v>0.0245257804745459</v>
      </c>
      <c r="T128" s="180">
        <v>0</v>
      </c>
      <c r="U128" s="180">
        <v>0</v>
      </c>
      <c r="V128" s="180">
        <v>0</v>
      </c>
      <c r="W128" s="180"/>
      <c r="X128" s="68"/>
      <c r="Y128" s="179"/>
      <c r="Z128" s="179"/>
      <c r="AA128" s="179"/>
      <c r="AB128" s="179"/>
      <c r="AC128" s="179"/>
      <c r="AD128" s="181"/>
      <c r="AE128" s="180"/>
    </row>
    <row r="129" ht="21.25" customHeight="1">
      <c r="A129" t="s" s="8">
        <v>362</v>
      </c>
      <c r="B129" t="s" s="177">
        <v>960</v>
      </c>
      <c r="C129" s="178">
        <v>21</v>
      </c>
      <c r="D129" t="s" s="177">
        <v>925</v>
      </c>
      <c r="E129" s="68">
        <v>73.375</v>
      </c>
      <c r="F129" s="179">
        <v>17.1941798142972</v>
      </c>
      <c r="G129" s="180">
        <v>0.295211096210112</v>
      </c>
      <c r="H129" s="180">
        <v>0.404083960782866</v>
      </c>
      <c r="I129" s="180">
        <v>0.699295056992978</v>
      </c>
      <c r="J129" s="180">
        <v>2.07742754626943</v>
      </c>
      <c r="K129" s="180">
        <v>0.0492139914374777</v>
      </c>
      <c r="L129" s="180">
        <v>0.196076531805689</v>
      </c>
      <c r="M129" s="180">
        <v>1.85440101968945e-05</v>
      </c>
      <c r="N129" s="180">
        <v>3.36429548763566e-05</v>
      </c>
      <c r="O129" s="180">
        <v>0.5594137583822399</v>
      </c>
      <c r="P129" s="180">
        <v>0.531467737954828</v>
      </c>
      <c r="Q129" s="180">
        <v>-0.0827025308884706</v>
      </c>
      <c r="R129" s="180">
        <v>0.332226988087627</v>
      </c>
      <c r="S129" s="180">
        <v>0.0345932944073489</v>
      </c>
      <c r="T129" s="180">
        <v>0.357279680356657</v>
      </c>
      <c r="U129" s="180">
        <v>0.593690029860821</v>
      </c>
      <c r="V129" s="180">
        <v>0.375700378800657</v>
      </c>
      <c r="W129" s="180"/>
      <c r="X129" s="68"/>
      <c r="Y129" s="179"/>
      <c r="Z129" s="179"/>
      <c r="AA129" s="179"/>
      <c r="AB129" s="179"/>
      <c r="AC129" s="179"/>
      <c r="AD129" s="181"/>
      <c r="AE129" s="180"/>
    </row>
    <row r="130" ht="21.25" customHeight="1">
      <c r="A130" t="s" s="8">
        <v>315</v>
      </c>
      <c r="B130" t="s" s="177">
        <v>967</v>
      </c>
      <c r="C130" s="178">
        <v>20</v>
      </c>
      <c r="D130" t="s" s="177">
        <v>940</v>
      </c>
      <c r="E130" s="68">
        <v>81.2</v>
      </c>
      <c r="F130" s="179">
        <v>17.5049250837484</v>
      </c>
      <c r="G130" s="180">
        <v>0.289038656139933</v>
      </c>
      <c r="H130" s="180">
        <v>0.409847694110374</v>
      </c>
      <c r="I130" s="180">
        <v>0.698886350250307</v>
      </c>
      <c r="J130" s="180">
        <v>2.27714760663277</v>
      </c>
      <c r="K130" s="180">
        <v>0.111638902337133</v>
      </c>
      <c r="L130" s="180">
        <v>0.243529417638668</v>
      </c>
      <c r="M130" s="180">
        <v>0.000285029818036116</v>
      </c>
      <c r="N130" s="180">
        <v>0.000517097064735411</v>
      </c>
      <c r="O130" s="180">
        <v>0.507381825116404</v>
      </c>
      <c r="P130" s="180">
        <v>0.796887630441921</v>
      </c>
      <c r="Q130" s="180">
        <v>-0.115921882034818</v>
      </c>
      <c r="R130" s="180">
        <v>0.557114770547474</v>
      </c>
      <c r="S130" s="180">
        <v>0.0277081201125995</v>
      </c>
      <c r="T130" s="180">
        <v>3.97933361214307</v>
      </c>
      <c r="U130" s="180">
        <v>6.16544218609215</v>
      </c>
      <c r="V130" s="180">
        <v>0.392254465873491</v>
      </c>
      <c r="W130" s="180"/>
      <c r="X130" s="68"/>
      <c r="Y130" s="179"/>
      <c r="Z130" s="179"/>
      <c r="AA130" s="179"/>
      <c r="AB130" s="179"/>
      <c r="AC130" s="179"/>
      <c r="AD130" s="181"/>
      <c r="AE130" s="180"/>
    </row>
    <row r="131" ht="21.25" customHeight="1">
      <c r="A131" t="s" s="8">
        <v>227</v>
      </c>
      <c r="B131" t="s" s="177">
        <v>966</v>
      </c>
      <c r="C131" s="178">
        <v>28</v>
      </c>
      <c r="D131" t="s" s="177">
        <v>927</v>
      </c>
      <c r="E131" s="68">
        <v>76.2482142857143</v>
      </c>
      <c r="F131" s="179">
        <v>21.8201977139343</v>
      </c>
      <c r="G131" s="180">
        <v>0.15331030937025</v>
      </c>
      <c r="H131" s="180">
        <v>0.544631370844052</v>
      </c>
      <c r="I131" s="180">
        <v>0.697941680214302</v>
      </c>
      <c r="J131" s="180">
        <v>2.51988409009471</v>
      </c>
      <c r="K131" s="180">
        <v>0.0224904983683237</v>
      </c>
      <c r="L131" s="180">
        <v>0.201321611904234</v>
      </c>
      <c r="M131" s="180">
        <v>3.58035988723928e-05</v>
      </c>
      <c r="N131" s="180">
        <v>0.000133121314037544</v>
      </c>
      <c r="O131" s="180">
        <v>1.36753377768549</v>
      </c>
      <c r="P131" s="180">
        <v>0.505085265019666</v>
      </c>
      <c r="Q131" s="180">
        <v>0.0912071036490313</v>
      </c>
      <c r="R131" s="180">
        <v>0.347883017027582</v>
      </c>
      <c r="S131" s="180">
        <v>0.025055087585776</v>
      </c>
      <c r="T131" s="180">
        <v>0</v>
      </c>
      <c r="U131" s="180">
        <v>0</v>
      </c>
      <c r="V131" s="180">
        <v>0</v>
      </c>
      <c r="W131" s="180"/>
      <c r="X131" s="68"/>
      <c r="Y131" s="179"/>
      <c r="Z131" s="179"/>
      <c r="AA131" s="179"/>
      <c r="AB131" s="179"/>
      <c r="AC131" s="179"/>
      <c r="AD131" s="181"/>
      <c r="AE131" s="180"/>
    </row>
    <row r="132" ht="21.25" customHeight="1">
      <c r="A132" t="s" s="8">
        <v>356</v>
      </c>
      <c r="B132" t="s" s="177">
        <v>951</v>
      </c>
      <c r="C132" s="178">
        <v>24</v>
      </c>
      <c r="D132" t="s" s="177">
        <v>924</v>
      </c>
      <c r="E132" s="68">
        <v>78.40000000000001</v>
      </c>
      <c r="F132" s="179">
        <v>16.5202961431006</v>
      </c>
      <c r="G132" s="180">
        <v>0.208528371859071</v>
      </c>
      <c r="H132" s="180">
        <v>0.482209323195999</v>
      </c>
      <c r="I132" s="180">
        <v>0.69073769505507</v>
      </c>
      <c r="J132" s="180">
        <v>1.77573495572234</v>
      </c>
      <c r="K132" s="180">
        <v>0.0542082133801365</v>
      </c>
      <c r="L132" s="180">
        <v>0.187952944702896</v>
      </c>
      <c r="M132" s="180">
        <v>0.00316255571714326</v>
      </c>
      <c r="N132" s="180">
        <v>0.00418269740655177</v>
      </c>
      <c r="O132" s="180">
        <v>0.247717552871666</v>
      </c>
      <c r="P132" s="180">
        <v>0.477020018957477</v>
      </c>
      <c r="Q132" s="180">
        <v>-0.0290119419308029</v>
      </c>
      <c r="R132" s="180">
        <v>0.21342571665409</v>
      </c>
      <c r="S132" s="180">
        <v>0.0266956054204049</v>
      </c>
      <c r="T132" s="180">
        <v>4.50606960867483</v>
      </c>
      <c r="U132" s="180">
        <v>5.25678925784834</v>
      </c>
      <c r="V132" s="180">
        <v>0.461552263561459</v>
      </c>
      <c r="W132" s="180"/>
      <c r="X132" s="68"/>
      <c r="Y132" s="179"/>
      <c r="Z132" s="179"/>
      <c r="AA132" s="179"/>
      <c r="AB132" s="179"/>
      <c r="AC132" s="179"/>
      <c r="AD132" s="181"/>
      <c r="AE132" s="180"/>
    </row>
    <row r="133" ht="21.25" customHeight="1">
      <c r="A133" t="s" s="8">
        <v>354</v>
      </c>
      <c r="B133" t="s" s="177">
        <v>948</v>
      </c>
      <c r="C133" s="178">
        <v>32</v>
      </c>
      <c r="D133" t="s" s="177">
        <v>959</v>
      </c>
      <c r="E133" s="68">
        <v>76.3060714285714</v>
      </c>
      <c r="F133" s="179">
        <v>15.8014523746662</v>
      </c>
      <c r="G133" s="180">
        <v>0.300112112418296</v>
      </c>
      <c r="H133" s="180">
        <v>0.39046144242104</v>
      </c>
      <c r="I133" s="180">
        <v>0.690573554839337</v>
      </c>
      <c r="J133" s="180">
        <v>2.09914017292307</v>
      </c>
      <c r="K133" s="180">
        <v>0.06868435286506509</v>
      </c>
      <c r="L133" s="180">
        <v>0.151901871830373</v>
      </c>
      <c r="M133" s="180">
        <v>0.000112244939092573</v>
      </c>
      <c r="N133" s="180">
        <v>0.000206509497444566</v>
      </c>
      <c r="O133" s="180">
        <v>0.374161405749612</v>
      </c>
      <c r="P133" s="180">
        <v>0.41848441002977</v>
      </c>
      <c r="Q133" s="180">
        <v>0.0682440574065306</v>
      </c>
      <c r="R133" s="180">
        <v>0.326709658412895</v>
      </c>
      <c r="S133" s="180">
        <v>0.0480158104758189</v>
      </c>
      <c r="T133" s="180">
        <v>1.80610594408565</v>
      </c>
      <c r="U133" s="180">
        <v>1.56882449447107</v>
      </c>
      <c r="V133" s="180">
        <v>0.535153531892652</v>
      </c>
      <c r="W133" s="180"/>
      <c r="X133" s="68"/>
      <c r="Y133" s="179"/>
      <c r="Z133" s="179"/>
      <c r="AA133" s="179"/>
      <c r="AB133" s="179"/>
      <c r="AC133" s="179"/>
      <c r="AD133" s="181"/>
      <c r="AE133" s="180"/>
    </row>
    <row r="134" ht="21.25" customHeight="1">
      <c r="A134" t="s" s="8">
        <v>313</v>
      </c>
      <c r="B134" t="s" s="177">
        <v>947</v>
      </c>
      <c r="C134" s="178">
        <v>21</v>
      </c>
      <c r="D134" t="s" s="177">
        <v>959</v>
      </c>
      <c r="E134" s="68">
        <v>81.51000000000001</v>
      </c>
      <c r="F134" s="179">
        <v>17.3815855810243</v>
      </c>
      <c r="G134" s="180">
        <v>0.305222931234626</v>
      </c>
      <c r="H134" s="180">
        <v>0.379540786404048</v>
      </c>
      <c r="I134" s="180">
        <v>0.6847637176386731</v>
      </c>
      <c r="J134" s="180">
        <v>2.04558662786826</v>
      </c>
      <c r="K134" s="180">
        <v>0.0336453924087456</v>
      </c>
      <c r="L134" s="180">
        <v>0.121116761657055</v>
      </c>
      <c r="M134" s="180">
        <v>0.0168854312711754</v>
      </c>
      <c r="N134" s="180">
        <v>0.0281032899108972</v>
      </c>
      <c r="O134" s="180">
        <v>0.6807434161734101</v>
      </c>
      <c r="P134" s="180">
        <v>0.49182827960965</v>
      </c>
      <c r="Q134" s="180">
        <v>0.00101771469304024</v>
      </c>
      <c r="R134" s="180">
        <v>0.289933684741846</v>
      </c>
      <c r="S134" s="180">
        <v>0.0448610501866012</v>
      </c>
      <c r="T134" s="180">
        <v>1.19386551304417</v>
      </c>
      <c r="U134" s="180">
        <v>1.84764997688424</v>
      </c>
      <c r="V134" s="180">
        <v>0.392523239482916</v>
      </c>
      <c r="W134" s="180"/>
      <c r="X134" s="68"/>
      <c r="Y134" s="179"/>
      <c r="Z134" s="179"/>
      <c r="AA134" s="179"/>
      <c r="AB134" s="179"/>
      <c r="AC134" s="179"/>
      <c r="AD134" s="181"/>
      <c r="AE134" s="180"/>
    </row>
    <row r="135" ht="21.25" customHeight="1">
      <c r="A135" t="s" s="8">
        <v>247</v>
      </c>
      <c r="B135" t="s" s="177">
        <v>972</v>
      </c>
      <c r="C135" s="178">
        <v>26</v>
      </c>
      <c r="D135" t="s" s="177">
        <v>927</v>
      </c>
      <c r="E135" s="68">
        <v>78.7114285714286</v>
      </c>
      <c r="F135" s="179">
        <v>23.5538313825843</v>
      </c>
      <c r="G135" s="180">
        <v>0.14410020763843</v>
      </c>
      <c r="H135" s="180">
        <v>0.535509275880954</v>
      </c>
      <c r="I135" s="180">
        <v>0.679609483519384</v>
      </c>
      <c r="J135" s="180">
        <v>1.89360641716729</v>
      </c>
      <c r="K135" s="180">
        <v>0.019730774776035</v>
      </c>
      <c r="L135" s="180">
        <v>0.201639973875248</v>
      </c>
      <c r="M135" s="180">
        <v>0.000286171712872733</v>
      </c>
      <c r="N135" s="180">
        <v>0.00106046360237888</v>
      </c>
      <c r="O135" s="180">
        <v>1.1335700818485</v>
      </c>
      <c r="P135" s="180">
        <v>1.3205214595456</v>
      </c>
      <c r="Q135" s="180">
        <v>0.0271639668004257</v>
      </c>
      <c r="R135" s="180">
        <v>0.739559867360</v>
      </c>
      <c r="S135" s="180">
        <v>0.0202548658515454</v>
      </c>
      <c r="T135" s="180">
        <v>0</v>
      </c>
      <c r="U135" s="180">
        <v>0</v>
      </c>
      <c r="V135" s="180">
        <v>0</v>
      </c>
      <c r="W135" s="180"/>
      <c r="X135" s="68"/>
      <c r="Y135" s="179"/>
      <c r="Z135" s="179"/>
      <c r="AA135" s="179"/>
      <c r="AB135" s="179"/>
      <c r="AC135" s="179"/>
      <c r="AD135" s="181"/>
      <c r="AE135" s="180"/>
    </row>
    <row r="136" ht="21.25" customHeight="1">
      <c r="A136" t="s" s="8">
        <v>334</v>
      </c>
      <c r="B136" t="s" s="177">
        <v>952</v>
      </c>
      <c r="C136" s="178">
        <v>26</v>
      </c>
      <c r="D136" t="s" s="177">
        <v>926</v>
      </c>
      <c r="E136" s="68">
        <v>79.0975</v>
      </c>
      <c r="F136" s="179">
        <v>16.810099040350</v>
      </c>
      <c r="G136" s="180">
        <v>0.265884941729067</v>
      </c>
      <c r="H136" s="180">
        <v>0.406774115775466</v>
      </c>
      <c r="I136" s="180">
        <v>0.672659057504533</v>
      </c>
      <c r="J136" s="180">
        <v>2.29788563423899</v>
      </c>
      <c r="K136" s="180">
        <v>0.0851904965393766</v>
      </c>
      <c r="L136" s="180">
        <v>0.172102355065012</v>
      </c>
      <c r="M136" s="180">
        <v>5.64406745329221e-05</v>
      </c>
      <c r="N136" s="180">
        <v>0.000103109020312608</v>
      </c>
      <c r="O136" s="180">
        <v>0.404638804942877</v>
      </c>
      <c r="P136" s="180">
        <v>0.642595346248513</v>
      </c>
      <c r="Q136" s="180">
        <v>-0.0190310086735518</v>
      </c>
      <c r="R136" s="180">
        <v>0.304279433760524</v>
      </c>
      <c r="S136" s="180">
        <v>0.037638579013319</v>
      </c>
      <c r="T136" s="180">
        <v>0.293181982078139</v>
      </c>
      <c r="U136" s="180">
        <v>0.394776769790852</v>
      </c>
      <c r="V136" s="180">
        <v>0.426162151846525</v>
      </c>
      <c r="W136" s="180"/>
      <c r="X136" s="68"/>
      <c r="Y136" s="179"/>
      <c r="Z136" s="179"/>
      <c r="AA136" s="179"/>
      <c r="AB136" s="179"/>
      <c r="AC136" s="179"/>
      <c r="AD136" s="181"/>
      <c r="AE136" s="180"/>
    </row>
    <row r="137" ht="21.25" customHeight="1">
      <c r="A137" t="s" s="8">
        <v>299</v>
      </c>
      <c r="B137" t="s" s="177">
        <v>953</v>
      </c>
      <c r="C137" s="178">
        <v>30</v>
      </c>
      <c r="D137" t="s" s="177">
        <v>926</v>
      </c>
      <c r="E137" s="68">
        <v>79.79428571428571</v>
      </c>
      <c r="F137" s="179">
        <v>18.099242398247</v>
      </c>
      <c r="G137" s="180">
        <v>0.298673878648022</v>
      </c>
      <c r="H137" s="180">
        <v>0.371234988176548</v>
      </c>
      <c r="I137" s="180">
        <v>0.66990886682457</v>
      </c>
      <c r="J137" s="180">
        <v>2.85193871562288</v>
      </c>
      <c r="K137" s="180">
        <v>0.0974605679025887</v>
      </c>
      <c r="L137" s="180">
        <v>0.206558459135228</v>
      </c>
      <c r="M137" s="180">
        <v>4.60821533795577e-05</v>
      </c>
      <c r="N137" s="180">
        <v>8.47219817595034e-05</v>
      </c>
      <c r="O137" s="180">
        <v>0.603974026669615</v>
      </c>
      <c r="P137" s="180">
        <v>1.53919570345732</v>
      </c>
      <c r="Q137" s="180">
        <v>0.0487107662769035</v>
      </c>
      <c r="R137" s="180">
        <v>0.235190053740041</v>
      </c>
      <c r="S137" s="180">
        <v>0.0479431379983068</v>
      </c>
      <c r="T137" s="180">
        <v>0.165358963792707</v>
      </c>
      <c r="U137" s="180">
        <v>0.206925199511387</v>
      </c>
      <c r="V137" s="180">
        <v>0.444174047923808</v>
      </c>
      <c r="W137" s="180"/>
      <c r="X137" s="68"/>
      <c r="Y137" s="179"/>
      <c r="Z137" s="179"/>
      <c r="AA137" s="179"/>
      <c r="AB137" s="179"/>
      <c r="AC137" s="179"/>
      <c r="AD137" s="181"/>
      <c r="AE137" s="180"/>
    </row>
    <row r="138" ht="21.25" customHeight="1">
      <c r="A138" t="s" s="8">
        <v>394</v>
      </c>
      <c r="B138" t="s" s="177">
        <v>955</v>
      </c>
      <c r="C138" s="178">
        <v>27</v>
      </c>
      <c r="D138" t="s" s="177">
        <v>925</v>
      </c>
      <c r="E138" s="68">
        <v>70.2</v>
      </c>
      <c r="F138" s="179">
        <v>15.6422800341442</v>
      </c>
      <c r="G138" s="180">
        <v>0.387049309467059</v>
      </c>
      <c r="H138" s="180">
        <v>0.282691216024735</v>
      </c>
      <c r="I138" s="180">
        <v>0.669740525491794</v>
      </c>
      <c r="J138" s="180">
        <v>2.38566616848151</v>
      </c>
      <c r="K138" s="180">
        <v>0.103382368766248</v>
      </c>
      <c r="L138" s="180">
        <v>0.15942241010272</v>
      </c>
      <c r="M138" s="180">
        <v>0</v>
      </c>
      <c r="N138" s="180">
        <v>0</v>
      </c>
      <c r="O138" s="180">
        <v>0.32896697992129</v>
      </c>
      <c r="P138" s="180">
        <v>0.760909488704932</v>
      </c>
      <c r="Q138" s="180">
        <v>-0.0356080120465579</v>
      </c>
      <c r="R138" s="180">
        <v>0.32669551388838</v>
      </c>
      <c r="S138" s="180">
        <v>0.044538821329064</v>
      </c>
      <c r="T138" s="180">
        <v>0.0895206827872693</v>
      </c>
      <c r="U138" s="180">
        <v>0.15813296806897</v>
      </c>
      <c r="V138" s="180">
        <v>0.361475320382962</v>
      </c>
      <c r="W138" s="180"/>
      <c r="X138" s="68"/>
      <c r="Y138" s="179"/>
      <c r="Z138" s="179"/>
      <c r="AA138" s="179"/>
      <c r="AB138" s="179"/>
      <c r="AC138" s="179"/>
      <c r="AD138" s="181"/>
      <c r="AE138" s="180"/>
    </row>
    <row r="139" ht="21.25" customHeight="1">
      <c r="A139" t="s" s="8">
        <v>220</v>
      </c>
      <c r="B139" t="s" s="177">
        <v>945</v>
      </c>
      <c r="C139" s="178">
        <v>29</v>
      </c>
      <c r="D139" t="s" s="177">
        <v>927</v>
      </c>
      <c r="E139" s="68">
        <v>78.8660714285714</v>
      </c>
      <c r="F139" s="179">
        <v>21.7301652497655</v>
      </c>
      <c r="G139" s="180">
        <v>0.08870120731097091</v>
      </c>
      <c r="H139" s="180">
        <v>0.576017281929599</v>
      </c>
      <c r="I139" s="180">
        <v>0.66471848924057</v>
      </c>
      <c r="J139" s="180">
        <v>2.06080696033232</v>
      </c>
      <c r="K139" s="180">
        <v>0.0206626114950077</v>
      </c>
      <c r="L139" s="180">
        <v>0.253872861729983</v>
      </c>
      <c r="M139" s="180">
        <v>0.000312721652911855</v>
      </c>
      <c r="N139" s="180">
        <v>0.010984394346611</v>
      </c>
      <c r="O139" s="180">
        <v>1.25600495054832</v>
      </c>
      <c r="P139" s="180">
        <v>1.16037448750835</v>
      </c>
      <c r="Q139" s="180">
        <v>0.0612618260435138</v>
      </c>
      <c r="R139" s="180">
        <v>0.379336855598638</v>
      </c>
      <c r="S139" s="180">
        <v>0.0142498253780839</v>
      </c>
      <c r="T139" s="180">
        <v>0</v>
      </c>
      <c r="U139" s="180">
        <v>0</v>
      </c>
      <c r="V139" s="180">
        <v>0</v>
      </c>
      <c r="W139" s="180"/>
      <c r="X139" s="68"/>
      <c r="Y139" s="179"/>
      <c r="Z139" s="179"/>
      <c r="AA139" s="179"/>
      <c r="AB139" s="179"/>
      <c r="AC139" s="179"/>
      <c r="AD139" s="181"/>
      <c r="AE139" s="180"/>
    </row>
    <row r="140" ht="21.25" customHeight="1">
      <c r="A140" t="s" s="8">
        <v>460</v>
      </c>
      <c r="B140" t="s" s="177">
        <v>965</v>
      </c>
      <c r="C140" s="178">
        <v>27</v>
      </c>
      <c r="D140" t="s" s="177">
        <v>925</v>
      </c>
      <c r="E140" s="68">
        <v>66.7</v>
      </c>
      <c r="F140" s="179">
        <v>15.500003491192</v>
      </c>
      <c r="G140" s="180">
        <v>0.288656777178016</v>
      </c>
      <c r="H140" s="180">
        <v>0.375301813651313</v>
      </c>
      <c r="I140" s="180">
        <v>0.663958590829329</v>
      </c>
      <c r="J140" s="180">
        <v>2.16733867891906</v>
      </c>
      <c r="K140" s="180">
        <v>0.0461533197290912</v>
      </c>
      <c r="L140" s="180">
        <v>0.109059915125367</v>
      </c>
      <c r="M140" s="180">
        <v>0.000154855511969779</v>
      </c>
      <c r="N140" s="180">
        <v>0.000538280676401437</v>
      </c>
      <c r="O140" s="180">
        <v>0.338566300522878</v>
      </c>
      <c r="P140" s="180">
        <v>0.784724864955621</v>
      </c>
      <c r="Q140" s="180">
        <v>0.0164454573133157</v>
      </c>
      <c r="R140" s="180">
        <v>0.310206826358693</v>
      </c>
      <c r="S140" s="180">
        <v>0.0358383999399533</v>
      </c>
      <c r="T140" s="180">
        <v>0.00547819344035448</v>
      </c>
      <c r="U140" s="180">
        <v>0.0137359571460748</v>
      </c>
      <c r="V140" s="180">
        <v>0.285112444378554</v>
      </c>
      <c r="W140" s="180"/>
      <c r="X140" s="68"/>
      <c r="Y140" s="179"/>
      <c r="Z140" s="179"/>
      <c r="AA140" s="179"/>
      <c r="AB140" s="179"/>
      <c r="AC140" s="179"/>
      <c r="AD140" s="181"/>
      <c r="AE140" s="180"/>
    </row>
    <row r="141" ht="21.25" customHeight="1">
      <c r="A141" t="s" s="8">
        <v>307</v>
      </c>
      <c r="B141" t="s" s="177">
        <v>962</v>
      </c>
      <c r="C141" s="178">
        <v>30</v>
      </c>
      <c r="D141" t="s" s="177">
        <v>944</v>
      </c>
      <c r="E141" s="68">
        <v>78.0639285714286</v>
      </c>
      <c r="F141" s="179">
        <v>16.4601035480486</v>
      </c>
      <c r="G141" s="180">
        <v>0.275434888425116</v>
      </c>
      <c r="H141" s="180">
        <v>0.388499678000154</v>
      </c>
      <c r="I141" s="180">
        <v>0.66393456642527</v>
      </c>
      <c r="J141" s="180">
        <v>2.86999140225038</v>
      </c>
      <c r="K141" s="180">
        <v>0.08202251972363619</v>
      </c>
      <c r="L141" s="180">
        <v>0.197194550991473</v>
      </c>
      <c r="M141" s="180">
        <v>0.00134388161644945</v>
      </c>
      <c r="N141" s="180">
        <v>0.00155832101629983</v>
      </c>
      <c r="O141" s="180">
        <v>0.598554776034017</v>
      </c>
      <c r="P141" s="180">
        <v>0.396999154565834</v>
      </c>
      <c r="Q141" s="180">
        <v>0.0123284216837451</v>
      </c>
      <c r="R141" s="180">
        <v>0.344134740891301</v>
      </c>
      <c r="S141" s="180">
        <v>0.0407811803591363</v>
      </c>
      <c r="T141" s="180">
        <v>0.279855692603884</v>
      </c>
      <c r="U141" s="180">
        <v>0.470761225186226</v>
      </c>
      <c r="V141" s="180">
        <v>0.372834246032992</v>
      </c>
      <c r="W141" s="180"/>
      <c r="X141" s="68"/>
      <c r="Y141" s="179"/>
      <c r="Z141" s="179"/>
      <c r="AA141" s="179"/>
      <c r="AB141" s="179"/>
      <c r="AC141" s="179"/>
      <c r="AD141" s="181"/>
      <c r="AE141" s="180"/>
    </row>
    <row r="142" ht="21.25" customHeight="1">
      <c r="A142" t="s" s="8">
        <v>229</v>
      </c>
      <c r="B142" t="s" s="177">
        <v>954</v>
      </c>
      <c r="C142" s="178">
        <v>26</v>
      </c>
      <c r="D142" t="s" s="177">
        <v>927</v>
      </c>
      <c r="E142" s="68">
        <v>72.38</v>
      </c>
      <c r="F142" s="179">
        <v>23.7053208859053</v>
      </c>
      <c r="G142" s="180">
        <v>0.166711109502151</v>
      </c>
      <c r="H142" s="180">
        <v>0.496343354935374</v>
      </c>
      <c r="I142" s="180">
        <v>0.663054464437526</v>
      </c>
      <c r="J142" s="180">
        <v>2.76260012219334</v>
      </c>
      <c r="K142" s="180">
        <v>0.0394898848477051</v>
      </c>
      <c r="L142" s="180">
        <v>0.207422869802246</v>
      </c>
      <c r="M142" s="180">
        <v>0.000410906762982949</v>
      </c>
      <c r="N142" s="180">
        <v>0.00505645022064009</v>
      </c>
      <c r="O142" s="180">
        <v>1.42226758713013</v>
      </c>
      <c r="P142" s="180">
        <v>0.727107533743594</v>
      </c>
      <c r="Q142" s="180">
        <v>-0.0695134742546889</v>
      </c>
      <c r="R142" s="180">
        <v>0.339451506541771</v>
      </c>
      <c r="S142" s="180">
        <v>0.0178642432203638</v>
      </c>
      <c r="T142" s="180">
        <v>0</v>
      </c>
      <c r="U142" s="180">
        <v>0</v>
      </c>
      <c r="V142" s="180">
        <v>0</v>
      </c>
      <c r="W142" s="180"/>
      <c r="X142" s="68"/>
      <c r="Y142" s="179"/>
      <c r="Z142" s="179"/>
      <c r="AA142" s="179"/>
      <c r="AB142" s="179"/>
      <c r="AC142" s="179"/>
      <c r="AD142" s="181"/>
      <c r="AE142" s="180"/>
    </row>
    <row r="143" ht="21.25" customHeight="1">
      <c r="A143" t="s" s="8">
        <v>157</v>
      </c>
      <c r="B143" t="s" s="177">
        <v>939</v>
      </c>
      <c r="C143" s="178">
        <v>23</v>
      </c>
      <c r="D143" t="s" s="177">
        <v>927</v>
      </c>
      <c r="E143" s="68">
        <v>81.6925</v>
      </c>
      <c r="F143" s="179">
        <v>21.5359583119643</v>
      </c>
      <c r="G143" s="180">
        <v>0.152569707147309</v>
      </c>
      <c r="H143" s="180">
        <v>0.5101478803039901</v>
      </c>
      <c r="I143" s="180">
        <v>0.6627175874512991</v>
      </c>
      <c r="J143" s="180">
        <v>2.6111531697044</v>
      </c>
      <c r="K143" s="180">
        <v>0.0519408388519054</v>
      </c>
      <c r="L143" s="180">
        <v>0.260871968268465</v>
      </c>
      <c r="M143" s="180">
        <v>9.113383153776549e-05</v>
      </c>
      <c r="N143" s="180">
        <v>0.00250065013442098</v>
      </c>
      <c r="O143" s="180">
        <v>1.21237071493044</v>
      </c>
      <c r="P143" s="180">
        <v>1.24355300210379</v>
      </c>
      <c r="Q143" s="180">
        <v>0.0926842758437932</v>
      </c>
      <c r="R143" s="180">
        <v>0.407279768153463</v>
      </c>
      <c r="S143" s="180">
        <v>0.0241501467105709</v>
      </c>
      <c r="T143" s="180">
        <v>0</v>
      </c>
      <c r="U143" s="180">
        <v>0</v>
      </c>
      <c r="V143" s="180">
        <v>0</v>
      </c>
      <c r="W143" s="180"/>
      <c r="X143" s="68"/>
      <c r="Y143" s="179"/>
      <c r="Z143" s="179"/>
      <c r="AA143" s="179"/>
      <c r="AB143" s="179"/>
      <c r="AC143" s="179"/>
      <c r="AD143" s="181"/>
      <c r="AE143" s="180"/>
    </row>
    <row r="144" ht="21.25" customHeight="1">
      <c r="A144" t="s" s="8">
        <v>308</v>
      </c>
      <c r="B144" t="s" s="177">
        <v>970</v>
      </c>
      <c r="C144" s="178">
        <v>24</v>
      </c>
      <c r="D144" t="s" s="177">
        <v>926</v>
      </c>
      <c r="E144" s="68">
        <v>76.91928571428571</v>
      </c>
      <c r="F144" s="179">
        <v>17.7712156318796</v>
      </c>
      <c r="G144" s="180">
        <v>0.332325357508304</v>
      </c>
      <c r="H144" s="180">
        <v>0.328120527254585</v>
      </c>
      <c r="I144" s="180">
        <v>0.660445884762889</v>
      </c>
      <c r="J144" s="180">
        <v>2.9878336883163</v>
      </c>
      <c r="K144" s="180">
        <v>0.105654193201907</v>
      </c>
      <c r="L144" s="180">
        <v>0.187821794560605</v>
      </c>
      <c r="M144" s="180">
        <v>0.000890369899648546</v>
      </c>
      <c r="N144" s="180">
        <v>0.00163056157129556</v>
      </c>
      <c r="O144" s="180">
        <v>0.721047784336834</v>
      </c>
      <c r="P144" s="180">
        <v>1.61842954778821</v>
      </c>
      <c r="Q144" s="180">
        <v>-0.0748094306751487</v>
      </c>
      <c r="R144" s="180">
        <v>0.26695653428794</v>
      </c>
      <c r="S144" s="180">
        <v>0.0390633976350384</v>
      </c>
      <c r="T144" s="180">
        <v>0.258427441098427</v>
      </c>
      <c r="U144" s="180">
        <v>0.201006561195728</v>
      </c>
      <c r="V144" s="180">
        <v>0.562490890547903</v>
      </c>
      <c r="W144" s="180"/>
      <c r="X144" s="68"/>
      <c r="Y144" s="179"/>
      <c r="Z144" s="179"/>
      <c r="AA144" s="179"/>
      <c r="AB144" s="179"/>
      <c r="AC144" s="179"/>
      <c r="AD144" s="181"/>
      <c r="AE144" s="180"/>
    </row>
    <row r="145" ht="21.25" customHeight="1">
      <c r="A145" t="s" s="8">
        <v>397</v>
      </c>
      <c r="B145" t="s" s="177">
        <v>963</v>
      </c>
      <c r="C145" s="178">
        <v>27</v>
      </c>
      <c r="D145" t="s" s="177">
        <v>925</v>
      </c>
      <c r="E145" s="68">
        <v>76.49250000000001</v>
      </c>
      <c r="F145" s="179">
        <v>15.6598361464939</v>
      </c>
      <c r="G145" s="180">
        <v>0.285071872403533</v>
      </c>
      <c r="H145" s="180">
        <v>0.37228744137878</v>
      </c>
      <c r="I145" s="180">
        <v>0.657359313782313</v>
      </c>
      <c r="J145" s="180">
        <v>2.09924631693033</v>
      </c>
      <c r="K145" s="180">
        <v>0.0632571217175265</v>
      </c>
      <c r="L145" s="180">
        <v>0.104662265274013</v>
      </c>
      <c r="M145" s="180">
        <v>1.44066484016841e-05</v>
      </c>
      <c r="N145" s="180">
        <v>2.6357130613101e-05</v>
      </c>
      <c r="O145" s="180">
        <v>0.250528675963649</v>
      </c>
      <c r="P145" s="180">
        <v>1.03386847661948</v>
      </c>
      <c r="Q145" s="180">
        <v>0.108521912515287</v>
      </c>
      <c r="R145" s="180">
        <v>0.784185417111224</v>
      </c>
      <c r="S145" s="180">
        <v>0.0511482771511415</v>
      </c>
      <c r="T145" s="180">
        <v>0.0356763041547002</v>
      </c>
      <c r="U145" s="180">
        <v>0.0490360492254079</v>
      </c>
      <c r="V145" s="180">
        <v>0.421146417625999</v>
      </c>
      <c r="W145" s="180"/>
      <c r="X145" s="68"/>
      <c r="Y145" s="179"/>
      <c r="Z145" s="179"/>
      <c r="AA145" s="179"/>
      <c r="AB145" s="179"/>
      <c r="AC145" s="179"/>
      <c r="AD145" s="181"/>
      <c r="AE145" s="180"/>
    </row>
    <row r="146" ht="21.25" customHeight="1">
      <c r="A146" t="s" s="8">
        <v>531</v>
      </c>
      <c r="B146" t="s" s="177">
        <v>961</v>
      </c>
      <c r="C146" s="178">
        <v>34</v>
      </c>
      <c r="D146" t="s" s="177">
        <v>925</v>
      </c>
      <c r="E146" s="68">
        <v>53.6</v>
      </c>
      <c r="F146" s="179">
        <v>14.8661020504058</v>
      </c>
      <c r="G146" s="180">
        <v>0.337006678371388</v>
      </c>
      <c r="H146" s="180">
        <v>0.316355757378339</v>
      </c>
      <c r="I146" s="180">
        <v>0.653362435749727</v>
      </c>
      <c r="J146" s="180">
        <v>2.72708203205289</v>
      </c>
      <c r="K146" s="180">
        <v>0.06282102205602599</v>
      </c>
      <c r="L146" s="180">
        <v>0.146076525693295</v>
      </c>
      <c r="M146" s="180">
        <v>0</v>
      </c>
      <c r="N146" s="180">
        <v>0</v>
      </c>
      <c r="O146" s="180">
        <v>0.447690258326379</v>
      </c>
      <c r="P146" s="180">
        <v>0.861791510961277</v>
      </c>
      <c r="Q146" s="180">
        <v>-0.0144787922540545</v>
      </c>
      <c r="R146" s="180">
        <v>0.375473512395452</v>
      </c>
      <c r="S146" s="180">
        <v>0.0414538052943368</v>
      </c>
      <c r="T146" s="180">
        <v>0.1310670503731</v>
      </c>
      <c r="U146" s="180">
        <v>0.282259960331867</v>
      </c>
      <c r="V146" s="180">
        <v>0.317102553132332</v>
      </c>
      <c r="W146" s="180"/>
      <c r="X146" s="68"/>
      <c r="Y146" s="179"/>
      <c r="Z146" s="179"/>
      <c r="AA146" s="179"/>
      <c r="AB146" s="179"/>
      <c r="AC146" s="179"/>
      <c r="AD146" s="181"/>
      <c r="AE146" s="180"/>
    </row>
    <row r="147" ht="21.25" customHeight="1">
      <c r="A147" t="s" s="8">
        <v>264</v>
      </c>
      <c r="B147" t="s" s="177">
        <v>962</v>
      </c>
      <c r="C147" s="178">
        <v>33</v>
      </c>
      <c r="D147" t="s" s="177">
        <v>927</v>
      </c>
      <c r="E147" s="68">
        <v>75.94</v>
      </c>
      <c r="F147" s="179">
        <v>26.1678476420577</v>
      </c>
      <c r="G147" s="180">
        <v>0.125277543229415</v>
      </c>
      <c r="H147" s="180">
        <v>0.525805116142943</v>
      </c>
      <c r="I147" s="180">
        <v>0.651082659372357</v>
      </c>
      <c r="J147" s="180">
        <v>1.9455606364235</v>
      </c>
      <c r="K147" s="180">
        <v>0.0623847311459632</v>
      </c>
      <c r="L147" s="180">
        <v>0.304648062924418</v>
      </c>
      <c r="M147" s="180">
        <v>0.000317501851671927</v>
      </c>
      <c r="N147" s="180">
        <v>0.00398304460959172</v>
      </c>
      <c r="O147" s="180">
        <v>1.39027818759189</v>
      </c>
      <c r="P147" s="180">
        <v>1.43738550067155</v>
      </c>
      <c r="Q147" s="180">
        <v>0.00175327696213354</v>
      </c>
      <c r="R147" s="180">
        <v>0.529393601995417</v>
      </c>
      <c r="S147" s="180">
        <v>0.0185487253070966</v>
      </c>
      <c r="T147" s="180">
        <v>0</v>
      </c>
      <c r="U147" s="180">
        <v>0</v>
      </c>
      <c r="V147" s="180">
        <v>0</v>
      </c>
      <c r="W147" s="180"/>
      <c r="X147" s="68"/>
      <c r="Y147" s="179"/>
      <c r="Z147" s="179"/>
      <c r="AA147" s="179"/>
      <c r="AB147" s="179"/>
      <c r="AC147" s="179"/>
      <c r="AD147" s="181"/>
      <c r="AE147" s="180"/>
    </row>
    <row r="148" ht="21.25" customHeight="1">
      <c r="A148" t="s" s="8">
        <v>383</v>
      </c>
      <c r="B148" t="s" s="177">
        <v>954</v>
      </c>
      <c r="C148" s="182">
        <v>18</v>
      </c>
      <c r="D148" t="s" s="177">
        <v>924</v>
      </c>
      <c r="E148" s="68">
        <v>78</v>
      </c>
      <c r="F148" s="179">
        <v>16</v>
      </c>
      <c r="G148" s="180">
        <v>0.268474487829201</v>
      </c>
      <c r="H148" s="180">
        <v>0.382364694586766</v>
      </c>
      <c r="I148" s="180">
        <v>0.6508391824159671</v>
      </c>
      <c r="J148" s="180">
        <v>2.03012277572407</v>
      </c>
      <c r="K148" s="180">
        <v>0.0721759443705712</v>
      </c>
      <c r="L148" s="180">
        <v>0.17496981930785</v>
      </c>
      <c r="M148" s="180">
        <v>0</v>
      </c>
      <c r="N148" s="180">
        <v>0</v>
      </c>
      <c r="O148" s="180">
        <v>0.434146341463415</v>
      </c>
      <c r="P148" s="180">
        <v>0.792682926829268</v>
      </c>
      <c r="Q148" s="180">
        <v>0.00207317073170732</v>
      </c>
      <c r="R148" s="180">
        <v>0.463414634146341</v>
      </c>
      <c r="S148" s="180">
        <v>0.0287688898680239</v>
      </c>
      <c r="T148" s="180">
        <v>4.73464980791794</v>
      </c>
      <c r="U148" s="180">
        <v>6.53832592522001</v>
      </c>
      <c r="V148" s="180">
        <v>0.42</v>
      </c>
      <c r="W148" s="180"/>
      <c r="X148" s="68"/>
      <c r="Y148" s="180"/>
      <c r="Z148" s="180"/>
      <c r="AA148" s="180"/>
      <c r="AB148" s="180"/>
      <c r="AC148" s="179"/>
      <c r="AD148" s="181"/>
      <c r="AE148" s="180"/>
    </row>
    <row r="149" ht="21.25" customHeight="1">
      <c r="A149" t="s" s="8">
        <v>408</v>
      </c>
      <c r="B149" t="s" s="177">
        <v>961</v>
      </c>
      <c r="C149" s="178">
        <v>29</v>
      </c>
      <c r="D149" t="s" s="177">
        <v>926</v>
      </c>
      <c r="E149" s="68">
        <v>70.59999999999999</v>
      </c>
      <c r="F149" s="179">
        <v>18.2572641035605</v>
      </c>
      <c r="G149" s="180">
        <v>0.307320080467656</v>
      </c>
      <c r="H149" s="180">
        <v>0.339990841651354</v>
      </c>
      <c r="I149" s="180">
        <v>0.64731092211901</v>
      </c>
      <c r="J149" s="180">
        <v>2.18642512612274</v>
      </c>
      <c r="K149" s="180">
        <v>0.0494592895113448</v>
      </c>
      <c r="L149" s="180">
        <v>0.100868533798622</v>
      </c>
      <c r="M149" s="180">
        <v>0.0179657679048067</v>
      </c>
      <c r="N149" s="180">
        <v>0.0258912935173622</v>
      </c>
      <c r="O149" s="180">
        <v>0.798760405515982</v>
      </c>
      <c r="P149" s="180">
        <v>2.6742802109399</v>
      </c>
      <c r="Q149" s="180">
        <v>-0.039699238378297</v>
      </c>
      <c r="R149" s="180">
        <v>1.1145052503435</v>
      </c>
      <c r="S149" s="180">
        <v>0.0378021789963072</v>
      </c>
      <c r="T149" s="180">
        <v>0.218013865331971</v>
      </c>
      <c r="U149" s="180">
        <v>0.327304614791891</v>
      </c>
      <c r="V149" s="180">
        <v>0.39979181575224</v>
      </c>
      <c r="W149" s="180"/>
      <c r="X149" s="68"/>
      <c r="Y149" s="179"/>
      <c r="Z149" s="179"/>
      <c r="AA149" s="179"/>
      <c r="AB149" s="179"/>
      <c r="AC149" s="179"/>
      <c r="AD149" s="181"/>
      <c r="AE149" s="180"/>
    </row>
    <row r="150" ht="21.25" customHeight="1">
      <c r="A150" t="s" s="8">
        <v>406</v>
      </c>
      <c r="B150" t="s" s="177">
        <v>965</v>
      </c>
      <c r="C150" s="178">
        <v>29</v>
      </c>
      <c r="D150" t="s" s="177">
        <v>944</v>
      </c>
      <c r="E150" s="68">
        <v>72.9164285714286</v>
      </c>
      <c r="F150" s="179">
        <v>17.4777316246812</v>
      </c>
      <c r="G150" s="180">
        <v>0.201737608141072</v>
      </c>
      <c r="H150" s="180">
        <v>0.444995973592815</v>
      </c>
      <c r="I150" s="180">
        <v>0.646733581733887</v>
      </c>
      <c r="J150" s="180">
        <v>1.75323023867933</v>
      </c>
      <c r="K150" s="180">
        <v>0.052642464296056</v>
      </c>
      <c r="L150" s="180">
        <v>0.190722481127445</v>
      </c>
      <c r="M150" s="180">
        <v>0.000100094308382061</v>
      </c>
      <c r="N150" s="180">
        <v>0.000186399128408263</v>
      </c>
      <c r="O150" s="180">
        <v>0.5265832059687739</v>
      </c>
      <c r="P150" s="180">
        <v>0.664328086924894</v>
      </c>
      <c r="Q150" s="180">
        <v>0.00126009178274313</v>
      </c>
      <c r="R150" s="180">
        <v>0.296382451255511</v>
      </c>
      <c r="S150" s="180">
        <v>0.0250468849343196</v>
      </c>
      <c r="T150" s="180">
        <v>0.00628057627601178</v>
      </c>
      <c r="U150" s="180">
        <v>0.03031686465269</v>
      </c>
      <c r="V150" s="180">
        <v>0.171612443838558</v>
      </c>
      <c r="W150" s="180"/>
      <c r="X150" s="68"/>
      <c r="Y150" s="179"/>
      <c r="Z150" s="179"/>
      <c r="AA150" s="179"/>
      <c r="AB150" s="179"/>
      <c r="AC150" s="179"/>
      <c r="AD150" s="181"/>
      <c r="AE150" s="180"/>
    </row>
    <row r="151" ht="21.25" customHeight="1">
      <c r="A151" t="s" s="8">
        <v>335</v>
      </c>
      <c r="B151" t="s" s="177">
        <v>964</v>
      </c>
      <c r="C151" s="182">
        <v>27</v>
      </c>
      <c r="D151" t="s" s="177">
        <v>944</v>
      </c>
      <c r="E151" s="68">
        <v>81.8</v>
      </c>
      <c r="F151" s="179">
        <v>17.548043859375</v>
      </c>
      <c r="G151" s="180">
        <v>0.319449575944651</v>
      </c>
      <c r="H151" s="180">
        <v>0.327234139572655</v>
      </c>
      <c r="I151" s="180">
        <v>0.646683715517306</v>
      </c>
      <c r="J151" s="180">
        <v>2.33221531805401</v>
      </c>
      <c r="K151" s="180">
        <v>0.07635736921228239</v>
      </c>
      <c r="L151" s="180">
        <v>0.142130473642734</v>
      </c>
      <c r="M151" s="180">
        <v>0.0085033040172012</v>
      </c>
      <c r="N151" s="180">
        <v>0.0223947889685665</v>
      </c>
      <c r="O151" s="180">
        <v>0.369632434861499</v>
      </c>
      <c r="P151" s="180">
        <v>1.02062875728909</v>
      </c>
      <c r="Q151" s="180">
        <v>0.0619539294412057</v>
      </c>
      <c r="R151" s="180">
        <v>0.454042343902722</v>
      </c>
      <c r="S151" s="180">
        <v>0.0533794651229616</v>
      </c>
      <c r="T151" s="180">
        <v>0.0886913034165072</v>
      </c>
      <c r="U151" s="180">
        <v>0.186675986715723</v>
      </c>
      <c r="V151" s="180">
        <v>0.322083655520298</v>
      </c>
      <c r="W151" s="180"/>
      <c r="X151" s="68"/>
      <c r="Y151" s="179"/>
      <c r="Z151" s="179"/>
      <c r="AA151" s="179"/>
      <c r="AB151" s="179"/>
      <c r="AC151" s="179"/>
      <c r="AD151" s="181"/>
      <c r="AE151" s="180"/>
    </row>
    <row r="152" ht="21.25" customHeight="1">
      <c r="A152" t="s" s="8">
        <v>442</v>
      </c>
      <c r="B152" t="s" s="177">
        <v>956</v>
      </c>
      <c r="C152" s="178">
        <v>24</v>
      </c>
      <c r="D152" t="s" s="177">
        <v>924</v>
      </c>
      <c r="E152" s="68">
        <v>70.52714285714291</v>
      </c>
      <c r="F152" s="179">
        <v>16.4654352775596</v>
      </c>
      <c r="G152" s="180">
        <v>0.335810317233013</v>
      </c>
      <c r="H152" s="180">
        <v>0.310292965107334</v>
      </c>
      <c r="I152" s="180">
        <v>0.646103282340348</v>
      </c>
      <c r="J152" s="180">
        <v>1.98219795447421</v>
      </c>
      <c r="K152" s="180">
        <v>0.0888478722924582</v>
      </c>
      <c r="L152" s="180">
        <v>0.162270782850818</v>
      </c>
      <c r="M152" s="180">
        <v>0.000167103852546398</v>
      </c>
      <c r="N152" s="180">
        <v>0.000306077142220641</v>
      </c>
      <c r="O152" s="180">
        <v>0.511799142057602</v>
      </c>
      <c r="P152" s="180">
        <v>0.679439211450749</v>
      </c>
      <c r="Q152" s="180">
        <v>0.0338747693138929</v>
      </c>
      <c r="R152" s="180">
        <v>0.302691826644799</v>
      </c>
      <c r="S152" s="180">
        <v>0.0523875335066057</v>
      </c>
      <c r="T152" s="180">
        <v>1.700659141388</v>
      </c>
      <c r="U152" s="180">
        <v>1.96037758874557</v>
      </c>
      <c r="V152" s="180">
        <v>0.464529385184822</v>
      </c>
      <c r="W152" s="180"/>
      <c r="X152" s="68"/>
      <c r="Y152" s="179"/>
      <c r="Z152" s="179"/>
      <c r="AA152" s="179"/>
      <c r="AB152" s="179"/>
      <c r="AC152" s="179"/>
      <c r="AD152" s="181"/>
      <c r="AE152" s="180"/>
    </row>
    <row r="153" ht="21.25" customHeight="1">
      <c r="A153" t="s" s="8">
        <v>350</v>
      </c>
      <c r="B153" t="s" s="177">
        <v>943</v>
      </c>
      <c r="C153" s="178">
        <v>27</v>
      </c>
      <c r="D153" t="s" s="177">
        <v>924</v>
      </c>
      <c r="E153" s="68">
        <v>75.9735714285714</v>
      </c>
      <c r="F153" s="179">
        <v>17.0911597229475</v>
      </c>
      <c r="G153" s="180">
        <v>0.29061064857987</v>
      </c>
      <c r="H153" s="180">
        <v>0.35386094161447</v>
      </c>
      <c r="I153" s="180">
        <v>0.644471590194339</v>
      </c>
      <c r="J153" s="180">
        <v>2.93343525103006</v>
      </c>
      <c r="K153" s="180">
        <v>0.0535115184181505</v>
      </c>
      <c r="L153" s="180">
        <v>0.116962129696795</v>
      </c>
      <c r="M153" s="180">
        <v>0.00155806626392012</v>
      </c>
      <c r="N153" s="180">
        <v>0.00708050275635473</v>
      </c>
      <c r="O153" s="180">
        <v>0.499443287503159</v>
      </c>
      <c r="P153" s="180">
        <v>2.01867952859823</v>
      </c>
      <c r="Q153" s="180">
        <v>0.0654985248402533</v>
      </c>
      <c r="R153" s="180">
        <v>0.818843202341467</v>
      </c>
      <c r="S153" s="180">
        <v>0.0416887604166618</v>
      </c>
      <c r="T153" s="180">
        <v>6.14837862294761</v>
      </c>
      <c r="U153" s="180">
        <v>6.93714796008846</v>
      </c>
      <c r="V153" s="180">
        <v>0.469861001307987</v>
      </c>
      <c r="W153" s="180"/>
      <c r="X153" s="68"/>
      <c r="Y153" s="179"/>
      <c r="Z153" s="179"/>
      <c r="AA153" s="179"/>
      <c r="AB153" s="179"/>
      <c r="AC153" s="179"/>
      <c r="AD153" s="181"/>
      <c r="AE153" s="180"/>
    </row>
    <row r="154" ht="21.25" customHeight="1">
      <c r="A154" t="s" s="8">
        <v>420</v>
      </c>
      <c r="B154" t="s" s="177">
        <v>950</v>
      </c>
      <c r="C154" s="178">
        <v>36</v>
      </c>
      <c r="D154" t="s" s="177">
        <v>926</v>
      </c>
      <c r="E154" s="68">
        <v>76.04000000000001</v>
      </c>
      <c r="F154" s="179">
        <v>15.9155208675902</v>
      </c>
      <c r="G154" s="180">
        <v>0.188614963353248</v>
      </c>
      <c r="H154" s="180">
        <v>0.455742336897448</v>
      </c>
      <c r="I154" s="180">
        <v>0.644357300250695</v>
      </c>
      <c r="J154" s="180">
        <v>1.79677017328561</v>
      </c>
      <c r="K154" s="180">
        <v>0.039206060586515</v>
      </c>
      <c r="L154" s="180">
        <v>0.135902442259866</v>
      </c>
      <c r="M154" s="180">
        <v>0.0010547731199851</v>
      </c>
      <c r="N154" s="180">
        <v>0.00202931946594877</v>
      </c>
      <c r="O154" s="180">
        <v>0.471600096998657</v>
      </c>
      <c r="P154" s="180">
        <v>0.778693113077738</v>
      </c>
      <c r="Q154" s="180">
        <v>0.0488134484420548</v>
      </c>
      <c r="R154" s="180">
        <v>0.537997351359</v>
      </c>
      <c r="S154" s="180">
        <v>0.0321396375408149</v>
      </c>
      <c r="T154" s="180">
        <v>0.455662684519801</v>
      </c>
      <c r="U154" s="180">
        <v>0.796427679297773</v>
      </c>
      <c r="V154" s="180">
        <v>0.363921564838582</v>
      </c>
      <c r="W154" s="180"/>
      <c r="X154" s="68"/>
      <c r="Y154" s="179"/>
      <c r="Z154" s="179"/>
      <c r="AA154" s="179"/>
      <c r="AB154" s="179"/>
      <c r="AC154" s="179"/>
      <c r="AD154" s="181"/>
      <c r="AE154" s="180"/>
    </row>
    <row r="155" ht="21.25" customHeight="1">
      <c r="A155" t="s" s="8">
        <v>183</v>
      </c>
      <c r="B155" t="s" s="177">
        <v>969</v>
      </c>
      <c r="C155" s="178">
        <v>22</v>
      </c>
      <c r="D155" t="s" s="177">
        <v>927</v>
      </c>
      <c r="E155" s="68">
        <v>82.03</v>
      </c>
      <c r="F155" s="179">
        <v>25.530220788457</v>
      </c>
      <c r="G155" s="180">
        <v>0.0922648153484</v>
      </c>
      <c r="H155" s="180">
        <v>0.550845892187373</v>
      </c>
      <c r="I155" s="180">
        <v>0.643110707535773</v>
      </c>
      <c r="J155" s="180">
        <v>2.0989455755226</v>
      </c>
      <c r="K155" s="180">
        <v>0.026893029020471</v>
      </c>
      <c r="L155" s="180">
        <v>0.24881179085288</v>
      </c>
      <c r="M155" s="180">
        <v>0.0075494334139913</v>
      </c>
      <c r="N155" s="180">
        <v>0.0241467196633015</v>
      </c>
      <c r="O155" s="180">
        <v>2.28631952720332</v>
      </c>
      <c r="P155" s="180">
        <v>2.32953089754027</v>
      </c>
      <c r="Q155" s="180">
        <v>-0.0438827155492402</v>
      </c>
      <c r="R155" s="180">
        <v>0.525461129966128</v>
      </c>
      <c r="S155" s="180">
        <v>0.0122099436672727</v>
      </c>
      <c r="T155" s="180">
        <v>0</v>
      </c>
      <c r="U155" s="180">
        <v>0</v>
      </c>
      <c r="V155" s="180">
        <v>0</v>
      </c>
      <c r="W155" s="180"/>
      <c r="X155" s="68"/>
      <c r="Y155" s="179"/>
      <c r="Z155" s="179"/>
      <c r="AA155" s="179"/>
      <c r="AB155" s="179"/>
      <c r="AC155" s="179"/>
      <c r="AD155" s="181"/>
      <c r="AE155" s="180"/>
    </row>
    <row r="156" ht="21.25" customHeight="1">
      <c r="A156" t="s" s="8">
        <v>267</v>
      </c>
      <c r="B156" t="s" s="177">
        <v>941</v>
      </c>
      <c r="C156" s="178">
        <v>29</v>
      </c>
      <c r="D156" t="s" s="177">
        <v>927</v>
      </c>
      <c r="E156" s="68">
        <v>79.03571428571431</v>
      </c>
      <c r="F156" s="179">
        <v>24.6380473098323</v>
      </c>
      <c r="G156" s="180">
        <v>0.129878421456206</v>
      </c>
      <c r="H156" s="180">
        <v>0.510685586232879</v>
      </c>
      <c r="I156" s="180">
        <v>0.6405640076890849</v>
      </c>
      <c r="J156" s="180">
        <v>2.08363934654467</v>
      </c>
      <c r="K156" s="180">
        <v>0.01802212075853</v>
      </c>
      <c r="L156" s="180">
        <v>0.09859862476683021</v>
      </c>
      <c r="M156" s="180">
        <v>0.000331620869353437</v>
      </c>
      <c r="N156" s="180">
        <v>0.00176835975066288</v>
      </c>
      <c r="O156" s="180">
        <v>1.63895931993609</v>
      </c>
      <c r="P156" s="180">
        <v>1.10966668420855</v>
      </c>
      <c r="Q156" s="180">
        <v>0.116367976226277</v>
      </c>
      <c r="R156" s="180">
        <v>0.346413860761904</v>
      </c>
      <c r="S156" s="180">
        <v>0.0205487231187645</v>
      </c>
      <c r="T156" s="180">
        <v>0</v>
      </c>
      <c r="U156" s="180">
        <v>0</v>
      </c>
      <c r="V156" s="180">
        <v>0</v>
      </c>
      <c r="W156" s="180"/>
      <c r="X156" s="68"/>
      <c r="Y156" s="179"/>
      <c r="Z156" s="179"/>
      <c r="AA156" s="179"/>
      <c r="AB156" s="179"/>
      <c r="AC156" s="179"/>
      <c r="AD156" s="181"/>
      <c r="AE156" s="180"/>
    </row>
    <row r="157" ht="21.25" customHeight="1">
      <c r="A157" t="s" s="8">
        <v>404</v>
      </c>
      <c r="B157" t="s" s="177">
        <v>973</v>
      </c>
      <c r="C157" s="178">
        <v>22</v>
      </c>
      <c r="D157" t="s" s="177">
        <v>924</v>
      </c>
      <c r="E157" s="68">
        <v>70.5557142857143</v>
      </c>
      <c r="F157" s="179">
        <v>18.2523630306494</v>
      </c>
      <c r="G157" s="180">
        <v>0.24397605256928</v>
      </c>
      <c r="H157" s="180">
        <v>0.394839424471706</v>
      </c>
      <c r="I157" s="180">
        <v>0.638815477040987</v>
      </c>
      <c r="J157" s="180">
        <v>1.8987108978657</v>
      </c>
      <c r="K157" s="180">
        <v>0.0873723889208794</v>
      </c>
      <c r="L157" s="180">
        <v>0.236425734949539</v>
      </c>
      <c r="M157" s="180">
        <v>0.000680297027992534</v>
      </c>
      <c r="N157" s="180">
        <v>0.009428192546314039</v>
      </c>
      <c r="O157" s="180">
        <v>0.614136172347348</v>
      </c>
      <c r="P157" s="180">
        <v>0.847225713858451</v>
      </c>
      <c r="Q157" s="180">
        <v>-0.0785544411178271</v>
      </c>
      <c r="R157" s="180">
        <v>0.626195720007784</v>
      </c>
      <c r="S157" s="180">
        <v>0.0249934227328963</v>
      </c>
      <c r="T157" s="180">
        <v>1.77539003145606</v>
      </c>
      <c r="U157" s="180">
        <v>3.1540550472745</v>
      </c>
      <c r="V157" s="180">
        <v>0.360160221505757</v>
      </c>
      <c r="W157" s="180"/>
      <c r="X157" s="68"/>
      <c r="Y157" s="179"/>
      <c r="Z157" s="179"/>
      <c r="AA157" s="179"/>
      <c r="AB157" s="179"/>
      <c r="AC157" s="179"/>
      <c r="AD157" s="181"/>
      <c r="AE157" s="180"/>
    </row>
    <row r="158" ht="21.25" customHeight="1">
      <c r="A158" t="s" s="8">
        <v>254</v>
      </c>
      <c r="B158" t="s" s="177">
        <v>953</v>
      </c>
      <c r="C158" s="178">
        <v>36</v>
      </c>
      <c r="D158" t="s" s="177">
        <v>927</v>
      </c>
      <c r="E158" s="68">
        <v>78.1385714285714</v>
      </c>
      <c r="F158" s="179">
        <v>23.7331719893293</v>
      </c>
      <c r="G158" s="180">
        <v>0.123712617501976</v>
      </c>
      <c r="H158" s="180">
        <v>0.51358690580335</v>
      </c>
      <c r="I158" s="180">
        <v>0.637299523305326</v>
      </c>
      <c r="J158" s="180">
        <v>2.37768388936651</v>
      </c>
      <c r="K158" s="180">
        <v>0.0334345890382879</v>
      </c>
      <c r="L158" s="180">
        <v>0.191450450913254</v>
      </c>
      <c r="M158" s="180">
        <v>0.00457456202455511</v>
      </c>
      <c r="N158" s="180">
        <v>0.00716577576327524</v>
      </c>
      <c r="O158" s="180">
        <v>1.56598268055438</v>
      </c>
      <c r="P158" s="180">
        <v>2.10518472924693</v>
      </c>
      <c r="Q158" s="180">
        <v>0.0291454461080418</v>
      </c>
      <c r="R158" s="180">
        <v>0.530346069485054</v>
      </c>
      <c r="S158" s="180">
        <v>0.0198583522599199</v>
      </c>
      <c r="T158" s="180">
        <v>0</v>
      </c>
      <c r="U158" s="180">
        <v>0.00213930652778155</v>
      </c>
      <c r="V158" s="180">
        <v>0</v>
      </c>
      <c r="W158" s="180"/>
      <c r="X158" s="68"/>
      <c r="Y158" s="179"/>
      <c r="Z158" s="179"/>
      <c r="AA158" s="179"/>
      <c r="AB158" s="179"/>
      <c r="AC158" s="179"/>
      <c r="AD158" s="181"/>
      <c r="AE158" s="180"/>
    </row>
    <row r="159" ht="21.25" customHeight="1">
      <c r="A159" t="s" s="8">
        <v>344</v>
      </c>
      <c r="B159" t="s" s="177">
        <v>972</v>
      </c>
      <c r="C159" s="178">
        <v>33</v>
      </c>
      <c r="D159" t="s" s="177">
        <v>926</v>
      </c>
      <c r="E159" s="68">
        <v>81.47107142857141</v>
      </c>
      <c r="F159" s="179">
        <v>16.8232156851753</v>
      </c>
      <c r="G159" s="180">
        <v>0.23440970938477</v>
      </c>
      <c r="H159" s="180">
        <v>0.401890667206668</v>
      </c>
      <c r="I159" s="180">
        <v>0.636300376591438</v>
      </c>
      <c r="J159" s="180">
        <v>2.16493491289407</v>
      </c>
      <c r="K159" s="180">
        <v>0.0432239362711173</v>
      </c>
      <c r="L159" s="180">
        <v>0.151028103694984</v>
      </c>
      <c r="M159" s="180">
        <v>0.000105093105155202</v>
      </c>
      <c r="N159" s="180">
        <v>0.000196537364215006</v>
      </c>
      <c r="O159" s="180">
        <v>0.36168092175968</v>
      </c>
      <c r="P159" s="180">
        <v>0.587474337649022</v>
      </c>
      <c r="Q159" s="180">
        <v>0.0132849603081776</v>
      </c>
      <c r="R159" s="180">
        <v>0.332653215777952</v>
      </c>
      <c r="S159" s="180">
        <v>0.0329488575741789</v>
      </c>
      <c r="T159" s="180">
        <v>0.289308187083538</v>
      </c>
      <c r="U159" s="180">
        <v>0.461502720227483</v>
      </c>
      <c r="V159" s="180">
        <v>0.385327629455565</v>
      </c>
      <c r="W159" s="180"/>
      <c r="X159" s="68"/>
      <c r="Y159" s="179"/>
      <c r="Z159" s="179"/>
      <c r="AA159" s="179"/>
      <c r="AB159" s="179"/>
      <c r="AC159" s="179"/>
      <c r="AD159" s="181"/>
      <c r="AE159" s="180"/>
    </row>
    <row r="160" ht="21.25" customHeight="1">
      <c r="A160" t="s" s="8">
        <v>412</v>
      </c>
      <c r="B160" t="s" s="177">
        <v>966</v>
      </c>
      <c r="C160" s="178">
        <v>27</v>
      </c>
      <c r="D160" t="s" s="177">
        <v>940</v>
      </c>
      <c r="E160" s="68">
        <v>79.2567857142857</v>
      </c>
      <c r="F160" s="179">
        <v>17.261526936530</v>
      </c>
      <c r="G160" s="180">
        <v>0.248836581432733</v>
      </c>
      <c r="H160" s="180">
        <v>0.384846049782496</v>
      </c>
      <c r="I160" s="180">
        <v>0.6336826312152291</v>
      </c>
      <c r="J160" s="180">
        <v>1.56001437066018</v>
      </c>
      <c r="K160" s="180">
        <v>0.0401818382976487</v>
      </c>
      <c r="L160" s="180">
        <v>0.0939019912123798</v>
      </c>
      <c r="M160" s="180">
        <v>0.00423844948046907</v>
      </c>
      <c r="N160" s="180">
        <v>0.008353144287853709</v>
      </c>
      <c r="O160" s="180">
        <v>0.489994300548633</v>
      </c>
      <c r="P160" s="180">
        <v>2.01243093343902</v>
      </c>
      <c r="Q160" s="180">
        <v>0.0469907233058387</v>
      </c>
      <c r="R160" s="180">
        <v>0.478727307329756</v>
      </c>
      <c r="S160" s="180">
        <v>0.0406666868519934</v>
      </c>
      <c r="T160" s="180">
        <v>0.981158086840128</v>
      </c>
      <c r="U160" s="180">
        <v>1.48469558317241</v>
      </c>
      <c r="V160" s="180">
        <v>0.397897936431539</v>
      </c>
      <c r="W160" s="180"/>
      <c r="X160" s="68"/>
      <c r="Y160" s="179"/>
      <c r="Z160" s="179"/>
      <c r="AA160" s="179"/>
      <c r="AB160" s="179"/>
      <c r="AC160" s="179"/>
      <c r="AD160" s="181"/>
      <c r="AE160" s="180"/>
    </row>
    <row r="161" ht="21.25" customHeight="1">
      <c r="A161" t="s" s="8">
        <v>424</v>
      </c>
      <c r="B161" t="s" s="177">
        <v>961</v>
      </c>
      <c r="C161" s="178">
        <v>26</v>
      </c>
      <c r="D161" t="s" s="177">
        <v>924</v>
      </c>
      <c r="E161" s="68">
        <v>77.7221428571429</v>
      </c>
      <c r="F161" s="179">
        <v>15.4727948472655</v>
      </c>
      <c r="G161" s="180">
        <v>0.261518887358659</v>
      </c>
      <c r="H161" s="180">
        <v>0.370645475982515</v>
      </c>
      <c r="I161" s="180">
        <v>0.632164363341173</v>
      </c>
      <c r="J161" s="180">
        <v>1.76036888600828</v>
      </c>
      <c r="K161" s="180">
        <v>0.0337742295473161</v>
      </c>
      <c r="L161" s="180">
        <v>0.133691875124809</v>
      </c>
      <c r="M161" s="180">
        <v>0.00013987510705624</v>
      </c>
      <c r="N161" s="180">
        <v>0.000255538401537139</v>
      </c>
      <c r="O161" s="180">
        <v>0.498245497143196</v>
      </c>
      <c r="P161" s="180">
        <v>0.304250448193216</v>
      </c>
      <c r="Q161" s="180">
        <v>-0.0159379302167093</v>
      </c>
      <c r="R161" s="180">
        <v>0.327472117822112</v>
      </c>
      <c r="S161" s="180">
        <v>0.0321683626263646</v>
      </c>
      <c r="T161" s="180">
        <v>6.02847085066499</v>
      </c>
      <c r="U161" s="180">
        <v>6.0623080671553</v>
      </c>
      <c r="V161" s="180">
        <v>0.498600701546182</v>
      </c>
      <c r="W161" s="180"/>
      <c r="X161" s="68"/>
      <c r="Y161" s="179"/>
      <c r="Z161" s="179"/>
      <c r="AA161" s="179"/>
      <c r="AB161" s="179"/>
      <c r="AC161" s="179"/>
      <c r="AD161" s="181"/>
      <c r="AE161" s="180"/>
    </row>
    <row r="162" ht="21.25" customHeight="1">
      <c r="A162" t="s" s="8">
        <v>499</v>
      </c>
      <c r="B162" t="s" s="177">
        <v>956</v>
      </c>
      <c r="C162" s="178">
        <v>21</v>
      </c>
      <c r="D162" t="s" s="177">
        <v>924</v>
      </c>
      <c r="E162" s="68">
        <v>68.2</v>
      </c>
      <c r="F162" s="179">
        <v>15.6599429646475</v>
      </c>
      <c r="G162" s="180">
        <v>0.202752292783695</v>
      </c>
      <c r="H162" s="180">
        <v>0.42705354270913</v>
      </c>
      <c r="I162" s="180">
        <v>0.629805835492826</v>
      </c>
      <c r="J162" s="180">
        <v>1.84936572211757</v>
      </c>
      <c r="K162" s="180">
        <v>0.0336054839706533</v>
      </c>
      <c r="L162" s="180">
        <v>0.109832692050804</v>
      </c>
      <c r="M162" s="180">
        <v>1.56088675933144e-05</v>
      </c>
      <c r="N162" s="180">
        <v>2.77507238414341e-05</v>
      </c>
      <c r="O162" s="180">
        <v>0.406832020666874</v>
      </c>
      <c r="P162" s="180">
        <v>0.786136682015837</v>
      </c>
      <c r="Q162" s="180">
        <v>0.0366606096973452</v>
      </c>
      <c r="R162" s="180">
        <v>0.312932185351402</v>
      </c>
      <c r="S162" s="180">
        <v>0.0316300363230851</v>
      </c>
      <c r="T162" s="180">
        <v>0.0476358238205683</v>
      </c>
      <c r="U162" s="180">
        <v>0.175356844579072</v>
      </c>
      <c r="V162" s="180">
        <v>0.213620582965521</v>
      </c>
      <c r="W162" s="180"/>
      <c r="X162" s="68"/>
      <c r="Y162" s="179"/>
      <c r="Z162" s="179"/>
      <c r="AA162" s="179"/>
      <c r="AB162" s="179"/>
      <c r="AC162" s="179"/>
      <c r="AD162" s="181"/>
      <c r="AE162" s="180"/>
    </row>
    <row r="163" ht="21.25" customHeight="1">
      <c r="A163" t="s" s="8">
        <v>372</v>
      </c>
      <c r="B163" t="s" s="177">
        <v>953</v>
      </c>
      <c r="C163" s="178">
        <v>32</v>
      </c>
      <c r="D163" t="s" s="177">
        <v>944</v>
      </c>
      <c r="E163" s="68">
        <v>77.3057142857143</v>
      </c>
      <c r="F163" s="179">
        <v>17.3725992812423</v>
      </c>
      <c r="G163" s="180">
        <v>0.284037969351817</v>
      </c>
      <c r="H163" s="180">
        <v>0.344660748751809</v>
      </c>
      <c r="I163" s="180">
        <v>0.628698718103626</v>
      </c>
      <c r="J163" s="180">
        <v>2.29200544549152</v>
      </c>
      <c r="K163" s="180">
        <v>0.0469148030201913</v>
      </c>
      <c r="L163" s="180">
        <v>0.08922725857155089</v>
      </c>
      <c r="M163" s="180">
        <v>0.0439086187489702</v>
      </c>
      <c r="N163" s="180">
        <v>0.054717073838837</v>
      </c>
      <c r="O163" s="180">
        <v>0.439447354826789</v>
      </c>
      <c r="P163" s="180">
        <v>0.920850527260255</v>
      </c>
      <c r="Q163" s="180">
        <v>0.0270149922343104</v>
      </c>
      <c r="R163" s="180">
        <v>0.255369694901723</v>
      </c>
      <c r="S163" s="180">
        <v>0.0455937814951706</v>
      </c>
      <c r="T163" s="180">
        <v>0.0412389619968796</v>
      </c>
      <c r="U163" s="180">
        <v>0.0542163463833911</v>
      </c>
      <c r="V163" s="180">
        <v>0.432023767945871</v>
      </c>
      <c r="W163" s="180"/>
      <c r="X163" s="68"/>
      <c r="Y163" s="179"/>
      <c r="Z163" s="179"/>
      <c r="AA163" s="179"/>
      <c r="AB163" s="179"/>
      <c r="AC163" s="179"/>
      <c r="AD163" s="181"/>
      <c r="AE163" s="180"/>
    </row>
    <row r="164" ht="21.25" customHeight="1">
      <c r="A164" t="s" s="8">
        <v>594</v>
      </c>
      <c r="B164" t="s" s="177">
        <v>965</v>
      </c>
      <c r="C164" s="182">
        <v>24</v>
      </c>
      <c r="D164" t="s" s="177">
        <v>924</v>
      </c>
      <c r="E164" s="68">
        <v>54.3</v>
      </c>
      <c r="F164" s="179">
        <v>17.4391666666667</v>
      </c>
      <c r="G164" s="180">
        <v>0.302238507762371</v>
      </c>
      <c r="H164" s="180">
        <v>0.326066794135611</v>
      </c>
      <c r="I164" s="180">
        <v>0.6283053018979819</v>
      </c>
      <c r="J164" s="180">
        <v>2.10111844735828</v>
      </c>
      <c r="K164" s="180">
        <v>0.0979330616336663</v>
      </c>
      <c r="L164" s="180">
        <v>0.188825315270891</v>
      </c>
      <c r="M164" s="180">
        <v>0.00382504120396966</v>
      </c>
      <c r="N164" s="180">
        <v>0.00699470959312766</v>
      </c>
      <c r="O164" s="180">
        <v>0.474146106082298</v>
      </c>
      <c r="P164" s="180">
        <v>0.782006129609356</v>
      </c>
      <c r="Q164" s="180">
        <v>-0.009941319393218399</v>
      </c>
      <c r="R164" s="180">
        <v>0.362566226169118</v>
      </c>
      <c r="S164" s="180">
        <v>0.0375246499470288</v>
      </c>
      <c r="T164" s="180">
        <v>0.638745503876005</v>
      </c>
      <c r="U164" s="180">
        <v>0.614542774290278</v>
      </c>
      <c r="V164" s="180">
        <v>0.50965569135504</v>
      </c>
      <c r="W164" s="180"/>
      <c r="X164" s="68"/>
      <c r="Y164" s="179"/>
      <c r="Z164" s="179"/>
      <c r="AA164" s="179"/>
      <c r="AB164" s="179"/>
      <c r="AC164" s="179"/>
      <c r="AD164" s="181"/>
      <c r="AE164" s="180"/>
    </row>
    <row r="165" ht="21.25" customHeight="1">
      <c r="A165" t="s" s="8">
        <v>237</v>
      </c>
      <c r="B165" t="s" s="177">
        <v>964</v>
      </c>
      <c r="C165" s="178">
        <v>26</v>
      </c>
      <c r="D165" t="s" s="177">
        <v>927</v>
      </c>
      <c r="E165" s="68">
        <v>80.8</v>
      </c>
      <c r="F165" s="179">
        <v>24.0488255634455</v>
      </c>
      <c r="G165" s="180">
        <v>0.103246221603587</v>
      </c>
      <c r="H165" s="180">
        <v>0.522830601476122</v>
      </c>
      <c r="I165" s="180">
        <v>0.62607682307971</v>
      </c>
      <c r="J165" s="180">
        <v>2.0264714368982</v>
      </c>
      <c r="K165" s="180">
        <v>0.0207945949396706</v>
      </c>
      <c r="L165" s="180">
        <v>0.255271453456524</v>
      </c>
      <c r="M165" s="180">
        <v>0.00641687668279909</v>
      </c>
      <c r="N165" s="180">
        <v>0.0174223013392571</v>
      </c>
      <c r="O165" s="180">
        <v>1.66571958046618</v>
      </c>
      <c r="P165" s="180">
        <v>0.784815935391466</v>
      </c>
      <c r="Q165" s="180">
        <v>0.0414689121334488</v>
      </c>
      <c r="R165" s="180">
        <v>0.450212814502689</v>
      </c>
      <c r="S165" s="180">
        <v>0.0172522629553315</v>
      </c>
      <c r="T165" s="180">
        <v>0</v>
      </c>
      <c r="U165" s="180">
        <v>0</v>
      </c>
      <c r="V165" s="180">
        <v>0</v>
      </c>
      <c r="W165" s="180"/>
      <c r="X165" s="68"/>
      <c r="Y165" s="179"/>
      <c r="Z165" s="179"/>
      <c r="AA165" s="179"/>
      <c r="AB165" s="179"/>
      <c r="AC165" s="179"/>
      <c r="AD165" s="181"/>
      <c r="AE165" s="180"/>
    </row>
    <row r="166" ht="21.25" customHeight="1">
      <c r="A166" t="s" s="8">
        <v>211</v>
      </c>
      <c r="B166" t="s" s="177">
        <v>971</v>
      </c>
      <c r="C166" s="178">
        <v>23</v>
      </c>
      <c r="D166" t="s" s="177">
        <v>927</v>
      </c>
      <c r="E166" s="68">
        <v>79.58071428571429</v>
      </c>
      <c r="F166" s="179">
        <v>20.5272666476343</v>
      </c>
      <c r="G166" s="180">
        <v>0.150764045933774</v>
      </c>
      <c r="H166" s="180">
        <v>0.474742373514107</v>
      </c>
      <c r="I166" s="180">
        <v>0.625506419447882</v>
      </c>
      <c r="J166" s="180">
        <v>2.44417616501887</v>
      </c>
      <c r="K166" s="180">
        <v>0.0471299002791238</v>
      </c>
      <c r="L166" s="180">
        <v>0.275311331985512</v>
      </c>
      <c r="M166" s="180">
        <v>0.000254133896905815</v>
      </c>
      <c r="N166" s="180">
        <v>0.000940920616191994</v>
      </c>
      <c r="O166" s="180">
        <v>1.43722140791048</v>
      </c>
      <c r="P166" s="180">
        <v>0.945534417967355</v>
      </c>
      <c r="Q166" s="180">
        <v>0.0128080213946662</v>
      </c>
      <c r="R166" s="180">
        <v>0.277477925960224</v>
      </c>
      <c r="S166" s="180">
        <v>0.0232963403981701</v>
      </c>
      <c r="T166" s="180">
        <v>0</v>
      </c>
      <c r="U166" s="180">
        <v>0</v>
      </c>
      <c r="V166" s="180">
        <v>0</v>
      </c>
      <c r="W166" s="180"/>
      <c r="X166" s="68"/>
      <c r="Y166" s="179"/>
      <c r="Z166" s="179"/>
      <c r="AA166" s="179"/>
      <c r="AB166" s="179"/>
      <c r="AC166" s="179"/>
      <c r="AD166" s="181"/>
      <c r="AE166" s="180"/>
    </row>
    <row r="167" ht="21.25" customHeight="1">
      <c r="A167" t="s" s="8">
        <v>377</v>
      </c>
      <c r="B167" t="s" s="177">
        <v>946</v>
      </c>
      <c r="C167" s="178">
        <v>28</v>
      </c>
      <c r="D167" t="s" s="177">
        <v>959</v>
      </c>
      <c r="E167" s="68">
        <v>77.40000000000001</v>
      </c>
      <c r="F167" s="179">
        <v>16.2688006867739</v>
      </c>
      <c r="G167" s="180">
        <v>0.281048406013572</v>
      </c>
      <c r="H167" s="180">
        <v>0.340778550382701</v>
      </c>
      <c r="I167" s="180">
        <v>0.6218269563962729</v>
      </c>
      <c r="J167" s="180">
        <v>2.3417419510238</v>
      </c>
      <c r="K167" s="180">
        <v>0.0118243309000422</v>
      </c>
      <c r="L167" s="180">
        <v>0.0538841208725415</v>
      </c>
      <c r="M167" s="180">
        <v>0.0136499746352377</v>
      </c>
      <c r="N167" s="180">
        <v>0.021964472753385</v>
      </c>
      <c r="O167" s="180">
        <v>0.686743470639529</v>
      </c>
      <c r="P167" s="180">
        <v>0.9767954932069</v>
      </c>
      <c r="Q167" s="180">
        <v>0.0456292692804951</v>
      </c>
      <c r="R167" s="180">
        <v>0.880639506434873</v>
      </c>
      <c r="S167" s="180">
        <v>0.0451297456293837</v>
      </c>
      <c r="T167" s="180">
        <v>4.46277600344117</v>
      </c>
      <c r="U167" s="180">
        <v>5.77948346914213</v>
      </c>
      <c r="V167" s="180">
        <v>0.43572182635943</v>
      </c>
      <c r="W167" s="180"/>
      <c r="X167" s="68"/>
      <c r="Y167" s="179"/>
      <c r="Z167" s="179"/>
      <c r="AA167" s="179"/>
      <c r="AB167" s="179"/>
      <c r="AC167" s="179"/>
      <c r="AD167" s="181"/>
      <c r="AE167" s="180"/>
    </row>
    <row r="168" ht="21.25" customHeight="1">
      <c r="A168" t="s" s="8">
        <v>421</v>
      </c>
      <c r="B168" t="s" s="177">
        <v>968</v>
      </c>
      <c r="C168" s="178">
        <v>32</v>
      </c>
      <c r="D168" t="s" s="177">
        <v>924</v>
      </c>
      <c r="E168" s="68">
        <v>76.3325</v>
      </c>
      <c r="F168" s="179">
        <v>18.4505426505694</v>
      </c>
      <c r="G168" s="180">
        <v>0.266783521376695</v>
      </c>
      <c r="H168" s="180">
        <v>0.354890439921268</v>
      </c>
      <c r="I168" s="180">
        <v>0.621673961297963</v>
      </c>
      <c r="J168" s="180">
        <v>2.03861637527517</v>
      </c>
      <c r="K168" s="180">
        <v>0.0458011966003601</v>
      </c>
      <c r="L168" s="180">
        <v>0.118245855892715</v>
      </c>
      <c r="M168" s="180">
        <v>0.015575095772046</v>
      </c>
      <c r="N168" s="180">
        <v>0.0219341995774644</v>
      </c>
      <c r="O168" s="180">
        <v>0.47261487373517</v>
      </c>
      <c r="P168" s="180">
        <v>0.41163322074468</v>
      </c>
      <c r="Q168" s="180">
        <v>-0.00720500875753298</v>
      </c>
      <c r="R168" s="180">
        <v>0.278527622693407</v>
      </c>
      <c r="S168" s="180">
        <v>0.0389573715978411</v>
      </c>
      <c r="T168" s="180">
        <v>10.295820426290</v>
      </c>
      <c r="U168" s="180">
        <v>7.79331031439276</v>
      </c>
      <c r="V168" s="180">
        <v>0.569171651965262</v>
      </c>
      <c r="W168" s="180"/>
      <c r="X168" s="68"/>
      <c r="Y168" s="179"/>
      <c r="Z168" s="179"/>
      <c r="AA168" s="179"/>
      <c r="AB168" s="179"/>
      <c r="AC168" s="179"/>
      <c r="AD168" s="181"/>
      <c r="AE168" s="180"/>
    </row>
    <row r="169" ht="21.25" customHeight="1">
      <c r="A169" t="s" s="8">
        <v>345</v>
      </c>
      <c r="B169" t="s" s="177">
        <v>963</v>
      </c>
      <c r="C169" s="178">
        <v>21</v>
      </c>
      <c r="D169" t="s" s="177">
        <v>959</v>
      </c>
      <c r="E169" s="68">
        <v>79.405</v>
      </c>
      <c r="F169" s="179">
        <v>16.7863924909329</v>
      </c>
      <c r="G169" s="180">
        <v>0.240430961011229</v>
      </c>
      <c r="H169" s="180">
        <v>0.379454756839552</v>
      </c>
      <c r="I169" s="180">
        <v>0.6198857178507819</v>
      </c>
      <c r="J169" s="180">
        <v>2.28806823081317</v>
      </c>
      <c r="K169" s="180">
        <v>0.0227269840825987</v>
      </c>
      <c r="L169" s="180">
        <v>0.105160284833526</v>
      </c>
      <c r="M169" s="180">
        <v>0.00473577705459672</v>
      </c>
      <c r="N169" s="180">
        <v>0.00538020466423767</v>
      </c>
      <c r="O169" s="180">
        <v>0.531884333528554</v>
      </c>
      <c r="P169" s="180">
        <v>0.978911804789162</v>
      </c>
      <c r="Q169" s="180">
        <v>0.100873678622553</v>
      </c>
      <c r="R169" s="180">
        <v>0.255388857991509</v>
      </c>
      <c r="S169" s="180">
        <v>0.0431386980617638</v>
      </c>
      <c r="T169" s="180">
        <v>0.130757623683712</v>
      </c>
      <c r="U169" s="180">
        <v>0.212497520890046</v>
      </c>
      <c r="V169" s="180">
        <v>0.380934199387112</v>
      </c>
      <c r="W169" s="180"/>
      <c r="X169" s="68"/>
      <c r="Y169" s="179"/>
      <c r="Z169" s="179"/>
      <c r="AA169" s="179"/>
      <c r="AB169" s="179"/>
      <c r="AC169" s="179"/>
      <c r="AD169" s="181"/>
      <c r="AE169" s="180"/>
    </row>
    <row r="170" ht="21.25" customHeight="1">
      <c r="A170" t="s" s="8">
        <v>279</v>
      </c>
      <c r="B170" t="s" s="177">
        <v>973</v>
      </c>
      <c r="C170" s="178">
        <v>29</v>
      </c>
      <c r="D170" t="s" s="177">
        <v>927</v>
      </c>
      <c r="E170" s="68">
        <v>73.1378571428571</v>
      </c>
      <c r="F170" s="179">
        <v>24.5721241044207</v>
      </c>
      <c r="G170" s="180">
        <v>0.147148705871057</v>
      </c>
      <c r="H170" s="180">
        <v>0.471867930563659</v>
      </c>
      <c r="I170" s="180">
        <v>0.619016636434716</v>
      </c>
      <c r="J170" s="180">
        <v>2.53299408816056</v>
      </c>
      <c r="K170" s="180">
        <v>0.00665463112892779</v>
      </c>
      <c r="L170" s="180">
        <v>0.171578776612401</v>
      </c>
      <c r="M170" s="180">
        <v>0.0006284112204058379</v>
      </c>
      <c r="N170" s="180">
        <v>0.0286033228044695</v>
      </c>
      <c r="O170" s="180">
        <v>1.59702059293021</v>
      </c>
      <c r="P170" s="180">
        <v>1.24131821021024</v>
      </c>
      <c r="Q170" s="180">
        <v>-0.074821434322372</v>
      </c>
      <c r="R170" s="180">
        <v>0.675874664475179</v>
      </c>
      <c r="S170" s="180">
        <v>0.015074224587635</v>
      </c>
      <c r="T170" s="180">
        <v>0</v>
      </c>
      <c r="U170" s="180">
        <v>0</v>
      </c>
      <c r="V170" s="180">
        <v>0</v>
      </c>
      <c r="W170" s="180"/>
      <c r="X170" s="68"/>
      <c r="Y170" s="179"/>
      <c r="Z170" s="179"/>
      <c r="AA170" s="179"/>
      <c r="AB170" s="179"/>
      <c r="AC170" s="179"/>
      <c r="AD170" s="181"/>
      <c r="AE170" s="180"/>
    </row>
    <row r="171" ht="21.25" customHeight="1">
      <c r="A171" t="s" s="8">
        <v>419</v>
      </c>
      <c r="B171" t="s" s="177">
        <v>939</v>
      </c>
      <c r="C171" s="178">
        <v>32</v>
      </c>
      <c r="D171" t="s" s="177">
        <v>925</v>
      </c>
      <c r="E171" s="68">
        <v>69.39</v>
      </c>
      <c r="F171" s="179">
        <v>16.1606972173239</v>
      </c>
      <c r="G171" s="180">
        <v>0.322668577168352</v>
      </c>
      <c r="H171" s="180">
        <v>0.294992816607366</v>
      </c>
      <c r="I171" s="180">
        <v>0.617661393775718</v>
      </c>
      <c r="J171" s="180">
        <v>2.87063807781187</v>
      </c>
      <c r="K171" s="180">
        <v>0.0253549279799022</v>
      </c>
      <c r="L171" s="180">
        <v>0.0562196401985023</v>
      </c>
      <c r="M171" s="180">
        <v>0.00962494107036002</v>
      </c>
      <c r="N171" s="180">
        <v>0.0211667420351216</v>
      </c>
      <c r="O171" s="180">
        <v>0.319393519113228</v>
      </c>
      <c r="P171" s="180">
        <v>2.26883823095561</v>
      </c>
      <c r="Q171" s="180">
        <v>0.0604494376958663</v>
      </c>
      <c r="R171" s="180">
        <v>0.797418403379426</v>
      </c>
      <c r="S171" s="180">
        <v>0.051074971717571</v>
      </c>
      <c r="T171" s="180">
        <v>0.2752944994321</v>
      </c>
      <c r="U171" s="180">
        <v>0.41218643551463</v>
      </c>
      <c r="V171" s="180">
        <v>0.400439467391821</v>
      </c>
      <c r="W171" s="180"/>
      <c r="X171" s="68"/>
      <c r="Y171" s="179"/>
      <c r="Z171" s="179"/>
      <c r="AA171" s="179"/>
      <c r="AB171" s="179"/>
      <c r="AC171" s="179"/>
      <c r="AD171" s="181"/>
      <c r="AE171" s="180"/>
    </row>
    <row r="172" ht="21.25" customHeight="1">
      <c r="A172" t="s" s="8">
        <v>390</v>
      </c>
      <c r="B172" t="s" s="177">
        <v>967</v>
      </c>
      <c r="C172" s="178">
        <v>33</v>
      </c>
      <c r="D172" t="s" s="177">
        <v>940</v>
      </c>
      <c r="E172" s="68">
        <v>74.41</v>
      </c>
      <c r="F172" s="179">
        <v>19.0852706462533</v>
      </c>
      <c r="G172" s="180">
        <v>0.309236246628443</v>
      </c>
      <c r="H172" s="180">
        <v>0.306032986500041</v>
      </c>
      <c r="I172" s="180">
        <v>0.615269233128484</v>
      </c>
      <c r="J172" s="180">
        <v>2.2228107678247</v>
      </c>
      <c r="K172" s="180">
        <v>0.067026718876204</v>
      </c>
      <c r="L172" s="180">
        <v>0.150246023795222</v>
      </c>
      <c r="M172" s="180">
        <v>0.00161523819734277</v>
      </c>
      <c r="N172" s="180">
        <v>0.0070434056086643</v>
      </c>
      <c r="O172" s="180">
        <v>0.77429605267306</v>
      </c>
      <c r="P172" s="180">
        <v>0.545066758990194</v>
      </c>
      <c r="Q172" s="180">
        <v>-0.07916035684493999</v>
      </c>
      <c r="R172" s="180">
        <v>0.354083758146424</v>
      </c>
      <c r="S172" s="180">
        <v>0.0296443222480322</v>
      </c>
      <c r="T172" s="180">
        <v>0.00507543566324524</v>
      </c>
      <c r="U172" s="180">
        <v>0.00443035824490123</v>
      </c>
      <c r="V172" s="180">
        <v>0.533930749213445</v>
      </c>
      <c r="W172" s="180"/>
      <c r="X172" s="68"/>
      <c r="Y172" s="179"/>
      <c r="Z172" s="179"/>
      <c r="AA172" s="179"/>
      <c r="AB172" s="179"/>
      <c r="AC172" s="179"/>
      <c r="AD172" s="181"/>
      <c r="AE172" s="180"/>
    </row>
    <row r="173" ht="21.25" customHeight="1">
      <c r="A173" t="s" s="8">
        <v>381</v>
      </c>
      <c r="B173" t="s" s="177">
        <v>962</v>
      </c>
      <c r="C173" s="178">
        <v>30</v>
      </c>
      <c r="D173" t="s" s="177">
        <v>924</v>
      </c>
      <c r="E173" s="68">
        <v>81.1782142857143</v>
      </c>
      <c r="F173" s="179">
        <v>17.8654255515797</v>
      </c>
      <c r="G173" s="180">
        <v>0.232450830320237</v>
      </c>
      <c r="H173" s="180">
        <v>0.381226879419543</v>
      </c>
      <c r="I173" s="180">
        <v>0.613677709739779</v>
      </c>
      <c r="J173" s="180">
        <v>1.93322457456317</v>
      </c>
      <c r="K173" s="180">
        <v>0.0329204919053415</v>
      </c>
      <c r="L173" s="180">
        <v>0.156007144895574</v>
      </c>
      <c r="M173" s="180">
        <v>0.00142727476169228</v>
      </c>
      <c r="N173" s="180">
        <v>0.0257457624503411</v>
      </c>
      <c r="O173" s="180">
        <v>0.770511341032821</v>
      </c>
      <c r="P173" s="180">
        <v>0.973064449182678</v>
      </c>
      <c r="Q173" s="180">
        <v>0.00824840161883241</v>
      </c>
      <c r="R173" s="180">
        <v>0.550394058532117</v>
      </c>
      <c r="S173" s="180">
        <v>0.0344169153374985</v>
      </c>
      <c r="T173" s="180">
        <v>8.337951480472389</v>
      </c>
      <c r="U173" s="180">
        <v>7.16121975045674</v>
      </c>
      <c r="V173" s="180">
        <v>0.537961117806978</v>
      </c>
      <c r="W173" s="180"/>
      <c r="X173" s="68"/>
      <c r="Y173" s="179"/>
      <c r="Z173" s="179"/>
      <c r="AA173" s="179"/>
      <c r="AB173" s="179"/>
      <c r="AC173" s="179"/>
      <c r="AD173" s="181"/>
      <c r="AE173" s="180"/>
    </row>
    <row r="174" ht="21.25" customHeight="1">
      <c r="A174" t="s" s="8">
        <v>352</v>
      </c>
      <c r="B174" t="s" s="177">
        <v>971</v>
      </c>
      <c r="C174" s="178">
        <v>33</v>
      </c>
      <c r="D174" t="s" s="177">
        <v>925</v>
      </c>
      <c r="E174" s="68">
        <v>76.9585714285714</v>
      </c>
      <c r="F174" s="179">
        <v>17.3602805973704</v>
      </c>
      <c r="G174" s="180">
        <v>0.33717715455492</v>
      </c>
      <c r="H174" s="180">
        <v>0.274084958313571</v>
      </c>
      <c r="I174" s="180">
        <v>0.61126211286849</v>
      </c>
      <c r="J174" s="180">
        <v>2.55091005889762</v>
      </c>
      <c r="K174" s="180">
        <v>0.0982500784140011</v>
      </c>
      <c r="L174" s="180">
        <v>0.186377808714368</v>
      </c>
      <c r="M174" s="180">
        <v>7.75292995184185e-05</v>
      </c>
      <c r="N174" s="180">
        <v>0.000140734786839728</v>
      </c>
      <c r="O174" s="180">
        <v>0.589707962499323</v>
      </c>
      <c r="P174" s="180">
        <v>1.39114433792466</v>
      </c>
      <c r="Q174" s="180">
        <v>0.0314712610189961</v>
      </c>
      <c r="R174" s="180">
        <v>0.52564730389257</v>
      </c>
      <c r="S174" s="180">
        <v>0.0521012401753151</v>
      </c>
      <c r="T174" s="180">
        <v>0.524173684467594</v>
      </c>
      <c r="U174" s="180">
        <v>0.495381583363121</v>
      </c>
      <c r="V174" s="180">
        <v>0.5141199315098109</v>
      </c>
      <c r="W174" s="180"/>
      <c r="X174" s="68"/>
      <c r="Y174" s="179"/>
      <c r="Z174" s="179"/>
      <c r="AA174" s="179"/>
      <c r="AB174" s="179"/>
      <c r="AC174" s="179"/>
      <c r="AD174" s="181"/>
      <c r="AE174" s="180"/>
    </row>
    <row r="175" ht="21.25" customHeight="1">
      <c r="A175" t="s" s="8">
        <v>400</v>
      </c>
      <c r="B175" t="s" s="177">
        <v>945</v>
      </c>
      <c r="C175" s="178">
        <v>28</v>
      </c>
      <c r="D175" t="s" s="177">
        <v>925</v>
      </c>
      <c r="E175" s="68">
        <v>67.5428571428571</v>
      </c>
      <c r="F175" s="179">
        <v>15.7725961498048</v>
      </c>
      <c r="G175" s="180">
        <v>0.241320684347377</v>
      </c>
      <c r="H175" s="180">
        <v>0.36693525199931</v>
      </c>
      <c r="I175" s="180">
        <v>0.608255936346687</v>
      </c>
      <c r="J175" s="180">
        <v>2.05449082260473</v>
      </c>
      <c r="K175" s="180">
        <v>0.052043334625303</v>
      </c>
      <c r="L175" s="180">
        <v>0.124986275089745</v>
      </c>
      <c r="M175" s="180">
        <v>0.00017490142938088</v>
      </c>
      <c r="N175" s="180">
        <v>0.00034519647846932</v>
      </c>
      <c r="O175" s="180">
        <v>0.455925466383087</v>
      </c>
      <c r="P175" s="180">
        <v>0.971858500938041</v>
      </c>
      <c r="Q175" s="180">
        <v>0.0618465464517684</v>
      </c>
      <c r="R175" s="180">
        <v>0.398338285601734</v>
      </c>
      <c r="S175" s="180">
        <v>0.0387681037983405</v>
      </c>
      <c r="T175" s="180">
        <v>0.0805769748044796</v>
      </c>
      <c r="U175" s="180">
        <v>0.226174514407005</v>
      </c>
      <c r="V175" s="180">
        <v>0.262678349212275</v>
      </c>
      <c r="W175" s="180"/>
      <c r="X175" s="68"/>
      <c r="Y175" s="179"/>
      <c r="Z175" s="179"/>
      <c r="AA175" s="179"/>
      <c r="AB175" s="179"/>
      <c r="AC175" s="179"/>
      <c r="AD175" s="181"/>
      <c r="AE175" s="180"/>
    </row>
    <row r="176" ht="21.25" customHeight="1">
      <c r="A176" t="s" s="8">
        <v>496</v>
      </c>
      <c r="B176" t="s" s="177">
        <v>961</v>
      </c>
      <c r="C176" s="178">
        <v>35</v>
      </c>
      <c r="D176" t="s" s="177">
        <v>924</v>
      </c>
      <c r="E176" s="68">
        <v>66.7</v>
      </c>
      <c r="F176" s="179">
        <v>16.9030468764843</v>
      </c>
      <c r="G176" s="180">
        <v>0.173669780923093</v>
      </c>
      <c r="H176" s="180">
        <v>0.433664863206535</v>
      </c>
      <c r="I176" s="180">
        <v>0.607334644129628</v>
      </c>
      <c r="J176" s="180">
        <v>1.61684966287371</v>
      </c>
      <c r="K176" s="180">
        <v>0.0653746056437072</v>
      </c>
      <c r="L176" s="180">
        <v>0.237755097058172</v>
      </c>
      <c r="M176" s="180">
        <v>0.000472655551702959</v>
      </c>
      <c r="N176" s="180">
        <v>0.000916006378682013</v>
      </c>
      <c r="O176" s="180">
        <v>0.490632597655788</v>
      </c>
      <c r="P176" s="180">
        <v>0.600296179793693</v>
      </c>
      <c r="Q176" s="180">
        <v>-0.0516936567759934</v>
      </c>
      <c r="R176" s="180">
        <v>0.315457660069989</v>
      </c>
      <c r="S176" s="180">
        <v>0.0213624053941218</v>
      </c>
      <c r="T176" s="180">
        <v>6.2809495706375</v>
      </c>
      <c r="U176" s="180">
        <v>6.71485998189917</v>
      </c>
      <c r="V176" s="180">
        <v>0.483305756770767</v>
      </c>
      <c r="W176" s="180"/>
      <c r="X176" s="68"/>
      <c r="Y176" s="179"/>
      <c r="Z176" s="179"/>
      <c r="AA176" s="179"/>
      <c r="AB176" s="179"/>
      <c r="AC176" s="179"/>
      <c r="AD176" s="181"/>
      <c r="AE176" s="180"/>
    </row>
    <row r="177" ht="21.25" customHeight="1">
      <c r="A177" t="s" s="8">
        <v>348</v>
      </c>
      <c r="B177" t="s" s="177">
        <v>953</v>
      </c>
      <c r="C177" s="178">
        <v>31</v>
      </c>
      <c r="D177" t="s" s="177">
        <v>926</v>
      </c>
      <c r="E177" s="68">
        <v>78.8275</v>
      </c>
      <c r="F177" s="179">
        <v>17.8085563890301</v>
      </c>
      <c r="G177" s="180">
        <v>0.262655126519159</v>
      </c>
      <c r="H177" s="180">
        <v>0.341528881150785</v>
      </c>
      <c r="I177" s="180">
        <v>0.604184007669944</v>
      </c>
      <c r="J177" s="180">
        <v>2.51530078960873</v>
      </c>
      <c r="K177" s="180">
        <v>0.0462152641151521</v>
      </c>
      <c r="L177" s="180">
        <v>0.133791117265449</v>
      </c>
      <c r="M177" s="180">
        <v>0.00221430798914271</v>
      </c>
      <c r="N177" s="180">
        <v>0.0126340404004895</v>
      </c>
      <c r="O177" s="180">
        <v>0.601021789921952</v>
      </c>
      <c r="P177" s="180">
        <v>1.06754771391931</v>
      </c>
      <c r="Q177" s="180">
        <v>0.0382079350571329</v>
      </c>
      <c r="R177" s="180">
        <v>0.337568197936962</v>
      </c>
      <c r="S177" s="180">
        <v>0.0421614070626867</v>
      </c>
      <c r="T177" s="180">
        <v>0.0462232536952901</v>
      </c>
      <c r="U177" s="180">
        <v>0.0701021020041106</v>
      </c>
      <c r="V177" s="180">
        <v>0.397361808329534</v>
      </c>
      <c r="W177" s="180"/>
      <c r="X177" s="68"/>
      <c r="Y177" s="179"/>
      <c r="Z177" s="179"/>
      <c r="AA177" s="179"/>
      <c r="AB177" s="179"/>
      <c r="AC177" s="179"/>
      <c r="AD177" s="181"/>
      <c r="AE177" s="180"/>
    </row>
    <row r="178" ht="21.25" customHeight="1">
      <c r="A178" t="s" s="8">
        <v>246</v>
      </c>
      <c r="B178" t="s" s="177">
        <v>966</v>
      </c>
      <c r="C178" s="178">
        <v>33</v>
      </c>
      <c r="D178" t="s" s="177">
        <v>927</v>
      </c>
      <c r="E178" s="68">
        <v>77.9610714285714</v>
      </c>
      <c r="F178" s="179">
        <v>24.5160152185307</v>
      </c>
      <c r="G178" s="180">
        <v>0.141539502479656</v>
      </c>
      <c r="H178" s="180">
        <v>0.460331298087007</v>
      </c>
      <c r="I178" s="180">
        <v>0.601870800566663</v>
      </c>
      <c r="J178" s="180">
        <v>2.51227521473289</v>
      </c>
      <c r="K178" s="180">
        <v>0.0213135059547785</v>
      </c>
      <c r="L178" s="180">
        <v>0.154160442864644</v>
      </c>
      <c r="M178" s="180">
        <v>0.00425798440248998</v>
      </c>
      <c r="N178" s="180">
        <v>0.030327727651532</v>
      </c>
      <c r="O178" s="180">
        <v>2.22868090118432</v>
      </c>
      <c r="P178" s="180">
        <v>0.935109565777935</v>
      </c>
      <c r="Q178" s="180">
        <v>0.069783833692842</v>
      </c>
      <c r="R178" s="180">
        <v>0.355030227263346</v>
      </c>
      <c r="S178" s="180">
        <v>0.0231314165762365</v>
      </c>
      <c r="T178" s="180">
        <v>0.00456883595986683</v>
      </c>
      <c r="U178" s="180">
        <v>0.00580640325518227</v>
      </c>
      <c r="V178" s="180">
        <v>0.440359577756994</v>
      </c>
      <c r="W178" s="180"/>
      <c r="X178" s="68"/>
      <c r="Y178" s="179"/>
      <c r="Z178" s="179"/>
      <c r="AA178" s="179"/>
      <c r="AB178" s="179"/>
      <c r="AC178" s="179"/>
      <c r="AD178" s="181"/>
      <c r="AE178" s="180"/>
    </row>
    <row r="179" ht="21.25" customHeight="1">
      <c r="A179" t="s" s="8">
        <v>416</v>
      </c>
      <c r="B179" t="s" s="177">
        <v>966</v>
      </c>
      <c r="C179" s="178">
        <v>30</v>
      </c>
      <c r="D179" t="s" s="177">
        <v>924</v>
      </c>
      <c r="E179" s="68">
        <v>79.9675</v>
      </c>
      <c r="F179" s="179">
        <v>17.9349392063643</v>
      </c>
      <c r="G179" s="180">
        <v>0.185969572218528</v>
      </c>
      <c r="H179" s="180">
        <v>0.414912745322916</v>
      </c>
      <c r="I179" s="180">
        <v>0.6008823175414441</v>
      </c>
      <c r="J179" s="180">
        <v>1.98967460044983</v>
      </c>
      <c r="K179" s="180">
        <v>0.0177572206010267</v>
      </c>
      <c r="L179" s="180">
        <v>0.08577378798309131</v>
      </c>
      <c r="M179" s="180">
        <v>0.0191844392860618</v>
      </c>
      <c r="N179" s="180">
        <v>0.0446514683497294</v>
      </c>
      <c r="O179" s="180">
        <v>0.608579725638022</v>
      </c>
      <c r="P179" s="180">
        <v>0.6579328074704131</v>
      </c>
      <c r="Q179" s="180">
        <v>0.0774827027513746</v>
      </c>
      <c r="R179" s="180">
        <v>0.173043724743251</v>
      </c>
      <c r="S179" s="180">
        <v>0.0303925022352651</v>
      </c>
      <c r="T179" s="180">
        <v>7.84539671539922</v>
      </c>
      <c r="U179" s="180">
        <v>6.70973035940594</v>
      </c>
      <c r="V179" s="180">
        <v>0.539012588147001</v>
      </c>
      <c r="W179" s="180"/>
      <c r="X179" s="68"/>
      <c r="Y179" s="179"/>
      <c r="Z179" s="179"/>
      <c r="AA179" s="179"/>
      <c r="AB179" s="179"/>
      <c r="AC179" s="179"/>
      <c r="AD179" s="181"/>
      <c r="AE179" s="180"/>
    </row>
    <row r="180" ht="21.25" customHeight="1">
      <c r="A180" t="s" s="8">
        <v>371</v>
      </c>
      <c r="B180" t="s" s="177">
        <v>954</v>
      </c>
      <c r="C180" s="178">
        <v>30</v>
      </c>
      <c r="D180" t="s" s="177">
        <v>940</v>
      </c>
      <c r="E180" s="68">
        <v>74.48999999999999</v>
      </c>
      <c r="F180" s="179">
        <v>18.1728210281077</v>
      </c>
      <c r="G180" s="180">
        <v>0.309813583685807</v>
      </c>
      <c r="H180" s="180">
        <v>0.290109400467146</v>
      </c>
      <c r="I180" s="180">
        <v>0.599922984152954</v>
      </c>
      <c r="J180" s="180">
        <v>2.64483407945791</v>
      </c>
      <c r="K180" s="180">
        <v>0.0720242775722332</v>
      </c>
      <c r="L180" s="180">
        <v>0.111882052655048</v>
      </c>
      <c r="M180" s="180">
        <v>0.00239968014615944</v>
      </c>
      <c r="N180" s="180">
        <v>0.00316547466135057</v>
      </c>
      <c r="O180" s="180">
        <v>0.881472520453774</v>
      </c>
      <c r="P180" s="180">
        <v>1.56627785486829</v>
      </c>
      <c r="Q180" s="180">
        <v>-0.07726702893159661</v>
      </c>
      <c r="R180" s="180">
        <v>0.418415732555112</v>
      </c>
      <c r="S180" s="180">
        <v>0.0331986586164756</v>
      </c>
      <c r="T180" s="180">
        <v>9.715121609595039</v>
      </c>
      <c r="U180" s="180">
        <v>8.1549711299504</v>
      </c>
      <c r="V180" s="180">
        <v>0.54365255688327</v>
      </c>
      <c r="W180" s="180"/>
      <c r="X180" s="68"/>
      <c r="Y180" s="179"/>
      <c r="Z180" s="179"/>
      <c r="AA180" s="179"/>
      <c r="AB180" s="179"/>
      <c r="AC180" s="179"/>
      <c r="AD180" s="181"/>
      <c r="AE180" s="180"/>
    </row>
    <row r="181" ht="21.25" customHeight="1">
      <c r="A181" t="s" s="8">
        <v>395</v>
      </c>
      <c r="B181" t="s" s="177">
        <v>963</v>
      </c>
      <c r="C181" s="178">
        <v>28</v>
      </c>
      <c r="D181" t="s" s="177">
        <v>944</v>
      </c>
      <c r="E181" s="68">
        <v>73.7325</v>
      </c>
      <c r="F181" s="179">
        <v>16.5909547670821</v>
      </c>
      <c r="G181" s="180">
        <v>0.205022552246682</v>
      </c>
      <c r="H181" s="180">
        <v>0.394324271332085</v>
      </c>
      <c r="I181" s="180">
        <v>0.599346823578767</v>
      </c>
      <c r="J181" s="180">
        <v>2.1225869409247</v>
      </c>
      <c r="K181" s="180">
        <v>0.0671126775669296</v>
      </c>
      <c r="L181" s="180">
        <v>0.191054784191454</v>
      </c>
      <c r="M181" s="180">
        <v>0.0246363942946283</v>
      </c>
      <c r="N181" s="180">
        <v>0.0380186623880011</v>
      </c>
      <c r="O181" s="180">
        <v>0.33432654364058</v>
      </c>
      <c r="P181" s="180">
        <v>0.345413570614915</v>
      </c>
      <c r="Q181" s="180">
        <v>0.08191894605411761</v>
      </c>
      <c r="R181" s="180">
        <v>0.291920848729468</v>
      </c>
      <c r="S181" s="180">
        <v>0.036785636675173</v>
      </c>
      <c r="T181" s="180">
        <v>0.422299807442385</v>
      </c>
      <c r="U181" s="180">
        <v>0.297877447660439</v>
      </c>
      <c r="V181" s="180">
        <v>0.586383150051151</v>
      </c>
      <c r="W181" s="180"/>
      <c r="X181" s="68"/>
      <c r="Y181" s="179"/>
      <c r="Z181" s="179"/>
      <c r="AA181" s="179"/>
      <c r="AB181" s="179"/>
      <c r="AC181" s="179"/>
      <c r="AD181" s="181"/>
      <c r="AE181" s="180"/>
    </row>
    <row r="182" ht="21.25" customHeight="1">
      <c r="A182" t="s" s="8">
        <v>385</v>
      </c>
      <c r="B182" t="s" s="177">
        <v>952</v>
      </c>
      <c r="C182" s="178">
        <v>27</v>
      </c>
      <c r="D182" t="s" s="177">
        <v>926</v>
      </c>
      <c r="E182" s="68">
        <v>80.14</v>
      </c>
      <c r="F182" s="179">
        <v>15.157856458244</v>
      </c>
      <c r="G182" s="180">
        <v>0.218449469736491</v>
      </c>
      <c r="H182" s="180">
        <v>0.38083017901178</v>
      </c>
      <c r="I182" s="180">
        <v>0.599279648748272</v>
      </c>
      <c r="J182" s="180">
        <v>2.15994751850617</v>
      </c>
      <c r="K182" s="180">
        <v>0.0261986879799923</v>
      </c>
      <c r="L182" s="180">
        <v>0.10696226064222</v>
      </c>
      <c r="M182" s="180">
        <v>6.79428569495045e-05</v>
      </c>
      <c r="N182" s="180">
        <v>0.000124564458591733</v>
      </c>
      <c r="O182" s="180">
        <v>0.273834686109524</v>
      </c>
      <c r="P182" s="180">
        <v>0.6260815984567319</v>
      </c>
      <c r="Q182" s="180">
        <v>0.0229122879434637</v>
      </c>
      <c r="R182" s="180">
        <v>0.326389106369006</v>
      </c>
      <c r="S182" s="180">
        <v>0.0309236302500832</v>
      </c>
      <c r="T182" s="180">
        <v>0.0637695884056913</v>
      </c>
      <c r="U182" s="180">
        <v>0.121809346887516</v>
      </c>
      <c r="V182" s="180">
        <v>0.343625144227376</v>
      </c>
      <c r="W182" s="180"/>
      <c r="X182" s="68"/>
      <c r="Y182" s="179"/>
      <c r="Z182" s="179"/>
      <c r="AA182" s="179"/>
      <c r="AB182" s="179"/>
      <c r="AC182" s="179"/>
      <c r="AD182" s="181"/>
      <c r="AE182" s="180"/>
    </row>
    <row r="183" ht="21.25" customHeight="1">
      <c r="A183" t="s" s="8">
        <v>283</v>
      </c>
      <c r="B183" t="s" s="177">
        <v>958</v>
      </c>
      <c r="C183" s="178">
        <v>25</v>
      </c>
      <c r="D183" t="s" s="177">
        <v>927</v>
      </c>
      <c r="E183" s="68">
        <v>71.1825</v>
      </c>
      <c r="F183" s="179">
        <v>22.2429457520326</v>
      </c>
      <c r="G183" s="180">
        <v>0.185831467348385</v>
      </c>
      <c r="H183" s="180">
        <v>0.411742753852122</v>
      </c>
      <c r="I183" s="180">
        <v>0.597574221200507</v>
      </c>
      <c r="J183" s="180">
        <v>2.7496356873899</v>
      </c>
      <c r="K183" s="180">
        <v>0.0493529682620894</v>
      </c>
      <c r="L183" s="180">
        <v>0.121848675648763</v>
      </c>
      <c r="M183" s="180">
        <v>0.000433336550457148</v>
      </c>
      <c r="N183" s="180">
        <v>0.0016124438564301</v>
      </c>
      <c r="O183" s="180">
        <v>1.5718950137705</v>
      </c>
      <c r="P183" s="180">
        <v>1.1083393797347</v>
      </c>
      <c r="Q183" s="180">
        <v>0.0198618782289027</v>
      </c>
      <c r="R183" s="180">
        <v>0.664128482516982</v>
      </c>
      <c r="S183" s="180">
        <v>0.0279464339777145</v>
      </c>
      <c r="T183" s="180">
        <v>0</v>
      </c>
      <c r="U183" s="180">
        <v>0</v>
      </c>
      <c r="V183" s="180">
        <v>0</v>
      </c>
      <c r="W183" s="180"/>
      <c r="X183" s="68"/>
      <c r="Y183" s="179"/>
      <c r="Z183" s="179"/>
      <c r="AA183" s="179"/>
      <c r="AB183" s="179"/>
      <c r="AC183" s="179"/>
      <c r="AD183" s="181"/>
      <c r="AE183" s="180"/>
    </row>
    <row r="184" ht="21.25" customHeight="1">
      <c r="A184" t="s" s="8">
        <v>434</v>
      </c>
      <c r="B184" t="s" s="177">
        <v>943</v>
      </c>
      <c r="C184" s="178">
        <v>21</v>
      </c>
      <c r="D184" t="s" s="177">
        <v>924</v>
      </c>
      <c r="E184" s="68">
        <v>76.795</v>
      </c>
      <c r="F184" s="179">
        <v>16.6235934861206</v>
      </c>
      <c r="G184" s="180">
        <v>0.236335178910572</v>
      </c>
      <c r="H184" s="180">
        <v>0.360981230791741</v>
      </c>
      <c r="I184" s="180">
        <v>0.597316409702313</v>
      </c>
      <c r="J184" s="180">
        <v>2.09881175681809</v>
      </c>
      <c r="K184" s="180">
        <v>0.0158068401722585</v>
      </c>
      <c r="L184" s="180">
        <v>0.08539842610571829</v>
      </c>
      <c r="M184" s="180">
        <v>0.0214492188201855</v>
      </c>
      <c r="N184" s="180">
        <v>0.0356997147611479</v>
      </c>
      <c r="O184" s="180">
        <v>0.557975665095932</v>
      </c>
      <c r="P184" s="180">
        <v>0.52213967750361</v>
      </c>
      <c r="Q184" s="180">
        <v>0.0590299243557344</v>
      </c>
      <c r="R184" s="180">
        <v>0.467571611067476</v>
      </c>
      <c r="S184" s="180">
        <v>0.0339028204911904</v>
      </c>
      <c r="T184" s="180">
        <v>3.96060683679555</v>
      </c>
      <c r="U184" s="180">
        <v>4.69527954770633</v>
      </c>
      <c r="V184" s="180">
        <v>0.457562248493338</v>
      </c>
      <c r="W184" s="180"/>
      <c r="X184" s="68"/>
      <c r="Y184" s="179"/>
      <c r="Z184" s="179"/>
      <c r="AA184" s="179"/>
      <c r="AB184" s="179"/>
      <c r="AC184" s="179"/>
      <c r="AD184" s="181"/>
      <c r="AE184" s="180"/>
    </row>
    <row r="185" ht="21.25" customHeight="1">
      <c r="A185" t="s" s="8">
        <v>265</v>
      </c>
      <c r="B185" t="s" s="177">
        <v>958</v>
      </c>
      <c r="C185" s="178">
        <v>26</v>
      </c>
      <c r="D185" t="s" s="177">
        <v>927</v>
      </c>
      <c r="E185" s="68">
        <v>75.3575</v>
      </c>
      <c r="F185" s="179">
        <v>23.1919910856819</v>
      </c>
      <c r="G185" s="180">
        <v>0.131969534750057</v>
      </c>
      <c r="H185" s="180">
        <v>0.464601048413238</v>
      </c>
      <c r="I185" s="180">
        <v>0.596570583163295</v>
      </c>
      <c r="J185" s="180">
        <v>2.29269607461988</v>
      </c>
      <c r="K185" s="180">
        <v>0.042830910684269</v>
      </c>
      <c r="L185" s="180">
        <v>0.222090997895988</v>
      </c>
      <c r="M185" s="180">
        <v>0.000132612069644106</v>
      </c>
      <c r="N185" s="180">
        <v>0.000491972903136196</v>
      </c>
      <c r="O185" s="180">
        <v>1.54383835431902</v>
      </c>
      <c r="P185" s="180">
        <v>1.11360776659946</v>
      </c>
      <c r="Q185" s="180">
        <v>0.0156361608377988</v>
      </c>
      <c r="R185" s="180">
        <v>0.59551417382322</v>
      </c>
      <c r="S185" s="180">
        <v>0.0198463583298732</v>
      </c>
      <c r="T185" s="180">
        <v>0</v>
      </c>
      <c r="U185" s="180">
        <v>0</v>
      </c>
      <c r="V185" s="180">
        <v>0</v>
      </c>
      <c r="W185" s="180"/>
      <c r="X185" s="68"/>
      <c r="Y185" s="179"/>
      <c r="Z185" s="179"/>
      <c r="AA185" s="179"/>
      <c r="AB185" s="179"/>
      <c r="AC185" s="179"/>
      <c r="AD185" s="181"/>
      <c r="AE185" s="180"/>
    </row>
    <row r="186" ht="21.25" customHeight="1">
      <c r="A186" t="s" s="8">
        <v>378</v>
      </c>
      <c r="B186" t="s" s="177">
        <v>954</v>
      </c>
      <c r="C186" s="178">
        <v>20</v>
      </c>
      <c r="D186" t="s" s="177">
        <v>940</v>
      </c>
      <c r="E186" s="68">
        <v>80.785</v>
      </c>
      <c r="F186" s="179">
        <v>15.9471803401116</v>
      </c>
      <c r="G186" s="180">
        <v>0.23888613358443</v>
      </c>
      <c r="H186" s="180">
        <v>0.356546691864982</v>
      </c>
      <c r="I186" s="180">
        <v>0.595432825449412</v>
      </c>
      <c r="J186" s="180">
        <v>1.77260370279861</v>
      </c>
      <c r="K186" s="180">
        <v>0.0564814637956802</v>
      </c>
      <c r="L186" s="180">
        <v>0.172728369952123</v>
      </c>
      <c r="M186" s="180">
        <v>5.64225047152611e-05</v>
      </c>
      <c r="N186" s="180">
        <v>0.000101963776171025</v>
      </c>
      <c r="O186" s="180">
        <v>0.409349321758472</v>
      </c>
      <c r="P186" s="180">
        <v>0.345459127748915</v>
      </c>
      <c r="Q186" s="180">
        <v>-0.07279123964039021</v>
      </c>
      <c r="R186" s="180">
        <v>0.263644427790029</v>
      </c>
      <c r="S186" s="180">
        <v>0.0255982939893368</v>
      </c>
      <c r="T186" s="180">
        <v>0.517025364229361</v>
      </c>
      <c r="U186" s="180">
        <v>1.37778148248971</v>
      </c>
      <c r="V186" s="180">
        <v>0.272864416299008</v>
      </c>
      <c r="W186" s="180"/>
      <c r="X186" s="68"/>
      <c r="Y186" s="179"/>
      <c r="Z186" s="179"/>
      <c r="AA186" s="179"/>
      <c r="AB186" s="179"/>
      <c r="AC186" s="179"/>
      <c r="AD186" s="181"/>
      <c r="AE186" s="180"/>
    </row>
    <row r="187" ht="21.25" customHeight="1">
      <c r="A187" t="s" s="8">
        <v>270</v>
      </c>
      <c r="B187" t="s" s="177">
        <v>967</v>
      </c>
      <c r="C187" s="178">
        <v>31</v>
      </c>
      <c r="D187" t="s" s="177">
        <v>927</v>
      </c>
      <c r="E187" s="68">
        <v>81.205</v>
      </c>
      <c r="F187" s="179">
        <v>24.5274515752668</v>
      </c>
      <c r="G187" s="180">
        <v>0.12671824272884</v>
      </c>
      <c r="H187" s="180">
        <v>0.468282356765516</v>
      </c>
      <c r="I187" s="180">
        <v>0.595000599494356</v>
      </c>
      <c r="J187" s="180">
        <v>1.72944307669959</v>
      </c>
      <c r="K187" s="180">
        <v>0.0595996321821852</v>
      </c>
      <c r="L187" s="180">
        <v>0.225494196788309</v>
      </c>
      <c r="M187" s="180">
        <v>0.000313179447462279</v>
      </c>
      <c r="N187" s="180">
        <v>0.00121682332732522</v>
      </c>
      <c r="O187" s="180">
        <v>1.34804019129315</v>
      </c>
      <c r="P187" s="180">
        <v>0.479866838242921</v>
      </c>
      <c r="Q187" s="180">
        <v>-0.104753362313354</v>
      </c>
      <c r="R187" s="180">
        <v>0.289154290107337</v>
      </c>
      <c r="S187" s="180">
        <v>0.0121475941553243</v>
      </c>
      <c r="T187" s="180">
        <v>0</v>
      </c>
      <c r="U187" s="180">
        <v>0</v>
      </c>
      <c r="V187" s="180">
        <v>0</v>
      </c>
      <c r="W187" s="180"/>
      <c r="X187" s="68"/>
      <c r="Y187" s="179"/>
      <c r="Z187" s="179"/>
      <c r="AA187" s="179"/>
      <c r="AB187" s="179"/>
      <c r="AC187" s="179"/>
      <c r="AD187" s="181"/>
      <c r="AE187" s="180"/>
    </row>
    <row r="188" ht="21.25" customHeight="1">
      <c r="A188" t="s" s="8">
        <v>388</v>
      </c>
      <c r="B188" t="s" s="177">
        <v>948</v>
      </c>
      <c r="C188" s="178">
        <v>20</v>
      </c>
      <c r="D188" t="s" s="177">
        <v>924</v>
      </c>
      <c r="E188" s="68">
        <v>80.83</v>
      </c>
      <c r="F188" s="179">
        <v>16.2827383766722</v>
      </c>
      <c r="G188" s="180">
        <v>0.314254741217099</v>
      </c>
      <c r="H188" s="180">
        <v>0.27748452786986</v>
      </c>
      <c r="I188" s="180">
        <v>0.591739269086959</v>
      </c>
      <c r="J188" s="180">
        <v>2.048640491305</v>
      </c>
      <c r="K188" s="180">
        <v>0.045288330319682</v>
      </c>
      <c r="L188" s="180">
        <v>0.109493880767955</v>
      </c>
      <c r="M188" s="180">
        <v>0.00220348519192283</v>
      </c>
      <c r="N188" s="180">
        <v>0.00406828869318687</v>
      </c>
      <c r="O188" s="180">
        <v>0.40945430411394</v>
      </c>
      <c r="P188" s="180">
        <v>0.392743017619454</v>
      </c>
      <c r="Q188" s="180">
        <v>0.0652706021710866</v>
      </c>
      <c r="R188" s="180">
        <v>0.303645338253513</v>
      </c>
      <c r="S188" s="180">
        <v>0.0502785308257615</v>
      </c>
      <c r="T188" s="180">
        <v>1.85978500560651</v>
      </c>
      <c r="U188" s="180">
        <v>2.43695966251888</v>
      </c>
      <c r="V188" s="180">
        <v>0.432835820895522</v>
      </c>
      <c r="W188" s="180"/>
      <c r="X188" s="68"/>
      <c r="Y188" s="179"/>
      <c r="Z188" s="179"/>
      <c r="AA188" s="179"/>
      <c r="AB188" s="179"/>
      <c r="AC188" s="179"/>
      <c r="AD188" s="181"/>
      <c r="AE188" s="180"/>
    </row>
    <row r="189" ht="21.25" customHeight="1">
      <c r="A189" t="s" s="8">
        <v>447</v>
      </c>
      <c r="B189" t="s" s="177">
        <v>968</v>
      </c>
      <c r="C189" s="178">
        <v>24</v>
      </c>
      <c r="D189" t="s" s="177">
        <v>924</v>
      </c>
      <c r="E189" s="68">
        <v>70.1697321428571</v>
      </c>
      <c r="F189" s="179">
        <v>16.4623816402329</v>
      </c>
      <c r="G189" s="180">
        <v>0.238152837643355</v>
      </c>
      <c r="H189" s="180">
        <v>0.350942624607283</v>
      </c>
      <c r="I189" s="180">
        <v>0.589095462250638</v>
      </c>
      <c r="J189" s="180">
        <v>2.00593141995784</v>
      </c>
      <c r="K189" s="180">
        <v>0.102888725461831</v>
      </c>
      <c r="L189" s="180">
        <v>0.173873884408822</v>
      </c>
      <c r="M189" s="180">
        <v>0.000834527078954707</v>
      </c>
      <c r="N189" s="180">
        <v>0.00151787124418579</v>
      </c>
      <c r="O189" s="180">
        <v>0.474588782567491</v>
      </c>
      <c r="P189" s="180">
        <v>0.974114939252818</v>
      </c>
      <c r="Q189" s="180">
        <v>0.0142676564861472</v>
      </c>
      <c r="R189" s="180">
        <v>0.33290301368547</v>
      </c>
      <c r="S189" s="180">
        <v>0.0347765429636576</v>
      </c>
      <c r="T189" s="180">
        <v>5.3411211446929</v>
      </c>
      <c r="U189" s="180">
        <v>5.85787389033194</v>
      </c>
      <c r="V189" s="180">
        <v>0.476928610825217</v>
      </c>
      <c r="W189" s="180"/>
      <c r="X189" s="68"/>
      <c r="Y189" s="179"/>
      <c r="Z189" s="179"/>
      <c r="AA189" s="179"/>
      <c r="AB189" s="179"/>
      <c r="AC189" s="179"/>
      <c r="AD189" s="181"/>
      <c r="AE189" s="180"/>
    </row>
    <row r="190" ht="21.25" customHeight="1">
      <c r="A190" t="s" s="8">
        <v>405</v>
      </c>
      <c r="B190" t="s" s="177">
        <v>948</v>
      </c>
      <c r="C190" s="178">
        <v>31</v>
      </c>
      <c r="D190" t="s" s="177">
        <v>959</v>
      </c>
      <c r="E190" s="68">
        <v>73.0667857142857</v>
      </c>
      <c r="F190" s="179">
        <v>16.8141752110077</v>
      </c>
      <c r="G190" s="180">
        <v>0.26067625049096</v>
      </c>
      <c r="H190" s="180">
        <v>0.327351955264307</v>
      </c>
      <c r="I190" s="180">
        <v>0.588028205755267</v>
      </c>
      <c r="J190" s="180">
        <v>2.42562161821901</v>
      </c>
      <c r="K190" s="180">
        <v>0.0596203069114316</v>
      </c>
      <c r="L190" s="180">
        <v>0.127512145114104</v>
      </c>
      <c r="M190" s="180">
        <v>0.0123308923251006</v>
      </c>
      <c r="N190" s="180">
        <v>0.0246170160254455</v>
      </c>
      <c r="O190" s="180">
        <v>0.359257507176527</v>
      </c>
      <c r="P190" s="180">
        <v>1.09623317485114</v>
      </c>
      <c r="Q190" s="180">
        <v>0.0469433928850098</v>
      </c>
      <c r="R190" s="180">
        <v>0.34727152188018</v>
      </c>
      <c r="S190" s="180">
        <v>0.0417063521304178</v>
      </c>
      <c r="T190" s="180">
        <v>6.20779741643172</v>
      </c>
      <c r="U190" s="180">
        <v>5.00873909086537</v>
      </c>
      <c r="V190" s="180">
        <v>0.553450471310207</v>
      </c>
      <c r="W190" s="180"/>
      <c r="X190" s="68"/>
      <c r="Y190" s="179"/>
      <c r="Z190" s="179"/>
      <c r="AA190" s="179"/>
      <c r="AB190" s="179"/>
      <c r="AC190" s="179"/>
      <c r="AD190" s="181"/>
      <c r="AE190" s="180"/>
    </row>
    <row r="191" ht="21.25" customHeight="1">
      <c r="A191" t="s" s="8">
        <v>446</v>
      </c>
      <c r="B191" t="s" s="177">
        <v>970</v>
      </c>
      <c r="C191" s="178">
        <v>34</v>
      </c>
      <c r="D191" t="s" s="177">
        <v>926</v>
      </c>
      <c r="E191" s="68">
        <v>66.2375</v>
      </c>
      <c r="F191" s="179">
        <v>16.2778280608593</v>
      </c>
      <c r="G191" s="180">
        <v>0.234165706950413</v>
      </c>
      <c r="H191" s="180">
        <v>0.353522396543696</v>
      </c>
      <c r="I191" s="180">
        <v>0.58768810349411</v>
      </c>
      <c r="J191" s="180">
        <v>2.48680338898305</v>
      </c>
      <c r="K191" s="180">
        <v>0.0422340215102491</v>
      </c>
      <c r="L191" s="180">
        <v>0.129842451817646</v>
      </c>
      <c r="M191" s="180">
        <v>0.00096273942430096</v>
      </c>
      <c r="N191" s="180">
        <v>0.0010477948296169</v>
      </c>
      <c r="O191" s="180">
        <v>0.488536255916532</v>
      </c>
      <c r="P191" s="180">
        <v>0.548236831457126</v>
      </c>
      <c r="Q191" s="180">
        <v>-0.059355471967554</v>
      </c>
      <c r="R191" s="180"/>
      <c r="S191" s="180">
        <v>0.0275251584521815</v>
      </c>
      <c r="T191" s="180">
        <v>0.08704107203352671</v>
      </c>
      <c r="U191" s="180">
        <v>0.232745719077813</v>
      </c>
      <c r="V191" s="180">
        <v>0.272184700722118</v>
      </c>
      <c r="W191" s="180"/>
      <c r="X191" s="68"/>
      <c r="Y191" s="179"/>
      <c r="Z191" s="179"/>
      <c r="AA191" s="179"/>
      <c r="AB191" s="179"/>
      <c r="AC191" s="179"/>
      <c r="AD191" s="181"/>
      <c r="AE191" s="180"/>
    </row>
    <row r="192" ht="21.25" customHeight="1">
      <c r="A192" t="s" s="8">
        <v>451</v>
      </c>
      <c r="B192" t="s" s="177">
        <v>952</v>
      </c>
      <c r="C192" s="178">
        <v>28</v>
      </c>
      <c r="D192" t="s" s="177">
        <v>926</v>
      </c>
      <c r="E192" s="68">
        <v>71.3596428571429</v>
      </c>
      <c r="F192" s="179">
        <v>16.9771626168147</v>
      </c>
      <c r="G192" s="180">
        <v>0.29164307776628</v>
      </c>
      <c r="H192" s="180">
        <v>0.290354616038462</v>
      </c>
      <c r="I192" s="180">
        <v>0.581997693804743</v>
      </c>
      <c r="J192" s="180">
        <v>2.2483920372658</v>
      </c>
      <c r="K192" s="180">
        <v>0.0368527313464689</v>
      </c>
      <c r="L192" s="180">
        <v>0.07392553835996379</v>
      </c>
      <c r="M192" s="180">
        <v>0.0250864713122834</v>
      </c>
      <c r="N192" s="180">
        <v>0.0304819347713649</v>
      </c>
      <c r="O192" s="180">
        <v>0.378208628696463</v>
      </c>
      <c r="P192" s="180">
        <v>0.631129583360304</v>
      </c>
      <c r="Q192" s="180">
        <v>0.013133617496593</v>
      </c>
      <c r="R192" s="180">
        <v>0.223201984646067</v>
      </c>
      <c r="S192" s="180">
        <v>0.0412848917084561</v>
      </c>
      <c r="T192" s="180">
        <v>0.0532403145015179</v>
      </c>
      <c r="U192" s="180">
        <v>0.113432299291366</v>
      </c>
      <c r="V192" s="180">
        <v>0.319430488848498</v>
      </c>
      <c r="W192" s="180"/>
      <c r="X192" s="68"/>
      <c r="Y192" s="179"/>
      <c r="Z192" s="179"/>
      <c r="AA192" s="179"/>
      <c r="AB192" s="179"/>
      <c r="AC192" s="179"/>
      <c r="AD192" s="181"/>
      <c r="AE192" s="180"/>
    </row>
    <row r="193" ht="21.25" customHeight="1">
      <c r="A193" t="s" s="8">
        <v>418</v>
      </c>
      <c r="B193" t="s" s="177">
        <v>954</v>
      </c>
      <c r="C193" s="178">
        <v>26</v>
      </c>
      <c r="D193" t="s" s="177">
        <v>926</v>
      </c>
      <c r="E193" s="68">
        <v>80.34</v>
      </c>
      <c r="F193" s="179">
        <v>16.156866720064</v>
      </c>
      <c r="G193" s="180">
        <v>0.208755240003122</v>
      </c>
      <c r="H193" s="180">
        <v>0.372861336753027</v>
      </c>
      <c r="I193" s="180">
        <v>0.581616576756149</v>
      </c>
      <c r="J193" s="180">
        <v>1.64956030956923</v>
      </c>
      <c r="K193" s="180">
        <v>0.0397523770248407</v>
      </c>
      <c r="L193" s="180">
        <v>0.112915298581124</v>
      </c>
      <c r="M193" s="180">
        <v>0.0201156572708748</v>
      </c>
      <c r="N193" s="180">
        <v>0.0308610192743526</v>
      </c>
      <c r="O193" s="180">
        <v>0.593735761561609</v>
      </c>
      <c r="P193" s="180">
        <v>0.676899430849044</v>
      </c>
      <c r="Q193" s="180">
        <v>-0.0692619175184393</v>
      </c>
      <c r="R193" s="180">
        <v>0.21094353241791</v>
      </c>
      <c r="S193" s="180">
        <v>0.0223695612852548</v>
      </c>
      <c r="T193" s="180">
        <v>4.97728020265346</v>
      </c>
      <c r="U193" s="180">
        <v>6.49698918101038</v>
      </c>
      <c r="V193" s="180">
        <v>0.433777527459807</v>
      </c>
      <c r="W193" s="180"/>
      <c r="X193" s="68"/>
      <c r="Y193" s="179"/>
      <c r="Z193" s="179"/>
      <c r="AA193" s="179"/>
      <c r="AB193" s="179"/>
      <c r="AC193" s="179"/>
      <c r="AD193" s="181"/>
      <c r="AE193" s="180"/>
    </row>
    <row r="194" ht="21.25" customHeight="1">
      <c r="A194" t="s" s="8">
        <v>440</v>
      </c>
      <c r="B194" t="s" s="177">
        <v>970</v>
      </c>
      <c r="C194" s="178">
        <v>23</v>
      </c>
      <c r="D194" t="s" s="177">
        <v>925</v>
      </c>
      <c r="E194" s="68">
        <v>79.2710714285714</v>
      </c>
      <c r="F194" s="179">
        <v>17.1669903506097</v>
      </c>
      <c r="G194" s="180">
        <v>0.251582379508282</v>
      </c>
      <c r="H194" s="180">
        <v>0.326297570059346</v>
      </c>
      <c r="I194" s="180">
        <v>0.577879949567628</v>
      </c>
      <c r="J194" s="180">
        <v>1.90199167111394</v>
      </c>
      <c r="K194" s="180">
        <v>0.0202370649138485</v>
      </c>
      <c r="L194" s="180">
        <v>0.06464537022752451</v>
      </c>
      <c r="M194" s="180">
        <v>0.0038947235507056</v>
      </c>
      <c r="N194" s="180">
        <v>0.00477474803013599</v>
      </c>
      <c r="O194" s="180">
        <v>0.5355884877289731</v>
      </c>
      <c r="P194" s="180">
        <v>0.9453654485249821</v>
      </c>
      <c r="Q194" s="180">
        <v>-0.06550771483877291</v>
      </c>
      <c r="R194" s="180">
        <v>0.527136604516621</v>
      </c>
      <c r="S194" s="180">
        <v>0.0295724124165145</v>
      </c>
      <c r="T194" s="180">
        <v>0.251800351312172</v>
      </c>
      <c r="U194" s="180">
        <v>0.485861308986334</v>
      </c>
      <c r="V194" s="180">
        <v>0.341349381246515</v>
      </c>
      <c r="W194" s="180"/>
      <c r="X194" s="68"/>
      <c r="Y194" s="179"/>
      <c r="Z194" s="179"/>
      <c r="AA194" s="179"/>
      <c r="AB194" s="179"/>
      <c r="AC194" s="179"/>
      <c r="AD194" s="181"/>
      <c r="AE194" s="180"/>
    </row>
    <row r="195" ht="21.25" customHeight="1">
      <c r="A195" t="s" s="8">
        <v>224</v>
      </c>
      <c r="B195" t="s" s="177">
        <v>960</v>
      </c>
      <c r="C195" s="178">
        <v>28</v>
      </c>
      <c r="D195" t="s" s="177">
        <v>927</v>
      </c>
      <c r="E195" s="68">
        <v>79.705</v>
      </c>
      <c r="F195" s="179">
        <v>24.7786218805048</v>
      </c>
      <c r="G195" s="180">
        <v>0.109554541018084</v>
      </c>
      <c r="H195" s="180">
        <v>0.467512171362324</v>
      </c>
      <c r="I195" s="180">
        <v>0.577066712380409</v>
      </c>
      <c r="J195" s="180">
        <v>2.43924550708128</v>
      </c>
      <c r="K195" s="180">
        <v>0.0227790392494779</v>
      </c>
      <c r="L195" s="180">
        <v>0.213372741683585</v>
      </c>
      <c r="M195" s="180">
        <v>0.000334171080477188</v>
      </c>
      <c r="N195" s="180">
        <v>0.0123099210017245</v>
      </c>
      <c r="O195" s="180">
        <v>1.77706542917507</v>
      </c>
      <c r="P195" s="180">
        <v>1.36447155733511</v>
      </c>
      <c r="Q195" s="180">
        <v>-0.109306504471749</v>
      </c>
      <c r="R195" s="180">
        <v>0.426248991714976</v>
      </c>
      <c r="S195" s="180">
        <v>0.0128377711398868</v>
      </c>
      <c r="T195" s="180">
        <v>0</v>
      </c>
      <c r="U195" s="180">
        <v>0</v>
      </c>
      <c r="V195" s="180">
        <v>0</v>
      </c>
      <c r="W195" s="180"/>
      <c r="X195" s="68"/>
      <c r="Y195" s="179"/>
      <c r="Z195" s="179"/>
      <c r="AA195" s="179"/>
      <c r="AB195" s="179"/>
      <c r="AC195" s="179"/>
      <c r="AD195" s="181"/>
      <c r="AE195" s="180"/>
    </row>
    <row r="196" ht="21.25" customHeight="1">
      <c r="A196" t="s" s="8">
        <v>212</v>
      </c>
      <c r="B196" t="s" s="177">
        <v>963</v>
      </c>
      <c r="C196" s="178">
        <v>38</v>
      </c>
      <c r="D196" t="s" s="177">
        <v>927</v>
      </c>
      <c r="E196" s="68">
        <v>82</v>
      </c>
      <c r="F196" s="179">
        <v>21.3844034327164</v>
      </c>
      <c r="G196" s="180">
        <v>0.130257828247032</v>
      </c>
      <c r="H196" s="180">
        <v>0.44164055899039</v>
      </c>
      <c r="I196" s="180">
        <v>0.571898387237422</v>
      </c>
      <c r="J196" s="180">
        <v>2.54978331649002</v>
      </c>
      <c r="K196" s="180">
        <v>0.0429854045435467</v>
      </c>
      <c r="L196" s="180">
        <v>0.221090949376654</v>
      </c>
      <c r="M196" s="180">
        <v>0.000184775281633163</v>
      </c>
      <c r="N196" s="180">
        <v>0.00334179014080294</v>
      </c>
      <c r="O196" s="180">
        <v>1.19529204300894</v>
      </c>
      <c r="P196" s="180">
        <v>0.6550009243310631</v>
      </c>
      <c r="Q196" s="180">
        <v>0.10100920622932</v>
      </c>
      <c r="R196" s="180">
        <v>0.487354756603209</v>
      </c>
      <c r="S196" s="180">
        <v>0.0233711710808632</v>
      </c>
      <c r="T196" s="180">
        <v>0.00408276749621849</v>
      </c>
      <c r="U196" s="180">
        <v>0.00565962642688673</v>
      </c>
      <c r="V196" s="180">
        <v>0.419072306913779</v>
      </c>
      <c r="W196" s="180"/>
      <c r="X196" s="68"/>
      <c r="Y196" s="179"/>
      <c r="Z196" s="179"/>
      <c r="AA196" s="179"/>
      <c r="AB196" s="179"/>
      <c r="AC196" s="179"/>
      <c r="AD196" s="181"/>
      <c r="AE196" s="180"/>
    </row>
    <row r="197" ht="21.25" customHeight="1">
      <c r="A197" t="s" s="8">
        <v>262</v>
      </c>
      <c r="B197" t="s" s="177">
        <v>955</v>
      </c>
      <c r="C197" s="178">
        <v>31</v>
      </c>
      <c r="D197" t="s" s="177">
        <v>927</v>
      </c>
      <c r="E197" s="68">
        <v>81.205</v>
      </c>
      <c r="F197" s="179">
        <v>23.5112300495427</v>
      </c>
      <c r="G197" s="180">
        <v>0.150558088343916</v>
      </c>
      <c r="H197" s="180">
        <v>0.420246767482072</v>
      </c>
      <c r="I197" s="180">
        <v>0.5708048558259879</v>
      </c>
      <c r="J197" s="180">
        <v>2.28688998389145</v>
      </c>
      <c r="K197" s="180">
        <v>0.0235506139497687</v>
      </c>
      <c r="L197" s="180">
        <v>0.129407911861726</v>
      </c>
      <c r="M197" s="180">
        <v>0.000301662040767421</v>
      </c>
      <c r="N197" s="180">
        <v>0.00370219817718299</v>
      </c>
      <c r="O197" s="180">
        <v>1.61955092924167</v>
      </c>
      <c r="P197" s="180">
        <v>1.47966339203362</v>
      </c>
      <c r="Q197" s="180">
        <v>-0.0512987452444683</v>
      </c>
      <c r="R197" s="180">
        <v>0.478111449386889</v>
      </c>
      <c r="S197" s="180">
        <v>0.0173251304998538</v>
      </c>
      <c r="T197" s="180">
        <v>0</v>
      </c>
      <c r="U197" s="180">
        <v>0</v>
      </c>
      <c r="V197" s="180">
        <v>0</v>
      </c>
      <c r="W197" s="180"/>
      <c r="X197" s="68"/>
      <c r="Y197" s="179"/>
      <c r="Z197" s="179"/>
      <c r="AA197" s="179"/>
      <c r="AB197" s="179"/>
      <c r="AC197" s="179"/>
      <c r="AD197" s="181"/>
      <c r="AE197" s="180"/>
    </row>
    <row r="198" ht="21.25" customHeight="1">
      <c r="A198" t="s" s="8">
        <v>428</v>
      </c>
      <c r="B198" t="s" s="177">
        <v>957</v>
      </c>
      <c r="C198" s="178">
        <v>23</v>
      </c>
      <c r="D198" t="s" s="177">
        <v>924</v>
      </c>
      <c r="E198" s="68">
        <v>76.80500000000001</v>
      </c>
      <c r="F198" s="179">
        <v>17.8551186178003</v>
      </c>
      <c r="G198" s="180">
        <v>0.245754567702954</v>
      </c>
      <c r="H198" s="180">
        <v>0.324241880224023</v>
      </c>
      <c r="I198" s="180">
        <v>0.569996447926977</v>
      </c>
      <c r="J198" s="180">
        <v>2.11491996897867</v>
      </c>
      <c r="K198" s="180">
        <v>0.0553186250629946</v>
      </c>
      <c r="L198" s="180">
        <v>0.146909813153638</v>
      </c>
      <c r="M198" s="180">
        <v>0.00142702921596071</v>
      </c>
      <c r="N198" s="180">
        <v>0.009345630086552901</v>
      </c>
      <c r="O198" s="180">
        <v>0.445280721380056</v>
      </c>
      <c r="P198" s="180">
        <v>1.12703667591214</v>
      </c>
      <c r="Q198" s="180">
        <v>-0.0329963195706726</v>
      </c>
      <c r="R198" s="180">
        <v>0.452184126871009</v>
      </c>
      <c r="S198" s="180">
        <v>0.0310133903612189</v>
      </c>
      <c r="T198" s="180">
        <v>7.62749294559283</v>
      </c>
      <c r="U198" s="180">
        <v>7.6238828275027</v>
      </c>
      <c r="V198" s="180">
        <v>0.500118353850297</v>
      </c>
      <c r="W198" s="180"/>
      <c r="X198" s="68"/>
      <c r="Y198" s="179"/>
      <c r="Z198" s="179"/>
      <c r="AA198" s="179"/>
      <c r="AB198" s="179"/>
      <c r="AC198" s="179"/>
      <c r="AD198" s="181"/>
      <c r="AE198" s="180"/>
    </row>
    <row r="199" ht="21.25" customHeight="1">
      <c r="A199" t="s" s="8">
        <v>422</v>
      </c>
      <c r="B199" t="s" s="177">
        <v>961</v>
      </c>
      <c r="C199" s="178">
        <v>36</v>
      </c>
      <c r="D199" t="s" s="177">
        <v>926</v>
      </c>
      <c r="E199" s="68">
        <v>72.1057142857143</v>
      </c>
      <c r="F199" s="179">
        <v>16.5870667336115</v>
      </c>
      <c r="G199" s="180">
        <v>0.284001691740785</v>
      </c>
      <c r="H199" s="180">
        <v>0.285420262153577</v>
      </c>
      <c r="I199" s="180">
        <v>0.569421953894362</v>
      </c>
      <c r="J199" s="180">
        <v>2.04544992706309</v>
      </c>
      <c r="K199" s="180">
        <v>0.126551021306816</v>
      </c>
      <c r="L199" s="180">
        <v>0.188402897903063</v>
      </c>
      <c r="M199" s="180">
        <v>0.000234799234499648</v>
      </c>
      <c r="N199" s="180">
        <v>0.00106278184381882</v>
      </c>
      <c r="O199" s="180">
        <v>0.56496463605925</v>
      </c>
      <c r="P199" s="180">
        <v>1.85904290234888</v>
      </c>
      <c r="Q199" s="180">
        <v>-0.0528439613115411</v>
      </c>
      <c r="R199" s="180">
        <v>0.5439064150140041</v>
      </c>
      <c r="S199" s="180">
        <v>0.0349338799147201</v>
      </c>
      <c r="T199" s="180">
        <v>1.56524288966684</v>
      </c>
      <c r="U199" s="180">
        <v>1.87077031422771</v>
      </c>
      <c r="V199" s="180">
        <v>0.455540417566708</v>
      </c>
      <c r="W199" s="180"/>
      <c r="X199" s="68"/>
      <c r="Y199" s="179"/>
      <c r="Z199" s="179"/>
      <c r="AA199" s="179"/>
      <c r="AB199" s="179"/>
      <c r="AC199" s="179"/>
      <c r="AD199" s="181"/>
      <c r="AE199" s="180"/>
    </row>
    <row r="200" ht="21.25" customHeight="1">
      <c r="A200" t="s" s="8">
        <v>276</v>
      </c>
      <c r="B200" t="s" s="177">
        <v>957</v>
      </c>
      <c r="C200" s="178">
        <v>24</v>
      </c>
      <c r="D200" t="s" s="177">
        <v>927</v>
      </c>
      <c r="E200" s="68">
        <v>76.38</v>
      </c>
      <c r="F200" s="179">
        <v>21.4795534043356</v>
      </c>
      <c r="G200" s="180">
        <v>0.107804022646115</v>
      </c>
      <c r="H200" s="180">
        <v>0.460185169734702</v>
      </c>
      <c r="I200" s="180">
        <v>0.567989192380817</v>
      </c>
      <c r="J200" s="180">
        <v>1.78753196477188</v>
      </c>
      <c r="K200" s="180">
        <v>0.0271155519514059</v>
      </c>
      <c r="L200" s="180">
        <v>0.272186598920823</v>
      </c>
      <c r="M200" s="180">
        <v>0.00049863189906182</v>
      </c>
      <c r="N200" s="180">
        <v>0.00620896205953435</v>
      </c>
      <c r="O200" s="180">
        <v>1.96369987249417</v>
      </c>
      <c r="P200" s="180">
        <v>1.19164082155299</v>
      </c>
      <c r="Q200" s="180">
        <v>-0.0473101463349256</v>
      </c>
      <c r="R200" s="180">
        <v>0.7720572870715799</v>
      </c>
      <c r="S200" s="180">
        <v>0.0136045008973132</v>
      </c>
      <c r="T200" s="180">
        <v>0</v>
      </c>
      <c r="U200" s="180">
        <v>0</v>
      </c>
      <c r="V200" s="180">
        <v>0</v>
      </c>
      <c r="W200" s="180"/>
      <c r="X200" s="68"/>
      <c r="Y200" s="179"/>
      <c r="Z200" s="179"/>
      <c r="AA200" s="179"/>
      <c r="AB200" s="179"/>
      <c r="AC200" s="179"/>
      <c r="AD200" s="181"/>
      <c r="AE200" s="180"/>
    </row>
    <row r="201" ht="21.25" customHeight="1">
      <c r="A201" t="s" s="8">
        <v>370</v>
      </c>
      <c r="B201" t="s" s="177">
        <v>952</v>
      </c>
      <c r="C201" s="178">
        <v>26</v>
      </c>
      <c r="D201" t="s" s="177">
        <v>944</v>
      </c>
      <c r="E201" s="68">
        <v>79.7496428571429</v>
      </c>
      <c r="F201" s="179">
        <v>17.0438159986662</v>
      </c>
      <c r="G201" s="180">
        <v>0.245793003948254</v>
      </c>
      <c r="H201" s="180">
        <v>0.319715160334455</v>
      </c>
      <c r="I201" s="180">
        <v>0.565508164282709</v>
      </c>
      <c r="J201" s="180">
        <v>2.29865837527563</v>
      </c>
      <c r="K201" s="180">
        <v>0.0772470834892732</v>
      </c>
      <c r="L201" s="180">
        <v>0.146722361608534</v>
      </c>
      <c r="M201" s="180">
        <v>0.000741933400120576</v>
      </c>
      <c r="N201" s="180">
        <v>0.00135796921280855</v>
      </c>
      <c r="O201" s="180">
        <v>0.341861647023534</v>
      </c>
      <c r="P201" s="180">
        <v>0.84726665565034</v>
      </c>
      <c r="Q201" s="180">
        <v>-0.00476740640655948</v>
      </c>
      <c r="R201" s="180">
        <v>0.281587822132273</v>
      </c>
      <c r="S201" s="180">
        <v>0.0347943713542617</v>
      </c>
      <c r="T201" s="180">
        <v>0.0484860318146076</v>
      </c>
      <c r="U201" s="180">
        <v>0.112016557565435</v>
      </c>
      <c r="V201" s="180">
        <v>0.302088782504319</v>
      </c>
      <c r="W201" s="180"/>
      <c r="X201" s="68"/>
      <c r="Y201" s="179"/>
      <c r="Z201" s="179"/>
      <c r="AA201" s="179"/>
      <c r="AB201" s="179"/>
      <c r="AC201" s="179"/>
      <c r="AD201" s="181"/>
      <c r="AE201" s="180"/>
    </row>
    <row r="202" ht="21.25" customHeight="1">
      <c r="A202" t="s" s="8">
        <v>469</v>
      </c>
      <c r="B202" t="s" s="177">
        <v>963</v>
      </c>
      <c r="C202" s="178">
        <v>23</v>
      </c>
      <c r="D202" t="s" s="177">
        <v>924</v>
      </c>
      <c r="E202" s="68">
        <v>79.83</v>
      </c>
      <c r="F202" s="179">
        <v>15.5134607343723</v>
      </c>
      <c r="G202" s="180">
        <v>0.23072136276524</v>
      </c>
      <c r="H202" s="180">
        <v>0.334717793843149</v>
      </c>
      <c r="I202" s="180">
        <v>0.5654391566083889</v>
      </c>
      <c r="J202" s="180">
        <v>1.66131470708545</v>
      </c>
      <c r="K202" s="180">
        <v>0.0276430107411433</v>
      </c>
      <c r="L202" s="180">
        <v>0.113748328844297</v>
      </c>
      <c r="M202" s="180">
        <v>0.00423011265177416</v>
      </c>
      <c r="N202" s="180">
        <v>0.00483756554662934</v>
      </c>
      <c r="O202" s="180">
        <v>0.309942636665276</v>
      </c>
      <c r="P202" s="180">
        <v>1.32965839484201</v>
      </c>
      <c r="Q202" s="180">
        <v>0.0874633131505016</v>
      </c>
      <c r="R202" s="180">
        <v>0.497895314325021</v>
      </c>
      <c r="S202" s="180">
        <v>0.041396578722087</v>
      </c>
      <c r="T202" s="180">
        <v>4.49880977292998</v>
      </c>
      <c r="U202" s="180">
        <v>4.38115308810901</v>
      </c>
      <c r="V202" s="180">
        <v>0.506624841041689</v>
      </c>
      <c r="W202" s="180"/>
      <c r="X202" s="68"/>
      <c r="Y202" s="179"/>
      <c r="Z202" s="179"/>
      <c r="AA202" s="179"/>
      <c r="AB202" s="179"/>
      <c r="AC202" s="179"/>
      <c r="AD202" s="181"/>
      <c r="AE202" s="180"/>
    </row>
    <row r="203" ht="21.25" customHeight="1">
      <c r="A203" t="s" s="8">
        <v>366</v>
      </c>
      <c r="B203" t="s" s="177">
        <v>972</v>
      </c>
      <c r="C203" s="178">
        <v>28</v>
      </c>
      <c r="D203" t="s" s="177">
        <v>926</v>
      </c>
      <c r="E203" s="68">
        <v>81.09999999999999</v>
      </c>
      <c r="F203" s="179">
        <v>15.2982097371024</v>
      </c>
      <c r="G203" s="180">
        <v>0.252326768877467</v>
      </c>
      <c r="H203" s="180">
        <v>0.31240127171814</v>
      </c>
      <c r="I203" s="180">
        <v>0.564728040595607</v>
      </c>
      <c r="J203" s="180">
        <v>2.29180560328018</v>
      </c>
      <c r="K203" s="180">
        <v>0.0552040890658918</v>
      </c>
      <c r="L203" s="180">
        <v>0.123637263270891</v>
      </c>
      <c r="M203" s="180">
        <v>2.89505368046172e-05</v>
      </c>
      <c r="N203" s="180">
        <v>5.31476838197495e-05</v>
      </c>
      <c r="O203" s="180">
        <v>0.433518374608129</v>
      </c>
      <c r="P203" s="180">
        <v>0.852669435033607</v>
      </c>
      <c r="Q203" s="180">
        <v>-0.009928020305306521</v>
      </c>
      <c r="R203" s="180">
        <v>0.219122461887539</v>
      </c>
      <c r="S203" s="180">
        <v>0.0354672969465172</v>
      </c>
      <c r="T203" s="180">
        <v>0.214509171945026</v>
      </c>
      <c r="U203" s="180">
        <v>0.350664933413771</v>
      </c>
      <c r="V203" s="180">
        <v>0.379545293938841</v>
      </c>
      <c r="W203" s="180"/>
      <c r="X203" s="68"/>
      <c r="Y203" s="179"/>
      <c r="Z203" s="179"/>
      <c r="AA203" s="179"/>
      <c r="AB203" s="179"/>
      <c r="AC203" s="179"/>
      <c r="AD203" s="181"/>
      <c r="AE203" s="180"/>
    </row>
    <row r="204" ht="21.25" customHeight="1">
      <c r="A204" t="s" s="8">
        <v>524</v>
      </c>
      <c r="B204" t="s" s="177">
        <v>968</v>
      </c>
      <c r="C204" s="178">
        <v>22</v>
      </c>
      <c r="D204" t="s" s="177">
        <v>924</v>
      </c>
      <c r="E204" s="68">
        <v>69.35250000000001</v>
      </c>
      <c r="F204" s="179">
        <v>14.7410933225209</v>
      </c>
      <c r="G204" s="180">
        <v>0.194132591455</v>
      </c>
      <c r="H204" s="180">
        <v>0.366134508572267</v>
      </c>
      <c r="I204" s="180">
        <v>0.560267100027267</v>
      </c>
      <c r="J204" s="180">
        <v>1.74646622387641</v>
      </c>
      <c r="K204" s="180">
        <v>0.0777940868051698</v>
      </c>
      <c r="L204" s="180">
        <v>0.158431301909683</v>
      </c>
      <c r="M204" s="180">
        <v>8.09237824227365e-06</v>
      </c>
      <c r="N204" s="180">
        <v>1.45676566636424e-05</v>
      </c>
      <c r="O204" s="180">
        <v>0.472159432477698</v>
      </c>
      <c r="P204" s="180">
        <v>0.906224500120928</v>
      </c>
      <c r="Q204" s="180">
        <v>-0.0121108998003268</v>
      </c>
      <c r="R204" s="180">
        <v>0.240299150820349</v>
      </c>
      <c r="S204" s="180">
        <v>0.0283484357112356</v>
      </c>
      <c r="T204" s="180">
        <v>0.294444968611582</v>
      </c>
      <c r="U204" s="180">
        <v>0.352061610136812</v>
      </c>
      <c r="V204" s="180">
        <v>0.45544001915899</v>
      </c>
      <c r="W204" s="180"/>
      <c r="X204" s="68"/>
      <c r="Y204" s="179"/>
      <c r="Z204" s="179"/>
      <c r="AA204" s="179"/>
      <c r="AB204" s="179"/>
      <c r="AC204" s="179"/>
      <c r="AD204" s="181"/>
      <c r="AE204" s="180"/>
    </row>
    <row r="205" ht="21.25" customHeight="1">
      <c r="A205" t="s" s="8">
        <v>353</v>
      </c>
      <c r="B205" t="s" s="177">
        <v>964</v>
      </c>
      <c r="C205" s="178">
        <v>34</v>
      </c>
      <c r="D205" t="s" s="177">
        <v>924</v>
      </c>
      <c r="E205" s="68">
        <v>81.59999999999999</v>
      </c>
      <c r="F205" s="179">
        <v>17.7318138532363</v>
      </c>
      <c r="G205" s="180">
        <v>0.179671188739667</v>
      </c>
      <c r="H205" s="180">
        <v>0.380070418027104</v>
      </c>
      <c r="I205" s="180">
        <v>0.559741606766771</v>
      </c>
      <c r="J205" s="180">
        <v>2.89965587006316</v>
      </c>
      <c r="K205" s="180">
        <v>0.0335447934404439</v>
      </c>
      <c r="L205" s="180">
        <v>0.119078028449066</v>
      </c>
      <c r="M205" s="180">
        <v>0.0082437319213143</v>
      </c>
      <c r="N205" s="180">
        <v>0.029062540773411</v>
      </c>
      <c r="O205" s="180">
        <v>0.380622619939596</v>
      </c>
      <c r="P205" s="180">
        <v>1.0295104673521</v>
      </c>
      <c r="Q205" s="180">
        <v>0.0679070383215177</v>
      </c>
      <c r="R205" s="180">
        <v>0.437753088939427</v>
      </c>
      <c r="S205" s="180">
        <v>0.0300227412247116</v>
      </c>
      <c r="T205" s="180">
        <v>8.200428510289649</v>
      </c>
      <c r="U205" s="180">
        <v>7.9004146568215</v>
      </c>
      <c r="V205" s="180">
        <v>0.509316712496181</v>
      </c>
      <c r="W205" s="180"/>
      <c r="X205" s="68"/>
      <c r="Y205" s="179"/>
      <c r="Z205" s="179"/>
      <c r="AA205" s="179"/>
      <c r="AB205" s="179"/>
      <c r="AC205" s="179"/>
      <c r="AD205" s="181"/>
      <c r="AE205" s="180"/>
    </row>
    <row r="206" ht="21.25" customHeight="1">
      <c r="A206" t="s" s="8">
        <v>503</v>
      </c>
      <c r="B206" t="s" s="177">
        <v>970</v>
      </c>
      <c r="C206" s="178">
        <v>24</v>
      </c>
      <c r="D206" t="s" s="177">
        <v>940</v>
      </c>
      <c r="E206" s="68">
        <v>74.1925</v>
      </c>
      <c r="F206" s="179">
        <v>17.9930099085366</v>
      </c>
      <c r="G206" s="180">
        <v>0.214481542009729</v>
      </c>
      <c r="H206" s="180">
        <v>0.341094061949216</v>
      </c>
      <c r="I206" s="180">
        <v>0.555575603958945</v>
      </c>
      <c r="J206" s="180">
        <v>1.45442984084517</v>
      </c>
      <c r="K206" s="180">
        <v>0.0485330849132761</v>
      </c>
      <c r="L206" s="180">
        <v>0.117509551863312</v>
      </c>
      <c r="M206" s="180">
        <v>0.0134013487348077</v>
      </c>
      <c r="N206" s="180">
        <v>0.0259649581915491</v>
      </c>
      <c r="O206" s="180">
        <v>0.738604932508406</v>
      </c>
      <c r="P206" s="180">
        <v>1.07637507102466</v>
      </c>
      <c r="Q206" s="180">
        <v>-0.0534306209282359</v>
      </c>
      <c r="R206" s="180">
        <v>0.2403064060446</v>
      </c>
      <c r="S206" s="180">
        <v>0.025211370639067</v>
      </c>
      <c r="T206" s="180">
        <v>4.44512705795532</v>
      </c>
      <c r="U206" s="180">
        <v>8.194055704927891</v>
      </c>
      <c r="V206" s="180">
        <v>0.351694183187941</v>
      </c>
      <c r="W206" s="180"/>
      <c r="X206" s="68"/>
      <c r="Y206" s="179"/>
      <c r="Z206" s="179"/>
      <c r="AA206" s="179"/>
      <c r="AB206" s="179"/>
      <c r="AC206" s="179"/>
      <c r="AD206" s="181"/>
      <c r="AE206" s="180"/>
    </row>
    <row r="207" ht="21.25" customHeight="1">
      <c r="A207" t="s" s="8">
        <v>298</v>
      </c>
      <c r="B207" t="s" s="177">
        <v>962</v>
      </c>
      <c r="C207" s="178">
        <v>20</v>
      </c>
      <c r="D207" t="s" s="177">
        <v>927</v>
      </c>
      <c r="E207" s="68">
        <v>74</v>
      </c>
      <c r="F207" s="179">
        <v>19</v>
      </c>
      <c r="G207" s="180">
        <v>0.161322637660991</v>
      </c>
      <c r="H207" s="180">
        <v>0.390920493687209</v>
      </c>
      <c r="I207" s="180">
        <v>0.552243131348199</v>
      </c>
      <c r="J207" s="180">
        <v>2.38190275604333</v>
      </c>
      <c r="K207" s="180">
        <v>0.0395917694801341</v>
      </c>
      <c r="L207" s="180">
        <v>0.135531398880743</v>
      </c>
      <c r="M207" s="180">
        <v>0</v>
      </c>
      <c r="N207" s="180">
        <v>0</v>
      </c>
      <c r="O207" s="180">
        <v>1.24512195121951</v>
      </c>
      <c r="P207" s="180">
        <v>1.44367265933555</v>
      </c>
      <c r="Q207" s="180">
        <v>0.00792682926829268</v>
      </c>
      <c r="R207" s="180">
        <v>0.5608114814069241</v>
      </c>
      <c r="S207" s="180">
        <v>0.0238856000417433</v>
      </c>
      <c r="T207" s="180">
        <v>0</v>
      </c>
      <c r="U207" s="180">
        <v>0</v>
      </c>
      <c r="V207" s="180">
        <v>0</v>
      </c>
      <c r="W207" s="180"/>
      <c r="X207" s="68"/>
      <c r="Y207" s="180"/>
      <c r="Z207" s="180"/>
      <c r="AA207" s="180"/>
      <c r="AB207" s="180"/>
      <c r="AC207" s="179"/>
      <c r="AD207" s="181"/>
      <c r="AE207" s="180"/>
    </row>
    <row r="208" ht="21.25" customHeight="1">
      <c r="A208" t="s" s="8">
        <v>409</v>
      </c>
      <c r="B208" t="s" s="177">
        <v>956</v>
      </c>
      <c r="C208" s="178">
        <v>30</v>
      </c>
      <c r="D208" t="s" s="177">
        <v>926</v>
      </c>
      <c r="E208" s="68">
        <v>79.59999999999999</v>
      </c>
      <c r="F208" s="179">
        <v>15.9395245149761</v>
      </c>
      <c r="G208" s="180">
        <v>0.300338230276911</v>
      </c>
      <c r="H208" s="180">
        <v>0.251880034495491</v>
      </c>
      <c r="I208" s="180">
        <v>0.552218264772402</v>
      </c>
      <c r="J208" s="180">
        <v>2.21743213071235</v>
      </c>
      <c r="K208" s="180">
        <v>0.0476138564192959</v>
      </c>
      <c r="L208" s="180">
        <v>0.0833075223978937</v>
      </c>
      <c r="M208" s="180">
        <v>0.000121696494574865</v>
      </c>
      <c r="N208" s="180">
        <v>0.000221853271225155</v>
      </c>
      <c r="O208" s="180">
        <v>0.374867694394466</v>
      </c>
      <c r="P208" s="180">
        <v>1.82321853712211</v>
      </c>
      <c r="Q208" s="180">
        <v>0.053379353505617</v>
      </c>
      <c r="R208" s="180">
        <v>0.356412422189162</v>
      </c>
      <c r="S208" s="180">
        <v>0.0468537692099221</v>
      </c>
      <c r="T208" s="180">
        <v>0.102619691895716</v>
      </c>
      <c r="U208" s="180">
        <v>0.110508918120729</v>
      </c>
      <c r="V208" s="180">
        <v>0.481491864878195</v>
      </c>
      <c r="W208" s="180"/>
      <c r="X208" s="68"/>
      <c r="Y208" s="179"/>
      <c r="Z208" s="179"/>
      <c r="AA208" s="179"/>
      <c r="AB208" s="179"/>
      <c r="AC208" s="179"/>
      <c r="AD208" s="181"/>
      <c r="AE208" s="180"/>
    </row>
    <row r="209" ht="21.25" customHeight="1">
      <c r="A209" t="s" s="8">
        <v>453</v>
      </c>
      <c r="B209" t="s" s="177">
        <v>962</v>
      </c>
      <c r="C209" s="178">
        <v>21</v>
      </c>
      <c r="D209" t="s" s="177">
        <v>924</v>
      </c>
      <c r="E209" s="68">
        <v>71.2375</v>
      </c>
      <c r="F209" s="179">
        <v>16.8348770803975</v>
      </c>
      <c r="G209" s="180">
        <v>0.173606758256157</v>
      </c>
      <c r="H209" s="180">
        <v>0.377934350899295</v>
      </c>
      <c r="I209" s="180">
        <v>0.551541109155452</v>
      </c>
      <c r="J209" s="180">
        <v>1.77719182315533</v>
      </c>
      <c r="K209" s="180">
        <v>0.0465474511458113</v>
      </c>
      <c r="L209" s="180">
        <v>0.0944986166497804</v>
      </c>
      <c r="M209" s="180">
        <v>0.000563310385996378</v>
      </c>
      <c r="N209" s="180">
        <v>0.0009894565848947319</v>
      </c>
      <c r="O209" s="180">
        <v>0.366156243300239</v>
      </c>
      <c r="P209" s="180">
        <v>1.02436035511555</v>
      </c>
      <c r="Q209" s="180">
        <v>0.009563152024500509</v>
      </c>
      <c r="R209" s="180">
        <v>0.588857566032145</v>
      </c>
      <c r="S209" s="180">
        <v>0.0257043999055123</v>
      </c>
      <c r="T209" s="180">
        <v>1.60298603759454</v>
      </c>
      <c r="U209" s="180">
        <v>1.86123049487713</v>
      </c>
      <c r="V209" s="180">
        <v>0.462726859758627</v>
      </c>
      <c r="W209" s="180"/>
      <c r="X209" s="68"/>
      <c r="Y209" s="179"/>
      <c r="Z209" s="179"/>
      <c r="AA209" s="179"/>
      <c r="AB209" s="179"/>
      <c r="AC209" s="179"/>
      <c r="AD209" s="181"/>
      <c r="AE209" s="180"/>
    </row>
    <row r="210" ht="21.25" customHeight="1">
      <c r="A210" t="s" s="8">
        <v>457</v>
      </c>
      <c r="B210" t="s" s="177">
        <v>950</v>
      </c>
      <c r="C210" s="182">
        <v>23</v>
      </c>
      <c r="D210" t="s" s="177">
        <v>924</v>
      </c>
      <c r="E210" s="68">
        <v>76.4975</v>
      </c>
      <c r="F210" s="179">
        <v>14.8316630350558</v>
      </c>
      <c r="G210" s="180">
        <v>0.243166539555027</v>
      </c>
      <c r="H210" s="180">
        <v>0.308267457564744</v>
      </c>
      <c r="I210" s="180">
        <v>0.551433997119771</v>
      </c>
      <c r="J210" s="180">
        <v>2.29726448220418</v>
      </c>
      <c r="K210" s="180">
        <v>0.0180780063892441</v>
      </c>
      <c r="L210" s="180">
        <v>0.0531689747430579</v>
      </c>
      <c r="M210" s="180">
        <v>0.000294503604762249</v>
      </c>
      <c r="N210" s="180">
        <v>0.000537719274498973</v>
      </c>
      <c r="O210" s="180">
        <v>0.492662308198384</v>
      </c>
      <c r="P210" s="180">
        <v>0.556826799922746</v>
      </c>
      <c r="Q210" s="180">
        <v>0.0640123745103524</v>
      </c>
      <c r="R210" s="180">
        <v>0.341633658041971</v>
      </c>
      <c r="S210" s="180">
        <v>0.041435124257432</v>
      </c>
      <c r="T210" s="180">
        <v>3.37022787087872</v>
      </c>
      <c r="U210" s="180">
        <v>4.75637235340785</v>
      </c>
      <c r="V210" s="180">
        <v>0.414715597896239</v>
      </c>
      <c r="W210" s="180"/>
      <c r="X210" s="68"/>
      <c r="Y210" s="179"/>
      <c r="Z210" s="179"/>
      <c r="AA210" s="179"/>
      <c r="AB210" s="179"/>
      <c r="AC210" s="179"/>
      <c r="AD210" s="181"/>
      <c r="AE210" s="180"/>
    </row>
    <row r="211" ht="21.25" customHeight="1">
      <c r="A211" t="s" s="8">
        <v>449</v>
      </c>
      <c r="B211" t="s" s="177">
        <v>949</v>
      </c>
      <c r="C211" s="178">
        <v>31</v>
      </c>
      <c r="D211" t="s" s="177">
        <v>924</v>
      </c>
      <c r="E211" s="68">
        <v>81.2978571428571</v>
      </c>
      <c r="F211" s="179">
        <v>18.7193964893531</v>
      </c>
      <c r="G211" s="180">
        <v>0.196372129343205</v>
      </c>
      <c r="H211" s="180">
        <v>0.354910381709637</v>
      </c>
      <c r="I211" s="180">
        <v>0.551282511052841</v>
      </c>
      <c r="J211" s="180">
        <v>1.89728498938871</v>
      </c>
      <c r="K211" s="180">
        <v>0.0229863185076598</v>
      </c>
      <c r="L211" s="180">
        <v>0.07088220706262829</v>
      </c>
      <c r="M211" s="180">
        <v>0.00728438263137202</v>
      </c>
      <c r="N211" s="180">
        <v>0.0282107187018461</v>
      </c>
      <c r="O211" s="180">
        <v>0.69932349265581</v>
      </c>
      <c r="P211" s="180">
        <v>0.96347850618313</v>
      </c>
      <c r="Q211" s="180">
        <v>0.0356438577030283</v>
      </c>
      <c r="R211" s="180">
        <v>0.387130122577216</v>
      </c>
      <c r="S211" s="180">
        <v>0.0329670160348902</v>
      </c>
      <c r="T211" s="180">
        <v>6.88331137230594</v>
      </c>
      <c r="U211" s="180">
        <v>6.73275074185285</v>
      </c>
      <c r="V211" s="180">
        <v>0.505528787588907</v>
      </c>
      <c r="W211" s="180"/>
      <c r="X211" s="68"/>
      <c r="Y211" s="179"/>
      <c r="Z211" s="179"/>
      <c r="AA211" s="179"/>
      <c r="AB211" s="179"/>
      <c r="AC211" s="179"/>
      <c r="AD211" s="181"/>
      <c r="AE211" s="180"/>
    </row>
    <row r="212" ht="21.25" customHeight="1">
      <c r="A212" t="s" s="8">
        <v>465</v>
      </c>
      <c r="B212" t="s" s="177">
        <v>955</v>
      </c>
      <c r="C212" s="182">
        <v>30</v>
      </c>
      <c r="D212" t="s" s="177">
        <v>925</v>
      </c>
      <c r="E212" s="68">
        <v>77.77035714285709</v>
      </c>
      <c r="F212" s="179">
        <v>16.4145319497166</v>
      </c>
      <c r="G212" s="180">
        <v>0.272796729691746</v>
      </c>
      <c r="H212" s="180">
        <v>0.277830308836643</v>
      </c>
      <c r="I212" s="180">
        <v>0.550627038528389</v>
      </c>
      <c r="J212" s="180">
        <v>1.84713087824137</v>
      </c>
      <c r="K212" s="180">
        <v>0.0497900405226529</v>
      </c>
      <c r="L212" s="180">
        <v>0.0923742634319923</v>
      </c>
      <c r="M212" s="180">
        <v>0.0174967689048538</v>
      </c>
      <c r="N212" s="180">
        <v>0.0323316950976306</v>
      </c>
      <c r="O212" s="180">
        <v>0.390115727881615</v>
      </c>
      <c r="P212" s="180">
        <v>0.398646367289988</v>
      </c>
      <c r="Q212" s="180">
        <v>-0.046984640143504</v>
      </c>
      <c r="R212" s="180">
        <v>0.229963547778137</v>
      </c>
      <c r="S212" s="180">
        <v>0.0313914648746524</v>
      </c>
      <c r="T212" s="180">
        <v>0.118277264790735</v>
      </c>
      <c r="U212" s="180">
        <v>0.139410114067074</v>
      </c>
      <c r="V212" s="180">
        <v>0.458995179798852</v>
      </c>
      <c r="W212" s="180"/>
      <c r="X212" s="68"/>
      <c r="Y212" s="179"/>
      <c r="Z212" s="179"/>
      <c r="AA212" s="179"/>
      <c r="AB212" s="179"/>
      <c r="AC212" s="179"/>
      <c r="AD212" s="181"/>
      <c r="AE212" s="180"/>
    </row>
    <row r="213" ht="21.25" customHeight="1">
      <c r="A213" t="s" s="8">
        <v>484</v>
      </c>
      <c r="B213" t="s" s="177">
        <v>972</v>
      </c>
      <c r="C213" s="178">
        <v>31</v>
      </c>
      <c r="D213" t="s" s="177">
        <v>924</v>
      </c>
      <c r="E213" s="68">
        <v>80.7525</v>
      </c>
      <c r="F213" s="179">
        <v>17.2796189680724</v>
      </c>
      <c r="G213" s="180">
        <v>0.195284173706084</v>
      </c>
      <c r="H213" s="180">
        <v>0.352416303910346</v>
      </c>
      <c r="I213" s="180">
        <v>0.54770047761643</v>
      </c>
      <c r="J213" s="180">
        <v>1.74293382626573</v>
      </c>
      <c r="K213" s="180">
        <v>0.0116501038928325</v>
      </c>
      <c r="L213" s="180">
        <v>0.0247485732159693</v>
      </c>
      <c r="M213" s="180">
        <v>0.0125038767387388</v>
      </c>
      <c r="N213" s="180">
        <v>0.0269304286966834</v>
      </c>
      <c r="O213" s="180">
        <v>0.595508028778632</v>
      </c>
      <c r="P213" s="180">
        <v>1.30440226086887</v>
      </c>
      <c r="Q213" s="180">
        <v>0.0106253533224832</v>
      </c>
      <c r="R213" s="180">
        <v>0.655524066749867</v>
      </c>
      <c r="S213" s="180">
        <v>0.0274493340861206</v>
      </c>
      <c r="T213" s="180">
        <v>5.89925250888367</v>
      </c>
      <c r="U213" s="180">
        <v>6.03902980386874</v>
      </c>
      <c r="V213" s="180">
        <v>0.494145837260199</v>
      </c>
      <c r="W213" s="180"/>
      <c r="X213" s="68"/>
      <c r="Y213" s="179"/>
      <c r="Z213" s="179"/>
      <c r="AA213" s="179"/>
      <c r="AB213" s="179"/>
      <c r="AC213" s="179"/>
      <c r="AD213" s="181"/>
      <c r="AE213" s="180"/>
    </row>
    <row r="214" ht="21.25" customHeight="1">
      <c r="A214" t="s" s="8">
        <v>591</v>
      </c>
      <c r="B214" t="s" s="177">
        <v>967</v>
      </c>
      <c r="C214" s="182">
        <v>18</v>
      </c>
      <c r="D214" t="s" s="177">
        <v>924</v>
      </c>
      <c r="E214" s="68">
        <v>66</v>
      </c>
      <c r="F214" s="179">
        <v>13</v>
      </c>
      <c r="G214" s="180">
        <v>0.18889890046353</v>
      </c>
      <c r="H214" s="180">
        <v>0.356776849056402</v>
      </c>
      <c r="I214" s="180">
        <v>0.545675749519934</v>
      </c>
      <c r="J214" s="180">
        <v>1.65611751510543</v>
      </c>
      <c r="K214" s="180">
        <v>0.046008098704093</v>
      </c>
      <c r="L214" s="180">
        <v>0.132904446149437</v>
      </c>
      <c r="M214" s="180">
        <v>0</v>
      </c>
      <c r="N214" s="180">
        <v>0</v>
      </c>
      <c r="O214" s="180">
        <v>0.41219512195122</v>
      </c>
      <c r="P214" s="180">
        <v>0.48780487804878</v>
      </c>
      <c r="Q214" s="180">
        <v>-0.00378048780487805</v>
      </c>
      <c r="R214" s="180">
        <v>0.24390243902439</v>
      </c>
      <c r="S214" s="180">
        <v>0.0181084201438009</v>
      </c>
      <c r="T214" s="180">
        <v>1.09756097560976</v>
      </c>
      <c r="U214" s="180">
        <v>1.58536585365854</v>
      </c>
      <c r="V214" s="180">
        <v>0.41</v>
      </c>
      <c r="W214" s="180"/>
      <c r="X214" s="68"/>
      <c r="Y214" s="180"/>
      <c r="Z214" s="180"/>
      <c r="AA214" s="180"/>
      <c r="AB214" s="180"/>
      <c r="AC214" s="179"/>
      <c r="AD214" s="181"/>
      <c r="AE214" s="180"/>
    </row>
    <row r="215" ht="21.25" customHeight="1">
      <c r="A215" t="s" s="8">
        <v>296</v>
      </c>
      <c r="B215" t="s" s="177">
        <v>955</v>
      </c>
      <c r="C215" s="178">
        <v>32</v>
      </c>
      <c r="D215" t="s" s="177">
        <v>927</v>
      </c>
      <c r="E215" s="68">
        <v>76.23</v>
      </c>
      <c r="F215" s="179">
        <v>19.4676564384976</v>
      </c>
      <c r="G215" s="180">
        <v>0.09879177216663</v>
      </c>
      <c r="H215" s="180">
        <v>0.4460761071398</v>
      </c>
      <c r="I215" s="180">
        <v>0.54486787930643</v>
      </c>
      <c r="J215" s="180">
        <v>1.92087008063187</v>
      </c>
      <c r="K215" s="180">
        <v>0.0446343992356406</v>
      </c>
      <c r="L215" s="180">
        <v>0.237548364981923</v>
      </c>
      <c r="M215" s="180">
        <v>4.27373454038215e-05</v>
      </c>
      <c r="N215" s="180">
        <v>0.000162385998554898</v>
      </c>
      <c r="O215" s="180">
        <v>1.28702675742517</v>
      </c>
      <c r="P215" s="180">
        <v>0.892480575052963</v>
      </c>
      <c r="Q215" s="180">
        <v>-0.0525516793814344</v>
      </c>
      <c r="R215" s="180">
        <v>0.536761248282567</v>
      </c>
      <c r="S215" s="180">
        <v>0.0113682390891479</v>
      </c>
      <c r="T215" s="180">
        <v>0</v>
      </c>
      <c r="U215" s="180">
        <v>0</v>
      </c>
      <c r="V215" s="180">
        <v>0</v>
      </c>
      <c r="W215" s="180"/>
      <c r="X215" s="68"/>
      <c r="Y215" s="179"/>
      <c r="Z215" s="179"/>
      <c r="AA215" s="179"/>
      <c r="AB215" s="179"/>
      <c r="AC215" s="179"/>
      <c r="AD215" s="181"/>
      <c r="AE215" s="180"/>
    </row>
    <row r="216" ht="21.25" customHeight="1">
      <c r="A216" t="s" s="8">
        <v>438</v>
      </c>
      <c r="B216" t="s" s="177">
        <v>955</v>
      </c>
      <c r="C216" s="178">
        <v>31</v>
      </c>
      <c r="D216" t="s" s="177">
        <v>924</v>
      </c>
      <c r="E216" s="68">
        <v>77.36</v>
      </c>
      <c r="F216" s="179">
        <v>15.7061840258178</v>
      </c>
      <c r="G216" s="180">
        <v>0.185081893375888</v>
      </c>
      <c r="H216" s="180">
        <v>0.359683539960551</v>
      </c>
      <c r="I216" s="180">
        <v>0.544765433336439</v>
      </c>
      <c r="J216" s="180">
        <v>2.25928612043349</v>
      </c>
      <c r="K216" s="180">
        <v>0.0453468448068879</v>
      </c>
      <c r="L216" s="180">
        <v>0.126555381979279</v>
      </c>
      <c r="M216" s="180">
        <v>0.000294590262169326</v>
      </c>
      <c r="N216" s="180">
        <v>0.00137454287030455</v>
      </c>
      <c r="O216" s="180">
        <v>0.27209361737047</v>
      </c>
      <c r="P216" s="180">
        <v>0.686129826717041</v>
      </c>
      <c r="Q216" s="180">
        <v>-0.0519215625606598</v>
      </c>
      <c r="R216" s="180">
        <v>0.305134786613477</v>
      </c>
      <c r="S216" s="180">
        <v>0.0212978790523204</v>
      </c>
      <c r="T216" s="180">
        <v>3.73782235440045</v>
      </c>
      <c r="U216" s="180">
        <v>4.11849524189078</v>
      </c>
      <c r="V216" s="180">
        <v>0.475772817046625</v>
      </c>
      <c r="W216" s="180"/>
      <c r="X216" s="68"/>
      <c r="Y216" s="179"/>
      <c r="Z216" s="179"/>
      <c r="AA216" s="179"/>
      <c r="AB216" s="179"/>
      <c r="AC216" s="179"/>
      <c r="AD216" s="181"/>
      <c r="AE216" s="180"/>
    </row>
    <row r="217" ht="21.25" customHeight="1">
      <c r="A217" t="s" s="8">
        <v>439</v>
      </c>
      <c r="B217" t="s" s="177">
        <v>964</v>
      </c>
      <c r="C217" s="178">
        <v>25</v>
      </c>
      <c r="D217" t="s" s="177">
        <v>959</v>
      </c>
      <c r="E217" s="68">
        <v>80.59999999999999</v>
      </c>
      <c r="F217" s="179">
        <v>15.6219758546452</v>
      </c>
      <c r="G217" s="180">
        <v>0.245276699091957</v>
      </c>
      <c r="H217" s="180">
        <v>0.297691022563973</v>
      </c>
      <c r="I217" s="180">
        <v>0.54296772165593</v>
      </c>
      <c r="J217" s="180">
        <v>1.94337238989056</v>
      </c>
      <c r="K217" s="180">
        <v>0.0270549652843032</v>
      </c>
      <c r="L217" s="180">
        <v>0.0635587447693018</v>
      </c>
      <c r="M217" s="180">
        <v>0.0196018017763923</v>
      </c>
      <c r="N217" s="180">
        <v>0.0250638167140074</v>
      </c>
      <c r="O217" s="180">
        <v>0.289521731338685</v>
      </c>
      <c r="P217" s="180">
        <v>1.54467838171215</v>
      </c>
      <c r="Q217" s="180">
        <v>0.008677078918164089</v>
      </c>
      <c r="R217" s="180">
        <v>0.410228007315689</v>
      </c>
      <c r="S217" s="180">
        <v>0.0409853071989138</v>
      </c>
      <c r="T217" s="180">
        <v>0.661736866798076</v>
      </c>
      <c r="U217" s="180">
        <v>0.742631682669137</v>
      </c>
      <c r="V217" s="180">
        <v>0.471198865176185</v>
      </c>
      <c r="W217" s="180"/>
      <c r="X217" s="68"/>
      <c r="Y217" s="179"/>
      <c r="Z217" s="179"/>
      <c r="AA217" s="179"/>
      <c r="AB217" s="179"/>
      <c r="AC217" s="179"/>
      <c r="AD217" s="181"/>
      <c r="AE217" s="180"/>
    </row>
    <row r="218" ht="21.25" customHeight="1">
      <c r="A218" t="s" s="8">
        <v>433</v>
      </c>
      <c r="B218" t="s" s="177">
        <v>969</v>
      </c>
      <c r="C218" s="178">
        <v>26</v>
      </c>
      <c r="D218" t="s" s="177">
        <v>926</v>
      </c>
      <c r="E218" s="68">
        <v>74.5275</v>
      </c>
      <c r="F218" s="179">
        <v>12.7138915523403</v>
      </c>
      <c r="G218" s="180">
        <v>0.27405359383505</v>
      </c>
      <c r="H218" s="180">
        <v>0.26816446621592</v>
      </c>
      <c r="I218" s="180">
        <v>0.54221806005097</v>
      </c>
      <c r="J218" s="180">
        <v>2.24549509793293</v>
      </c>
      <c r="K218" s="180">
        <v>0.0563067860876933</v>
      </c>
      <c r="L218" s="180">
        <v>0.123470059152606</v>
      </c>
      <c r="M218" s="180">
        <v>1.75302530326889e-05</v>
      </c>
      <c r="N218" s="180">
        <v>3.20350926943927e-05</v>
      </c>
      <c r="O218" s="180">
        <v>0.279926591717089</v>
      </c>
      <c r="P218" s="180">
        <v>0.723993678090052</v>
      </c>
      <c r="Q218" s="180">
        <v>0.008204049217268659</v>
      </c>
      <c r="R218" s="180">
        <v>0.237374360420085</v>
      </c>
      <c r="S218" s="180">
        <v>0.0362671179680372</v>
      </c>
      <c r="T218" s="180">
        <v>0.0240465061874532</v>
      </c>
      <c r="U218" s="180">
        <v>0.06880614482282631</v>
      </c>
      <c r="V218" s="180">
        <v>0.258974901909812</v>
      </c>
      <c r="W218" s="180"/>
      <c r="X218" s="68"/>
      <c r="Y218" s="179"/>
      <c r="Z218" s="179"/>
      <c r="AA218" s="179"/>
      <c r="AB218" s="179"/>
      <c r="AC218" s="179"/>
      <c r="AD218" s="181"/>
      <c r="AE218" s="180"/>
    </row>
    <row r="219" ht="21.25" customHeight="1">
      <c r="A219" t="s" s="8">
        <v>466</v>
      </c>
      <c r="B219" t="s" s="177">
        <v>945</v>
      </c>
      <c r="C219" s="178">
        <v>28</v>
      </c>
      <c r="D219" t="s" s="177">
        <v>940</v>
      </c>
      <c r="E219" s="68">
        <v>80.0071428571429</v>
      </c>
      <c r="F219" s="179">
        <v>14.8002790723873</v>
      </c>
      <c r="G219" s="180">
        <v>0.185349191340337</v>
      </c>
      <c r="H219" s="180">
        <v>0.356687317136844</v>
      </c>
      <c r="I219" s="180">
        <v>0.54203650847718</v>
      </c>
      <c r="J219" s="180">
        <v>1.75216476598874</v>
      </c>
      <c r="K219" s="180">
        <v>0.0380656782150552</v>
      </c>
      <c r="L219" s="180">
        <v>0.10143399935484</v>
      </c>
      <c r="M219" s="180">
        <v>0.000163096305796798</v>
      </c>
      <c r="N219" s="180">
        <v>0.000301651857426568</v>
      </c>
      <c r="O219" s="180">
        <v>0.259790215175344</v>
      </c>
      <c r="P219" s="180">
        <v>0.372329343975076</v>
      </c>
      <c r="Q219" s="180">
        <v>0.0450343020123165</v>
      </c>
      <c r="R219" s="180">
        <v>0.595591290958787</v>
      </c>
      <c r="S219" s="180">
        <v>0.0297762983237568</v>
      </c>
      <c r="T219" s="180">
        <v>4.37036574134878</v>
      </c>
      <c r="U219" s="180">
        <v>4.33237759846361</v>
      </c>
      <c r="V219" s="180">
        <v>0.502182538390589</v>
      </c>
      <c r="W219" s="180"/>
      <c r="X219" s="68"/>
      <c r="Y219" s="179"/>
      <c r="Z219" s="179"/>
      <c r="AA219" s="179"/>
      <c r="AB219" s="179"/>
      <c r="AC219" s="179"/>
      <c r="AD219" s="181"/>
      <c r="AE219" s="180"/>
    </row>
    <row r="220" ht="21.25" customHeight="1">
      <c r="A220" t="s" s="8">
        <v>445</v>
      </c>
      <c r="B220" t="s" s="177">
        <v>969</v>
      </c>
      <c r="C220" s="178">
        <v>28</v>
      </c>
      <c r="D220" t="s" s="177">
        <v>944</v>
      </c>
      <c r="E220" s="68">
        <v>79.2085714285714</v>
      </c>
      <c r="F220" s="179">
        <v>18.2927089835242</v>
      </c>
      <c r="G220" s="180">
        <v>0.215235555810574</v>
      </c>
      <c r="H220" s="180">
        <v>0.325458107174433</v>
      </c>
      <c r="I220" s="180">
        <v>0.540693662985007</v>
      </c>
      <c r="J220" s="180">
        <v>1.65371251444455</v>
      </c>
      <c r="K220" s="180">
        <v>0.0397399773979846</v>
      </c>
      <c r="L220" s="180">
        <v>0.09391306386445721</v>
      </c>
      <c r="M220" s="180">
        <v>0.00521486275232915</v>
      </c>
      <c r="N220" s="180">
        <v>0.00641520761161874</v>
      </c>
      <c r="O220" s="180">
        <v>0.885645851080632</v>
      </c>
      <c r="P220" s="180">
        <v>0.508371353373272</v>
      </c>
      <c r="Q220" s="180">
        <v>-0.00963388603125954</v>
      </c>
      <c r="R220" s="180">
        <v>0.402338176541821</v>
      </c>
      <c r="S220" s="180">
        <v>0.0284833823350496</v>
      </c>
      <c r="T220" s="180">
        <v>8.29935544360729</v>
      </c>
      <c r="U220" s="180">
        <v>8.556479937942941</v>
      </c>
      <c r="V220" s="180">
        <v>0.492372834436403</v>
      </c>
      <c r="W220" s="180"/>
      <c r="X220" s="68"/>
      <c r="Y220" s="179"/>
      <c r="Z220" s="179"/>
      <c r="AA220" s="179"/>
      <c r="AB220" s="179"/>
      <c r="AC220" s="179"/>
      <c r="AD220" s="181"/>
      <c r="AE220" s="180"/>
    </row>
    <row r="221" ht="21.25" customHeight="1">
      <c r="A221" t="s" s="8">
        <v>589</v>
      </c>
      <c r="B221" t="s" s="177">
        <v>968</v>
      </c>
      <c r="C221" s="178">
        <v>22</v>
      </c>
      <c r="D221" t="s" s="177">
        <v>924</v>
      </c>
      <c r="E221" s="68">
        <v>71.59999999999999</v>
      </c>
      <c r="F221" s="179">
        <v>14.120485748556</v>
      </c>
      <c r="G221" s="180">
        <v>0.169218395024579</v>
      </c>
      <c r="H221" s="180">
        <v>0.370863180468266</v>
      </c>
      <c r="I221" s="180">
        <v>0.540081575492845</v>
      </c>
      <c r="J221" s="180">
        <v>1.24868178667438</v>
      </c>
      <c r="K221" s="180">
        <v>0.0303038674013724</v>
      </c>
      <c r="L221" s="180">
        <v>0.142072541959676</v>
      </c>
      <c r="M221" s="180">
        <v>0.000223533017101032</v>
      </c>
      <c r="N221" s="180">
        <v>0.000400248792314326</v>
      </c>
      <c r="O221" s="180">
        <v>0.408751190945985</v>
      </c>
      <c r="P221" s="180">
        <v>1.51191357224196</v>
      </c>
      <c r="Q221" s="180">
        <v>-0.0024052157956979</v>
      </c>
      <c r="R221" s="180">
        <v>0.341416376857512</v>
      </c>
      <c r="S221" s="180">
        <v>0.0247103114245746</v>
      </c>
      <c r="T221" s="180">
        <v>3.39329502484679</v>
      </c>
      <c r="U221" s="180">
        <v>3.41518725081355</v>
      </c>
      <c r="V221" s="180">
        <v>0.498392282958199</v>
      </c>
      <c r="W221" s="180"/>
      <c r="X221" s="68"/>
      <c r="Y221" s="179"/>
      <c r="Z221" s="179"/>
      <c r="AA221" s="179"/>
      <c r="AB221" s="179"/>
      <c r="AC221" s="179"/>
      <c r="AD221" s="181"/>
      <c r="AE221" s="180"/>
    </row>
    <row r="222" ht="21.25" customHeight="1">
      <c r="A222" t="s" s="8">
        <v>479</v>
      </c>
      <c r="B222" t="s" s="177">
        <v>942</v>
      </c>
      <c r="C222" s="178">
        <v>26</v>
      </c>
      <c r="D222" t="s" s="177">
        <v>924</v>
      </c>
      <c r="E222" s="68">
        <v>76.0664285714286</v>
      </c>
      <c r="F222" s="179">
        <v>17.3186885598455</v>
      </c>
      <c r="G222" s="180">
        <v>0.213810875676194</v>
      </c>
      <c r="H222" s="180">
        <v>0.324663922122004</v>
      </c>
      <c r="I222" s="180">
        <v>0.538474797798198</v>
      </c>
      <c r="J222" s="180">
        <v>1.90845674157184</v>
      </c>
      <c r="K222" s="180">
        <v>0.0321456306574145</v>
      </c>
      <c r="L222" s="180">
        <v>0.0829314036832776</v>
      </c>
      <c r="M222" s="180">
        <v>0.0269874293560801</v>
      </c>
      <c r="N222" s="180">
        <v>0.0284669060250354</v>
      </c>
      <c r="O222" s="180">
        <v>0.775554864494974</v>
      </c>
      <c r="P222" s="180">
        <v>0.774655814623135</v>
      </c>
      <c r="Q222" s="180">
        <v>0.00776427096670462</v>
      </c>
      <c r="R222" s="180">
        <v>0.450060499862891</v>
      </c>
      <c r="S222" s="180">
        <v>0.0334614797102585</v>
      </c>
      <c r="T222" s="180">
        <v>6.62337393746545</v>
      </c>
      <c r="U222" s="180">
        <v>6.95886213925865</v>
      </c>
      <c r="V222" s="180">
        <v>0.487649743389157</v>
      </c>
      <c r="W222" s="180"/>
      <c r="X222" s="68"/>
      <c r="Y222" s="179"/>
      <c r="Z222" s="179"/>
      <c r="AA222" s="179"/>
      <c r="AB222" s="179"/>
      <c r="AC222" s="179"/>
      <c r="AD222" s="181"/>
      <c r="AE222" s="180"/>
    </row>
    <row r="223" ht="21.25" customHeight="1">
      <c r="A223" t="s" s="8">
        <v>493</v>
      </c>
      <c r="B223" t="s" s="177">
        <v>970</v>
      </c>
      <c r="C223" s="178">
        <v>24</v>
      </c>
      <c r="D223" t="s" s="177">
        <v>924</v>
      </c>
      <c r="E223" s="68">
        <v>75.44</v>
      </c>
      <c r="F223" s="179">
        <v>16.1254938841505</v>
      </c>
      <c r="G223" s="180">
        <v>0.213016896597223</v>
      </c>
      <c r="H223" s="180">
        <v>0.325075068294971</v>
      </c>
      <c r="I223" s="180">
        <v>0.538091964892194</v>
      </c>
      <c r="J223" s="180">
        <v>1.89284538790552</v>
      </c>
      <c r="K223" s="180">
        <v>0.0244665130797327</v>
      </c>
      <c r="L223" s="180">
        <v>0.07903105558020621</v>
      </c>
      <c r="M223" s="180">
        <v>0.000970040241012226</v>
      </c>
      <c r="N223" s="180">
        <v>0.00176365780084889</v>
      </c>
      <c r="O223" s="180">
        <v>0.606254513472657</v>
      </c>
      <c r="P223" s="180">
        <v>0.99504506945597</v>
      </c>
      <c r="Q223" s="180">
        <v>-0.0672940368156898</v>
      </c>
      <c r="R223" s="180">
        <v>0.317612467973115</v>
      </c>
      <c r="S223" s="180">
        <v>0.0250392079531616</v>
      </c>
      <c r="T223" s="180">
        <v>5.32785726328429</v>
      </c>
      <c r="U223" s="180">
        <v>6.08259711480772</v>
      </c>
      <c r="V223" s="180">
        <v>0.466927703905792</v>
      </c>
      <c r="W223" s="180"/>
      <c r="X223" s="68"/>
      <c r="Y223" s="179"/>
      <c r="Z223" s="179"/>
      <c r="AA223" s="179"/>
      <c r="AB223" s="179"/>
      <c r="AC223" s="179"/>
      <c r="AD223" s="181"/>
      <c r="AE223" s="180"/>
    </row>
    <row r="224" ht="21.25" customHeight="1">
      <c r="A224" t="s" s="8">
        <v>414</v>
      </c>
      <c r="B224" t="s" s="177">
        <v>962</v>
      </c>
      <c r="C224" s="178">
        <v>28</v>
      </c>
      <c r="D224" t="s" s="177">
        <v>925</v>
      </c>
      <c r="E224" s="68">
        <v>77.81</v>
      </c>
      <c r="F224" s="179">
        <v>16.4818953580645</v>
      </c>
      <c r="G224" s="180">
        <v>0.192918204505715</v>
      </c>
      <c r="H224" s="180">
        <v>0.340028763789705</v>
      </c>
      <c r="I224" s="180">
        <v>0.53294696829542</v>
      </c>
      <c r="J224" s="180">
        <v>2.49113307824415</v>
      </c>
      <c r="K224" s="180">
        <v>0.033573287563277</v>
      </c>
      <c r="L224" s="180">
        <v>0.0973743434182512</v>
      </c>
      <c r="M224" s="180">
        <v>0.0300272392668127</v>
      </c>
      <c r="N224" s="180">
        <v>0.0418313539615351</v>
      </c>
      <c r="O224" s="180">
        <v>0.395654409719128</v>
      </c>
      <c r="P224" s="180">
        <v>0.970417013702266</v>
      </c>
      <c r="Q224" s="180">
        <v>0.00405972150053695</v>
      </c>
      <c r="R224" s="180">
        <v>0.295978239232451</v>
      </c>
      <c r="S224" s="180">
        <v>0.028563673024477</v>
      </c>
      <c r="T224" s="180">
        <v>0.238269855213088</v>
      </c>
      <c r="U224" s="180">
        <v>0.391016387958295</v>
      </c>
      <c r="V224" s="180">
        <v>0.378635093009965</v>
      </c>
      <c r="W224" s="180"/>
      <c r="X224" s="68"/>
      <c r="Y224" s="179"/>
      <c r="Z224" s="179"/>
      <c r="AA224" s="179"/>
      <c r="AB224" s="179"/>
      <c r="AC224" s="179"/>
      <c r="AD224" s="181"/>
      <c r="AE224" s="180"/>
    </row>
    <row r="225" ht="21.25" customHeight="1">
      <c r="A225" t="s" s="8">
        <v>327</v>
      </c>
      <c r="B225" t="s" s="177">
        <v>943</v>
      </c>
      <c r="C225" s="178">
        <v>27</v>
      </c>
      <c r="D225" t="s" s="177">
        <v>927</v>
      </c>
      <c r="E225" s="68">
        <v>65</v>
      </c>
      <c r="F225" s="179">
        <v>21.5985636537594</v>
      </c>
      <c r="G225" s="180">
        <v>0.172324890637482</v>
      </c>
      <c r="H225" s="180">
        <v>0.359412459679546</v>
      </c>
      <c r="I225" s="180">
        <v>0.531737350317028</v>
      </c>
      <c r="J225" s="180">
        <v>2.4816682432173</v>
      </c>
      <c r="K225" s="180">
        <v>0.0519162947457541</v>
      </c>
      <c r="L225" s="180">
        <v>0.154480790184549</v>
      </c>
      <c r="M225" s="180">
        <v>0.00651708133141366</v>
      </c>
      <c r="N225" s="180">
        <v>0.0186457690607251</v>
      </c>
      <c r="O225" s="180">
        <v>1.19525709374637</v>
      </c>
      <c r="P225" s="180">
        <v>1.11069842461909</v>
      </c>
      <c r="Q225" s="180">
        <v>0.0319484621699965</v>
      </c>
      <c r="R225" s="180">
        <v>0.621140296967667</v>
      </c>
      <c r="S225" s="180">
        <v>0.0247203986320516</v>
      </c>
      <c r="T225" s="180">
        <v>0</v>
      </c>
      <c r="U225" s="180">
        <v>0</v>
      </c>
      <c r="V225" s="180">
        <v>0</v>
      </c>
      <c r="W225" s="180"/>
      <c r="X225" s="68"/>
      <c r="Y225" s="179"/>
      <c r="Z225" s="179"/>
      <c r="AA225" s="179"/>
      <c r="AB225" s="179"/>
      <c r="AC225" s="179"/>
      <c r="AD225" s="181"/>
      <c r="AE225" s="180"/>
    </row>
    <row r="226" ht="21.25" customHeight="1">
      <c r="A226" t="s" s="8">
        <v>573</v>
      </c>
      <c r="B226" t="s" s="177">
        <v>973</v>
      </c>
      <c r="C226" s="178">
        <v>24</v>
      </c>
      <c r="D226" t="s" s="177">
        <v>925</v>
      </c>
      <c r="E226" s="68">
        <v>67.035</v>
      </c>
      <c r="F226" s="179">
        <v>15.5307984366531</v>
      </c>
      <c r="G226" s="180">
        <v>0.308236755125828</v>
      </c>
      <c r="H226" s="180">
        <v>0.221932389849196</v>
      </c>
      <c r="I226" s="180">
        <v>0.530169144975024</v>
      </c>
      <c r="J226" s="180">
        <v>1.61446421376089</v>
      </c>
      <c r="K226" s="180">
        <v>0.0539466100808482</v>
      </c>
      <c r="L226" s="180">
        <v>0.08069621595461821</v>
      </c>
      <c r="M226" s="180">
        <v>0.0160542497735033</v>
      </c>
      <c r="N226" s="180">
        <v>0.0186439612847399</v>
      </c>
      <c r="O226" s="180">
        <v>1.1733278740038</v>
      </c>
      <c r="P226" s="180">
        <v>1.48797015826971</v>
      </c>
      <c r="Q226" s="180">
        <v>-0.0698933647163499</v>
      </c>
      <c r="R226" s="180">
        <v>0.31652925643714</v>
      </c>
      <c r="S226" s="180">
        <v>0.031576424987401</v>
      </c>
      <c r="T226" s="180">
        <v>0</v>
      </c>
      <c r="U226" s="180">
        <v>0.0313939338773728</v>
      </c>
      <c r="V226" s="180">
        <v>0</v>
      </c>
      <c r="W226" s="180"/>
      <c r="X226" s="68"/>
      <c r="Y226" s="179"/>
      <c r="Z226" s="179"/>
      <c r="AA226" s="179"/>
      <c r="AB226" s="179"/>
      <c r="AC226" s="179"/>
      <c r="AD226" s="181"/>
      <c r="AE226" s="180"/>
    </row>
    <row r="227" ht="21.25" customHeight="1">
      <c r="A227" t="s" s="8">
        <v>455</v>
      </c>
      <c r="B227" t="s" s="177">
        <v>970</v>
      </c>
      <c r="C227" s="178">
        <v>29</v>
      </c>
      <c r="D227" t="s" s="177">
        <v>924</v>
      </c>
      <c r="E227" s="68">
        <v>78.8182142857143</v>
      </c>
      <c r="F227" s="179">
        <v>17.6532902225098</v>
      </c>
      <c r="G227" s="180">
        <v>0.214774830373373</v>
      </c>
      <c r="H227" s="180">
        <v>0.310331103708628</v>
      </c>
      <c r="I227" s="180">
        <v>0.525105934082001</v>
      </c>
      <c r="J227" s="180">
        <v>2.05822064613749</v>
      </c>
      <c r="K227" s="180">
        <v>0.0486813067075906</v>
      </c>
      <c r="L227" s="180">
        <v>0.09322132353118399</v>
      </c>
      <c r="M227" s="180">
        <v>0.0295198740945888</v>
      </c>
      <c r="N227" s="180">
        <v>0.056490298307675</v>
      </c>
      <c r="O227" s="180">
        <v>0.6826066645578041</v>
      </c>
      <c r="P227" s="180">
        <v>1.93106187349154</v>
      </c>
      <c r="Q227" s="180">
        <v>-0.0758998688842262</v>
      </c>
      <c r="R227" s="180">
        <v>0.522062200507644</v>
      </c>
      <c r="S227" s="180">
        <v>0.0252458454081807</v>
      </c>
      <c r="T227" s="180">
        <v>6.27157829531765</v>
      </c>
      <c r="U227" s="180">
        <v>6.58119296453024</v>
      </c>
      <c r="V227" s="180">
        <v>0.487955334186183</v>
      </c>
      <c r="W227" s="180"/>
      <c r="X227" s="68"/>
      <c r="Y227" s="179"/>
      <c r="Z227" s="179"/>
      <c r="AA227" s="179"/>
      <c r="AB227" s="179"/>
      <c r="AC227" s="179"/>
      <c r="AD227" s="181"/>
      <c r="AE227" s="180"/>
    </row>
    <row r="228" ht="21.25" customHeight="1">
      <c r="A228" t="s" s="8">
        <v>699</v>
      </c>
      <c r="B228" t="s" s="177">
        <v>951</v>
      </c>
      <c r="C228" s="178">
        <v>21</v>
      </c>
      <c r="D228" t="s" s="177">
        <v>926</v>
      </c>
      <c r="E228" s="68">
        <v>50</v>
      </c>
      <c r="F228" s="179">
        <v>14.0614844163012</v>
      </c>
      <c r="G228" s="180">
        <v>0.209334123772462</v>
      </c>
      <c r="H228" s="180">
        <v>0.314998761483752</v>
      </c>
      <c r="I228" s="180">
        <v>0.524332885256215</v>
      </c>
      <c r="J228" s="180">
        <v>1.8205275199122</v>
      </c>
      <c r="K228" s="180">
        <v>0.026628022739753</v>
      </c>
      <c r="L228" s="180">
        <v>0.08073138752910219</v>
      </c>
      <c r="M228" s="180">
        <v>0.000692276056124756</v>
      </c>
      <c r="N228" s="180">
        <v>0.00451358892117037</v>
      </c>
      <c r="O228" s="180">
        <v>0.312891891196266</v>
      </c>
      <c r="P228" s="180">
        <v>0.723716512285883</v>
      </c>
      <c r="Q228" s="180">
        <v>-0.0104962653927523</v>
      </c>
      <c r="R228" s="180">
        <v>0.252711956831583</v>
      </c>
      <c r="S228" s="180">
        <v>0.0267987570201362</v>
      </c>
      <c r="T228" s="180">
        <v>0.144627911630882</v>
      </c>
      <c r="U228" s="180">
        <v>0.299565054213988</v>
      </c>
      <c r="V228" s="180">
        <v>0.325597032712561</v>
      </c>
      <c r="W228" s="180"/>
      <c r="X228" s="68"/>
      <c r="Y228" s="179"/>
      <c r="Z228" s="179"/>
      <c r="AA228" s="179"/>
      <c r="AB228" s="179"/>
      <c r="AC228" s="179"/>
      <c r="AD228" s="181"/>
      <c r="AE228" s="180"/>
    </row>
    <row r="229" ht="21.25" customHeight="1">
      <c r="A229" t="s" s="8">
        <v>513</v>
      </c>
      <c r="B229" t="s" s="177">
        <v>968</v>
      </c>
      <c r="C229" s="178">
        <v>33</v>
      </c>
      <c r="D229" t="s" s="177">
        <v>925</v>
      </c>
      <c r="E229" s="68">
        <v>75.0275</v>
      </c>
      <c r="F229" s="179">
        <v>16.6429271501802</v>
      </c>
      <c r="G229" s="180">
        <v>0.188178071265084</v>
      </c>
      <c r="H229" s="180">
        <v>0.33609912291346</v>
      </c>
      <c r="I229" s="180">
        <v>0.524277194178544</v>
      </c>
      <c r="J229" s="180">
        <v>1.7791572619796</v>
      </c>
      <c r="K229" s="180">
        <v>0.0246028458732285</v>
      </c>
      <c r="L229" s="180">
        <v>0.0704722493248129</v>
      </c>
      <c r="M229" s="180">
        <v>0.0210108205920859</v>
      </c>
      <c r="N229" s="180">
        <v>0.0229069057161067</v>
      </c>
      <c r="O229" s="180">
        <v>0.547127947546455</v>
      </c>
      <c r="P229" s="180">
        <v>0.693495508527433</v>
      </c>
      <c r="Q229" s="180">
        <v>-0.0235031654425623</v>
      </c>
      <c r="R229" s="180">
        <v>0.323556715439445</v>
      </c>
      <c r="S229" s="180">
        <v>0.0274789200285265</v>
      </c>
      <c r="T229" s="180">
        <v>0.240554305184735</v>
      </c>
      <c r="U229" s="180">
        <v>0.289001108216865</v>
      </c>
      <c r="V229" s="180">
        <v>0.45425709774079</v>
      </c>
      <c r="W229" s="180"/>
      <c r="X229" s="68"/>
      <c r="Y229" s="179"/>
      <c r="Z229" s="179"/>
      <c r="AA229" s="179"/>
      <c r="AB229" s="179"/>
      <c r="AC229" s="179"/>
      <c r="AD229" s="181"/>
      <c r="AE229" s="180"/>
    </row>
    <row r="230" ht="21.25" customHeight="1">
      <c r="A230" t="s" s="8">
        <v>498</v>
      </c>
      <c r="B230" t="s" s="177">
        <v>960</v>
      </c>
      <c r="C230" s="178">
        <v>29</v>
      </c>
      <c r="D230" t="s" s="177">
        <v>924</v>
      </c>
      <c r="E230" s="68">
        <v>73.1096428571429</v>
      </c>
      <c r="F230" s="179">
        <v>16.100251273948</v>
      </c>
      <c r="G230" s="180">
        <v>0.25860912337761</v>
      </c>
      <c r="H230" s="180">
        <v>0.265044487236918</v>
      </c>
      <c r="I230" s="180">
        <v>0.523653610614528</v>
      </c>
      <c r="J230" s="180">
        <v>2.16530457428502</v>
      </c>
      <c r="K230" s="180">
        <v>0.0290098729901965</v>
      </c>
      <c r="L230" s="180">
        <v>0.0756477140039057</v>
      </c>
      <c r="M230" s="180">
        <v>0.0013527425212111</v>
      </c>
      <c r="N230" s="180">
        <v>0.00247729657095884</v>
      </c>
      <c r="O230" s="180">
        <v>0.513805515197105</v>
      </c>
      <c r="P230" s="180">
        <v>0.56913444851865</v>
      </c>
      <c r="Q230" s="180">
        <v>-0.0899661927049978</v>
      </c>
      <c r="R230" s="180">
        <v>0.355052437797765</v>
      </c>
      <c r="S230" s="180">
        <v>0.0303042184263317</v>
      </c>
      <c r="T230" s="180">
        <v>1.13867222851499</v>
      </c>
      <c r="U230" s="180">
        <v>0.745888061288962</v>
      </c>
      <c r="V230" s="180">
        <v>0.604211090871199</v>
      </c>
      <c r="W230" s="180"/>
      <c r="X230" s="68"/>
      <c r="Y230" s="179"/>
      <c r="Z230" s="179"/>
      <c r="AA230" s="179"/>
      <c r="AB230" s="179"/>
      <c r="AC230" s="179"/>
      <c r="AD230" s="181"/>
      <c r="AE230" s="180"/>
    </row>
    <row r="231" ht="21.25" customHeight="1">
      <c r="A231" t="s" s="8">
        <v>527</v>
      </c>
      <c r="B231" t="s" s="177">
        <v>969</v>
      </c>
      <c r="C231" s="178">
        <v>29</v>
      </c>
      <c r="D231" t="s" s="177">
        <v>924</v>
      </c>
      <c r="E231" s="68">
        <v>80.5085714285714</v>
      </c>
      <c r="F231" s="179">
        <v>16.8587166080839</v>
      </c>
      <c r="G231" s="180">
        <v>0.161722526011043</v>
      </c>
      <c r="H231" s="180">
        <v>0.358432709540866</v>
      </c>
      <c r="I231" s="180">
        <v>0.520155235551909</v>
      </c>
      <c r="J231" s="180">
        <v>1.6033651425109</v>
      </c>
      <c r="K231" s="180">
        <v>0.0131275352997427</v>
      </c>
      <c r="L231" s="180">
        <v>0.0383105964983195</v>
      </c>
      <c r="M231" s="180">
        <v>0.0107905052802282</v>
      </c>
      <c r="N231" s="180">
        <v>0.0180768483776066</v>
      </c>
      <c r="O231" s="180">
        <v>0.549281219990477</v>
      </c>
      <c r="P231" s="180">
        <v>0.518340114525951</v>
      </c>
      <c r="Q231" s="180">
        <v>-0.0258169611541863</v>
      </c>
      <c r="R231" s="180">
        <v>0.289374237544473</v>
      </c>
      <c r="S231" s="180">
        <v>0.0214016895266904</v>
      </c>
      <c r="T231" s="180">
        <v>6.55813049517821</v>
      </c>
      <c r="U231" s="180">
        <v>6.15367802518854</v>
      </c>
      <c r="V231" s="180">
        <v>0.515908533759837</v>
      </c>
      <c r="W231" s="180"/>
      <c r="X231" s="68"/>
      <c r="Y231" s="179"/>
      <c r="Z231" s="179"/>
      <c r="AA231" s="179"/>
      <c r="AB231" s="179"/>
      <c r="AC231" s="179"/>
      <c r="AD231" s="181"/>
      <c r="AE231" s="180"/>
    </row>
    <row r="232" ht="21.25" customHeight="1">
      <c r="A232" t="s" s="8">
        <v>569</v>
      </c>
      <c r="B232" t="s" s="177">
        <v>941</v>
      </c>
      <c r="C232" s="178">
        <v>31</v>
      </c>
      <c r="D232" t="s" s="177">
        <v>924</v>
      </c>
      <c r="E232" s="68">
        <v>75.6535714285714</v>
      </c>
      <c r="F232" s="179">
        <v>15.5686443610311</v>
      </c>
      <c r="G232" s="180">
        <v>0.203621766062494</v>
      </c>
      <c r="H232" s="180">
        <v>0.316417322315229</v>
      </c>
      <c r="I232" s="180">
        <v>0.5200390883777229</v>
      </c>
      <c r="J232" s="180">
        <v>1.42092575804378</v>
      </c>
      <c r="K232" s="180">
        <v>0.0471950529561674</v>
      </c>
      <c r="L232" s="180">
        <v>0.105633485534988</v>
      </c>
      <c r="M232" s="180">
        <v>0.000176651091116352</v>
      </c>
      <c r="N232" s="180">
        <v>0.000328152146894516</v>
      </c>
      <c r="O232" s="180">
        <v>0.404805815670399</v>
      </c>
      <c r="P232" s="180">
        <v>0.942060391673916</v>
      </c>
      <c r="Q232" s="180">
        <v>0.0469207816147687</v>
      </c>
      <c r="R232" s="180">
        <v>0.532405968595702</v>
      </c>
      <c r="S232" s="180">
        <v>0.0322160313072707</v>
      </c>
      <c r="T232" s="180">
        <v>8.42428201535826</v>
      </c>
      <c r="U232" s="180">
        <v>6.97094801909367</v>
      </c>
      <c r="V232" s="180">
        <v>0.547200788588812</v>
      </c>
      <c r="W232" s="180"/>
      <c r="X232" s="68"/>
      <c r="Y232" s="179"/>
      <c r="Z232" s="179"/>
      <c r="AA232" s="179"/>
      <c r="AB232" s="179"/>
      <c r="AC232" s="179"/>
      <c r="AD232" s="181"/>
      <c r="AE232" s="180"/>
    </row>
    <row r="233" ht="21.25" customHeight="1">
      <c r="A233" t="s" s="8">
        <v>474</v>
      </c>
      <c r="B233" t="s" s="177">
        <v>950</v>
      </c>
      <c r="C233" s="178">
        <v>21</v>
      </c>
      <c r="D233" t="s" s="177">
        <v>925</v>
      </c>
      <c r="E233" s="68">
        <v>81.44</v>
      </c>
      <c r="F233" s="179">
        <v>15.3390751224217</v>
      </c>
      <c r="G233" s="180">
        <v>0.246767518569991</v>
      </c>
      <c r="H233" s="180">
        <v>0.27152461457207</v>
      </c>
      <c r="I233" s="180">
        <v>0.518292133142061</v>
      </c>
      <c r="J233" s="180">
        <v>1.65205267315445</v>
      </c>
      <c r="K233" s="180">
        <v>0.0287627644862013</v>
      </c>
      <c r="L233" s="180">
        <v>0.0568107905359406</v>
      </c>
      <c r="M233" s="180">
        <v>0.000228341294663333</v>
      </c>
      <c r="N233" s="180">
        <v>0.000418346284615095</v>
      </c>
      <c r="O233" s="180">
        <v>0.353121536917028</v>
      </c>
      <c r="P233" s="180">
        <v>1.55402653828045</v>
      </c>
      <c r="Q233" s="180">
        <v>0.0510424184482244</v>
      </c>
      <c r="R233" s="180">
        <v>0.395647473592668</v>
      </c>
      <c r="S233" s="180">
        <v>0.0420487243572093</v>
      </c>
      <c r="T233" s="180">
        <v>0.306003641012627</v>
      </c>
      <c r="U233" s="180">
        <v>0.567387236852501</v>
      </c>
      <c r="V233" s="180">
        <v>0.350362762845207</v>
      </c>
      <c r="W233" s="180"/>
      <c r="X233" s="68"/>
      <c r="Y233" s="179"/>
      <c r="Z233" s="179"/>
      <c r="AA233" s="179"/>
      <c r="AB233" s="179"/>
      <c r="AC233" s="179"/>
      <c r="AD233" s="181"/>
      <c r="AE233" s="180"/>
    </row>
    <row r="234" ht="21.25" customHeight="1">
      <c r="A234" t="s" s="8">
        <v>521</v>
      </c>
      <c r="B234" t="s" s="177">
        <v>972</v>
      </c>
      <c r="C234" s="178">
        <v>31</v>
      </c>
      <c r="D234" t="s" s="177">
        <v>940</v>
      </c>
      <c r="E234" s="68">
        <v>69.8</v>
      </c>
      <c r="F234" s="179">
        <v>16.2145269509506</v>
      </c>
      <c r="G234" s="180">
        <v>0.232242336886646</v>
      </c>
      <c r="H234" s="180">
        <v>0.283040404056287</v>
      </c>
      <c r="I234" s="180">
        <v>0.515282740942933</v>
      </c>
      <c r="J234" s="180">
        <v>2.14551878447229</v>
      </c>
      <c r="K234" s="180">
        <v>0.0491160783578911</v>
      </c>
      <c r="L234" s="180">
        <v>0.093953029296591</v>
      </c>
      <c r="M234" s="180">
        <v>0.000807474009260766</v>
      </c>
      <c r="N234" s="180">
        <v>0.00148722755410548</v>
      </c>
      <c r="O234" s="180">
        <v>0.35284856927161</v>
      </c>
      <c r="P234" s="180">
        <v>0.801115728186278</v>
      </c>
      <c r="Q234" s="180">
        <v>-0.0186586657502298</v>
      </c>
      <c r="R234" s="180">
        <v>0.347306266632206</v>
      </c>
      <c r="S234" s="180">
        <v>0.0326442095801249</v>
      </c>
      <c r="T234" s="180">
        <v>0.859744432229638</v>
      </c>
      <c r="U234" s="180">
        <v>0.916400499791</v>
      </c>
      <c r="V234" s="180">
        <v>0.48405083207458</v>
      </c>
      <c r="W234" s="180"/>
      <c r="X234" s="68"/>
      <c r="Y234" s="179"/>
      <c r="Z234" s="179"/>
      <c r="AA234" s="179"/>
      <c r="AB234" s="179"/>
      <c r="AC234" s="179"/>
      <c r="AD234" s="181"/>
      <c r="AE234" s="180"/>
    </row>
    <row r="235" ht="21.25" customHeight="1">
      <c r="A235" t="s" s="8">
        <v>303</v>
      </c>
      <c r="B235" t="s" s="177">
        <v>943</v>
      </c>
      <c r="C235" s="178">
        <v>27</v>
      </c>
      <c r="D235" t="s" s="177">
        <v>927</v>
      </c>
      <c r="E235" s="68">
        <v>78.6139285714286</v>
      </c>
      <c r="F235" s="179">
        <v>22.8852388338415</v>
      </c>
      <c r="G235" s="180">
        <v>0.143744829246748</v>
      </c>
      <c r="H235" s="180">
        <v>0.370627218452435</v>
      </c>
      <c r="I235" s="180">
        <v>0.514372047699183</v>
      </c>
      <c r="J235" s="180">
        <v>2.38936671029227</v>
      </c>
      <c r="K235" s="180">
        <v>0.0112527958075725</v>
      </c>
      <c r="L235" s="180">
        <v>0.0569739559291332</v>
      </c>
      <c r="M235" s="180">
        <v>0.000305291540319376</v>
      </c>
      <c r="N235" s="180">
        <v>0.0138151986333599</v>
      </c>
      <c r="O235" s="180">
        <v>1.3276318601989</v>
      </c>
      <c r="P235" s="180">
        <v>0.864538675006388</v>
      </c>
      <c r="Q235" s="180">
        <v>0.0580441973153341</v>
      </c>
      <c r="R235" s="180">
        <v>0.426094676162141</v>
      </c>
      <c r="S235" s="180">
        <v>0.0206205236349234</v>
      </c>
      <c r="T235" s="180">
        <v>0</v>
      </c>
      <c r="U235" s="180">
        <v>0</v>
      </c>
      <c r="V235" s="180">
        <v>0</v>
      </c>
      <c r="W235" s="180"/>
      <c r="X235" s="68"/>
      <c r="Y235" s="179"/>
      <c r="Z235" s="179"/>
      <c r="AA235" s="179"/>
      <c r="AB235" s="179"/>
      <c r="AC235" s="179"/>
      <c r="AD235" s="181"/>
      <c r="AE235" s="180"/>
    </row>
    <row r="236" ht="21.25" customHeight="1">
      <c r="A236" t="s" s="8">
        <v>293</v>
      </c>
      <c r="B236" t="s" s="177">
        <v>964</v>
      </c>
      <c r="C236" s="178">
        <v>26</v>
      </c>
      <c r="D236" t="s" s="177">
        <v>927</v>
      </c>
      <c r="E236" s="68">
        <v>79.8</v>
      </c>
      <c r="F236" s="179">
        <v>22.3839581771304</v>
      </c>
      <c r="G236" s="180">
        <v>0.10408891996491</v>
      </c>
      <c r="H236" s="180">
        <v>0.409398934676444</v>
      </c>
      <c r="I236" s="180">
        <v>0.513487854641354</v>
      </c>
      <c r="J236" s="180">
        <v>2.19488194124676</v>
      </c>
      <c r="K236" s="180">
        <v>0.0140176998964585</v>
      </c>
      <c r="L236" s="180">
        <v>0.134688141883432</v>
      </c>
      <c r="M236" s="180">
        <v>0.000311631239319584</v>
      </c>
      <c r="N236" s="180">
        <v>0.007835561358209521</v>
      </c>
      <c r="O236" s="180">
        <v>1.48714947775796</v>
      </c>
      <c r="P236" s="180">
        <v>1.03013374631723</v>
      </c>
      <c r="Q236" s="180">
        <v>0.041489929190876</v>
      </c>
      <c r="R236" s="180">
        <v>0.381323182954443</v>
      </c>
      <c r="S236" s="180">
        <v>0.0173930763768374</v>
      </c>
      <c r="T236" s="180">
        <v>0</v>
      </c>
      <c r="U236" s="180">
        <v>0</v>
      </c>
      <c r="V236" s="180">
        <v>0</v>
      </c>
      <c r="W236" s="180"/>
      <c r="X236" s="68"/>
      <c r="Y236" s="179"/>
      <c r="Z236" s="179"/>
      <c r="AA236" s="179"/>
      <c r="AB236" s="179"/>
      <c r="AC236" s="179"/>
      <c r="AD236" s="181"/>
      <c r="AE236" s="180"/>
    </row>
    <row r="237" ht="21.25" customHeight="1">
      <c r="A237" t="s" s="8">
        <v>477</v>
      </c>
      <c r="B237" t="s" s="177">
        <v>967</v>
      </c>
      <c r="C237" s="178">
        <v>30</v>
      </c>
      <c r="D237" t="s" s="177">
        <v>944</v>
      </c>
      <c r="E237" s="68">
        <v>80.93000000000001</v>
      </c>
      <c r="F237" s="179">
        <v>15.1524375967013</v>
      </c>
      <c r="G237" s="180">
        <v>0.182859038477435</v>
      </c>
      <c r="H237" s="180">
        <v>0.327918976092057</v>
      </c>
      <c r="I237" s="180">
        <v>0.510778014569493</v>
      </c>
      <c r="J237" s="180">
        <v>1.58367725560928</v>
      </c>
      <c r="K237" s="180">
        <v>0.0278323893925789</v>
      </c>
      <c r="L237" s="180">
        <v>0.0913768597142416</v>
      </c>
      <c r="M237" s="180">
        <v>0.00153603182711884</v>
      </c>
      <c r="N237" s="180">
        <v>0.00332580508566961</v>
      </c>
      <c r="O237" s="180">
        <v>0.271706371591079</v>
      </c>
      <c r="P237" s="180">
        <v>0.444909493875421</v>
      </c>
      <c r="Q237" s="180">
        <v>-0.116317903474774</v>
      </c>
      <c r="R237" s="180">
        <v>0.612246720955967</v>
      </c>
      <c r="S237" s="180">
        <v>0.0175294206991963</v>
      </c>
      <c r="T237" s="180">
        <v>4.36988480389255</v>
      </c>
      <c r="U237" s="180">
        <v>5.58690017409696</v>
      </c>
      <c r="V237" s="180">
        <v>0.438885123416105</v>
      </c>
      <c r="W237" s="180"/>
      <c r="X237" s="68"/>
      <c r="Y237" s="179"/>
      <c r="Z237" s="179"/>
      <c r="AA237" s="179"/>
      <c r="AB237" s="179"/>
      <c r="AC237" s="179"/>
      <c r="AD237" s="181"/>
      <c r="AE237" s="180"/>
    </row>
    <row r="238" ht="21.25" customHeight="1">
      <c r="A238" t="s" s="8">
        <v>318</v>
      </c>
      <c r="B238" t="s" s="177">
        <v>947</v>
      </c>
      <c r="C238" s="182">
        <v>20</v>
      </c>
      <c r="D238" t="s" s="177">
        <v>927</v>
      </c>
      <c r="E238" s="68">
        <v>77</v>
      </c>
      <c r="F238" s="179">
        <v>21</v>
      </c>
      <c r="G238" s="180">
        <v>0.107053416929472</v>
      </c>
      <c r="H238" s="180">
        <v>0.403238625811105</v>
      </c>
      <c r="I238" s="180">
        <v>0.510292042740577</v>
      </c>
      <c r="J238" s="180">
        <v>1.85549131494759</v>
      </c>
      <c r="K238" s="180">
        <v>0.0249125899188965</v>
      </c>
      <c r="L238" s="180">
        <v>0.118750963437694</v>
      </c>
      <c r="M238" s="180">
        <v>0</v>
      </c>
      <c r="N238" s="180">
        <v>0</v>
      </c>
      <c r="O238" s="180">
        <v>1.34024390243902</v>
      </c>
      <c r="P238" s="180">
        <v>1.35992364999904</v>
      </c>
      <c r="Q238" s="180">
        <v>0.0118292682926829</v>
      </c>
      <c r="R238" s="180">
        <v>0.500990760452273</v>
      </c>
      <c r="S238" s="180">
        <v>0.0157344950790361</v>
      </c>
      <c r="T238" s="180">
        <v>0</v>
      </c>
      <c r="U238" s="180">
        <v>0</v>
      </c>
      <c r="V238" s="180">
        <v>0</v>
      </c>
      <c r="W238" s="180"/>
      <c r="X238" s="68"/>
      <c r="Y238" s="180"/>
      <c r="Z238" s="180"/>
      <c r="AA238" s="180"/>
      <c r="AB238" s="180"/>
      <c r="AC238" s="179"/>
      <c r="AD238" s="181"/>
      <c r="AE238" s="180"/>
    </row>
    <row r="239" ht="21.25" customHeight="1">
      <c r="A239" t="s" s="8">
        <v>463</v>
      </c>
      <c r="B239" t="s" s="177">
        <v>957</v>
      </c>
      <c r="C239" s="178">
        <v>26</v>
      </c>
      <c r="D239" t="s" s="177">
        <v>944</v>
      </c>
      <c r="E239" s="68">
        <v>78.0728571428571</v>
      </c>
      <c r="F239" s="179">
        <v>16.7469938562724</v>
      </c>
      <c r="G239" s="180">
        <v>0.259393566879057</v>
      </c>
      <c r="H239" s="180">
        <v>0.250709504843713</v>
      </c>
      <c r="I239" s="180">
        <v>0.510103071722771</v>
      </c>
      <c r="J239" s="180">
        <v>1.85849286171724</v>
      </c>
      <c r="K239" s="180">
        <v>0.0463977871091534</v>
      </c>
      <c r="L239" s="180">
        <v>0.0785172718828477</v>
      </c>
      <c r="M239" s="180">
        <v>0.00546645700663471</v>
      </c>
      <c r="N239" s="180">
        <v>0.00669498188296879</v>
      </c>
      <c r="O239" s="180">
        <v>0.66398898523673</v>
      </c>
      <c r="P239" s="180">
        <v>2.35448876644211</v>
      </c>
      <c r="Q239" s="180">
        <v>-0.0344353683966617</v>
      </c>
      <c r="R239" s="180">
        <v>0.538105658373261</v>
      </c>
      <c r="S239" s="180">
        <v>0.0327345856559332</v>
      </c>
      <c r="T239" s="180">
        <v>0.374406724989916</v>
      </c>
      <c r="U239" s="180">
        <v>0.589246892101448</v>
      </c>
      <c r="V239" s="180">
        <v>0.388528324233352</v>
      </c>
      <c r="W239" s="180"/>
      <c r="X239" s="68"/>
      <c r="Y239" s="179"/>
      <c r="Z239" s="179"/>
      <c r="AA239" s="179"/>
      <c r="AB239" s="179"/>
      <c r="AC239" s="179"/>
      <c r="AD239" s="181"/>
      <c r="AE239" s="180"/>
    </row>
    <row r="240" ht="21.25" customHeight="1">
      <c r="A240" t="s" s="8">
        <v>403</v>
      </c>
      <c r="B240" t="s" s="177">
        <v>954</v>
      </c>
      <c r="C240" s="178">
        <v>23</v>
      </c>
      <c r="D240" t="s" s="177">
        <v>926</v>
      </c>
      <c r="E240" s="68">
        <v>78.34</v>
      </c>
      <c r="F240" s="179">
        <v>16.1156868027497</v>
      </c>
      <c r="G240" s="180">
        <v>0.338122229790016</v>
      </c>
      <c r="H240" s="180">
        <v>0.17103848456999</v>
      </c>
      <c r="I240" s="180">
        <v>0.509160714360006</v>
      </c>
      <c r="J240" s="180">
        <v>2.20430965314343</v>
      </c>
      <c r="K240" s="180">
        <v>0.112473290009312</v>
      </c>
      <c r="L240" s="180">
        <v>0.167777719822833</v>
      </c>
      <c r="M240" s="180">
        <v>0.000420561655028329</v>
      </c>
      <c r="N240" s="180">
        <v>0.000781772108773804</v>
      </c>
      <c r="O240" s="180">
        <v>0.622095783462193</v>
      </c>
      <c r="P240" s="180">
        <v>0.7016859309725409</v>
      </c>
      <c r="Q240" s="180">
        <v>-0.0739888975298696</v>
      </c>
      <c r="R240" s="180">
        <v>0.32037533112557</v>
      </c>
      <c r="S240" s="180">
        <v>0.0362321249568712</v>
      </c>
      <c r="T240" s="180">
        <v>0.151848551802033</v>
      </c>
      <c r="U240" s="180">
        <v>0.118104429179359</v>
      </c>
      <c r="V240" s="180">
        <v>0.5625</v>
      </c>
      <c r="W240" s="180"/>
      <c r="X240" s="68"/>
      <c r="Y240" s="179"/>
      <c r="Z240" s="179"/>
      <c r="AA240" s="179"/>
      <c r="AB240" s="179"/>
      <c r="AC240" s="179"/>
      <c r="AD240" s="181"/>
      <c r="AE240" s="180"/>
    </row>
    <row r="241" ht="21.25" customHeight="1">
      <c r="A241" t="s" s="8">
        <v>516</v>
      </c>
      <c r="B241" t="s" s="177">
        <v>950</v>
      </c>
      <c r="C241" s="178">
        <v>22</v>
      </c>
      <c r="D241" t="s" s="177">
        <v>926</v>
      </c>
      <c r="E241" s="68">
        <v>75.4960714285714</v>
      </c>
      <c r="F241" s="179">
        <v>15.4288605306783</v>
      </c>
      <c r="G241" s="180">
        <v>0.223325417382363</v>
      </c>
      <c r="H241" s="180">
        <v>0.284462350978202</v>
      </c>
      <c r="I241" s="180">
        <v>0.507787768360566</v>
      </c>
      <c r="J241" s="180">
        <v>1.60013679569399</v>
      </c>
      <c r="K241" s="180">
        <v>0.0129085556643027</v>
      </c>
      <c r="L241" s="180">
        <v>0.0441697127911039</v>
      </c>
      <c r="M241" s="180">
        <v>0.00137759562617935</v>
      </c>
      <c r="N241" s="180">
        <v>0.00251016079782233</v>
      </c>
      <c r="O241" s="180">
        <v>0.351598583244506</v>
      </c>
      <c r="P241" s="180">
        <v>0.386128396475798</v>
      </c>
      <c r="Q241" s="180">
        <v>0.0705408292271259</v>
      </c>
      <c r="R241" s="180">
        <v>0.201152762642632</v>
      </c>
      <c r="S241" s="180">
        <v>0.0380542340899952</v>
      </c>
      <c r="T241" s="180">
        <v>0.017726118117978</v>
      </c>
      <c r="U241" s="180">
        <v>0.0515145719984462</v>
      </c>
      <c r="V241" s="180">
        <v>0.256007242102478</v>
      </c>
      <c r="W241" s="180"/>
      <c r="X241" s="68"/>
      <c r="Y241" s="179"/>
      <c r="Z241" s="179"/>
      <c r="AA241" s="179"/>
      <c r="AB241" s="179"/>
      <c r="AC241" s="179"/>
      <c r="AD241" s="181"/>
      <c r="AE241" s="180"/>
    </row>
    <row r="242" ht="21.25" customHeight="1">
      <c r="A242" t="s" s="8">
        <v>306</v>
      </c>
      <c r="B242" t="s" s="177">
        <v>949</v>
      </c>
      <c r="C242" s="178">
        <v>29</v>
      </c>
      <c r="D242" t="s" s="177">
        <v>927</v>
      </c>
      <c r="E242" s="68">
        <v>76.8625</v>
      </c>
      <c r="F242" s="179">
        <v>21.5572984632042</v>
      </c>
      <c r="G242" s="180">
        <v>0.093512378554446</v>
      </c>
      <c r="H242" s="180">
        <v>0.411744783369165</v>
      </c>
      <c r="I242" s="180">
        <v>0.505257161923611</v>
      </c>
      <c r="J242" s="180">
        <v>1.84051033507711</v>
      </c>
      <c r="K242" s="180">
        <v>0.0154928984627</v>
      </c>
      <c r="L242" s="180">
        <v>0.167856538571646</v>
      </c>
      <c r="M242" s="180">
        <v>0.000381144974483377</v>
      </c>
      <c r="N242" s="180">
        <v>0.004836551522233</v>
      </c>
      <c r="O242" s="180">
        <v>1.26885767989851</v>
      </c>
      <c r="P242" s="180">
        <v>1.04218993563674</v>
      </c>
      <c r="Q242" s="180">
        <v>0.0794479007317084</v>
      </c>
      <c r="R242" s="180">
        <v>0.654242575322134</v>
      </c>
      <c r="S242" s="180">
        <v>0.0156988880936215</v>
      </c>
      <c r="T242" s="180">
        <v>0</v>
      </c>
      <c r="U242" s="180">
        <v>0</v>
      </c>
      <c r="V242" s="180">
        <v>0</v>
      </c>
      <c r="W242" s="180"/>
      <c r="X242" s="68"/>
      <c r="Y242" s="179"/>
      <c r="Z242" s="179"/>
      <c r="AA242" s="179"/>
      <c r="AB242" s="179"/>
      <c r="AC242" s="179"/>
      <c r="AD242" s="181"/>
      <c r="AE242" s="180"/>
    </row>
    <row r="243" ht="21.25" customHeight="1">
      <c r="A243" t="s" s="8">
        <v>319</v>
      </c>
      <c r="B243" t="s" s="177">
        <v>952</v>
      </c>
      <c r="C243" s="178">
        <v>25</v>
      </c>
      <c r="D243" t="s" s="177">
        <v>927</v>
      </c>
      <c r="E243" s="68">
        <v>78.285</v>
      </c>
      <c r="F243" s="179">
        <v>22.0595524018873</v>
      </c>
      <c r="G243" s="180">
        <v>0.0897784489776955</v>
      </c>
      <c r="H243" s="180">
        <v>0.413428745566439</v>
      </c>
      <c r="I243" s="180">
        <v>0.503207194544134</v>
      </c>
      <c r="J243" s="180">
        <v>1.83607973579535</v>
      </c>
      <c r="K243" s="180">
        <v>0.0255311847855993</v>
      </c>
      <c r="L243" s="180">
        <v>0.127035791895685</v>
      </c>
      <c r="M243" s="180">
        <v>0.000462463378305605</v>
      </c>
      <c r="N243" s="180">
        <v>0.00176381019848454</v>
      </c>
      <c r="O243" s="180">
        <v>1.10891517585278</v>
      </c>
      <c r="P243" s="180">
        <v>1.33814618063383</v>
      </c>
      <c r="Q243" s="180">
        <v>0.00710950008968012</v>
      </c>
      <c r="R243" s="180">
        <v>0.403006762337215</v>
      </c>
      <c r="S243" s="180">
        <v>0.0127090057209163</v>
      </c>
      <c r="T243" s="180">
        <v>0</v>
      </c>
      <c r="U243" s="180">
        <v>0</v>
      </c>
      <c r="V243" s="180">
        <v>0</v>
      </c>
      <c r="W243" s="180"/>
      <c r="X243" s="68"/>
      <c r="Y243" s="179"/>
      <c r="Z243" s="179"/>
      <c r="AA243" s="179"/>
      <c r="AB243" s="179"/>
      <c r="AC243" s="179"/>
      <c r="AD243" s="181"/>
      <c r="AE243" s="180"/>
    </row>
    <row r="244" ht="21.25" customHeight="1">
      <c r="A244" t="s" s="8">
        <v>402</v>
      </c>
      <c r="B244" t="s" s="177">
        <v>941</v>
      </c>
      <c r="C244" s="178">
        <v>22</v>
      </c>
      <c r="D244" t="s" s="177">
        <v>927</v>
      </c>
      <c r="E244" s="68">
        <v>64.005</v>
      </c>
      <c r="F244" s="179">
        <v>20.4503001873904</v>
      </c>
      <c r="G244" s="180">
        <v>0.163613319999277</v>
      </c>
      <c r="H244" s="180">
        <v>0.337198105869655</v>
      </c>
      <c r="I244" s="180">
        <v>0.500811425868932</v>
      </c>
      <c r="J244" s="180">
        <v>1.53083542298227</v>
      </c>
      <c r="K244" s="180">
        <v>0.0344272736731365</v>
      </c>
      <c r="L244" s="180">
        <v>0.103935296591826</v>
      </c>
      <c r="M244" s="180">
        <v>0.00962584385807406</v>
      </c>
      <c r="N244" s="180">
        <v>0.011391201039833</v>
      </c>
      <c r="O244" s="180">
        <v>1.28328098593993</v>
      </c>
      <c r="P244" s="180">
        <v>1.73034774004665</v>
      </c>
      <c r="Q244" s="180">
        <v>0.0395473918075591</v>
      </c>
      <c r="R244" s="180">
        <v>0.729926247583212</v>
      </c>
      <c r="S244" s="180">
        <v>0.0258860923432198</v>
      </c>
      <c r="T244" s="180">
        <v>0</v>
      </c>
      <c r="U244" s="180">
        <v>0</v>
      </c>
      <c r="V244" s="180">
        <v>0</v>
      </c>
      <c r="W244" s="180"/>
      <c r="X244" s="68"/>
      <c r="Y244" s="179"/>
      <c r="Z244" s="179"/>
      <c r="AA244" s="179"/>
      <c r="AB244" s="179"/>
      <c r="AC244" s="179"/>
      <c r="AD244" s="181"/>
      <c r="AE244" s="180"/>
    </row>
    <row r="245" ht="21.25" customHeight="1">
      <c r="A245" t="s" s="8">
        <v>590</v>
      </c>
      <c r="B245" t="s" s="177">
        <v>939</v>
      </c>
      <c r="C245" s="178">
        <v>29</v>
      </c>
      <c r="D245" t="s" s="177">
        <v>926</v>
      </c>
      <c r="E245" s="68">
        <v>67.66249999999999</v>
      </c>
      <c r="F245" s="179">
        <v>16.8507284719466</v>
      </c>
      <c r="G245" s="180">
        <v>0.198342621759443</v>
      </c>
      <c r="H245" s="180">
        <v>0.29951304274052</v>
      </c>
      <c r="I245" s="180">
        <v>0.497855664499962</v>
      </c>
      <c r="J245" s="180">
        <v>1.73012416740954</v>
      </c>
      <c r="K245" s="180">
        <v>0.008390227015333389</v>
      </c>
      <c r="L245" s="180">
        <v>0.0536366069585012</v>
      </c>
      <c r="M245" s="180">
        <v>0.0235898488350493</v>
      </c>
      <c r="N245" s="180">
        <v>0.0417611678935522</v>
      </c>
      <c r="O245" s="180">
        <v>0.486583493445665</v>
      </c>
      <c r="P245" s="180">
        <v>0.52704584025792</v>
      </c>
      <c r="Q245" s="180">
        <v>0.0531573324985263</v>
      </c>
      <c r="R245" s="180">
        <v>0.221962382527624</v>
      </c>
      <c r="S245" s="180">
        <v>0.0313955076929195</v>
      </c>
      <c r="T245" s="180">
        <v>0.461982520191382</v>
      </c>
      <c r="U245" s="180">
        <v>0.718382816235837</v>
      </c>
      <c r="V245" s="180">
        <v>0.391389433367919</v>
      </c>
      <c r="W245" s="180"/>
      <c r="X245" s="68"/>
      <c r="Y245" s="179"/>
      <c r="Z245" s="179"/>
      <c r="AA245" s="179"/>
      <c r="AB245" s="179"/>
      <c r="AC245" s="179"/>
      <c r="AD245" s="181"/>
      <c r="AE245" s="180"/>
    </row>
    <row r="246" ht="21.25" customHeight="1">
      <c r="A246" t="s" s="8">
        <v>473</v>
      </c>
      <c r="B246" t="s" s="177">
        <v>941</v>
      </c>
      <c r="C246" s="178">
        <v>26</v>
      </c>
      <c r="D246" t="s" s="177">
        <v>940</v>
      </c>
      <c r="E246" s="68">
        <v>77.63285714285711</v>
      </c>
      <c r="F246" s="179">
        <v>14.3058122803461</v>
      </c>
      <c r="G246" s="180">
        <v>0.259628568566272</v>
      </c>
      <c r="H246" s="180">
        <v>0.235755650969415</v>
      </c>
      <c r="I246" s="180">
        <v>0.495384219535687</v>
      </c>
      <c r="J246" s="180">
        <v>2.12875551230617</v>
      </c>
      <c r="K246" s="180">
        <v>0.0302645562182063</v>
      </c>
      <c r="L246" s="180">
        <v>0.0834455207957179</v>
      </c>
      <c r="M246" s="180">
        <v>1.71347931731757e-05</v>
      </c>
      <c r="N246" s="180">
        <v>3.14224402867746e-05</v>
      </c>
      <c r="O246" s="180">
        <v>0.433219589535577</v>
      </c>
      <c r="P246" s="180">
        <v>2.34158347580883</v>
      </c>
      <c r="Q246" s="180">
        <v>0.0438561171686911</v>
      </c>
      <c r="R246" s="180">
        <v>0.391539327884632</v>
      </c>
      <c r="S246" s="180">
        <v>0.0410771513032935</v>
      </c>
      <c r="T246" s="180">
        <v>2.12144027520627</v>
      </c>
      <c r="U246" s="180">
        <v>1.82438206495356</v>
      </c>
      <c r="V246" s="180">
        <v>0.5376421167305609</v>
      </c>
      <c r="W246" s="180"/>
      <c r="X246" s="68"/>
      <c r="Y246" s="179"/>
      <c r="Z246" s="179"/>
      <c r="AA246" s="179"/>
      <c r="AB246" s="179"/>
      <c r="AC246" s="179"/>
      <c r="AD246" s="181"/>
      <c r="AE246" s="180"/>
    </row>
    <row r="247" ht="21.25" customHeight="1">
      <c r="A247" t="s" s="8">
        <v>541</v>
      </c>
      <c r="B247" t="s" s="177">
        <v>966</v>
      </c>
      <c r="C247" s="178">
        <v>26</v>
      </c>
      <c r="D247" t="s" s="177">
        <v>924</v>
      </c>
      <c r="E247" s="68">
        <v>77.5839285714286</v>
      </c>
      <c r="F247" s="179">
        <v>16.554576736559</v>
      </c>
      <c r="G247" s="180">
        <v>0.20846631945232</v>
      </c>
      <c r="H247" s="180">
        <v>0.286337973022891</v>
      </c>
      <c r="I247" s="180">
        <v>0.494804292475211</v>
      </c>
      <c r="J247" s="180">
        <v>1.6313973660489</v>
      </c>
      <c r="K247" s="180">
        <v>0.0415439751325676</v>
      </c>
      <c r="L247" s="180">
        <v>0.0975991893863779</v>
      </c>
      <c r="M247" s="180">
        <v>0.00165637913793257</v>
      </c>
      <c r="N247" s="180">
        <v>0.0154222935062474</v>
      </c>
      <c r="O247" s="180">
        <v>0.551712023864204</v>
      </c>
      <c r="P247" s="180">
        <v>1.17161223191337</v>
      </c>
      <c r="Q247" s="180">
        <v>0.0700797469583688</v>
      </c>
      <c r="R247" s="180">
        <v>0.431388031324687</v>
      </c>
      <c r="S247" s="180">
        <v>0.0340690845515688</v>
      </c>
      <c r="T247" s="180">
        <v>5.58564427245296</v>
      </c>
      <c r="U247" s="180">
        <v>6.08736944873766</v>
      </c>
      <c r="V247" s="180">
        <v>0.478509184163217</v>
      </c>
      <c r="W247" s="180"/>
      <c r="X247" s="68"/>
      <c r="Y247" s="179"/>
      <c r="Z247" s="179"/>
      <c r="AA247" s="179"/>
      <c r="AB247" s="179"/>
      <c r="AC247" s="179"/>
      <c r="AD247" s="181"/>
      <c r="AE247" s="180"/>
    </row>
    <row r="248" ht="21.25" customHeight="1">
      <c r="A248" t="s" s="8">
        <v>560</v>
      </c>
      <c r="B248" t="s" s="177">
        <v>973</v>
      </c>
      <c r="C248" s="178">
        <v>28</v>
      </c>
      <c r="D248" t="s" s="177">
        <v>924</v>
      </c>
      <c r="E248" s="68">
        <v>68.6964285714286</v>
      </c>
      <c r="F248" s="179">
        <v>16.3603971608232</v>
      </c>
      <c r="G248" s="180">
        <v>0.178738877011567</v>
      </c>
      <c r="H248" s="180">
        <v>0.313083372196737</v>
      </c>
      <c r="I248" s="180">
        <v>0.491822249208304</v>
      </c>
      <c r="J248" s="180">
        <v>1.94310216713112</v>
      </c>
      <c r="K248" s="180">
        <v>0.0584146849690224</v>
      </c>
      <c r="L248" s="180">
        <v>0.161683001825262</v>
      </c>
      <c r="M248" s="180">
        <v>0.00325474292178593</v>
      </c>
      <c r="N248" s="180">
        <v>0.0060353633790949</v>
      </c>
      <c r="O248" s="180">
        <v>0.401106163671828</v>
      </c>
      <c r="P248" s="180">
        <v>0.811001381058607</v>
      </c>
      <c r="Q248" s="180">
        <v>-0.0968680120379759</v>
      </c>
      <c r="R248" s="180">
        <v>0.32645167388872</v>
      </c>
      <c r="S248" s="180">
        <v>0.0183103885193188</v>
      </c>
      <c r="T248" s="180">
        <v>6.65390787032046</v>
      </c>
      <c r="U248" s="180">
        <v>6.04662112582429</v>
      </c>
      <c r="V248" s="180">
        <v>0.523907931105882</v>
      </c>
      <c r="W248" s="180"/>
      <c r="X248" s="68"/>
      <c r="Y248" s="179"/>
      <c r="Z248" s="179"/>
      <c r="AA248" s="179"/>
      <c r="AB248" s="179"/>
      <c r="AC248" s="179"/>
      <c r="AD248" s="181"/>
      <c r="AE248" s="180"/>
    </row>
    <row r="249" ht="21.25" customHeight="1">
      <c r="A249" t="s" s="8">
        <v>567</v>
      </c>
      <c r="B249" t="s" s="177">
        <v>973</v>
      </c>
      <c r="C249" s="182">
        <v>22</v>
      </c>
      <c r="D249" t="s" s="177">
        <v>924</v>
      </c>
      <c r="E249" s="68">
        <v>79.4175</v>
      </c>
      <c r="F249" s="179">
        <v>15.1538145807478</v>
      </c>
      <c r="G249" s="180">
        <v>0.208035548786656</v>
      </c>
      <c r="H249" s="180">
        <v>0.283455009813715</v>
      </c>
      <c r="I249" s="180">
        <v>0.491490558600371</v>
      </c>
      <c r="J249" s="180">
        <v>1.59979150666845</v>
      </c>
      <c r="K249" s="180">
        <v>0.0215015096972802</v>
      </c>
      <c r="L249" s="180">
        <v>0.0459781248623095</v>
      </c>
      <c r="M249" s="180">
        <v>0.000238147774798067</v>
      </c>
      <c r="N249" s="180">
        <v>0.00043284390790708</v>
      </c>
      <c r="O249" s="180">
        <v>0.410380690868182</v>
      </c>
      <c r="P249" s="180">
        <v>0.791374589843104</v>
      </c>
      <c r="Q249" s="180">
        <v>-0.0726042332635246</v>
      </c>
      <c r="R249" s="180">
        <v>0.284494487126894</v>
      </c>
      <c r="S249" s="180">
        <v>0.0213116015262134</v>
      </c>
      <c r="T249" s="180">
        <v>2.55284906267368</v>
      </c>
      <c r="U249" s="180">
        <v>4.03908850816833</v>
      </c>
      <c r="V249" s="180">
        <v>0.38726839191646</v>
      </c>
      <c r="W249" s="180"/>
      <c r="X249" s="68"/>
      <c r="Y249" s="179"/>
      <c r="Z249" s="179"/>
      <c r="AA249" s="179"/>
      <c r="AB249" s="179"/>
      <c r="AC249" s="179"/>
      <c r="AD249" s="181"/>
      <c r="AE249" s="180"/>
    </row>
    <row r="250" ht="21.25" customHeight="1">
      <c r="A250" t="s" s="8">
        <v>343</v>
      </c>
      <c r="B250" t="s" s="177">
        <v>960</v>
      </c>
      <c r="C250" s="178">
        <v>19</v>
      </c>
      <c r="D250" t="s" s="177">
        <v>927</v>
      </c>
      <c r="E250" s="68">
        <v>77</v>
      </c>
      <c r="F250" s="179">
        <v>20</v>
      </c>
      <c r="G250" s="180">
        <v>0.09106848117163389</v>
      </c>
      <c r="H250" s="180">
        <v>0.398992010603313</v>
      </c>
      <c r="I250" s="180">
        <v>0.490060491774948</v>
      </c>
      <c r="J250" s="180">
        <v>1.70043743809656</v>
      </c>
      <c r="K250" s="180">
        <v>0.0205637618208416</v>
      </c>
      <c r="L250" s="180">
        <v>0.110658343051442</v>
      </c>
      <c r="M250" s="180">
        <v>0</v>
      </c>
      <c r="N250" s="180">
        <v>0</v>
      </c>
      <c r="O250" s="180">
        <v>1.29268292682927</v>
      </c>
      <c r="P250" s="180">
        <v>1.26463414634146</v>
      </c>
      <c r="Q250" s="180">
        <v>0.0098780487804878</v>
      </c>
      <c r="R250" s="180">
        <v>0.432926829268293</v>
      </c>
      <c r="S250" s="180">
        <v>0.0106715459576025</v>
      </c>
      <c r="T250" s="180">
        <v>0</v>
      </c>
      <c r="U250" s="180">
        <v>0</v>
      </c>
      <c r="V250" s="180">
        <v>0</v>
      </c>
      <c r="W250" s="180"/>
      <c r="X250" s="68"/>
      <c r="Y250" s="180"/>
      <c r="Z250" s="180"/>
      <c r="AA250" s="180"/>
      <c r="AB250" s="180"/>
      <c r="AC250" s="179"/>
      <c r="AD250" s="181"/>
      <c r="AE250" s="180"/>
    </row>
    <row r="251" ht="21.25" customHeight="1">
      <c r="A251" t="s" s="8">
        <v>552</v>
      </c>
      <c r="B251" t="s" s="177">
        <v>947</v>
      </c>
      <c r="C251" s="178">
        <v>32</v>
      </c>
      <c r="D251" t="s" s="177">
        <v>925</v>
      </c>
      <c r="E251" s="68">
        <v>75.3385714285714</v>
      </c>
      <c r="F251" s="179">
        <v>14.5247627773181</v>
      </c>
      <c r="G251" s="180">
        <v>0.176004244452107</v>
      </c>
      <c r="H251" s="180">
        <v>0.313817547601734</v>
      </c>
      <c r="I251" s="180">
        <v>0.489821792053841</v>
      </c>
      <c r="J251" s="180">
        <v>1.59150475134511</v>
      </c>
      <c r="K251" s="180">
        <v>0.0244144336168021</v>
      </c>
      <c r="L251" s="180">
        <v>0.0787063460503462</v>
      </c>
      <c r="M251" s="180">
        <v>0.000455696353219485</v>
      </c>
      <c r="N251" s="180">
        <v>0.00212646314789577</v>
      </c>
      <c r="O251" s="180">
        <v>0.670706903692543</v>
      </c>
      <c r="P251" s="180">
        <v>1.3359214301022</v>
      </c>
      <c r="Q251" s="180">
        <v>0.00869439647219746</v>
      </c>
      <c r="R251" s="180">
        <v>0.268465794768059</v>
      </c>
      <c r="S251" s="180">
        <v>0.0258687484963289</v>
      </c>
      <c r="T251" s="180">
        <v>0.00816270780465699</v>
      </c>
      <c r="U251" s="180">
        <v>0.157762683091546</v>
      </c>
      <c r="V251" s="180">
        <v>0.0491950494168989</v>
      </c>
      <c r="W251" s="180"/>
      <c r="X251" s="68"/>
      <c r="Y251" s="179"/>
      <c r="Z251" s="179"/>
      <c r="AA251" s="179"/>
      <c r="AB251" s="179"/>
      <c r="AC251" s="179"/>
      <c r="AD251" s="181"/>
      <c r="AE251" s="180"/>
    </row>
    <row r="252" ht="21.25" customHeight="1">
      <c r="A252" t="s" s="8">
        <v>458</v>
      </c>
      <c r="B252" t="s" s="177">
        <v>951</v>
      </c>
      <c r="C252" s="178">
        <v>28</v>
      </c>
      <c r="D252" t="s" s="177">
        <v>944</v>
      </c>
      <c r="E252" s="68">
        <v>79.41249999999999</v>
      </c>
      <c r="F252" s="179">
        <v>13.6716344685976</v>
      </c>
      <c r="G252" s="180">
        <v>0.259885319572901</v>
      </c>
      <c r="H252" s="180">
        <v>0.22987025867869</v>
      </c>
      <c r="I252" s="180">
        <v>0.489755578251591</v>
      </c>
      <c r="J252" s="180">
        <v>1.93543741945972</v>
      </c>
      <c r="K252" s="180">
        <v>0.06761039400173149</v>
      </c>
      <c r="L252" s="180">
        <v>0.126383974633656</v>
      </c>
      <c r="M252" s="180">
        <v>9.906150464881721e-05</v>
      </c>
      <c r="N252" s="180">
        <v>0.00044939018635155</v>
      </c>
      <c r="O252" s="180">
        <v>0.227994163628624</v>
      </c>
      <c r="P252" s="180">
        <v>0.345454203267772</v>
      </c>
      <c r="Q252" s="180">
        <v>-0.0516769665297341</v>
      </c>
      <c r="R252" s="180">
        <v>0.124625989542277</v>
      </c>
      <c r="S252" s="180">
        <v>0.033270273411825</v>
      </c>
      <c r="T252" s="180">
        <v>0.0109247629567875</v>
      </c>
      <c r="U252" s="180">
        <v>0.0492338731859105</v>
      </c>
      <c r="V252" s="180">
        <v>0.181599245881732</v>
      </c>
      <c r="W252" s="180"/>
      <c r="X252" s="68"/>
      <c r="Y252" s="179"/>
      <c r="Z252" s="179"/>
      <c r="AA252" s="179"/>
      <c r="AB252" s="179"/>
      <c r="AC252" s="179"/>
      <c r="AD252" s="181"/>
      <c r="AE252" s="180"/>
    </row>
    <row r="253" ht="21.25" customHeight="1">
      <c r="A253" t="s" s="8">
        <v>491</v>
      </c>
      <c r="B253" t="s" s="177">
        <v>971</v>
      </c>
      <c r="C253" s="178">
        <v>32</v>
      </c>
      <c r="D253" t="s" s="177">
        <v>926</v>
      </c>
      <c r="E253" s="68">
        <v>74.7178571428571</v>
      </c>
      <c r="F253" s="179">
        <v>15.7671854159198</v>
      </c>
      <c r="G253" s="180">
        <v>0.223134135293733</v>
      </c>
      <c r="H253" s="180">
        <v>0.266605503813467</v>
      </c>
      <c r="I253" s="180">
        <v>0.4897396391072</v>
      </c>
      <c r="J253" s="180">
        <v>2.05518738640872</v>
      </c>
      <c r="K253" s="180">
        <v>0.0343591893627223</v>
      </c>
      <c r="L253" s="180">
        <v>0.0781270789245916</v>
      </c>
      <c r="M253" s="180">
        <v>0.00224539538942599</v>
      </c>
      <c r="N253" s="180">
        <v>0.00298463248423266</v>
      </c>
      <c r="O253" s="180">
        <v>0.304276101881617</v>
      </c>
      <c r="P253" s="180">
        <v>1.18922569363899</v>
      </c>
      <c r="Q253" s="180">
        <v>0.0251964824885004</v>
      </c>
      <c r="R253" s="180">
        <v>0.476444739287188</v>
      </c>
      <c r="S253" s="180">
        <v>0.03447910102212</v>
      </c>
      <c r="T253" s="180">
        <v>0.159157074394207</v>
      </c>
      <c r="U253" s="180">
        <v>0.296471321207483</v>
      </c>
      <c r="V253" s="180">
        <v>0.349313335012909</v>
      </c>
      <c r="W253" s="180"/>
      <c r="X253" s="68"/>
      <c r="Y253" s="179"/>
      <c r="Z253" s="179"/>
      <c r="AA253" s="179"/>
      <c r="AB253" s="179"/>
      <c r="AC253" s="179"/>
      <c r="AD253" s="181"/>
      <c r="AE253" s="180"/>
    </row>
    <row r="254" ht="21.25" customHeight="1">
      <c r="A254" t="s" s="8">
        <v>519</v>
      </c>
      <c r="B254" t="s" s="177">
        <v>957</v>
      </c>
      <c r="C254" s="178">
        <v>31</v>
      </c>
      <c r="D254" t="s" s="177">
        <v>925</v>
      </c>
      <c r="E254" s="68">
        <v>73.0467857142857</v>
      </c>
      <c r="F254" s="179">
        <v>14.6871936546551</v>
      </c>
      <c r="G254" s="180">
        <v>0.260029678674302</v>
      </c>
      <c r="H254" s="180">
        <v>0.228930073830491</v>
      </c>
      <c r="I254" s="180">
        <v>0.488959752504794</v>
      </c>
      <c r="J254" s="180">
        <v>2.20015391474452</v>
      </c>
      <c r="K254" s="180">
        <v>0.0161830115283316</v>
      </c>
      <c r="L254" s="180">
        <v>0.0563035856294307</v>
      </c>
      <c r="M254" s="180">
        <v>1.56625504730595e-05</v>
      </c>
      <c r="N254" s="180">
        <v>2.87112504828332e-05</v>
      </c>
      <c r="O254" s="180">
        <v>0.384354392136079</v>
      </c>
      <c r="P254" s="180">
        <v>2.08140969129961</v>
      </c>
      <c r="Q254" s="180">
        <v>-0.0226035891157635</v>
      </c>
      <c r="R254" s="180">
        <v>0.424610678919694</v>
      </c>
      <c r="S254" s="180">
        <v>0.0328148608003739</v>
      </c>
      <c r="T254" s="180">
        <v>0.0548501661336</v>
      </c>
      <c r="U254" s="180">
        <v>0.146584470779059</v>
      </c>
      <c r="V254" s="180">
        <v>0.272297589800224</v>
      </c>
      <c r="W254" s="180"/>
      <c r="X254" s="68"/>
      <c r="Y254" s="179"/>
      <c r="Z254" s="179"/>
      <c r="AA254" s="179"/>
      <c r="AB254" s="179"/>
      <c r="AC254" s="179"/>
      <c r="AD254" s="181"/>
      <c r="AE254" s="180"/>
    </row>
    <row r="255" ht="21.25" customHeight="1">
      <c r="A255" t="s" s="8">
        <v>441</v>
      </c>
      <c r="B255" t="s" s="177">
        <v>958</v>
      </c>
      <c r="C255" s="178">
        <v>27</v>
      </c>
      <c r="D255" t="s" s="177">
        <v>925</v>
      </c>
      <c r="E255" s="68">
        <v>81.30249999999999</v>
      </c>
      <c r="F255" s="179">
        <v>14.2950883828788</v>
      </c>
      <c r="G255" s="180">
        <v>0.218099351063654</v>
      </c>
      <c r="H255" s="180">
        <v>0.270492712419822</v>
      </c>
      <c r="I255" s="180">
        <v>0.488592063483476</v>
      </c>
      <c r="J255" s="180">
        <v>2.03389640664695</v>
      </c>
      <c r="K255" s="180">
        <v>0.0552628676264299</v>
      </c>
      <c r="L255" s="180">
        <v>0.147958147269972</v>
      </c>
      <c r="M255" s="180">
        <v>0.000293201230718479</v>
      </c>
      <c r="N255" s="180">
        <v>0.0005381283618033699</v>
      </c>
      <c r="O255" s="180">
        <v>0.338271961232287</v>
      </c>
      <c r="P255" s="180">
        <v>1.09725125061101</v>
      </c>
      <c r="Q255" s="180">
        <v>0.0100186146731571</v>
      </c>
      <c r="R255" s="180">
        <v>0.278124666831213</v>
      </c>
      <c r="S255" s="180">
        <v>0.032799068973911</v>
      </c>
      <c r="T255" s="180">
        <v>0.126934269218961</v>
      </c>
      <c r="U255" s="180">
        <v>0.223672570636763</v>
      </c>
      <c r="V255" s="180">
        <v>0.362041622665419</v>
      </c>
      <c r="W255" s="180"/>
      <c r="X255" s="68"/>
      <c r="Y255" s="179"/>
      <c r="Z255" s="179"/>
      <c r="AA255" s="179"/>
      <c r="AB255" s="179"/>
      <c r="AC255" s="179"/>
      <c r="AD255" s="181"/>
      <c r="AE255" s="180"/>
    </row>
    <row r="256" ht="21.25" customHeight="1">
      <c r="A256" t="s" s="8">
        <v>632</v>
      </c>
      <c r="B256" t="s" s="177">
        <v>957</v>
      </c>
      <c r="C256" s="178">
        <v>20</v>
      </c>
      <c r="D256" t="s" s="177">
        <v>925</v>
      </c>
      <c r="E256" s="68">
        <v>61.695</v>
      </c>
      <c r="F256" s="179">
        <v>14.0259485103916</v>
      </c>
      <c r="G256" s="180">
        <v>0.196242615386618</v>
      </c>
      <c r="H256" s="180">
        <v>0.291558511357985</v>
      </c>
      <c r="I256" s="180">
        <v>0.487801126744604</v>
      </c>
      <c r="J256" s="180">
        <v>1.61357460557345</v>
      </c>
      <c r="K256" s="180">
        <v>0.0876865300454629</v>
      </c>
      <c r="L256" s="180">
        <v>0.153739282424927</v>
      </c>
      <c r="M256" s="180">
        <v>0.000453634403850712</v>
      </c>
      <c r="N256" s="180">
        <v>0.000823045849283183</v>
      </c>
      <c r="O256" s="180">
        <v>0.380443515078551</v>
      </c>
      <c r="P256" s="180">
        <v>0.849747541895699</v>
      </c>
      <c r="Q256" s="180">
        <v>-0.0528979554671449</v>
      </c>
      <c r="R256" s="180">
        <v>0.34101831822198</v>
      </c>
      <c r="S256" s="180">
        <v>0.024765150423768</v>
      </c>
      <c r="T256" s="180">
        <v>0.0648298983609502</v>
      </c>
      <c r="U256" s="180">
        <v>0.0648298983609502</v>
      </c>
      <c r="V256" s="180">
        <v>0.5</v>
      </c>
      <c r="W256" s="180"/>
      <c r="X256" s="68"/>
      <c r="Y256" s="179"/>
      <c r="Z256" s="179"/>
      <c r="AA256" s="179"/>
      <c r="AB256" s="179"/>
      <c r="AC256" s="179"/>
      <c r="AD256" s="181"/>
      <c r="AE256" s="180"/>
    </row>
    <row r="257" ht="21.25" customHeight="1">
      <c r="A257" t="s" s="8">
        <v>571</v>
      </c>
      <c r="B257" t="s" s="177">
        <v>949</v>
      </c>
      <c r="C257" s="178">
        <v>25</v>
      </c>
      <c r="D257" t="s" s="177">
        <v>924</v>
      </c>
      <c r="E257" s="68">
        <v>75.5564285714286</v>
      </c>
      <c r="F257" s="179">
        <v>15.1161716758256</v>
      </c>
      <c r="G257" s="180">
        <v>0.171338434386073</v>
      </c>
      <c r="H257" s="180">
        <v>0.315467306671577</v>
      </c>
      <c r="I257" s="180">
        <v>0.48680574105765</v>
      </c>
      <c r="J257" s="180">
        <v>1.66636237722294</v>
      </c>
      <c r="K257" s="180">
        <v>0.0318797088509149</v>
      </c>
      <c r="L257" s="180">
        <v>0.07708100903391719</v>
      </c>
      <c r="M257" s="180">
        <v>0.00273767002721105</v>
      </c>
      <c r="N257" s="180">
        <v>0.00499846793204966</v>
      </c>
      <c r="O257" s="180">
        <v>0.535844641626172</v>
      </c>
      <c r="P257" s="180">
        <v>0.992721843365106</v>
      </c>
      <c r="Q257" s="180">
        <v>0.0362898795188467</v>
      </c>
      <c r="R257" s="180">
        <v>0.400279770262798</v>
      </c>
      <c r="S257" s="180">
        <v>0.0287643512991938</v>
      </c>
      <c r="T257" s="180">
        <v>6.0617638869498</v>
      </c>
      <c r="U257" s="180">
        <v>5.80086064496472</v>
      </c>
      <c r="V257" s="180">
        <v>0.510996859981666</v>
      </c>
      <c r="W257" s="180"/>
      <c r="X257" s="68"/>
      <c r="Y257" s="179"/>
      <c r="Z257" s="179"/>
      <c r="AA257" s="179"/>
      <c r="AB257" s="179"/>
      <c r="AC257" s="179"/>
      <c r="AD257" s="181"/>
      <c r="AE257" s="180"/>
    </row>
    <row r="258" ht="21.25" customHeight="1">
      <c r="A258" t="s" s="8">
        <v>588</v>
      </c>
      <c r="B258" t="s" s="177">
        <v>948</v>
      </c>
      <c r="C258" s="178">
        <v>28</v>
      </c>
      <c r="D258" t="s" s="177">
        <v>925</v>
      </c>
      <c r="E258" s="68">
        <v>72.3271428571429</v>
      </c>
      <c r="F258" s="179">
        <v>13.6386271776898</v>
      </c>
      <c r="G258" s="180">
        <v>0.181843554706902</v>
      </c>
      <c r="H258" s="180">
        <v>0.304277859490894</v>
      </c>
      <c r="I258" s="180">
        <v>0.486121414197796</v>
      </c>
      <c r="J258" s="180">
        <v>1.81872148970593</v>
      </c>
      <c r="K258" s="180">
        <v>0.0127456692064477</v>
      </c>
      <c r="L258" s="180">
        <v>0.0314134665151251</v>
      </c>
      <c r="M258" s="180">
        <v>8.61524100996211e-05</v>
      </c>
      <c r="N258" s="180">
        <v>0.00015905441300726</v>
      </c>
      <c r="O258" s="180">
        <v>0.431047440875659</v>
      </c>
      <c r="P258" s="180">
        <v>1.35144958286787</v>
      </c>
      <c r="Q258" s="180">
        <v>0.0609149322353113</v>
      </c>
      <c r="R258" s="180">
        <v>0.644290469628767</v>
      </c>
      <c r="S258" s="180">
        <v>0.0290936796542422</v>
      </c>
      <c r="T258" s="180">
        <v>0.148524216767496</v>
      </c>
      <c r="U258" s="180">
        <v>0.266906751675373</v>
      </c>
      <c r="V258" s="180">
        <v>0.357518403898004</v>
      </c>
      <c r="W258" s="180"/>
      <c r="X258" s="68"/>
      <c r="Y258" s="179"/>
      <c r="Z258" s="179"/>
      <c r="AA258" s="179"/>
      <c r="AB258" s="179"/>
      <c r="AC258" s="179"/>
      <c r="AD258" s="181"/>
      <c r="AE258" s="180"/>
    </row>
    <row r="259" ht="21.25" customHeight="1">
      <c r="A259" t="s" s="8">
        <v>316</v>
      </c>
      <c r="B259" t="s" s="177">
        <v>951</v>
      </c>
      <c r="C259" s="178">
        <v>20</v>
      </c>
      <c r="D259" t="s" s="177">
        <v>927</v>
      </c>
      <c r="E259" s="68">
        <v>81.45</v>
      </c>
      <c r="F259" s="179">
        <v>23.5208055037242</v>
      </c>
      <c r="G259" s="180">
        <v>0.0823152941535841</v>
      </c>
      <c r="H259" s="180">
        <v>0.403564612097539</v>
      </c>
      <c r="I259" s="180">
        <v>0.485879906251123</v>
      </c>
      <c r="J259" s="180">
        <v>1.67731650196638</v>
      </c>
      <c r="K259" s="180">
        <v>0.00532671088904113</v>
      </c>
      <c r="L259" s="180">
        <v>0.103728420959353</v>
      </c>
      <c r="M259" s="180">
        <v>0.000413548664778685</v>
      </c>
      <c r="N259" s="180">
        <v>0.00762940224308015</v>
      </c>
      <c r="O259" s="180">
        <v>1.17585883749414</v>
      </c>
      <c r="P259" s="180">
        <v>0.561274820399545</v>
      </c>
      <c r="Q259" s="180">
        <v>0.00287254308301094</v>
      </c>
      <c r="R259" s="180">
        <v>0.380524582639118</v>
      </c>
      <c r="S259" s="180">
        <v>0.010537926293664</v>
      </c>
      <c r="T259" s="180">
        <v>0</v>
      </c>
      <c r="U259" s="180">
        <v>0</v>
      </c>
      <c r="V259" s="180">
        <v>0</v>
      </c>
      <c r="W259" s="180"/>
      <c r="X259" s="68"/>
      <c r="Y259" s="179"/>
      <c r="Z259" s="179"/>
      <c r="AA259" s="179"/>
      <c r="AB259" s="179"/>
      <c r="AC259" s="179"/>
      <c r="AD259" s="181"/>
      <c r="AE259" s="180"/>
    </row>
    <row r="260" ht="21.25" customHeight="1">
      <c r="A260" t="s" s="8">
        <v>461</v>
      </c>
      <c r="B260" t="s" s="177">
        <v>943</v>
      </c>
      <c r="C260" s="178">
        <v>30</v>
      </c>
      <c r="D260" t="s" s="177">
        <v>940</v>
      </c>
      <c r="E260" s="68">
        <v>76.64749999999999</v>
      </c>
      <c r="F260" s="179">
        <v>15.7248093583314</v>
      </c>
      <c r="G260" s="180">
        <v>0.1996735377633</v>
      </c>
      <c r="H260" s="180">
        <v>0.285923210276749</v>
      </c>
      <c r="I260" s="180">
        <v>0.485596748040049</v>
      </c>
      <c r="J260" s="180">
        <v>2.39362931374866</v>
      </c>
      <c r="K260" s="180">
        <v>0.0556159627278787</v>
      </c>
      <c r="L260" s="180">
        <v>0.0943195688855978</v>
      </c>
      <c r="M260" s="180">
        <v>0.00124362879817866</v>
      </c>
      <c r="N260" s="180">
        <v>0.00230111788103312</v>
      </c>
      <c r="O260" s="180">
        <v>0.366513806037672</v>
      </c>
      <c r="P260" s="180">
        <v>0.669838986453328</v>
      </c>
      <c r="Q260" s="180">
        <v>0.049440399676166</v>
      </c>
      <c r="R260" s="180">
        <v>0.30828485367167</v>
      </c>
      <c r="S260" s="180">
        <v>0.0286436244440428</v>
      </c>
      <c r="T260" s="180">
        <v>1.62637405046979</v>
      </c>
      <c r="U260" s="180">
        <v>1.77899241003702</v>
      </c>
      <c r="V260" s="180">
        <v>0.477591492525519</v>
      </c>
      <c r="W260" s="180"/>
      <c r="X260" s="68"/>
      <c r="Y260" s="179"/>
      <c r="Z260" s="179"/>
      <c r="AA260" s="179"/>
      <c r="AB260" s="179"/>
      <c r="AC260" s="179"/>
      <c r="AD260" s="181"/>
      <c r="AE260" s="180"/>
    </row>
    <row r="261" ht="21.25" customHeight="1">
      <c r="A261" t="s" s="8">
        <v>664</v>
      </c>
      <c r="B261" t="s" s="177">
        <v>972</v>
      </c>
      <c r="C261" s="182">
        <v>19</v>
      </c>
      <c r="D261" t="s" s="177">
        <v>924</v>
      </c>
      <c r="E261" s="68">
        <v>60</v>
      </c>
      <c r="F261" s="179">
        <v>13.5</v>
      </c>
      <c r="G261" s="180">
        <v>0.220057241834682</v>
      </c>
      <c r="H261" s="180">
        <v>0.265296239875263</v>
      </c>
      <c r="I261" s="180">
        <v>0.485353481709945</v>
      </c>
      <c r="J261" s="180">
        <v>1.80256171954983</v>
      </c>
      <c r="K261" s="180">
        <v>0.0493183751617228</v>
      </c>
      <c r="L261" s="180">
        <v>0.108775539025441</v>
      </c>
      <c r="M261" s="180">
        <v>0</v>
      </c>
      <c r="N261" s="180">
        <v>0</v>
      </c>
      <c r="O261" s="180">
        <v>0.415853658536585</v>
      </c>
      <c r="P261" s="180">
        <v>0.609756097560976</v>
      </c>
      <c r="Q261" s="180">
        <v>-0.00280487804878049</v>
      </c>
      <c r="R261" s="180">
        <v>0.347041911383262</v>
      </c>
      <c r="S261" s="180">
        <v>0.0309314607249313</v>
      </c>
      <c r="T261" s="180">
        <v>0.650629027308988</v>
      </c>
      <c r="U261" s="180">
        <v>1.06155262350414</v>
      </c>
      <c r="V261" s="180">
        <v>0.38</v>
      </c>
      <c r="W261" s="180"/>
      <c r="X261" s="68"/>
      <c r="Y261" s="180"/>
      <c r="Z261" s="180"/>
      <c r="AA261" s="180"/>
      <c r="AB261" s="180"/>
      <c r="AC261" s="179"/>
      <c r="AD261" s="181"/>
      <c r="AE261" s="180"/>
    </row>
    <row r="262" ht="21.25" customHeight="1">
      <c r="A262" t="s" s="8">
        <v>535</v>
      </c>
      <c r="B262" t="s" s="177">
        <v>971</v>
      </c>
      <c r="C262" s="178">
        <v>30</v>
      </c>
      <c r="D262" t="s" s="177">
        <v>924</v>
      </c>
      <c r="E262" s="68">
        <v>78.9196428571429</v>
      </c>
      <c r="F262" s="179">
        <v>16.5411890618393</v>
      </c>
      <c r="G262" s="180">
        <v>0.185741747934294</v>
      </c>
      <c r="H262" s="180">
        <v>0.294588266447701</v>
      </c>
      <c r="I262" s="180">
        <v>0.480330014381995</v>
      </c>
      <c r="J262" s="180">
        <v>1.62350768492377</v>
      </c>
      <c r="K262" s="180">
        <v>0.0473180293093934</v>
      </c>
      <c r="L262" s="180">
        <v>0.08507679442587331</v>
      </c>
      <c r="M262" s="180">
        <v>0.0239503368807326</v>
      </c>
      <c r="N262" s="180">
        <v>0.0380620062107965</v>
      </c>
      <c r="O262" s="180">
        <v>0.783295040202079</v>
      </c>
      <c r="P262" s="180">
        <v>2.12663951411078</v>
      </c>
      <c r="Q262" s="180">
        <v>0.00953148558264872</v>
      </c>
      <c r="R262" s="180">
        <v>0.278356510194679</v>
      </c>
      <c r="S262" s="180">
        <v>0.028701159876866</v>
      </c>
      <c r="T262" s="180">
        <v>9.366701202768089</v>
      </c>
      <c r="U262" s="180">
        <v>7.23407977263584</v>
      </c>
      <c r="V262" s="180">
        <v>0.564232563314099</v>
      </c>
      <c r="W262" s="180"/>
      <c r="X262" s="68"/>
      <c r="Y262" s="179"/>
      <c r="Z262" s="179"/>
      <c r="AA262" s="179"/>
      <c r="AB262" s="179"/>
      <c r="AC262" s="179"/>
      <c r="AD262" s="181"/>
      <c r="AE262" s="180"/>
    </row>
    <row r="263" ht="21.25" customHeight="1">
      <c r="A263" t="s" s="8">
        <v>467</v>
      </c>
      <c r="B263" t="s" s="177">
        <v>960</v>
      </c>
      <c r="C263" s="178">
        <v>25</v>
      </c>
      <c r="D263" t="s" s="177">
        <v>926</v>
      </c>
      <c r="E263" s="68">
        <v>79.42</v>
      </c>
      <c r="F263" s="179">
        <v>15.9991238602388</v>
      </c>
      <c r="G263" s="180">
        <v>0.235515296938009</v>
      </c>
      <c r="H263" s="180">
        <v>0.244222955788699</v>
      </c>
      <c r="I263" s="180">
        <v>0.479738252726707</v>
      </c>
      <c r="J263" s="180">
        <v>1.69164994774891</v>
      </c>
      <c r="K263" s="180">
        <v>0.072922062068264</v>
      </c>
      <c r="L263" s="180">
        <v>0.151118367380585</v>
      </c>
      <c r="M263" s="180">
        <v>4.60936961332246e-05</v>
      </c>
      <c r="N263" s="180">
        <v>5.68417743279712e-05</v>
      </c>
      <c r="O263" s="180">
        <v>0.444979227446966</v>
      </c>
      <c r="P263" s="180">
        <v>1.16865028719695</v>
      </c>
      <c r="Q263" s="180">
        <v>-0.0752517843680655</v>
      </c>
      <c r="R263" s="180">
        <v>0.237797149757412</v>
      </c>
      <c r="S263" s="180">
        <v>0.0275980480036294</v>
      </c>
      <c r="T263" s="180">
        <v>0.112528069819993</v>
      </c>
      <c r="U263" s="180">
        <v>0.117664303555073</v>
      </c>
      <c r="V263" s="180">
        <v>0.488843605763796</v>
      </c>
      <c r="W263" s="180"/>
      <c r="X263" s="68"/>
      <c r="Y263" s="179"/>
      <c r="Z263" s="179"/>
      <c r="AA263" s="179"/>
      <c r="AB263" s="179"/>
      <c r="AC263" s="179"/>
      <c r="AD263" s="181"/>
      <c r="AE263" s="180"/>
    </row>
    <row r="264" ht="21.25" customHeight="1">
      <c r="A264" t="s" s="8">
        <v>512</v>
      </c>
      <c r="B264" t="s" s="177">
        <v>953</v>
      </c>
      <c r="C264" s="182">
        <v>31</v>
      </c>
      <c r="D264" t="s" s="177">
        <v>959</v>
      </c>
      <c r="E264" s="68">
        <v>80.49035714285711</v>
      </c>
      <c r="F264" s="179">
        <v>16.1211501967687</v>
      </c>
      <c r="G264" s="180">
        <v>0.124980674984248</v>
      </c>
      <c r="H264" s="180">
        <v>0.352345749199043</v>
      </c>
      <c r="I264" s="180">
        <v>0.47732642418329</v>
      </c>
      <c r="J264" s="180">
        <v>1.35688995846465</v>
      </c>
      <c r="K264" s="180">
        <v>0.0174230182062111</v>
      </c>
      <c r="L264" s="180">
        <v>0.104260392020963</v>
      </c>
      <c r="M264" s="180">
        <v>0.000737424186314528</v>
      </c>
      <c r="N264" s="180">
        <v>0.00142747918886122</v>
      </c>
      <c r="O264" s="180">
        <v>0.617388914548165</v>
      </c>
      <c r="P264" s="180">
        <v>0.953091336706316</v>
      </c>
      <c r="Q264" s="180">
        <v>-0.00695887063132545</v>
      </c>
      <c r="R264" s="180">
        <v>0.286103244133387</v>
      </c>
      <c r="S264" s="180">
        <v>0.0200619008766839</v>
      </c>
      <c r="T264" s="180">
        <v>2.82820723457833</v>
      </c>
      <c r="U264" s="180">
        <v>3.20534559223889</v>
      </c>
      <c r="V264" s="180">
        <v>0.468746576976644</v>
      </c>
      <c r="W264" s="180"/>
      <c r="X264" s="68"/>
      <c r="Y264" s="179"/>
      <c r="Z264" s="179"/>
      <c r="AA264" s="179"/>
      <c r="AB264" s="179"/>
      <c r="AC264" s="179"/>
      <c r="AD264" s="181"/>
      <c r="AE264" s="180"/>
    </row>
    <row r="265" ht="21.25" customHeight="1">
      <c r="A265" t="s" s="8">
        <v>336</v>
      </c>
      <c r="B265" t="s" s="177">
        <v>963</v>
      </c>
      <c r="C265" s="182">
        <v>32</v>
      </c>
      <c r="D265" t="s" s="177">
        <v>927</v>
      </c>
      <c r="E265" s="68">
        <v>76.7</v>
      </c>
      <c r="F265" s="179">
        <v>21.4842038893406</v>
      </c>
      <c r="G265" s="180">
        <v>0.124173269954663</v>
      </c>
      <c r="H265" s="180">
        <v>0.352274442619382</v>
      </c>
      <c r="I265" s="180">
        <v>0.476447712574045</v>
      </c>
      <c r="J265" s="180">
        <v>1.75763674631611</v>
      </c>
      <c r="K265" s="180">
        <v>0.0217573030627396</v>
      </c>
      <c r="L265" s="180">
        <v>0.111122684928227</v>
      </c>
      <c r="M265" s="180">
        <v>0.000470482404788185</v>
      </c>
      <c r="N265" s="180">
        <v>0.00181598985224521</v>
      </c>
      <c r="O265" s="180">
        <v>1.31975954899439</v>
      </c>
      <c r="P265" s="180">
        <v>1.7996243867141</v>
      </c>
      <c r="Q265" s="180">
        <v>0.0767872271108417</v>
      </c>
      <c r="R265" s="180">
        <v>0.451288008635276</v>
      </c>
      <c r="S265" s="180">
        <v>0.0222794650796489</v>
      </c>
      <c r="T265" s="180">
        <v>0</v>
      </c>
      <c r="U265" s="180">
        <v>0</v>
      </c>
      <c r="V265" s="180">
        <v>0</v>
      </c>
      <c r="W265" s="180"/>
      <c r="X265" s="68"/>
      <c r="Y265" s="179"/>
      <c r="Z265" s="179"/>
      <c r="AA265" s="179"/>
      <c r="AB265" s="179"/>
      <c r="AC265" s="179"/>
      <c r="AD265" s="181"/>
      <c r="AE265" s="180"/>
    </row>
    <row r="266" ht="21.25" customHeight="1">
      <c r="A266" t="s" s="8">
        <v>488</v>
      </c>
      <c r="B266" t="s" s="177">
        <v>956</v>
      </c>
      <c r="C266" s="182">
        <v>29</v>
      </c>
      <c r="D266" t="s" s="177">
        <v>925</v>
      </c>
      <c r="E266" s="68">
        <v>76.7</v>
      </c>
      <c r="F266" s="179">
        <v>16.1587729707524</v>
      </c>
      <c r="G266" s="180">
        <v>0.187242375474191</v>
      </c>
      <c r="H266" s="180">
        <v>0.287992626912078</v>
      </c>
      <c r="I266" s="180">
        <v>0.47523500238627</v>
      </c>
      <c r="J266" s="180">
        <v>2.14265767933657</v>
      </c>
      <c r="K266" s="180">
        <v>0.0411209934532462</v>
      </c>
      <c r="L266" s="180">
        <v>0.0657810767731387</v>
      </c>
      <c r="M266" s="180">
        <v>0.00446570068207651</v>
      </c>
      <c r="N266" s="180">
        <v>0.00890001865940882</v>
      </c>
      <c r="O266" s="180">
        <v>0.570707135607151</v>
      </c>
      <c r="P266" s="180">
        <v>0.598458472346178</v>
      </c>
      <c r="Q266" s="180">
        <v>0.0253976795333322</v>
      </c>
      <c r="R266" s="180">
        <v>0.212122474574323</v>
      </c>
      <c r="S266" s="180">
        <v>0.0292104373082862</v>
      </c>
      <c r="T266" s="180">
        <v>0.102949815230131</v>
      </c>
      <c r="U266" s="180">
        <v>0.125448891408083</v>
      </c>
      <c r="V266" s="180">
        <v>0.450746051698117</v>
      </c>
      <c r="W266" s="180"/>
      <c r="X266" s="68"/>
      <c r="Y266" s="179"/>
      <c r="Z266" s="179"/>
      <c r="AA266" s="179"/>
      <c r="AB266" s="179"/>
      <c r="AC266" s="179"/>
      <c r="AD266" s="181"/>
      <c r="AE266" s="180"/>
    </row>
    <row r="267" ht="21.25" customHeight="1">
      <c r="A267" t="s" s="8">
        <v>596</v>
      </c>
      <c r="B267" t="s" s="177">
        <v>946</v>
      </c>
      <c r="C267" s="182">
        <v>30</v>
      </c>
      <c r="D267" t="s" s="177">
        <v>924</v>
      </c>
      <c r="E267" s="68">
        <v>75.7871428571429</v>
      </c>
      <c r="F267" s="179">
        <v>15.8398625</v>
      </c>
      <c r="G267" s="180">
        <v>0.189621949648563</v>
      </c>
      <c r="H267" s="180">
        <v>0.2837367277548</v>
      </c>
      <c r="I267" s="180">
        <v>0.473358677403363</v>
      </c>
      <c r="J267" s="180">
        <v>1.65070916157412</v>
      </c>
      <c r="K267" s="180">
        <v>0.0185052074889357</v>
      </c>
      <c r="L267" s="180">
        <v>0.0340163121498845</v>
      </c>
      <c r="M267" s="180">
        <v>0.0146000551063752</v>
      </c>
      <c r="N267" s="180">
        <v>0.0333406025788982</v>
      </c>
      <c r="O267" s="180">
        <v>0.609439739921234</v>
      </c>
      <c r="P267" s="180">
        <v>0.614418974718523</v>
      </c>
      <c r="Q267" s="180">
        <v>0.0252882192041334</v>
      </c>
      <c r="R267" s="180">
        <v>0.168596833058151</v>
      </c>
      <c r="S267" s="180">
        <v>0.0304488129812563</v>
      </c>
      <c r="T267" s="180">
        <v>6.02526021174723</v>
      </c>
      <c r="U267" s="180">
        <v>6.06715044366404</v>
      </c>
      <c r="V267" s="180">
        <v>0.498267912283559</v>
      </c>
      <c r="W267" s="180"/>
      <c r="X267" s="68"/>
      <c r="Y267" s="179"/>
      <c r="Z267" s="179"/>
      <c r="AA267" s="179"/>
      <c r="AB267" s="179"/>
      <c r="AC267" s="179"/>
      <c r="AD267" s="181"/>
      <c r="AE267" s="180"/>
    </row>
    <row r="268" ht="21.25" customHeight="1">
      <c r="A268" t="s" s="8">
        <v>324</v>
      </c>
      <c r="B268" t="s" s="177">
        <v>945</v>
      </c>
      <c r="C268" s="178">
        <v>31</v>
      </c>
      <c r="D268" t="s" s="177">
        <v>927</v>
      </c>
      <c r="E268" s="68">
        <v>77.8282142857143</v>
      </c>
      <c r="F268" s="179">
        <v>19.1688373827773</v>
      </c>
      <c r="G268" s="180">
        <v>0.0972826065233327</v>
      </c>
      <c r="H268" s="180">
        <v>0.373875542682372</v>
      </c>
      <c r="I268" s="180">
        <v>0.471158149205705</v>
      </c>
      <c r="J268" s="180">
        <v>1.55882597836552</v>
      </c>
      <c r="K268" s="180">
        <v>0.0188309134403729</v>
      </c>
      <c r="L268" s="180">
        <v>0.157408323208683</v>
      </c>
      <c r="M268" s="180">
        <v>5.02484704314123e-05</v>
      </c>
      <c r="N268" s="180">
        <v>0.00018898439036715</v>
      </c>
      <c r="O268" s="180">
        <v>1.14926440326314</v>
      </c>
      <c r="P268" s="180">
        <v>0.89246833549567</v>
      </c>
      <c r="Q268" s="180">
        <v>0.0168814444088257</v>
      </c>
      <c r="R268" s="180">
        <v>0.436711511547111</v>
      </c>
      <c r="S268" s="180">
        <v>0.0156284248806485</v>
      </c>
      <c r="T268" s="180">
        <v>0</v>
      </c>
      <c r="U268" s="180">
        <v>0</v>
      </c>
      <c r="V268" s="180">
        <v>0</v>
      </c>
      <c r="W268" s="180"/>
      <c r="X268" s="68"/>
      <c r="Y268" s="179"/>
      <c r="Z268" s="179"/>
      <c r="AA268" s="179"/>
      <c r="AB268" s="179"/>
      <c r="AC268" s="179"/>
      <c r="AD268" s="181"/>
      <c r="AE268" s="180"/>
    </row>
    <row r="269" ht="21.25" customHeight="1">
      <c r="A269" t="s" s="8">
        <v>501</v>
      </c>
      <c r="B269" t="s" s="177">
        <v>974</v>
      </c>
      <c r="C269" s="178">
        <v>32</v>
      </c>
      <c r="D269" t="s" s="177">
        <v>944</v>
      </c>
      <c r="E269" s="68">
        <v>80.32642857142859</v>
      </c>
      <c r="F269" s="179">
        <v>14.4734531789996</v>
      </c>
      <c r="G269" s="180">
        <v>0.198660675514929</v>
      </c>
      <c r="H269" s="180">
        <v>0.272406568970371</v>
      </c>
      <c r="I269" s="180">
        <v>0.4710672444853</v>
      </c>
      <c r="J269" s="180">
        <v>1.75159215651928</v>
      </c>
      <c r="K269" s="180">
        <v>0.0192063070918038</v>
      </c>
      <c r="L269" s="180">
        <v>0.0605864431053954</v>
      </c>
      <c r="M269" s="180">
        <v>0</v>
      </c>
      <c r="N269" s="180">
        <v>0</v>
      </c>
      <c r="O269" s="180">
        <v>0.36106424820063</v>
      </c>
      <c r="P269" s="180">
        <v>0.867140197609533</v>
      </c>
      <c r="Q269" s="180">
        <v>0.023572841464131</v>
      </c>
      <c r="R269" s="180">
        <v>0.306891420537791</v>
      </c>
      <c r="S269" s="180"/>
      <c r="T269" s="180">
        <v>0.208590767707605</v>
      </c>
      <c r="U269" s="180">
        <v>0.315334723199985</v>
      </c>
      <c r="V269" s="180">
        <v>0.398130595528508</v>
      </c>
      <c r="W269" s="180"/>
      <c r="X269" s="68"/>
      <c r="Y269" s="179"/>
      <c r="Z269" s="179"/>
      <c r="AA269" s="179"/>
      <c r="AB269" s="179"/>
      <c r="AC269" s="179"/>
      <c r="AD269" s="181"/>
      <c r="AE269" s="180"/>
    </row>
    <row r="270" ht="21.25" customHeight="1">
      <c r="A270" t="s" s="8">
        <v>494</v>
      </c>
      <c r="B270" t="s" s="177">
        <v>942</v>
      </c>
      <c r="C270" s="178">
        <v>31</v>
      </c>
      <c r="D270" t="s" s="177">
        <v>925</v>
      </c>
      <c r="E270" s="68">
        <v>80.0782142857143</v>
      </c>
      <c r="F270" s="179">
        <v>15.7947745426829</v>
      </c>
      <c r="G270" s="180">
        <v>0.206241630513501</v>
      </c>
      <c r="H270" s="180">
        <v>0.263323114780067</v>
      </c>
      <c r="I270" s="180">
        <v>0.469564745293568</v>
      </c>
      <c r="J270" s="180">
        <v>1.87711457681618</v>
      </c>
      <c r="K270" s="180">
        <v>0.0248407899938943</v>
      </c>
      <c r="L270" s="180">
        <v>0.0772272344804857</v>
      </c>
      <c r="M270" s="180">
        <v>0.00968111737361004</v>
      </c>
      <c r="N270" s="180">
        <v>0.0112392404126433</v>
      </c>
      <c r="O270" s="180">
        <v>0.513893297401372</v>
      </c>
      <c r="P270" s="180">
        <v>0.731929352893974</v>
      </c>
      <c r="Q270" s="180">
        <v>0.00120375965308698</v>
      </c>
      <c r="R270" s="180">
        <v>0.280708868450516</v>
      </c>
      <c r="S270" s="180">
        <v>0.0322768900927641</v>
      </c>
      <c r="T270" s="180">
        <v>0.195319638328774</v>
      </c>
      <c r="U270" s="180">
        <v>0.246686151972506</v>
      </c>
      <c r="V270" s="180">
        <v>0.441893845317367</v>
      </c>
      <c r="W270" s="180"/>
      <c r="X270" s="68"/>
      <c r="Y270" s="179"/>
      <c r="Z270" s="179"/>
      <c r="AA270" s="179"/>
      <c r="AB270" s="179"/>
      <c r="AC270" s="179"/>
      <c r="AD270" s="181"/>
      <c r="AE270" s="180"/>
    </row>
    <row r="271" ht="21.25" customHeight="1">
      <c r="A271" t="s" s="8">
        <v>328</v>
      </c>
      <c r="B271" t="s" s="177">
        <v>967</v>
      </c>
      <c r="C271" s="178">
        <v>19</v>
      </c>
      <c r="D271" t="s" s="177">
        <v>927</v>
      </c>
      <c r="E271" s="68">
        <v>74</v>
      </c>
      <c r="F271" s="179">
        <v>20</v>
      </c>
      <c r="G271" s="180">
        <v>0.142709230468852</v>
      </c>
      <c r="H271" s="180">
        <v>0.32674243123436</v>
      </c>
      <c r="I271" s="180">
        <v>0.469451661703212</v>
      </c>
      <c r="J271" s="180">
        <v>2.20135270627957</v>
      </c>
      <c r="K271" s="180">
        <v>0.0311332136234067</v>
      </c>
      <c r="L271" s="180">
        <v>0.102414811022748</v>
      </c>
      <c r="M271" s="180">
        <v>0</v>
      </c>
      <c r="N271" s="180">
        <v>0</v>
      </c>
      <c r="O271" s="180">
        <v>1.29268292682927</v>
      </c>
      <c r="P271" s="180">
        <v>1.26463414634146</v>
      </c>
      <c r="Q271" s="180">
        <v>0.0098780487804878</v>
      </c>
      <c r="R271" s="180">
        <v>0.432926829268293</v>
      </c>
      <c r="S271" s="180">
        <v>0.0136805386235024</v>
      </c>
      <c r="T271" s="180">
        <v>0</v>
      </c>
      <c r="U271" s="180">
        <v>0</v>
      </c>
      <c r="V271" s="180">
        <v>0</v>
      </c>
      <c r="W271" s="180"/>
      <c r="X271" s="68"/>
      <c r="Y271" s="180"/>
      <c r="Z271" s="180"/>
      <c r="AA271" s="180"/>
      <c r="AB271" s="180"/>
      <c r="AC271" s="179"/>
      <c r="AD271" s="181"/>
      <c r="AE271" s="180"/>
    </row>
    <row r="272" ht="21.25" customHeight="1">
      <c r="A272" t="s" s="8">
        <v>321</v>
      </c>
      <c r="B272" t="s" s="177">
        <v>968</v>
      </c>
      <c r="C272" s="182">
        <v>32</v>
      </c>
      <c r="D272" t="s" s="177">
        <v>927</v>
      </c>
      <c r="E272" s="68">
        <v>81.325</v>
      </c>
      <c r="F272" s="179">
        <v>18.2257649674947</v>
      </c>
      <c r="G272" s="180">
        <v>0.0970859383538496</v>
      </c>
      <c r="H272" s="180">
        <v>0.371269525600377</v>
      </c>
      <c r="I272" s="180">
        <v>0.468355463954227</v>
      </c>
      <c r="J272" s="180">
        <v>1.7735817140361</v>
      </c>
      <c r="K272" s="180">
        <v>0.0262263384459624</v>
      </c>
      <c r="L272" s="180">
        <v>0.187018297615578</v>
      </c>
      <c r="M272" s="180">
        <v>0.000176324523763933</v>
      </c>
      <c r="N272" s="180">
        <v>0.0049124636875454</v>
      </c>
      <c r="O272" s="180">
        <v>1.03421952826302</v>
      </c>
      <c r="P272" s="180">
        <v>0.734329426870905</v>
      </c>
      <c r="Q272" s="180">
        <v>-0.0221432656102406</v>
      </c>
      <c r="R272" s="180">
        <v>0.318951992199033</v>
      </c>
      <c r="S272" s="180">
        <v>0.0141770861927996</v>
      </c>
      <c r="T272" s="180">
        <v>0</v>
      </c>
      <c r="U272" s="180">
        <v>0</v>
      </c>
      <c r="V272" s="180">
        <v>0</v>
      </c>
      <c r="W272" s="180"/>
      <c r="X272" s="68"/>
      <c r="Y272" s="179"/>
      <c r="Z272" s="179"/>
      <c r="AA272" s="179"/>
      <c r="AB272" s="179"/>
      <c r="AC272" s="179"/>
      <c r="AD272" s="181"/>
      <c r="AE272" s="180"/>
    </row>
    <row r="273" ht="21.25" customHeight="1">
      <c r="A273" t="s" s="8">
        <v>587</v>
      </c>
      <c r="B273" t="s" s="177">
        <v>960</v>
      </c>
      <c r="C273" s="178">
        <v>33</v>
      </c>
      <c r="D273" t="s" s="177">
        <v>924</v>
      </c>
      <c r="E273" s="68">
        <v>69.5685714285714</v>
      </c>
      <c r="F273" s="179">
        <v>15.7077322791556</v>
      </c>
      <c r="G273" s="180">
        <v>0.177333546995591</v>
      </c>
      <c r="H273" s="180">
        <v>0.290810127679333</v>
      </c>
      <c r="I273" s="180">
        <v>0.468143674674924</v>
      </c>
      <c r="J273" s="180">
        <v>1.98266775189266</v>
      </c>
      <c r="K273" s="180">
        <v>0.0415707753875962</v>
      </c>
      <c r="L273" s="180">
        <v>0.110640987850279</v>
      </c>
      <c r="M273" s="180">
        <v>0.000266270033713373</v>
      </c>
      <c r="N273" s="180">
        <v>0.000501458659531004</v>
      </c>
      <c r="O273" s="180">
        <v>0.41634248105505</v>
      </c>
      <c r="P273" s="180">
        <v>1.0034361391916</v>
      </c>
      <c r="Q273" s="180">
        <v>-0.0971441150251983</v>
      </c>
      <c r="R273" s="180">
        <v>0.348499310785027</v>
      </c>
      <c r="S273" s="180">
        <v>0.0207802202500944</v>
      </c>
      <c r="T273" s="180">
        <v>1.3765035254226</v>
      </c>
      <c r="U273" s="180">
        <v>1.17863092037993</v>
      </c>
      <c r="V273" s="180">
        <v>0.538720585792995</v>
      </c>
      <c r="W273" s="180"/>
      <c r="X273" s="68"/>
      <c r="Y273" s="179"/>
      <c r="Z273" s="179"/>
      <c r="AA273" s="179"/>
      <c r="AB273" s="179"/>
      <c r="AC273" s="179"/>
      <c r="AD273" s="181"/>
      <c r="AE273" s="180"/>
    </row>
    <row r="274" ht="21.25" customHeight="1">
      <c r="A274" t="s" s="8">
        <v>550</v>
      </c>
      <c r="B274" t="s" s="177">
        <v>955</v>
      </c>
      <c r="C274" s="178">
        <v>27</v>
      </c>
      <c r="D274" t="s" s="177">
        <v>926</v>
      </c>
      <c r="E274" s="68">
        <v>76.4346428571429</v>
      </c>
      <c r="F274" s="179">
        <v>13.9940849690036</v>
      </c>
      <c r="G274" s="180">
        <v>0.188236261629656</v>
      </c>
      <c r="H274" s="180">
        <v>0.275878632423565</v>
      </c>
      <c r="I274" s="180">
        <v>0.464114894053221</v>
      </c>
      <c r="J274" s="180">
        <v>1.68805116465293</v>
      </c>
      <c r="K274" s="180">
        <v>0.0217917427399538</v>
      </c>
      <c r="L274" s="180">
        <v>0.06468425789582601</v>
      </c>
      <c r="M274" s="180">
        <v>0.0104084193516282</v>
      </c>
      <c r="N274" s="180">
        <v>0.0120191853506547</v>
      </c>
      <c r="O274" s="180">
        <v>0.315839841573533</v>
      </c>
      <c r="P274" s="180">
        <v>1.44020709310144</v>
      </c>
      <c r="Q274" s="180">
        <v>-0.0537857402564921</v>
      </c>
      <c r="R274" s="180">
        <v>0.251730474206534</v>
      </c>
      <c r="S274" s="180">
        <v>0.021660860823956</v>
      </c>
      <c r="T274" s="180">
        <v>0.300375169188743</v>
      </c>
      <c r="U274" s="180">
        <v>0.601415564412052</v>
      </c>
      <c r="V274" s="180">
        <v>0.333087442570366</v>
      </c>
      <c r="W274" s="180"/>
      <c r="X274" s="68"/>
      <c r="Y274" s="179"/>
      <c r="Z274" s="179"/>
      <c r="AA274" s="179"/>
      <c r="AB274" s="179"/>
      <c r="AC274" s="179"/>
      <c r="AD274" s="181"/>
      <c r="AE274" s="180"/>
    </row>
    <row r="275" ht="21.25" customHeight="1">
      <c r="A275" t="s" s="8">
        <v>425</v>
      </c>
      <c r="B275" t="s" s="177">
        <v>967</v>
      </c>
      <c r="C275" s="178">
        <v>29</v>
      </c>
      <c r="D275" t="s" s="177">
        <v>940</v>
      </c>
      <c r="E275" s="68">
        <v>80.34</v>
      </c>
      <c r="F275" s="179">
        <v>15.2412928125782</v>
      </c>
      <c r="G275" s="180">
        <v>0.249643730909287</v>
      </c>
      <c r="H275" s="180">
        <v>0.21428246307465</v>
      </c>
      <c r="I275" s="180">
        <v>0.463926193983937</v>
      </c>
      <c r="J275" s="180">
        <v>2.54018790624866</v>
      </c>
      <c r="K275" s="180">
        <v>0.0424415771048038</v>
      </c>
      <c r="L275" s="180">
        <v>0.0836981157853367</v>
      </c>
      <c r="M275" s="180">
        <v>0.00171964868911806</v>
      </c>
      <c r="N275" s="180">
        <v>0.00314587117340278</v>
      </c>
      <c r="O275" s="180">
        <v>0.709954514577037</v>
      </c>
      <c r="P275" s="180">
        <v>1.01264382251549</v>
      </c>
      <c r="Q275" s="180">
        <v>-0.127635143122374</v>
      </c>
      <c r="R275" s="180">
        <v>0.404472714436523</v>
      </c>
      <c r="S275" s="180">
        <v>0.0239316033840233</v>
      </c>
      <c r="T275" s="180">
        <v>0.0920197152481137</v>
      </c>
      <c r="U275" s="180">
        <v>0.142018194445949</v>
      </c>
      <c r="V275" s="180">
        <v>0.393182947875424</v>
      </c>
      <c r="W275" s="180"/>
      <c r="X275" s="68"/>
      <c r="Y275" s="179"/>
      <c r="Z275" s="179"/>
      <c r="AA275" s="179"/>
      <c r="AB275" s="179"/>
      <c r="AC275" s="179"/>
      <c r="AD275" s="181"/>
      <c r="AE275" s="180"/>
    </row>
    <row r="276" ht="21.25" customHeight="1">
      <c r="A276" t="s" s="8">
        <v>554</v>
      </c>
      <c r="B276" t="s" s="177">
        <v>942</v>
      </c>
      <c r="C276" s="178">
        <v>26</v>
      </c>
      <c r="D276" t="s" s="177">
        <v>925</v>
      </c>
      <c r="E276" s="68">
        <v>74.8239285714286</v>
      </c>
      <c r="F276" s="179">
        <v>16.8118233024544</v>
      </c>
      <c r="G276" s="180">
        <v>0.218389868167867</v>
      </c>
      <c r="H276" s="180">
        <v>0.244248831026726</v>
      </c>
      <c r="I276" s="180">
        <v>0.462638699194593</v>
      </c>
      <c r="J276" s="180">
        <v>1.77463660544202</v>
      </c>
      <c r="K276" s="180">
        <v>0.0297435763910454</v>
      </c>
      <c r="L276" s="180">
        <v>0.0612198858043834</v>
      </c>
      <c r="M276" s="180">
        <v>0.00704090863860126</v>
      </c>
      <c r="N276" s="180">
        <v>0.0163452123049948</v>
      </c>
      <c r="O276" s="180">
        <v>0.818803997776633</v>
      </c>
      <c r="P276" s="180">
        <v>3.86451520745224</v>
      </c>
      <c r="Q276" s="180">
        <v>-5.29324322036478e-06</v>
      </c>
      <c r="R276" s="180">
        <v>1.2470330876261</v>
      </c>
      <c r="S276" s="180">
        <v>0.0341780936985273</v>
      </c>
      <c r="T276" s="180">
        <v>0.145837831677396</v>
      </c>
      <c r="U276" s="180">
        <v>0.200246360706794</v>
      </c>
      <c r="V276" s="180">
        <v>0.421394085273623</v>
      </c>
      <c r="W276" s="180"/>
      <c r="X276" s="68"/>
      <c r="Y276" s="179"/>
      <c r="Z276" s="179"/>
      <c r="AA276" s="179"/>
      <c r="AB276" s="179"/>
      <c r="AC276" s="179"/>
      <c r="AD276" s="181"/>
      <c r="AE276" s="180"/>
    </row>
    <row r="277" ht="21.25" customHeight="1">
      <c r="A277" t="s" s="8">
        <v>376</v>
      </c>
      <c r="B277" t="s" s="177">
        <v>970</v>
      </c>
      <c r="C277" s="178">
        <v>22</v>
      </c>
      <c r="D277" t="s" s="177">
        <v>927</v>
      </c>
      <c r="E277" s="68">
        <v>70.41</v>
      </c>
      <c r="F277" s="179">
        <v>21.6064706247023</v>
      </c>
      <c r="G277" s="180">
        <v>0.0779249632473845</v>
      </c>
      <c r="H277" s="180">
        <v>0.38362099106878</v>
      </c>
      <c r="I277" s="180">
        <v>0.461545954316165</v>
      </c>
      <c r="J277" s="180">
        <v>1.15877716542765</v>
      </c>
      <c r="K277" s="180">
        <v>0.0200537803036091</v>
      </c>
      <c r="L277" s="180">
        <v>0.151820420094259</v>
      </c>
      <c r="M277" s="180">
        <v>0.000184574123592416</v>
      </c>
      <c r="N277" s="180">
        <v>0.00338581207132696</v>
      </c>
      <c r="O277" s="180">
        <v>1.39464320463767</v>
      </c>
      <c r="P277" s="180">
        <v>1.06961973242893</v>
      </c>
      <c r="Q277" s="180">
        <v>-0.0594441704138234</v>
      </c>
      <c r="R277" s="180">
        <v>0.380630011441322</v>
      </c>
      <c r="S277" s="180">
        <v>0.00915973986412482</v>
      </c>
      <c r="T277" s="180">
        <v>0</v>
      </c>
      <c r="U277" s="180">
        <v>0</v>
      </c>
      <c r="V277" s="180">
        <v>0</v>
      </c>
      <c r="W277" s="180"/>
      <c r="X277" s="68"/>
      <c r="Y277" s="179"/>
      <c r="Z277" s="179"/>
      <c r="AA277" s="179"/>
      <c r="AB277" s="179"/>
      <c r="AC277" s="179"/>
      <c r="AD277" s="181"/>
      <c r="AE277" s="180"/>
    </row>
    <row r="278" ht="21.25" customHeight="1">
      <c r="A278" t="s" s="8">
        <v>472</v>
      </c>
      <c r="B278" t="s" s="177">
        <v>973</v>
      </c>
      <c r="C278" s="178">
        <v>29</v>
      </c>
      <c r="D278" t="s" s="177">
        <v>926</v>
      </c>
      <c r="E278" s="68">
        <v>77.3492857142857</v>
      </c>
      <c r="F278" s="179">
        <v>16.7396779730271</v>
      </c>
      <c r="G278" s="180">
        <v>0.275327390243872</v>
      </c>
      <c r="H278" s="180">
        <v>0.185470588638449</v>
      </c>
      <c r="I278" s="180">
        <v>0.460797978882321</v>
      </c>
      <c r="J278" s="180">
        <v>2.25948349917218</v>
      </c>
      <c r="K278" s="180">
        <v>0.0339813079073046</v>
      </c>
      <c r="L278" s="180">
        <v>0.0489325552400289</v>
      </c>
      <c r="M278" s="180">
        <v>0.0159499931152677</v>
      </c>
      <c r="N278" s="180">
        <v>0.0177841539299852</v>
      </c>
      <c r="O278" s="180">
        <v>0.6378596525339501</v>
      </c>
      <c r="P278" s="180">
        <v>1.90800723515379</v>
      </c>
      <c r="Q278" s="180">
        <v>-0.101817604457147</v>
      </c>
      <c r="R278" s="180">
        <v>0.694620911241585</v>
      </c>
      <c r="S278" s="180">
        <v>0.0282051200592983</v>
      </c>
      <c r="T278" s="180">
        <v>0.276614358598389</v>
      </c>
      <c r="U278" s="180">
        <v>0.303413439555033</v>
      </c>
      <c r="V278" s="180">
        <v>0.476898451210476</v>
      </c>
      <c r="W278" s="180"/>
      <c r="X278" s="68"/>
      <c r="Y278" s="179"/>
      <c r="Z278" s="179"/>
      <c r="AA278" s="179"/>
      <c r="AB278" s="179"/>
      <c r="AC278" s="179"/>
      <c r="AD278" s="181"/>
      <c r="AE278" s="180"/>
    </row>
    <row r="279" ht="21.25" customHeight="1">
      <c r="A279" t="s" s="8">
        <v>396</v>
      </c>
      <c r="B279" t="s" s="177">
        <v>946</v>
      </c>
      <c r="C279" s="178">
        <v>23</v>
      </c>
      <c r="D279" t="s" s="177">
        <v>927</v>
      </c>
      <c r="E279" s="68">
        <v>64.63</v>
      </c>
      <c r="F279" s="179">
        <v>16.1527448932349</v>
      </c>
      <c r="G279" s="180">
        <v>0.0593998873415876</v>
      </c>
      <c r="H279" s="180">
        <v>0.400153221837007</v>
      </c>
      <c r="I279" s="180">
        <v>0.459553109178595</v>
      </c>
      <c r="J279" s="180">
        <v>1.2617991586641</v>
      </c>
      <c r="K279" s="180">
        <v>0.00704747500170926</v>
      </c>
      <c r="L279" s="180">
        <v>0.281704972697357</v>
      </c>
      <c r="M279" s="180">
        <v>7.00957204237762e-05</v>
      </c>
      <c r="N279" s="180">
        <v>0.000254344916127693</v>
      </c>
      <c r="O279" s="180">
        <v>0.748737244014295</v>
      </c>
      <c r="P279" s="180">
        <v>0.7021975087139</v>
      </c>
      <c r="Q279" s="180">
        <v>0.00242696001948591</v>
      </c>
      <c r="R279" s="180">
        <v>0.348538236532355</v>
      </c>
      <c r="S279" s="180">
        <v>0.009538220992473589</v>
      </c>
      <c r="T279" s="180">
        <v>0</v>
      </c>
      <c r="U279" s="180">
        <v>0</v>
      </c>
      <c r="V279" s="180">
        <v>0</v>
      </c>
      <c r="W279" s="180"/>
      <c r="X279" s="68"/>
      <c r="Y279" s="179"/>
      <c r="Z279" s="179"/>
      <c r="AA279" s="179"/>
      <c r="AB279" s="179"/>
      <c r="AC279" s="179"/>
      <c r="AD279" s="181"/>
      <c r="AE279" s="180"/>
    </row>
    <row r="280" ht="21.25" customHeight="1">
      <c r="A280" t="s" s="8">
        <v>584</v>
      </c>
      <c r="B280" t="s" s="177">
        <v>964</v>
      </c>
      <c r="C280" s="178">
        <v>25</v>
      </c>
      <c r="D280" t="s" s="177">
        <v>924</v>
      </c>
      <c r="E280" s="68">
        <v>79.6696428571429</v>
      </c>
      <c r="F280" s="179">
        <v>14.4639964659553</v>
      </c>
      <c r="G280" s="180">
        <v>0.216598151434176</v>
      </c>
      <c r="H280" s="180">
        <v>0.241209315345528</v>
      </c>
      <c r="I280" s="180">
        <v>0.457807466779704</v>
      </c>
      <c r="J280" s="180">
        <v>1.78111213577276</v>
      </c>
      <c r="K280" s="180">
        <v>0.00106747325887457</v>
      </c>
      <c r="L280" s="180">
        <v>0.00208239722117456</v>
      </c>
      <c r="M280" s="180">
        <v>0.0255783401641238</v>
      </c>
      <c r="N280" s="180">
        <v>0.0440096282228041</v>
      </c>
      <c r="O280" s="180">
        <v>0.495970646848111</v>
      </c>
      <c r="P280" s="180">
        <v>0.412265764607839</v>
      </c>
      <c r="Q280" s="180">
        <v>-0.00160119740356082</v>
      </c>
      <c r="R280" s="180">
        <v>0.196692097025513</v>
      </c>
      <c r="S280" s="180">
        <v>0.036193172071018</v>
      </c>
      <c r="T280" s="180">
        <v>0.474510905668718</v>
      </c>
      <c r="U280" s="180">
        <v>0.883851839533854</v>
      </c>
      <c r="V280" s="180">
        <v>0.349325618171275</v>
      </c>
      <c r="W280" s="180"/>
      <c r="X280" s="68"/>
      <c r="Y280" s="179"/>
      <c r="Z280" s="179"/>
      <c r="AA280" s="179"/>
      <c r="AB280" s="179"/>
      <c r="AC280" s="179"/>
      <c r="AD280" s="181"/>
      <c r="AE280" s="180"/>
    </row>
    <row r="281" ht="21.25" customHeight="1">
      <c r="A281" t="s" s="8">
        <v>561</v>
      </c>
      <c r="B281" t="s" s="177">
        <v>971</v>
      </c>
      <c r="C281" s="178">
        <v>27</v>
      </c>
      <c r="D281" t="s" s="177">
        <v>925</v>
      </c>
      <c r="E281" s="68">
        <v>78.36499999999999</v>
      </c>
      <c r="F281" s="179">
        <v>14.7148465475593</v>
      </c>
      <c r="G281" s="180">
        <v>0.223766181640785</v>
      </c>
      <c r="H281" s="180">
        <v>0.23069088567026</v>
      </c>
      <c r="I281" s="180">
        <v>0.454457067311045</v>
      </c>
      <c r="J281" s="180">
        <v>1.92238909511323</v>
      </c>
      <c r="K281" s="180">
        <v>0.0115662684343595</v>
      </c>
      <c r="L281" s="180">
        <v>0.0328542577038657</v>
      </c>
      <c r="M281" s="180">
        <v>0.00523196781343359</v>
      </c>
      <c r="N281" s="180">
        <v>0.008183910412213009</v>
      </c>
      <c r="O281" s="180">
        <v>0.159910420351578</v>
      </c>
      <c r="P281" s="180">
        <v>0.794089365143717</v>
      </c>
      <c r="Q281" s="180">
        <v>0.0233524830593852</v>
      </c>
      <c r="R281" s="180">
        <v>0.36910099353496</v>
      </c>
      <c r="S281" s="180">
        <v>0.0345767659975932</v>
      </c>
      <c r="T281" s="180">
        <v>0.644784605165698</v>
      </c>
      <c r="U281" s="180">
        <v>0.736622240533982</v>
      </c>
      <c r="V281" s="180">
        <v>0.466759381693317</v>
      </c>
      <c r="W281" s="180"/>
      <c r="X281" s="68"/>
      <c r="Y281" s="179"/>
      <c r="Z281" s="179"/>
      <c r="AA281" s="179"/>
      <c r="AB281" s="179"/>
      <c r="AC281" s="179"/>
      <c r="AD281" s="181"/>
      <c r="AE281" s="180"/>
    </row>
    <row r="282" ht="21.25" customHeight="1">
      <c r="A282" t="s" s="8">
        <v>314</v>
      </c>
      <c r="B282" t="s" s="177">
        <v>939</v>
      </c>
      <c r="C282" s="178">
        <v>28</v>
      </c>
      <c r="D282" t="s" s="177">
        <v>927</v>
      </c>
      <c r="E282" s="68">
        <v>80.5175</v>
      </c>
      <c r="F282" s="179">
        <v>21.8113857292839</v>
      </c>
      <c r="G282" s="180">
        <v>0.139854083280941</v>
      </c>
      <c r="H282" s="180">
        <v>0.314369953669899</v>
      </c>
      <c r="I282" s="180">
        <v>0.45422403695084</v>
      </c>
      <c r="J282" s="180">
        <v>2.26495926537612</v>
      </c>
      <c r="K282" s="180">
        <v>0.00318912827521612</v>
      </c>
      <c r="L282" s="180">
        <v>0.0386061613864945</v>
      </c>
      <c r="M282" s="180">
        <v>0.0180878368387637</v>
      </c>
      <c r="N282" s="180">
        <v>0.0227640749606066</v>
      </c>
      <c r="O282" s="180">
        <v>1.79169757167098</v>
      </c>
      <c r="P282" s="180">
        <v>1.812696364243</v>
      </c>
      <c r="Q282" s="180">
        <v>0.0784838093675112</v>
      </c>
      <c r="R282" s="180">
        <v>0.684307288445288</v>
      </c>
      <c r="S282" s="180">
        <v>0.0221373999626683</v>
      </c>
      <c r="T282" s="180">
        <v>0</v>
      </c>
      <c r="U282" s="180">
        <v>0</v>
      </c>
      <c r="V282" s="180">
        <v>0</v>
      </c>
      <c r="W282" s="180"/>
      <c r="X282" s="68"/>
      <c r="Y282" s="179"/>
      <c r="Z282" s="179"/>
      <c r="AA282" s="179"/>
      <c r="AB282" s="179"/>
      <c r="AC282" s="179"/>
      <c r="AD282" s="181"/>
      <c r="AE282" s="180"/>
    </row>
    <row r="283" ht="21.25" customHeight="1">
      <c r="A283" t="s" s="8">
        <v>660</v>
      </c>
      <c r="B283" t="s" s="177">
        <v>941</v>
      </c>
      <c r="C283" s="178">
        <v>28</v>
      </c>
      <c r="D283" t="s" s="177">
        <v>925</v>
      </c>
      <c r="E283" s="68">
        <v>69.41285714285711</v>
      </c>
      <c r="F283" s="179">
        <v>14.1667130705162</v>
      </c>
      <c r="G283" s="180">
        <v>0.0883872186403596</v>
      </c>
      <c r="H283" s="180">
        <v>0.361657701484188</v>
      </c>
      <c r="I283" s="180">
        <v>0.450044920124548</v>
      </c>
      <c r="J283" s="180">
        <v>1.31771958911213</v>
      </c>
      <c r="K283" s="180">
        <v>0.00669768395559233</v>
      </c>
      <c r="L283" s="180">
        <v>0.0817943746453248</v>
      </c>
      <c r="M283" s="180">
        <v>7.42662815606216e-05</v>
      </c>
      <c r="N283" s="180">
        <v>0.000141602240195261</v>
      </c>
      <c r="O283" s="180">
        <v>0.370752811110948</v>
      </c>
      <c r="P283" s="180">
        <v>0.660170917722111</v>
      </c>
      <c r="Q283" s="180">
        <v>0.037049694171735</v>
      </c>
      <c r="R283" s="180">
        <v>0.33379510132237</v>
      </c>
      <c r="S283" s="180">
        <v>0.0139841896961373</v>
      </c>
      <c r="T283" s="180">
        <v>2.30374396678368</v>
      </c>
      <c r="U283" s="180">
        <v>2.73378466045346</v>
      </c>
      <c r="V283" s="180">
        <v>0.457316302745694</v>
      </c>
      <c r="W283" s="180"/>
      <c r="X283" s="68"/>
      <c r="Y283" s="179"/>
      <c r="Z283" s="179"/>
      <c r="AA283" s="179"/>
      <c r="AB283" s="179"/>
      <c r="AC283" s="179"/>
      <c r="AD283" s="181"/>
      <c r="AE283" s="180"/>
    </row>
    <row r="284" ht="21.25" customHeight="1">
      <c r="A284" t="s" s="8">
        <v>514</v>
      </c>
      <c r="B284" t="s" s="177">
        <v>949</v>
      </c>
      <c r="C284" s="178">
        <v>34</v>
      </c>
      <c r="D284" t="s" s="177">
        <v>925</v>
      </c>
      <c r="E284" s="68">
        <v>78.30249999999999</v>
      </c>
      <c r="F284" s="179">
        <v>15.3075794547175</v>
      </c>
      <c r="G284" s="180">
        <v>0.212694757453204</v>
      </c>
      <c r="H284" s="180">
        <v>0.235943274176676</v>
      </c>
      <c r="I284" s="180">
        <v>0.448638031629879</v>
      </c>
      <c r="J284" s="180">
        <v>2.01831034680991</v>
      </c>
      <c r="K284" s="180">
        <v>0.0625517167190439</v>
      </c>
      <c r="L284" s="180">
        <v>0.0886423671619993</v>
      </c>
      <c r="M284" s="180">
        <v>2.99984971600366e-05</v>
      </c>
      <c r="N284" s="180">
        <v>5.52153315741427e-05</v>
      </c>
      <c r="O284" s="180">
        <v>0.333307665571744</v>
      </c>
      <c r="P284" s="180">
        <v>0.462540544436637</v>
      </c>
      <c r="Q284" s="180">
        <v>0.0493140190476782</v>
      </c>
      <c r="R284" s="180">
        <v>0.349797635344513</v>
      </c>
      <c r="S284" s="180">
        <v>0.0357072640753512</v>
      </c>
      <c r="T284" s="180">
        <v>0.11509279896904</v>
      </c>
      <c r="U284" s="180">
        <v>0.132648645375371</v>
      </c>
      <c r="V284" s="180">
        <v>0.464568208494974</v>
      </c>
      <c r="W284" s="180"/>
      <c r="X284" s="68"/>
      <c r="Y284" s="179"/>
      <c r="Z284" s="179"/>
      <c r="AA284" s="179"/>
      <c r="AB284" s="179"/>
      <c r="AC284" s="179"/>
      <c r="AD284" s="181"/>
      <c r="AE284" s="180"/>
    </row>
    <row r="285" ht="21.25" customHeight="1">
      <c r="A285" t="s" s="8">
        <v>626</v>
      </c>
      <c r="B285" t="s" s="177">
        <v>960</v>
      </c>
      <c r="C285" s="178">
        <v>24</v>
      </c>
      <c r="D285" t="s" s="177">
        <v>924</v>
      </c>
      <c r="E285" s="68">
        <v>73.375</v>
      </c>
      <c r="F285" s="179">
        <v>14.2358377558798</v>
      </c>
      <c r="G285" s="180">
        <v>0.226794008034617</v>
      </c>
      <c r="H285" s="180">
        <v>0.22150036522042</v>
      </c>
      <c r="I285" s="180">
        <v>0.448294373255037</v>
      </c>
      <c r="J285" s="180">
        <v>1.74561943196837</v>
      </c>
      <c r="K285" s="180">
        <v>0.00651435518080918</v>
      </c>
      <c r="L285" s="180">
        <v>0.0166319312514555</v>
      </c>
      <c r="M285" s="180">
        <v>0.00351231737535091</v>
      </c>
      <c r="N285" s="180">
        <v>0.00647783665612</v>
      </c>
      <c r="O285" s="180">
        <v>0.5326420857274951</v>
      </c>
      <c r="P285" s="180">
        <v>0.750975523433641</v>
      </c>
      <c r="Q285" s="180">
        <v>-0.06638833649357891</v>
      </c>
      <c r="R285" s="180">
        <v>0.300525507200363</v>
      </c>
      <c r="S285" s="180">
        <v>0.0265760738349083</v>
      </c>
      <c r="T285" s="180">
        <v>6.14546834690912</v>
      </c>
      <c r="U285" s="180">
        <v>5.65662427385952</v>
      </c>
      <c r="V285" s="180">
        <v>0.520710059171598</v>
      </c>
      <c r="W285" s="180"/>
      <c r="X285" s="68"/>
      <c r="Y285" s="179"/>
      <c r="Z285" s="179"/>
      <c r="AA285" s="179"/>
      <c r="AB285" s="179"/>
      <c r="AC285" s="179"/>
      <c r="AD285" s="181"/>
      <c r="AE285" s="180"/>
    </row>
    <row r="286" ht="21.25" customHeight="1">
      <c r="A286" t="s" s="8">
        <v>526</v>
      </c>
      <c r="B286" t="s" s="177">
        <v>972</v>
      </c>
      <c r="C286" s="178">
        <v>24</v>
      </c>
      <c r="D286" t="s" s="177">
        <v>926</v>
      </c>
      <c r="E286" s="68">
        <v>73</v>
      </c>
      <c r="F286" s="179">
        <v>14.1531691711759</v>
      </c>
      <c r="G286" s="180">
        <v>0.232202961474567</v>
      </c>
      <c r="H286" s="180">
        <v>0.216051447798384</v>
      </c>
      <c r="I286" s="180">
        <v>0.448254409272951</v>
      </c>
      <c r="J286" s="180">
        <v>1.83649543357267</v>
      </c>
      <c r="K286" s="180">
        <v>0.0521754178320618</v>
      </c>
      <c r="L286" s="180">
        <v>0.1183058704849</v>
      </c>
      <c r="M286" s="180">
        <v>0.000730106863099421</v>
      </c>
      <c r="N286" s="180">
        <v>0.0013403335265114</v>
      </c>
      <c r="O286" s="180">
        <v>0.699327168957115</v>
      </c>
      <c r="P286" s="180">
        <v>1.73585851091977</v>
      </c>
      <c r="Q286" s="180">
        <v>0.00697052712378857</v>
      </c>
      <c r="R286" s="180">
        <v>0.236038960855834</v>
      </c>
      <c r="S286" s="180">
        <v>0.032638674933766</v>
      </c>
      <c r="T286" s="180">
        <v>0.0211477892427128</v>
      </c>
      <c r="U286" s="180">
        <v>0.135447570674759</v>
      </c>
      <c r="V286" s="180">
        <v>0.135047355514608</v>
      </c>
      <c r="W286" s="180"/>
      <c r="X286" s="68"/>
      <c r="Y286" s="179"/>
      <c r="Z286" s="179"/>
      <c r="AA286" s="179"/>
      <c r="AB286" s="179"/>
      <c r="AC286" s="179"/>
      <c r="AD286" s="181"/>
      <c r="AE286" s="180"/>
    </row>
    <row r="287" ht="21.25" customHeight="1">
      <c r="A287" t="s" s="8">
        <v>330</v>
      </c>
      <c r="B287" t="s" s="177">
        <v>964</v>
      </c>
      <c r="C287" s="178">
        <v>29</v>
      </c>
      <c r="D287" t="s" s="177">
        <v>927</v>
      </c>
      <c r="E287" s="68">
        <v>80.8</v>
      </c>
      <c r="F287" s="179">
        <v>20.6135314138249</v>
      </c>
      <c r="G287" s="180">
        <v>0.0731328946436544</v>
      </c>
      <c r="H287" s="180">
        <v>0.374482080692645</v>
      </c>
      <c r="I287" s="180">
        <v>0.4476149753363</v>
      </c>
      <c r="J287" s="180">
        <v>1.97378286783965</v>
      </c>
      <c r="K287" s="180">
        <v>0.00348589556561582</v>
      </c>
      <c r="L287" s="180">
        <v>0.0310374557431995</v>
      </c>
      <c r="M287" s="180">
        <v>0.00260772852504695</v>
      </c>
      <c r="N287" s="180">
        <v>0.0129058815527516</v>
      </c>
      <c r="O287" s="180">
        <v>1.50723725531412</v>
      </c>
      <c r="P287" s="180">
        <v>2.07135047625744</v>
      </c>
      <c r="Q287" s="180">
        <v>0.0656505055890471</v>
      </c>
      <c r="R287" s="180">
        <v>0.551939007400111</v>
      </c>
      <c r="S287" s="180">
        <v>0.012220378716823</v>
      </c>
      <c r="T287" s="180">
        <v>0</v>
      </c>
      <c r="U287" s="180">
        <v>0</v>
      </c>
      <c r="V287" s="180">
        <v>0</v>
      </c>
      <c r="W287" s="180"/>
      <c r="X287" s="68"/>
      <c r="Y287" s="179"/>
      <c r="Z287" s="179"/>
      <c r="AA287" s="179"/>
      <c r="AB287" s="179"/>
      <c r="AC287" s="179"/>
      <c r="AD287" s="181"/>
      <c r="AE287" s="180"/>
    </row>
    <row r="288" ht="21.25" customHeight="1">
      <c r="A288" t="s" s="8">
        <v>392</v>
      </c>
      <c r="B288" t="s" s="177">
        <v>967</v>
      </c>
      <c r="C288" s="178">
        <v>19</v>
      </c>
      <c r="D288" t="s" s="177">
        <v>927</v>
      </c>
      <c r="E288" s="68">
        <v>66</v>
      </c>
      <c r="F288" s="179">
        <v>19</v>
      </c>
      <c r="G288" s="180">
        <v>0.10476585020833</v>
      </c>
      <c r="H288" s="180">
        <v>0.342021573182063</v>
      </c>
      <c r="I288" s="180">
        <v>0.446787423390394</v>
      </c>
      <c r="J288" s="180">
        <v>1.83330191775251</v>
      </c>
      <c r="K288" s="180">
        <v>0.0218891556929785</v>
      </c>
      <c r="L288" s="180">
        <v>0.093349115697621</v>
      </c>
      <c r="M288" s="180">
        <v>0</v>
      </c>
      <c r="N288" s="180">
        <v>0</v>
      </c>
      <c r="O288" s="180">
        <v>1.24512195121951</v>
      </c>
      <c r="P288" s="180">
        <v>1.24858536585366</v>
      </c>
      <c r="Q288" s="180">
        <v>0.00792682926829268</v>
      </c>
      <c r="R288" s="180">
        <v>0.421463414634146</v>
      </c>
      <c r="S288" s="180">
        <v>0.0100431713876556</v>
      </c>
      <c r="T288" s="180">
        <v>0</v>
      </c>
      <c r="U288" s="180">
        <v>0</v>
      </c>
      <c r="V288" s="180">
        <v>0</v>
      </c>
      <c r="W288" s="180"/>
      <c r="X288" s="68"/>
      <c r="Y288" s="180"/>
      <c r="Z288" s="180"/>
      <c r="AA288" s="180"/>
      <c r="AB288" s="180"/>
      <c r="AC288" s="179"/>
      <c r="AD288" s="181"/>
      <c r="AE288" s="180"/>
    </row>
    <row r="289" ht="21.25" customHeight="1">
      <c r="A289" t="s" s="8">
        <v>634</v>
      </c>
      <c r="B289" t="s" s="177">
        <v>973</v>
      </c>
      <c r="C289" s="178">
        <v>27</v>
      </c>
      <c r="D289" t="s" s="177">
        <v>924</v>
      </c>
      <c r="E289" s="68">
        <v>75.26000000000001</v>
      </c>
      <c r="F289" s="179">
        <v>15.5573909713075</v>
      </c>
      <c r="G289" s="180">
        <v>0.171241026996151</v>
      </c>
      <c r="H289" s="180">
        <v>0.268426664930784</v>
      </c>
      <c r="I289" s="180">
        <v>0.439667691926935</v>
      </c>
      <c r="J289" s="180">
        <v>1.30784908503156</v>
      </c>
      <c r="K289" s="180">
        <v>0.0153386075679154</v>
      </c>
      <c r="L289" s="180">
        <v>0.0424848667287523</v>
      </c>
      <c r="M289" s="180">
        <v>0.008908857684057799</v>
      </c>
      <c r="N289" s="180">
        <v>0.01028909264657</v>
      </c>
      <c r="O289" s="180">
        <v>0.886387339805596</v>
      </c>
      <c r="P289" s="180">
        <v>0.425110276870855</v>
      </c>
      <c r="Q289" s="180">
        <v>-0.108369868118666</v>
      </c>
      <c r="R289" s="180">
        <v>0.196691035639441</v>
      </c>
      <c r="S289" s="180">
        <v>0.0175422929089107</v>
      </c>
      <c r="T289" s="180">
        <v>7.45307340993594</v>
      </c>
      <c r="U289" s="180">
        <v>6.46827920859772</v>
      </c>
      <c r="V289" s="180">
        <v>0.535369918007362</v>
      </c>
      <c r="W289" s="180"/>
      <c r="X289" s="68"/>
      <c r="Y289" s="179"/>
      <c r="Z289" s="179"/>
      <c r="AA289" s="179"/>
      <c r="AB289" s="179"/>
      <c r="AC289" s="179"/>
      <c r="AD289" s="181"/>
      <c r="AE289" s="180"/>
    </row>
    <row r="290" ht="21.25" customHeight="1">
      <c r="A290" t="s" s="8">
        <v>604</v>
      </c>
      <c r="B290" t="s" s="177">
        <v>972</v>
      </c>
      <c r="C290" s="178">
        <v>28</v>
      </c>
      <c r="D290" t="s" s="177">
        <v>924</v>
      </c>
      <c r="E290" s="68">
        <v>81.755</v>
      </c>
      <c r="F290" s="179">
        <v>17.7041373058324</v>
      </c>
      <c r="G290" s="180">
        <v>0.160493593102363</v>
      </c>
      <c r="H290" s="180">
        <v>0.278526184810094</v>
      </c>
      <c r="I290" s="180">
        <v>0.439019777912457</v>
      </c>
      <c r="J290" s="180">
        <v>1.22782550085801</v>
      </c>
      <c r="K290" s="180">
        <v>0.0338497970569115</v>
      </c>
      <c r="L290" s="180">
        <v>0.08443968755878881</v>
      </c>
      <c r="M290" s="180">
        <v>0.00396527920837076</v>
      </c>
      <c r="N290" s="180">
        <v>0.0100031633642649</v>
      </c>
      <c r="O290" s="180">
        <v>0.694524953043005</v>
      </c>
      <c r="P290" s="180">
        <v>0.57878336209355</v>
      </c>
      <c r="Q290" s="180">
        <v>-0.014820300037593</v>
      </c>
      <c r="R290" s="180">
        <v>0.280942201325954</v>
      </c>
      <c r="S290" s="180">
        <v>0.02255913611504</v>
      </c>
      <c r="T290" s="180">
        <v>7.22475980369427</v>
      </c>
      <c r="U290" s="180">
        <v>8.2697989406524</v>
      </c>
      <c r="V290" s="180">
        <v>0.466277221758915</v>
      </c>
      <c r="W290" s="180"/>
      <c r="X290" s="68"/>
      <c r="Y290" s="179"/>
      <c r="Z290" s="179"/>
      <c r="AA290" s="179"/>
      <c r="AB290" s="179"/>
      <c r="AC290" s="179"/>
      <c r="AD290" s="181"/>
      <c r="AE290" s="180"/>
    </row>
    <row r="291" ht="21.25" customHeight="1">
      <c r="A291" t="s" s="8">
        <v>630</v>
      </c>
      <c r="B291" t="s" s="177">
        <v>966</v>
      </c>
      <c r="C291" s="178">
        <v>22</v>
      </c>
      <c r="D291" t="s" s="177">
        <v>925</v>
      </c>
      <c r="E291" s="68">
        <v>67.45</v>
      </c>
      <c r="F291" s="179">
        <v>13.4822938528963</v>
      </c>
      <c r="G291" s="180">
        <v>0.246701614518773</v>
      </c>
      <c r="H291" s="180">
        <v>0.191433265183024</v>
      </c>
      <c r="I291" s="180">
        <v>0.438134879701798</v>
      </c>
      <c r="J291" s="180">
        <v>1.8191180369418</v>
      </c>
      <c r="K291" s="180">
        <v>0.0329133144829154</v>
      </c>
      <c r="L291" s="180">
        <v>0.0616252347731484</v>
      </c>
      <c r="M291" s="180">
        <v>1.34346560673318e-05</v>
      </c>
      <c r="N291" s="180">
        <v>2.49283727217054e-05</v>
      </c>
      <c r="O291" s="180">
        <v>0.47067823411671</v>
      </c>
      <c r="P291" s="180">
        <v>0.602117577000573</v>
      </c>
      <c r="Q291" s="180">
        <v>0.06341454170361339</v>
      </c>
      <c r="R291" s="180">
        <v>0.352539193772998</v>
      </c>
      <c r="S291" s="180">
        <v>0.040317775006197</v>
      </c>
      <c r="T291" s="180">
        <v>0</v>
      </c>
      <c r="U291" s="180">
        <v>0.052089973437119</v>
      </c>
      <c r="V291" s="180">
        <v>0</v>
      </c>
      <c r="W291" s="180"/>
      <c r="X291" s="68"/>
      <c r="Y291" s="179"/>
      <c r="Z291" s="179"/>
      <c r="AA291" s="179"/>
      <c r="AB291" s="179"/>
      <c r="AC291" s="179"/>
      <c r="AD291" s="181"/>
      <c r="AE291" s="180"/>
    </row>
    <row r="292" ht="21.25" customHeight="1">
      <c r="A292" t="s" s="8">
        <v>622</v>
      </c>
      <c r="B292" t="s" s="177">
        <v>964</v>
      </c>
      <c r="C292" s="178">
        <v>22</v>
      </c>
      <c r="D292" t="s" s="177">
        <v>925</v>
      </c>
      <c r="E292" s="68">
        <v>62.885</v>
      </c>
      <c r="F292" s="179">
        <v>14.5636375889373</v>
      </c>
      <c r="G292" s="180">
        <v>0.184412821573973</v>
      </c>
      <c r="H292" s="180">
        <v>0.253204645989901</v>
      </c>
      <c r="I292" s="180">
        <v>0.437617467563874</v>
      </c>
      <c r="J292" s="180">
        <v>1.96809181545724</v>
      </c>
      <c r="K292" s="180">
        <v>0.0718806316005598</v>
      </c>
      <c r="L292" s="180">
        <v>0.137746531773515</v>
      </c>
      <c r="M292" s="180">
        <v>0.000108523655848465</v>
      </c>
      <c r="N292" s="180">
        <v>0.00019842785087511</v>
      </c>
      <c r="O292" s="180">
        <v>0.5273294024837401</v>
      </c>
      <c r="P292" s="180">
        <v>0.829022374399128</v>
      </c>
      <c r="Q292" s="180">
        <v>0.0204771273860885</v>
      </c>
      <c r="R292" s="180">
        <v>0.260638355431015</v>
      </c>
      <c r="S292" s="180">
        <v>0.0308150597737541</v>
      </c>
      <c r="T292" s="180">
        <v>0.08556024785675349</v>
      </c>
      <c r="U292" s="180">
        <v>0.256680743570261</v>
      </c>
      <c r="V292" s="180">
        <v>0.25</v>
      </c>
      <c r="W292" s="180"/>
      <c r="X292" s="68"/>
      <c r="Y292" s="179"/>
      <c r="Z292" s="179"/>
      <c r="AA292" s="179"/>
      <c r="AB292" s="179"/>
      <c r="AC292" s="179"/>
      <c r="AD292" s="181"/>
      <c r="AE292" s="180"/>
    </row>
    <row r="293" ht="21.25" customHeight="1">
      <c r="A293" t="s" s="8">
        <v>616</v>
      </c>
      <c r="B293" t="s" s="177">
        <v>965</v>
      </c>
      <c r="C293" s="178">
        <v>27</v>
      </c>
      <c r="D293" t="s" s="177">
        <v>926</v>
      </c>
      <c r="E293" s="68">
        <v>71.72107142857141</v>
      </c>
      <c r="F293" s="179">
        <v>14.3090425424712</v>
      </c>
      <c r="G293" s="180">
        <v>0.193483328070494</v>
      </c>
      <c r="H293" s="180">
        <v>0.244120798850663</v>
      </c>
      <c r="I293" s="180">
        <v>0.437604126921157</v>
      </c>
      <c r="J293" s="180">
        <v>1.69903604960806</v>
      </c>
      <c r="K293" s="180">
        <v>0.0152690673468204</v>
      </c>
      <c r="L293" s="180">
        <v>0.0386595371165812</v>
      </c>
      <c r="M293" s="180">
        <v>7.26525849121455e-06</v>
      </c>
      <c r="N293" s="180">
        <v>1.33854311246887e-05</v>
      </c>
      <c r="O293" s="180">
        <v>0.38368037776242</v>
      </c>
      <c r="P293" s="180">
        <v>1.00282015720642</v>
      </c>
      <c r="Q293" s="180">
        <v>0.00656402729093373</v>
      </c>
      <c r="R293" s="180">
        <v>0.447631991294244</v>
      </c>
      <c r="S293" s="180">
        <v>0.0240220685649354</v>
      </c>
      <c r="T293" s="180">
        <v>0.0339201870812854</v>
      </c>
      <c r="U293" s="180">
        <v>0.0604894975597609</v>
      </c>
      <c r="V293" s="180">
        <v>0.359287155870214</v>
      </c>
      <c r="W293" s="180"/>
      <c r="X293" s="68"/>
      <c r="Y293" s="179"/>
      <c r="Z293" s="179"/>
      <c r="AA293" s="179"/>
      <c r="AB293" s="179"/>
      <c r="AC293" s="179"/>
      <c r="AD293" s="181"/>
      <c r="AE293" s="180"/>
    </row>
    <row r="294" ht="21.25" customHeight="1">
      <c r="A294" t="s" s="8">
        <v>557</v>
      </c>
      <c r="B294" t="s" s="177">
        <v>947</v>
      </c>
      <c r="C294" s="178">
        <v>32</v>
      </c>
      <c r="D294" t="s" s="177">
        <v>925</v>
      </c>
      <c r="E294" s="68">
        <v>80.3928571428571</v>
      </c>
      <c r="F294" s="179">
        <v>15.2022447143314</v>
      </c>
      <c r="G294" s="180">
        <v>0.165055624676689</v>
      </c>
      <c r="H294" s="180">
        <v>0.272019721065456</v>
      </c>
      <c r="I294" s="180">
        <v>0.437075345742145</v>
      </c>
      <c r="J294" s="180">
        <v>1.76355767252524</v>
      </c>
      <c r="K294" s="180">
        <v>0.0120556592274207</v>
      </c>
      <c r="L294" s="180">
        <v>0.0347612298582322</v>
      </c>
      <c r="M294" s="180">
        <v>0.0206573549934155</v>
      </c>
      <c r="N294" s="180">
        <v>0.0299153239948648</v>
      </c>
      <c r="O294" s="180">
        <v>0.585642060203134</v>
      </c>
      <c r="P294" s="180">
        <v>1.20053301196692</v>
      </c>
      <c r="Q294" s="180">
        <v>0.0107014549008422</v>
      </c>
      <c r="R294" s="180">
        <v>0.488037325813679</v>
      </c>
      <c r="S294" s="180">
        <v>0.024259542467043</v>
      </c>
      <c r="T294" s="180">
        <v>6.27682326784455</v>
      </c>
      <c r="U294" s="180">
        <v>5.29189954903135</v>
      </c>
      <c r="V294" s="180">
        <v>0.542568386087375</v>
      </c>
      <c r="W294" s="180"/>
      <c r="X294" s="68"/>
      <c r="Y294" s="179"/>
      <c r="Z294" s="179"/>
      <c r="AA294" s="179"/>
      <c r="AB294" s="179"/>
      <c r="AC294" s="179"/>
      <c r="AD294" s="181"/>
      <c r="AE294" s="180"/>
    </row>
    <row r="295" ht="21.25" customHeight="1">
      <c r="A295" t="s" s="8">
        <v>581</v>
      </c>
      <c r="B295" t="s" s="177">
        <v>951</v>
      </c>
      <c r="C295" s="182">
        <v>21</v>
      </c>
      <c r="D295" t="s" s="177">
        <v>926</v>
      </c>
      <c r="E295" s="68">
        <v>76.7</v>
      </c>
      <c r="F295" s="179">
        <v>13.5183494978545</v>
      </c>
      <c r="G295" s="180">
        <v>0.170680911037794</v>
      </c>
      <c r="H295" s="180">
        <v>0.266045343193259</v>
      </c>
      <c r="I295" s="180">
        <v>0.436726254231052</v>
      </c>
      <c r="J295" s="180">
        <v>1.65285411660393</v>
      </c>
      <c r="K295" s="180">
        <v>0.0272098971026559</v>
      </c>
      <c r="L295" s="180">
        <v>0.0673535368785622</v>
      </c>
      <c r="M295" s="180">
        <v>0.000514913736199367</v>
      </c>
      <c r="N295" s="180">
        <v>0.000930274694864738</v>
      </c>
      <c r="O295" s="180">
        <v>0.196571253445698</v>
      </c>
      <c r="P295" s="180">
        <v>0.399355636217832</v>
      </c>
      <c r="Q295" s="180">
        <v>-0.0356570243059013</v>
      </c>
      <c r="R295" s="180">
        <v>0.332032975415927</v>
      </c>
      <c r="S295" s="180">
        <v>0.0218504091948674</v>
      </c>
      <c r="T295" s="180">
        <v>0.0623316067471939</v>
      </c>
      <c r="U295" s="180">
        <v>0.0527213173292926</v>
      </c>
      <c r="V295" s="180">
        <v>0.541764646553061</v>
      </c>
      <c r="W295" s="180"/>
      <c r="X295" s="68"/>
      <c r="Y295" s="179"/>
      <c r="Z295" s="179"/>
      <c r="AA295" s="179"/>
      <c r="AB295" s="179"/>
      <c r="AC295" s="179"/>
      <c r="AD295" s="181"/>
      <c r="AE295" s="180"/>
    </row>
    <row r="296" ht="21.25" customHeight="1">
      <c r="A296" t="s" s="8">
        <v>579</v>
      </c>
      <c r="B296" t="s" s="177">
        <v>946</v>
      </c>
      <c r="C296" s="182">
        <v>32</v>
      </c>
      <c r="D296" t="s" s="177">
        <v>925</v>
      </c>
      <c r="E296" s="68">
        <v>76.9589285714286</v>
      </c>
      <c r="F296" s="179">
        <v>16.1873609427946</v>
      </c>
      <c r="G296" s="180">
        <v>0.173637884191101</v>
      </c>
      <c r="H296" s="180">
        <v>0.262774412634155</v>
      </c>
      <c r="I296" s="180">
        <v>0.436412296825256</v>
      </c>
      <c r="J296" s="180">
        <v>1.64300147774074</v>
      </c>
      <c r="K296" s="180">
        <v>0.029647297012239</v>
      </c>
      <c r="L296" s="180">
        <v>0.101367051663396</v>
      </c>
      <c r="M296" s="180">
        <v>0.00872130723478309</v>
      </c>
      <c r="N296" s="180">
        <v>0.0102676278150903</v>
      </c>
      <c r="O296" s="180">
        <v>0.352986362602049</v>
      </c>
      <c r="P296" s="180">
        <v>0.422681733386984</v>
      </c>
      <c r="Q296" s="180">
        <v>0.0283489633556689</v>
      </c>
      <c r="R296" s="180">
        <v>0.146485899402928</v>
      </c>
      <c r="S296" s="180">
        <v>0.027882149044426</v>
      </c>
      <c r="T296" s="180">
        <v>0.370337396307637</v>
      </c>
      <c r="U296" s="180">
        <v>0.500780484524</v>
      </c>
      <c r="V296" s="180">
        <v>0.425128911318046</v>
      </c>
      <c r="W296" s="180"/>
      <c r="X296" s="68"/>
      <c r="Y296" s="179"/>
      <c r="Z296" s="179"/>
      <c r="AA296" s="179"/>
      <c r="AB296" s="179"/>
      <c r="AC296" s="179"/>
      <c r="AD296" s="181"/>
      <c r="AE296" s="180"/>
    </row>
    <row r="297" ht="21.25" customHeight="1">
      <c r="A297" t="s" s="8">
        <v>609</v>
      </c>
      <c r="B297" t="s" s="177">
        <v>943</v>
      </c>
      <c r="C297" s="182">
        <v>24</v>
      </c>
      <c r="D297" t="s" s="177">
        <v>940</v>
      </c>
      <c r="E297" s="68">
        <v>79.72285714285709</v>
      </c>
      <c r="F297" s="179">
        <v>14.9668237148669</v>
      </c>
      <c r="G297" s="180">
        <v>0.168730728840073</v>
      </c>
      <c r="H297" s="180">
        <v>0.267443796799746</v>
      </c>
      <c r="I297" s="180">
        <v>0.43617452563982</v>
      </c>
      <c r="J297" s="180">
        <v>1.41631362487551</v>
      </c>
      <c r="K297" s="180">
        <v>0.00989711837898498</v>
      </c>
      <c r="L297" s="180">
        <v>0.0267775355387699</v>
      </c>
      <c r="M297" s="180">
        <v>0.00874668969800893</v>
      </c>
      <c r="N297" s="180">
        <v>0.0137162911638411</v>
      </c>
      <c r="O297" s="180">
        <v>0.611819400465777</v>
      </c>
      <c r="P297" s="180">
        <v>0.959985313834582</v>
      </c>
      <c r="Q297" s="180">
        <v>0.0573142967025599</v>
      </c>
      <c r="R297" s="180">
        <v>0.291704796482879</v>
      </c>
      <c r="S297" s="180">
        <v>0.0242048079239922</v>
      </c>
      <c r="T297" s="180">
        <v>2.54402220707383</v>
      </c>
      <c r="U297" s="180">
        <v>3.50493832289391</v>
      </c>
      <c r="V297" s="180">
        <v>0.420571798157756</v>
      </c>
      <c r="W297" s="180"/>
      <c r="X297" s="68"/>
      <c r="Y297" s="179"/>
      <c r="Z297" s="179"/>
      <c r="AA297" s="179"/>
      <c r="AB297" s="179"/>
      <c r="AC297" s="179"/>
      <c r="AD297" s="181"/>
      <c r="AE297" s="180"/>
    </row>
    <row r="298" ht="21.25" customHeight="1">
      <c r="A298" t="s" s="8">
        <v>349</v>
      </c>
      <c r="B298" t="s" s="177">
        <v>954</v>
      </c>
      <c r="C298" s="178">
        <v>29</v>
      </c>
      <c r="D298" t="s" s="177">
        <v>927</v>
      </c>
      <c r="E298" s="68">
        <v>81.5775</v>
      </c>
      <c r="F298" s="179">
        <v>20.9404606966404</v>
      </c>
      <c r="G298" s="180">
        <v>0.0926228733836004</v>
      </c>
      <c r="H298" s="180">
        <v>0.343051708415324</v>
      </c>
      <c r="I298" s="180">
        <v>0.435674581798924</v>
      </c>
      <c r="J298" s="180">
        <v>1.5247017087069</v>
      </c>
      <c r="K298" s="180">
        <v>0.0210907294319266</v>
      </c>
      <c r="L298" s="180">
        <v>0.0861634607561511</v>
      </c>
      <c r="M298" s="180">
        <v>0.00332517194406998</v>
      </c>
      <c r="N298" s="180">
        <v>0.00687592898543565</v>
      </c>
      <c r="O298" s="180">
        <v>1.33380720705546</v>
      </c>
      <c r="P298" s="180">
        <v>0.79960541062868</v>
      </c>
      <c r="Q298" s="180">
        <v>-0.0335719061476471</v>
      </c>
      <c r="R298" s="180">
        <v>0.50781920483997</v>
      </c>
      <c r="S298" s="180">
        <v>0.00992517860888118</v>
      </c>
      <c r="T298" s="180">
        <v>0</v>
      </c>
      <c r="U298" s="180">
        <v>0</v>
      </c>
      <c r="V298" s="180">
        <v>0</v>
      </c>
      <c r="W298" s="180"/>
      <c r="X298" s="68"/>
      <c r="Y298" s="179"/>
      <c r="Z298" s="179"/>
      <c r="AA298" s="179"/>
      <c r="AB298" s="179"/>
      <c r="AC298" s="179"/>
      <c r="AD298" s="181"/>
      <c r="AE298" s="180"/>
    </row>
    <row r="299" ht="21.25" customHeight="1">
      <c r="A299" t="s" s="8">
        <v>539</v>
      </c>
      <c r="B299" t="s" s="177">
        <v>942</v>
      </c>
      <c r="C299" s="178">
        <v>28</v>
      </c>
      <c r="D299" t="s" s="177">
        <v>925</v>
      </c>
      <c r="E299" s="68">
        <v>81.40000000000001</v>
      </c>
      <c r="F299" s="179">
        <v>16.3178602858232</v>
      </c>
      <c r="G299" s="180">
        <v>0.20613075188194</v>
      </c>
      <c r="H299" s="180">
        <v>0.226621263456509</v>
      </c>
      <c r="I299" s="180">
        <v>0.432752015338449</v>
      </c>
      <c r="J299" s="180">
        <v>1.73095044717873</v>
      </c>
      <c r="K299" s="180">
        <v>0.049113306141613</v>
      </c>
      <c r="L299" s="180">
        <v>0.0707750413209063</v>
      </c>
      <c r="M299" s="180">
        <v>0.0053271673518071</v>
      </c>
      <c r="N299" s="180">
        <v>0.013906672441762</v>
      </c>
      <c r="O299" s="180">
        <v>0.582099086755356</v>
      </c>
      <c r="P299" s="180">
        <v>1.31198886106779</v>
      </c>
      <c r="Q299" s="180">
        <v>-0.00284207625570665</v>
      </c>
      <c r="R299" s="180">
        <v>0.387657351699984</v>
      </c>
      <c r="S299" s="180">
        <v>0.032259537546648</v>
      </c>
      <c r="T299" s="180">
        <v>5.75027856730501</v>
      </c>
      <c r="U299" s="180">
        <v>5.26473170445626</v>
      </c>
      <c r="V299" s="180">
        <v>0.522040236498623</v>
      </c>
      <c r="W299" s="180"/>
      <c r="X299" s="68"/>
      <c r="Y299" s="179"/>
      <c r="Z299" s="179"/>
      <c r="AA299" s="179"/>
      <c r="AB299" s="179"/>
      <c r="AC299" s="179"/>
      <c r="AD299" s="181"/>
      <c r="AE299" s="180"/>
    </row>
    <row r="300" ht="21.25" customHeight="1">
      <c r="A300" t="s" s="8">
        <v>337</v>
      </c>
      <c r="B300" t="s" s="177">
        <v>956</v>
      </c>
      <c r="C300" s="178">
        <v>28</v>
      </c>
      <c r="D300" t="s" s="177">
        <v>927</v>
      </c>
      <c r="E300" s="68">
        <v>81.0496428571429</v>
      </c>
      <c r="F300" s="179">
        <v>21.7701031971798</v>
      </c>
      <c r="G300" s="180">
        <v>0.07740566148818</v>
      </c>
      <c r="H300" s="180">
        <v>0.355139872839715</v>
      </c>
      <c r="I300" s="180">
        <v>0.432545534327895</v>
      </c>
      <c r="J300" s="180">
        <v>1.73534360885122</v>
      </c>
      <c r="K300" s="180">
        <v>0.0126258164128571</v>
      </c>
      <c r="L300" s="180">
        <v>0.085334573617594</v>
      </c>
      <c r="M300" s="180">
        <v>0.000429705190918821</v>
      </c>
      <c r="N300" s="180">
        <v>0.00828009332433944</v>
      </c>
      <c r="O300" s="180">
        <v>1.5256829154561</v>
      </c>
      <c r="P300" s="180">
        <v>2.0773999111658</v>
      </c>
      <c r="Q300" s="180">
        <v>-0.00621147400657854</v>
      </c>
      <c r="R300" s="180">
        <v>0.530705849971051</v>
      </c>
      <c r="S300" s="180">
        <v>0.0120755422829944</v>
      </c>
      <c r="T300" s="180">
        <v>0</v>
      </c>
      <c r="U300" s="180">
        <v>0</v>
      </c>
      <c r="V300" s="180">
        <v>0</v>
      </c>
      <c r="W300" s="180"/>
      <c r="X300" s="68"/>
      <c r="Y300" s="179"/>
      <c r="Z300" s="179"/>
      <c r="AA300" s="179"/>
      <c r="AB300" s="179"/>
      <c r="AC300" s="179"/>
      <c r="AD300" s="181"/>
      <c r="AE300" s="180"/>
    </row>
    <row r="301" ht="21.25" customHeight="1">
      <c r="A301" t="s" s="8">
        <v>357</v>
      </c>
      <c r="B301" t="s" s="177">
        <v>957</v>
      </c>
      <c r="C301" s="178">
        <v>23</v>
      </c>
      <c r="D301" t="s" s="177">
        <v>927</v>
      </c>
      <c r="E301" s="68">
        <v>77.5175</v>
      </c>
      <c r="F301" s="179">
        <v>22.4097931543804</v>
      </c>
      <c r="G301" s="180">
        <v>0.0999123684665259</v>
      </c>
      <c r="H301" s="180">
        <v>0.332380640936851</v>
      </c>
      <c r="I301" s="180">
        <v>0.432293009403377</v>
      </c>
      <c r="J301" s="180">
        <v>1.27124354324778</v>
      </c>
      <c r="K301" s="180">
        <v>0.0343757654485965</v>
      </c>
      <c r="L301" s="180">
        <v>0.12490235856538</v>
      </c>
      <c r="M301" s="180">
        <v>0.000398060790496215</v>
      </c>
      <c r="N301" s="180">
        <v>0.00209854040950588</v>
      </c>
      <c r="O301" s="180">
        <v>1.7333828212621</v>
      </c>
      <c r="P301" s="180">
        <v>1.16984467628218</v>
      </c>
      <c r="Q301" s="180">
        <v>-0.0641688789024821</v>
      </c>
      <c r="R301" s="180">
        <v>0.474361528262602</v>
      </c>
      <c r="S301" s="180">
        <v>0.0126086009880868</v>
      </c>
      <c r="T301" s="180">
        <v>0</v>
      </c>
      <c r="U301" s="180">
        <v>0</v>
      </c>
      <c r="V301" s="180">
        <v>0</v>
      </c>
      <c r="W301" s="180"/>
      <c r="X301" s="68"/>
      <c r="Y301" s="179"/>
      <c r="Z301" s="179"/>
      <c r="AA301" s="179"/>
      <c r="AB301" s="179"/>
      <c r="AC301" s="179"/>
      <c r="AD301" s="181"/>
      <c r="AE301" s="180"/>
    </row>
    <row r="302" ht="21.25" customHeight="1">
      <c r="A302" t="s" s="8">
        <v>367</v>
      </c>
      <c r="B302" t="s" s="177">
        <v>941</v>
      </c>
      <c r="C302" s="178">
        <v>25</v>
      </c>
      <c r="D302" t="s" s="177">
        <v>927</v>
      </c>
      <c r="E302" s="68">
        <v>77.7310714285714</v>
      </c>
      <c r="F302" s="179">
        <v>20.3114556754053</v>
      </c>
      <c r="G302" s="180">
        <v>0.07745973546292451</v>
      </c>
      <c r="H302" s="180">
        <v>0.354461865232457</v>
      </c>
      <c r="I302" s="180">
        <v>0.431921600695382</v>
      </c>
      <c r="J302" s="180">
        <v>1.39631013227041</v>
      </c>
      <c r="K302" s="180">
        <v>0.00499564766173755</v>
      </c>
      <c r="L302" s="180">
        <v>0.07465451228220241</v>
      </c>
      <c r="M302" s="180">
        <v>0.000428927025750143</v>
      </c>
      <c r="N302" s="180">
        <v>0.007979042669545879</v>
      </c>
      <c r="O302" s="180">
        <v>1.43917204545171</v>
      </c>
      <c r="P302" s="180">
        <v>0.995579673225067</v>
      </c>
      <c r="Q302" s="180">
        <v>0.0375376833117135</v>
      </c>
      <c r="R302" s="180">
        <v>0.281260120541307</v>
      </c>
      <c r="S302" s="180">
        <v>0.0122552972159205</v>
      </c>
      <c r="T302" s="180">
        <v>0</v>
      </c>
      <c r="U302" s="180">
        <v>0</v>
      </c>
      <c r="V302" s="180">
        <v>0</v>
      </c>
      <c r="W302" s="180"/>
      <c r="X302" s="68"/>
      <c r="Y302" s="179"/>
      <c r="Z302" s="179"/>
      <c r="AA302" s="179"/>
      <c r="AB302" s="179"/>
      <c r="AC302" s="179"/>
      <c r="AD302" s="181"/>
      <c r="AE302" s="180"/>
    </row>
    <row r="303" ht="21.25" customHeight="1">
      <c r="A303" t="s" s="8">
        <v>612</v>
      </c>
      <c r="B303" t="s" s="177">
        <v>961</v>
      </c>
      <c r="C303" s="178">
        <v>28</v>
      </c>
      <c r="D303" t="s" s="177">
        <v>926</v>
      </c>
      <c r="E303" s="68">
        <v>72.09999999999999</v>
      </c>
      <c r="F303" s="179">
        <v>14.0675396168923</v>
      </c>
      <c r="G303" s="180">
        <v>0.180329382623568</v>
      </c>
      <c r="H303" s="180">
        <v>0.250602979093076</v>
      </c>
      <c r="I303" s="180">
        <v>0.430932361716644</v>
      </c>
      <c r="J303" s="180">
        <v>1.79382974236067</v>
      </c>
      <c r="K303" s="180">
        <v>0.0106273287627884</v>
      </c>
      <c r="L303" s="180">
        <v>0.024998847680833</v>
      </c>
      <c r="M303" s="180">
        <v>7.84691467116796e-05</v>
      </c>
      <c r="N303" s="180">
        <v>0.000144743747926802</v>
      </c>
      <c r="O303" s="180">
        <v>0.390932712044015</v>
      </c>
      <c r="P303" s="180">
        <v>1.04616435048965</v>
      </c>
      <c r="Q303" s="180">
        <v>-0.0285829555006772</v>
      </c>
      <c r="R303" s="180">
        <v>0.391430229241835</v>
      </c>
      <c r="S303" s="180">
        <v>0.0221815756063071</v>
      </c>
      <c r="T303" s="180">
        <v>0.160151060437391</v>
      </c>
      <c r="U303" s="180">
        <v>0.129143773795472</v>
      </c>
      <c r="V303" s="180">
        <v>0.5535911516086039</v>
      </c>
      <c r="W303" s="180"/>
      <c r="X303" s="68"/>
      <c r="Y303" s="179"/>
      <c r="Z303" s="179"/>
      <c r="AA303" s="179"/>
      <c r="AB303" s="179"/>
      <c r="AC303" s="179"/>
      <c r="AD303" s="181"/>
      <c r="AE303" s="180"/>
    </row>
    <row r="304" ht="21.25" customHeight="1">
      <c r="A304" t="s" s="8">
        <v>635</v>
      </c>
      <c r="B304" t="s" s="177">
        <v>969</v>
      </c>
      <c r="C304" s="182">
        <v>24</v>
      </c>
      <c r="D304" t="s" s="177">
        <v>924</v>
      </c>
      <c r="E304" s="68">
        <v>74.7971428571429</v>
      </c>
      <c r="F304" s="179">
        <v>14.8967493167466</v>
      </c>
      <c r="G304" s="180">
        <v>0.187205850216129</v>
      </c>
      <c r="H304" s="180">
        <v>0.243510378941128</v>
      </c>
      <c r="I304" s="180">
        <v>0.430716229157257</v>
      </c>
      <c r="J304" s="180">
        <v>1.54936344274035</v>
      </c>
      <c r="K304" s="180">
        <v>0.00165800610124128</v>
      </c>
      <c r="L304" s="180">
        <v>0.009076312954973629</v>
      </c>
      <c r="M304" s="180">
        <v>0.00241268323619399</v>
      </c>
      <c r="N304" s="180">
        <v>0.00409759091762472</v>
      </c>
      <c r="O304" s="180">
        <v>0.818251112649362</v>
      </c>
      <c r="P304" s="180">
        <v>1.8806728752325</v>
      </c>
      <c r="Q304" s="180">
        <v>-0.0360649500445659</v>
      </c>
      <c r="R304" s="180">
        <v>0.649074424457755</v>
      </c>
      <c r="S304" s="180">
        <v>0.0247740471456161</v>
      </c>
      <c r="T304" s="180">
        <v>3.84577480180932</v>
      </c>
      <c r="U304" s="180">
        <v>3.92156127248945</v>
      </c>
      <c r="V304" s="180">
        <v>0.49512146314031</v>
      </c>
      <c r="W304" s="180"/>
      <c r="X304" s="68"/>
      <c r="Y304" s="179"/>
      <c r="Z304" s="179"/>
      <c r="AA304" s="179"/>
      <c r="AB304" s="179"/>
      <c r="AC304" s="179"/>
      <c r="AD304" s="181"/>
      <c r="AE304" s="180"/>
    </row>
    <row r="305" ht="21.25" customHeight="1">
      <c r="A305" t="s" s="8">
        <v>355</v>
      </c>
      <c r="B305" t="s" s="177">
        <v>948</v>
      </c>
      <c r="C305" s="178">
        <v>22</v>
      </c>
      <c r="D305" t="s" s="177">
        <v>927</v>
      </c>
      <c r="E305" s="68">
        <v>73.675</v>
      </c>
      <c r="F305" s="179">
        <v>20.3589067745283</v>
      </c>
      <c r="G305" s="180">
        <v>0.0877465189826996</v>
      </c>
      <c r="H305" s="180">
        <v>0.342040720538176</v>
      </c>
      <c r="I305" s="180">
        <v>0.429787239520876</v>
      </c>
      <c r="J305" s="180">
        <v>1.76837469876151</v>
      </c>
      <c r="K305" s="180">
        <v>0.0220242314529817</v>
      </c>
      <c r="L305" s="180">
        <v>0.118371777602148</v>
      </c>
      <c r="M305" s="180">
        <v>0.000222080972803296</v>
      </c>
      <c r="N305" s="180">
        <v>0.000821532416405224</v>
      </c>
      <c r="O305" s="180">
        <v>1.31368399192587</v>
      </c>
      <c r="P305" s="180">
        <v>0.959520307789456</v>
      </c>
      <c r="Q305" s="180">
        <v>0.0650285891711504</v>
      </c>
      <c r="R305" s="180">
        <v>0.417765958151456</v>
      </c>
      <c r="S305" s="180">
        <v>0.0140388209973804</v>
      </c>
      <c r="T305" s="180">
        <v>0</v>
      </c>
      <c r="U305" s="180">
        <v>0</v>
      </c>
      <c r="V305" s="180">
        <v>0</v>
      </c>
      <c r="W305" s="180"/>
      <c r="X305" s="68"/>
      <c r="Y305" s="179"/>
      <c r="Z305" s="179"/>
      <c r="AA305" s="179"/>
      <c r="AB305" s="179"/>
      <c r="AC305" s="179"/>
      <c r="AD305" s="181"/>
      <c r="AE305" s="180"/>
    </row>
    <row r="306" ht="21.25" customHeight="1">
      <c r="A306" t="s" s="8">
        <v>689</v>
      </c>
      <c r="B306" t="s" s="177">
        <v>974</v>
      </c>
      <c r="C306" s="182">
        <v>35</v>
      </c>
      <c r="D306" t="s" s="177">
        <v>924</v>
      </c>
      <c r="E306" s="68">
        <v>67.17</v>
      </c>
      <c r="F306" s="179">
        <v>14.949498301020</v>
      </c>
      <c r="G306" s="180">
        <v>0.153839807999378</v>
      </c>
      <c r="H306" s="180">
        <v>0.275544815521777</v>
      </c>
      <c r="I306" s="180">
        <v>0.429384623521155</v>
      </c>
      <c r="J306" s="180">
        <v>1.47851661083768</v>
      </c>
      <c r="K306" s="180">
        <v>0.0526359011214387</v>
      </c>
      <c r="L306" s="180">
        <v>0.0848552265423516</v>
      </c>
      <c r="M306" s="180">
        <v>0</v>
      </c>
      <c r="N306" s="180">
        <v>0</v>
      </c>
      <c r="O306" s="180">
        <v>0.330728771568672</v>
      </c>
      <c r="P306" s="180">
        <v>0.358222001256809</v>
      </c>
      <c r="Q306" s="180">
        <v>-0.0170675535352145</v>
      </c>
      <c r="R306" s="180">
        <v>0.470272944664209</v>
      </c>
      <c r="S306" s="180"/>
      <c r="T306" s="180">
        <v>9.28204657662465</v>
      </c>
      <c r="U306" s="180">
        <v>5.9449735578759</v>
      </c>
      <c r="V306" s="180">
        <v>0.609577349647939</v>
      </c>
      <c r="W306" s="180"/>
      <c r="X306" s="68"/>
      <c r="Y306" s="179"/>
      <c r="Z306" s="179"/>
      <c r="AA306" s="179"/>
      <c r="AB306" s="179"/>
      <c r="AC306" s="179"/>
      <c r="AD306" s="181"/>
      <c r="AE306" s="180"/>
    </row>
    <row r="307" ht="21.25" customHeight="1">
      <c r="A307" t="s" s="8">
        <v>700</v>
      </c>
      <c r="B307" t="s" s="177">
        <v>969</v>
      </c>
      <c r="C307" s="178">
        <v>27</v>
      </c>
      <c r="D307" t="s" s="177">
        <v>924</v>
      </c>
      <c r="E307" s="68">
        <v>65.0628571428571</v>
      </c>
      <c r="F307" s="179">
        <v>13.8175776355259</v>
      </c>
      <c r="G307" s="180">
        <v>0.212994798742241</v>
      </c>
      <c r="H307" s="180">
        <v>0.215212625560355</v>
      </c>
      <c r="I307" s="180">
        <v>0.428207424302596</v>
      </c>
      <c r="J307" s="180">
        <v>1.41862808025343</v>
      </c>
      <c r="K307" s="180">
        <v>0.0461152707563801</v>
      </c>
      <c r="L307" s="180">
        <v>0.0997006528424307</v>
      </c>
      <c r="M307" s="180">
        <v>0.000163801695441101</v>
      </c>
      <c r="N307" s="180">
        <v>0.00030079281581374</v>
      </c>
      <c r="O307" s="180">
        <v>0.407468028427607</v>
      </c>
      <c r="P307" s="180">
        <v>1.3343677984682</v>
      </c>
      <c r="Q307" s="180">
        <v>-0.0305180700294252</v>
      </c>
      <c r="R307" s="180">
        <v>0.417574717395935</v>
      </c>
      <c r="S307" s="180">
        <v>0.0281868498218367</v>
      </c>
      <c r="T307" s="180">
        <v>0.725124968051738</v>
      </c>
      <c r="U307" s="180">
        <v>0.878803119755201</v>
      </c>
      <c r="V307" s="180">
        <v>0.452093191436784</v>
      </c>
      <c r="W307" s="180"/>
      <c r="X307" s="68"/>
      <c r="Y307" s="179"/>
      <c r="Z307" s="179"/>
      <c r="AA307" s="179"/>
      <c r="AB307" s="179"/>
      <c r="AC307" s="179"/>
      <c r="AD307" s="181"/>
      <c r="AE307" s="180"/>
    </row>
    <row r="308" ht="21.25" customHeight="1">
      <c r="A308" t="s" s="8">
        <v>574</v>
      </c>
      <c r="B308" t="s" s="177">
        <v>963</v>
      </c>
      <c r="C308" s="178">
        <v>30</v>
      </c>
      <c r="D308" t="s" s="177">
        <v>944</v>
      </c>
      <c r="E308" s="68">
        <v>70.345</v>
      </c>
      <c r="F308" s="179">
        <v>12.339441786388</v>
      </c>
      <c r="G308" s="180">
        <v>0.159770231549104</v>
      </c>
      <c r="H308" s="180">
        <v>0.266266618562355</v>
      </c>
      <c r="I308" s="180">
        <v>0.426036850111459</v>
      </c>
      <c r="J308" s="180">
        <v>1.69484228279979</v>
      </c>
      <c r="K308" s="180">
        <v>0.0854851790585935</v>
      </c>
      <c r="L308" s="180">
        <v>0.185365816187654</v>
      </c>
      <c r="M308" s="180">
        <v>7.42151610886105e-05</v>
      </c>
      <c r="N308" s="180">
        <v>0.00013782356548477</v>
      </c>
      <c r="O308" s="180">
        <v>0.259254541495551</v>
      </c>
      <c r="P308" s="180">
        <v>1.32406415591816</v>
      </c>
      <c r="Q308" s="180">
        <v>0.09413793353657381</v>
      </c>
      <c r="R308" s="180">
        <v>0.37036249360604</v>
      </c>
      <c r="S308" s="180">
        <v>0.0286663570659394</v>
      </c>
      <c r="T308" s="180">
        <v>0.6457467804520099</v>
      </c>
      <c r="U308" s="180">
        <v>0.724383004356009</v>
      </c>
      <c r="V308" s="180">
        <v>0.471303366740904</v>
      </c>
      <c r="W308" s="180"/>
      <c r="X308" s="68"/>
      <c r="Y308" s="179"/>
      <c r="Z308" s="179"/>
      <c r="AA308" s="179"/>
      <c r="AB308" s="179"/>
      <c r="AC308" s="179"/>
      <c r="AD308" s="181"/>
      <c r="AE308" s="180"/>
    </row>
    <row r="309" ht="21.25" customHeight="1">
      <c r="A309" t="s" s="8">
        <v>628</v>
      </c>
      <c r="B309" t="s" s="177">
        <v>945</v>
      </c>
      <c r="C309" s="178">
        <v>31</v>
      </c>
      <c r="D309" t="s" s="177">
        <v>940</v>
      </c>
      <c r="E309" s="68">
        <v>77.2075</v>
      </c>
      <c r="F309" s="179">
        <v>14.3263613129072</v>
      </c>
      <c r="G309" s="180">
        <v>0.196608305238521</v>
      </c>
      <c r="H309" s="180">
        <v>0.227112762755273</v>
      </c>
      <c r="I309" s="180">
        <v>0.423721067993794</v>
      </c>
      <c r="J309" s="180">
        <v>1.42421942924646</v>
      </c>
      <c r="K309" s="180">
        <v>0.0201347955752443</v>
      </c>
      <c r="L309" s="180">
        <v>0.0479528089694246</v>
      </c>
      <c r="M309" s="180">
        <v>0.012106968045796</v>
      </c>
      <c r="N309" s="180">
        <v>0.0289362098445855</v>
      </c>
      <c r="O309" s="180">
        <v>0.294551800824479</v>
      </c>
      <c r="P309" s="180">
        <v>0.741252911115338</v>
      </c>
      <c r="Q309" s="180">
        <v>0.0556485193883098</v>
      </c>
      <c r="R309" s="180">
        <v>0.174464701380228</v>
      </c>
      <c r="S309" s="180">
        <v>0.0315850719788729</v>
      </c>
      <c r="T309" s="180">
        <v>0.977039503148863</v>
      </c>
      <c r="U309" s="180">
        <v>1.11333708556536</v>
      </c>
      <c r="V309" s="180">
        <v>0.467398797146803</v>
      </c>
      <c r="W309" s="180"/>
      <c r="X309" s="68"/>
      <c r="Y309" s="179"/>
      <c r="Z309" s="179"/>
      <c r="AA309" s="179"/>
      <c r="AB309" s="179"/>
      <c r="AC309" s="179"/>
      <c r="AD309" s="181"/>
      <c r="AE309" s="180"/>
    </row>
    <row r="310" ht="21.25" customHeight="1">
      <c r="A310" t="s" s="8">
        <v>487</v>
      </c>
      <c r="B310" t="s" s="177">
        <v>964</v>
      </c>
      <c r="C310" s="178">
        <v>31</v>
      </c>
      <c r="D310" t="s" s="177">
        <v>959</v>
      </c>
      <c r="E310" s="68">
        <v>81.7460714285714</v>
      </c>
      <c r="F310" s="179">
        <v>14.7084500767195</v>
      </c>
      <c r="G310" s="180">
        <v>0.193400989359576</v>
      </c>
      <c r="H310" s="180">
        <v>0.229714779706109</v>
      </c>
      <c r="I310" s="180">
        <v>0.423115769065684</v>
      </c>
      <c r="J310" s="180">
        <v>2.2437684304245</v>
      </c>
      <c r="K310" s="180">
        <v>0.000715357064625651</v>
      </c>
      <c r="L310" s="180">
        <v>0.00153875387960457</v>
      </c>
      <c r="M310" s="180">
        <v>0.0136503616694959</v>
      </c>
      <c r="N310" s="180">
        <v>0.0175975219760955</v>
      </c>
      <c r="O310" s="180">
        <v>0.484272293168245</v>
      </c>
      <c r="P310" s="180">
        <v>1.46202217347393</v>
      </c>
      <c r="Q310" s="180">
        <v>0.0445109206971313</v>
      </c>
      <c r="R310" s="180">
        <v>0.617622436230402</v>
      </c>
      <c r="S310" s="180">
        <v>0.0323169668819796</v>
      </c>
      <c r="T310" s="180">
        <v>0.124255809252611</v>
      </c>
      <c r="U310" s="180">
        <v>0.296651825704495</v>
      </c>
      <c r="V310" s="180">
        <v>0.295209207277205</v>
      </c>
      <c r="W310" s="180"/>
      <c r="X310" s="68"/>
      <c r="Y310" s="179"/>
      <c r="Z310" s="179"/>
      <c r="AA310" s="179"/>
      <c r="AB310" s="179"/>
      <c r="AC310" s="179"/>
      <c r="AD310" s="181"/>
      <c r="AE310" s="180"/>
    </row>
    <row r="311" ht="21.25" customHeight="1">
      <c r="A311" t="s" s="8">
        <v>739</v>
      </c>
      <c r="B311" t="s" s="177">
        <v>964</v>
      </c>
      <c r="C311" s="178">
        <v>24</v>
      </c>
      <c r="D311" t="s" s="177">
        <v>924</v>
      </c>
      <c r="E311" s="68">
        <v>60.0992857142857</v>
      </c>
      <c r="F311" s="179">
        <v>12.123398372696</v>
      </c>
      <c r="G311" s="180">
        <v>0.157818320529272</v>
      </c>
      <c r="H311" s="180">
        <v>0.264680152422205</v>
      </c>
      <c r="I311" s="180">
        <v>0.422498472951477</v>
      </c>
      <c r="J311" s="180">
        <v>1.45158485426094</v>
      </c>
      <c r="K311" s="180">
        <v>0.0232540255487885</v>
      </c>
      <c r="L311" s="180">
        <v>0.0659097681658902</v>
      </c>
      <c r="M311" s="180">
        <v>8.961029658721271e-05</v>
      </c>
      <c r="N311" s="180">
        <v>0.000162280795744512</v>
      </c>
      <c r="O311" s="180">
        <v>0.269249754780384</v>
      </c>
      <c r="P311" s="180">
        <v>0.884247615698973</v>
      </c>
      <c r="Q311" s="180">
        <v>0.0322586072463712</v>
      </c>
      <c r="R311" s="180">
        <v>0.28288317126749</v>
      </c>
      <c r="S311" s="180">
        <v>0.0263711651879489</v>
      </c>
      <c r="T311" s="180">
        <v>2.24568733489127</v>
      </c>
      <c r="U311" s="180">
        <v>2.5073885075318</v>
      </c>
      <c r="V311" s="180">
        <v>0.472470334861402</v>
      </c>
      <c r="W311" s="180"/>
      <c r="X311" s="68"/>
      <c r="Y311" s="179"/>
      <c r="Z311" s="179"/>
      <c r="AA311" s="179"/>
      <c r="AB311" s="179"/>
      <c r="AC311" s="179"/>
      <c r="AD311" s="181"/>
      <c r="AE311" s="180"/>
    </row>
    <row r="312" ht="21.25" customHeight="1">
      <c r="A312" t="s" s="8">
        <v>568</v>
      </c>
      <c r="B312" t="s" s="177">
        <v>973</v>
      </c>
      <c r="C312" s="178">
        <v>33</v>
      </c>
      <c r="D312" t="s" s="177">
        <v>925</v>
      </c>
      <c r="E312" s="68">
        <v>76.7192857142857</v>
      </c>
      <c r="F312" s="179">
        <v>14.6197749865649</v>
      </c>
      <c r="G312" s="180">
        <v>0.184594027942846</v>
      </c>
      <c r="H312" s="180">
        <v>0.237791064081591</v>
      </c>
      <c r="I312" s="180">
        <v>0.422385092024438</v>
      </c>
      <c r="J312" s="180">
        <v>1.83594619592302</v>
      </c>
      <c r="K312" s="180">
        <v>0.0265936818729499</v>
      </c>
      <c r="L312" s="180">
        <v>0.101484046011021</v>
      </c>
      <c r="M312" s="180">
        <v>0.00013427253226648</v>
      </c>
      <c r="N312" s="180">
        <v>0.000247700349514511</v>
      </c>
      <c r="O312" s="180">
        <v>0.346132899759237</v>
      </c>
      <c r="P312" s="180">
        <v>0.442376440784528</v>
      </c>
      <c r="Q312" s="180">
        <v>-0.00932201627158633</v>
      </c>
      <c r="R312" s="180">
        <v>0.366679108063944</v>
      </c>
      <c r="S312" s="180">
        <v>0.0189102025619238</v>
      </c>
      <c r="T312" s="180">
        <v>0.206104720309082</v>
      </c>
      <c r="U312" s="180">
        <v>0.137236664017723</v>
      </c>
      <c r="V312" s="180">
        <v>0.600290934089389</v>
      </c>
      <c r="W312" s="180"/>
      <c r="X312" s="68"/>
      <c r="Y312" s="179"/>
      <c r="Z312" s="179"/>
      <c r="AA312" s="179"/>
      <c r="AB312" s="179"/>
      <c r="AC312" s="179"/>
      <c r="AD312" s="181"/>
      <c r="AE312" s="180"/>
    </row>
    <row r="313" ht="21.25" customHeight="1">
      <c r="A313" t="s" s="8">
        <v>401</v>
      </c>
      <c r="B313" t="s" s="177">
        <v>973</v>
      </c>
      <c r="C313" s="182">
        <v>21</v>
      </c>
      <c r="D313" t="s" s="177">
        <v>927</v>
      </c>
      <c r="E313" s="68">
        <v>74.2</v>
      </c>
      <c r="F313" s="179">
        <v>20.6045171823032</v>
      </c>
      <c r="G313" s="180">
        <v>0.0926799299930217</v>
      </c>
      <c r="H313" s="180">
        <v>0.328491333518566</v>
      </c>
      <c r="I313" s="180">
        <v>0.421171263511588</v>
      </c>
      <c r="J313" s="180">
        <v>1.37876755218102</v>
      </c>
      <c r="K313" s="180">
        <v>0.00455736859883555</v>
      </c>
      <c r="L313" s="180">
        <v>0.0312203987413872</v>
      </c>
      <c r="M313" s="180">
        <v>0.000619490913727456</v>
      </c>
      <c r="N313" s="180">
        <v>0.00330719430257941</v>
      </c>
      <c r="O313" s="180">
        <v>1.72404787990584</v>
      </c>
      <c r="P313" s="180">
        <v>1.64784306922184</v>
      </c>
      <c r="Q313" s="180">
        <v>-0.117350515449357</v>
      </c>
      <c r="R313" s="180">
        <v>0.579645187650028</v>
      </c>
      <c r="S313" s="180">
        <v>0.00949432800792227</v>
      </c>
      <c r="T313" s="180">
        <v>0</v>
      </c>
      <c r="U313" s="180">
        <v>0</v>
      </c>
      <c r="V313" s="180">
        <v>0</v>
      </c>
      <c r="W313" s="180"/>
      <c r="X313" s="68"/>
      <c r="Y313" s="179"/>
      <c r="Z313" s="179"/>
      <c r="AA313" s="179"/>
      <c r="AB313" s="179"/>
      <c r="AC313" s="179"/>
      <c r="AD313" s="181"/>
      <c r="AE313" s="180"/>
    </row>
    <row r="314" ht="21.25" customHeight="1">
      <c r="A314" t="s" s="8">
        <v>384</v>
      </c>
      <c r="B314" t="s" s="177">
        <v>950</v>
      </c>
      <c r="C314" s="178">
        <v>23</v>
      </c>
      <c r="D314" t="s" s="177">
        <v>927</v>
      </c>
      <c r="E314" s="68">
        <v>81.0582142857143</v>
      </c>
      <c r="F314" s="179">
        <v>22.1019377100861</v>
      </c>
      <c r="G314" s="180">
        <v>0.106268897920804</v>
      </c>
      <c r="H314" s="180">
        <v>0.314639365547145</v>
      </c>
      <c r="I314" s="180">
        <v>0.420908263467949</v>
      </c>
      <c r="J314" s="180">
        <v>1.4170359430639</v>
      </c>
      <c r="K314" s="180">
        <v>0.00377900830075596</v>
      </c>
      <c r="L314" s="180">
        <v>0.016308442252971</v>
      </c>
      <c r="M314" s="180">
        <v>0.000347099578376844</v>
      </c>
      <c r="N314" s="180">
        <v>0.0111676391935423</v>
      </c>
      <c r="O314" s="180">
        <v>1.38387052299152</v>
      </c>
      <c r="P314" s="180">
        <v>1.87610832733307</v>
      </c>
      <c r="Q314" s="180">
        <v>0.0529431313228688</v>
      </c>
      <c r="R314" s="180">
        <v>0.424884281285877</v>
      </c>
      <c r="S314" s="180">
        <v>0.0181080217619844</v>
      </c>
      <c r="T314" s="180">
        <v>0</v>
      </c>
      <c r="U314" s="180">
        <v>0</v>
      </c>
      <c r="V314" s="180">
        <v>0</v>
      </c>
      <c r="W314" s="180"/>
      <c r="X314" s="68"/>
      <c r="Y314" s="179"/>
      <c r="Z314" s="179"/>
      <c r="AA314" s="179"/>
      <c r="AB314" s="179"/>
      <c r="AC314" s="179"/>
      <c r="AD314" s="181"/>
      <c r="AE314" s="180"/>
    </row>
    <row r="315" ht="21.25" customHeight="1">
      <c r="A315" t="s" s="8">
        <v>611</v>
      </c>
      <c r="B315" t="s" s="177">
        <v>960</v>
      </c>
      <c r="C315" s="182">
        <v>23</v>
      </c>
      <c r="D315" t="s" s="177">
        <v>924</v>
      </c>
      <c r="E315" s="68">
        <v>77.5446428571429</v>
      </c>
      <c r="F315" s="179">
        <v>16.7113782928768</v>
      </c>
      <c r="G315" s="180">
        <v>0.15621960077002</v>
      </c>
      <c r="H315" s="180">
        <v>0.263803816002518</v>
      </c>
      <c r="I315" s="180">
        <v>0.420023416772538</v>
      </c>
      <c r="J315" s="180">
        <v>1.6120022633371</v>
      </c>
      <c r="K315" s="180">
        <v>0.0212212254282109</v>
      </c>
      <c r="L315" s="180">
        <v>0.0783393409277857</v>
      </c>
      <c r="M315" s="180">
        <v>0.003259586681155</v>
      </c>
      <c r="N315" s="180">
        <v>0.00588092179948048</v>
      </c>
      <c r="O315" s="180">
        <v>0.482538471679418</v>
      </c>
      <c r="P315" s="180">
        <v>0.59327929885736</v>
      </c>
      <c r="Q315" s="180">
        <v>-0.117750490766552</v>
      </c>
      <c r="R315" s="180">
        <v>0.260031836519007</v>
      </c>
      <c r="S315" s="180">
        <v>0.018306055263551</v>
      </c>
      <c r="T315" s="180">
        <v>1.24849102757917</v>
      </c>
      <c r="U315" s="180">
        <v>1.6340781472338</v>
      </c>
      <c r="V315" s="180">
        <v>0.433117455944548</v>
      </c>
      <c r="W315" s="180"/>
      <c r="X315" s="68"/>
      <c r="Y315" s="179"/>
      <c r="Z315" s="179"/>
      <c r="AA315" s="179"/>
      <c r="AB315" s="179"/>
      <c r="AC315" s="179"/>
      <c r="AD315" s="181"/>
      <c r="AE315" s="180"/>
    </row>
    <row r="316" ht="21.25" customHeight="1">
      <c r="A316" t="s" s="8">
        <v>429</v>
      </c>
      <c r="B316" t="s" s="177">
        <v>961</v>
      </c>
      <c r="C316" s="182">
        <v>23</v>
      </c>
      <c r="D316" t="s" s="177">
        <v>927</v>
      </c>
      <c r="E316" s="68">
        <v>72.59999999999999</v>
      </c>
      <c r="F316" s="179">
        <v>18.6396957039967</v>
      </c>
      <c r="G316" s="180">
        <v>0.0970646205442016</v>
      </c>
      <c r="H316" s="180">
        <v>0.322684704466322</v>
      </c>
      <c r="I316" s="180">
        <v>0.419749325010523</v>
      </c>
      <c r="J316" s="180">
        <v>1.13839515628982</v>
      </c>
      <c r="K316" s="180">
        <v>0.00165541523029257</v>
      </c>
      <c r="L316" s="180">
        <v>0.0776232019468935</v>
      </c>
      <c r="M316" s="180">
        <v>0.000123614954498244</v>
      </c>
      <c r="N316" s="180">
        <v>0.000456560877359545</v>
      </c>
      <c r="O316" s="180">
        <v>1.18248231867158</v>
      </c>
      <c r="P316" s="180">
        <v>1.77707256070501</v>
      </c>
      <c r="Q316" s="180">
        <v>-0.0171576214707968</v>
      </c>
      <c r="R316" s="180">
        <v>0.396415571045541</v>
      </c>
      <c r="S316" s="180">
        <v>0.011939519716502</v>
      </c>
      <c r="T316" s="180">
        <v>0</v>
      </c>
      <c r="U316" s="180">
        <v>0</v>
      </c>
      <c r="V316" s="180">
        <v>0</v>
      </c>
      <c r="W316" s="180"/>
      <c r="X316" s="68"/>
      <c r="Y316" s="179"/>
      <c r="Z316" s="179"/>
      <c r="AA316" s="179"/>
      <c r="AB316" s="179"/>
      <c r="AC316" s="179"/>
      <c r="AD316" s="181"/>
      <c r="AE316" s="180"/>
    </row>
    <row r="317" ht="21.25" customHeight="1">
      <c r="A317" t="s" s="8">
        <v>618</v>
      </c>
      <c r="B317" t="s" s="177">
        <v>957</v>
      </c>
      <c r="C317" s="178">
        <v>29</v>
      </c>
      <c r="D317" t="s" s="177">
        <v>924</v>
      </c>
      <c r="E317" s="68">
        <v>82</v>
      </c>
      <c r="F317" s="179">
        <v>14.1200300412202</v>
      </c>
      <c r="G317" s="180">
        <v>0.124256390116583</v>
      </c>
      <c r="H317" s="180">
        <v>0.294979249243434</v>
      </c>
      <c r="I317" s="180">
        <v>0.419235639360017</v>
      </c>
      <c r="J317" s="180">
        <v>1.46517745097594</v>
      </c>
      <c r="K317" s="180">
        <v>0.00857506057227979</v>
      </c>
      <c r="L317" s="180">
        <v>0.018321899658441</v>
      </c>
      <c r="M317" s="180">
        <v>0.00972962243800618</v>
      </c>
      <c r="N317" s="180">
        <v>0.028229072789609</v>
      </c>
      <c r="O317" s="180">
        <v>0.598344277539851</v>
      </c>
      <c r="P317" s="180">
        <v>0.782517580180883</v>
      </c>
      <c r="Q317" s="180">
        <v>-0.0262833167361966</v>
      </c>
      <c r="R317" s="180">
        <v>0.295639848537491</v>
      </c>
      <c r="S317" s="180">
        <v>0.0156807336994012</v>
      </c>
      <c r="T317" s="180">
        <v>0.92063506623633</v>
      </c>
      <c r="U317" s="180">
        <v>1.20532034201199</v>
      </c>
      <c r="V317" s="180">
        <v>0.43304533230774</v>
      </c>
      <c r="W317" s="180"/>
      <c r="X317" s="68"/>
      <c r="Y317" s="179"/>
      <c r="Z317" s="179"/>
      <c r="AA317" s="179"/>
      <c r="AB317" s="179"/>
      <c r="AC317" s="179"/>
      <c r="AD317" s="181"/>
      <c r="AE317" s="180"/>
    </row>
    <row r="318" ht="21.25" customHeight="1">
      <c r="A318" t="s" s="8">
        <v>543</v>
      </c>
      <c r="B318" t="s" s="177">
        <v>945</v>
      </c>
      <c r="C318" s="182">
        <v>20</v>
      </c>
      <c r="D318" t="s" s="177">
        <v>925</v>
      </c>
      <c r="E318" s="68">
        <v>74</v>
      </c>
      <c r="F318" s="179">
        <v>15</v>
      </c>
      <c r="G318" s="180">
        <v>0.176852344454579</v>
      </c>
      <c r="H318" s="180">
        <v>0.236869892257285</v>
      </c>
      <c r="I318" s="180">
        <v>0.413722236711863</v>
      </c>
      <c r="J318" s="180">
        <v>1.59949870186335</v>
      </c>
      <c r="K318" s="180">
        <v>0.0342499058376311</v>
      </c>
      <c r="L318" s="180">
        <v>0.0801230410262088</v>
      </c>
      <c r="M318" s="180">
        <v>0</v>
      </c>
      <c r="N318" s="180">
        <v>0</v>
      </c>
      <c r="O318" s="180">
        <v>0.426829268292683</v>
      </c>
      <c r="P318" s="180">
        <v>1.18309240326726</v>
      </c>
      <c r="Q318" s="180">
        <v>0.000121951219512195</v>
      </c>
      <c r="R318" s="180">
        <v>0.404066898383504</v>
      </c>
      <c r="S318" s="180">
        <v>0.0284112821299876</v>
      </c>
      <c r="T318" s="180">
        <v>0</v>
      </c>
      <c r="U318" s="180">
        <v>0</v>
      </c>
      <c r="V318" s="180">
        <v>0</v>
      </c>
      <c r="W318" s="180"/>
      <c r="X318" s="68"/>
      <c r="Y318" s="180"/>
      <c r="Z318" s="180"/>
      <c r="AA318" s="180"/>
      <c r="AB318" s="180"/>
      <c r="AC318" s="179"/>
      <c r="AD318" s="181"/>
      <c r="AE318" s="180"/>
    </row>
    <row r="319" ht="21.25" customHeight="1">
      <c r="A319" t="s" s="8">
        <v>386</v>
      </c>
      <c r="B319" t="s" s="177">
        <v>957</v>
      </c>
      <c r="C319" s="178">
        <v>24</v>
      </c>
      <c r="D319" t="s" s="177">
        <v>927</v>
      </c>
      <c r="E319" s="68">
        <v>76.3075</v>
      </c>
      <c r="F319" s="179">
        <v>18.7356457577889</v>
      </c>
      <c r="G319" s="180">
        <v>0.0582656599575285</v>
      </c>
      <c r="H319" s="180">
        <v>0.354988669777905</v>
      </c>
      <c r="I319" s="180">
        <v>0.413254329735433</v>
      </c>
      <c r="J319" s="180">
        <v>1.32569637251766</v>
      </c>
      <c r="K319" s="180">
        <v>0.0130532082574743</v>
      </c>
      <c r="L319" s="180">
        <v>0.12458168946255</v>
      </c>
      <c r="M319" s="180">
        <v>0.000274560767457195</v>
      </c>
      <c r="N319" s="180">
        <v>0.00100366987204909</v>
      </c>
      <c r="O319" s="180">
        <v>1.27038815884859</v>
      </c>
      <c r="P319" s="180">
        <v>0.913131188926415</v>
      </c>
      <c r="Q319" s="180">
        <v>-0.0303033291707429</v>
      </c>
      <c r="R319" s="180">
        <v>0.635883141559196</v>
      </c>
      <c r="S319" s="180">
        <v>0.00735292806073512</v>
      </c>
      <c r="T319" s="180">
        <v>0</v>
      </c>
      <c r="U319" s="180">
        <v>0</v>
      </c>
      <c r="V319" s="180">
        <v>0</v>
      </c>
      <c r="W319" s="180"/>
      <c r="X319" s="68"/>
      <c r="Y319" s="179"/>
      <c r="Z319" s="179"/>
      <c r="AA319" s="179"/>
      <c r="AB319" s="179"/>
      <c r="AC319" s="179"/>
      <c r="AD319" s="181"/>
      <c r="AE319" s="180"/>
    </row>
    <row r="320" ht="21.25" customHeight="1">
      <c r="A320" t="s" s="8">
        <v>358</v>
      </c>
      <c r="B320" t="s" s="177">
        <v>969</v>
      </c>
      <c r="C320" s="178">
        <v>30</v>
      </c>
      <c r="D320" t="s" s="177">
        <v>927</v>
      </c>
      <c r="E320" s="68">
        <v>78.5910714285714</v>
      </c>
      <c r="F320" s="179">
        <v>17.5118288729951</v>
      </c>
      <c r="G320" s="180">
        <v>0.12354926412985</v>
      </c>
      <c r="H320" s="180">
        <v>0.289336940822854</v>
      </c>
      <c r="I320" s="180">
        <v>0.412886204952704</v>
      </c>
      <c r="J320" s="180">
        <v>1.56274566603168</v>
      </c>
      <c r="K320" s="180">
        <v>0.0330385296938096</v>
      </c>
      <c r="L320" s="180">
        <v>0.122981335277563</v>
      </c>
      <c r="M320" s="180">
        <v>0.00331550374131732</v>
      </c>
      <c r="N320" s="180">
        <v>0.00363900070853001</v>
      </c>
      <c r="O320" s="180">
        <v>1.06906308696784</v>
      </c>
      <c r="P320" s="180">
        <v>0.696508494613052</v>
      </c>
      <c r="Q320" s="180">
        <v>-0.0281624284820629</v>
      </c>
      <c r="R320" s="180">
        <v>0.261327178305059</v>
      </c>
      <c r="S320" s="180">
        <v>0.0163499980947463</v>
      </c>
      <c r="T320" s="180">
        <v>0</v>
      </c>
      <c r="U320" s="180">
        <v>0</v>
      </c>
      <c r="V320" s="180">
        <v>0</v>
      </c>
      <c r="W320" s="180"/>
      <c r="X320" s="68"/>
      <c r="Y320" s="179"/>
      <c r="Z320" s="179"/>
      <c r="AA320" s="179"/>
      <c r="AB320" s="179"/>
      <c r="AC320" s="179"/>
      <c r="AD320" s="181"/>
      <c r="AE320" s="180"/>
    </row>
    <row r="321" ht="21.25" customHeight="1">
      <c r="A321" t="s" s="8">
        <v>323</v>
      </c>
      <c r="B321" t="s" s="177">
        <v>958</v>
      </c>
      <c r="C321" s="178">
        <v>21</v>
      </c>
      <c r="D321" t="s" s="177">
        <v>927</v>
      </c>
      <c r="E321" s="68">
        <v>79.955</v>
      </c>
      <c r="F321" s="179">
        <v>21.9683693129028</v>
      </c>
      <c r="G321" s="180">
        <v>0.0636988297701746</v>
      </c>
      <c r="H321" s="180">
        <v>0.347272510084189</v>
      </c>
      <c r="I321" s="180">
        <v>0.410971339854363</v>
      </c>
      <c r="J321" s="180">
        <v>1.69201220944585</v>
      </c>
      <c r="K321" s="180">
        <v>0.0214127920034409</v>
      </c>
      <c r="L321" s="180">
        <v>0.155312225202052</v>
      </c>
      <c r="M321" s="180">
        <v>0.000524551507256779</v>
      </c>
      <c r="N321" s="180">
        <v>0.0026917761925587</v>
      </c>
      <c r="O321" s="180">
        <v>1.89314346845606</v>
      </c>
      <c r="P321" s="180">
        <v>0.864928064524773</v>
      </c>
      <c r="Q321" s="180">
        <v>0.00274056191725676</v>
      </c>
      <c r="R321" s="180">
        <v>0.255012452111785</v>
      </c>
      <c r="S321" s="180">
        <v>0.00957940636228489</v>
      </c>
      <c r="T321" s="180">
        <v>0</v>
      </c>
      <c r="U321" s="180">
        <v>0</v>
      </c>
      <c r="V321" s="180">
        <v>0</v>
      </c>
      <c r="W321" s="180"/>
      <c r="X321" s="68"/>
      <c r="Y321" s="179"/>
      <c r="Z321" s="179"/>
      <c r="AA321" s="179"/>
      <c r="AB321" s="179"/>
      <c r="AC321" s="179"/>
      <c r="AD321" s="181"/>
      <c r="AE321" s="180"/>
    </row>
    <row r="322" ht="21.25" customHeight="1">
      <c r="A322" t="s" s="8">
        <v>340</v>
      </c>
      <c r="B322" t="s" s="177">
        <v>946</v>
      </c>
      <c r="C322" s="178">
        <v>33</v>
      </c>
      <c r="D322" t="s" s="177">
        <v>927</v>
      </c>
      <c r="E322" s="68">
        <v>79.40000000000001</v>
      </c>
      <c r="F322" s="179">
        <v>21.423531844078</v>
      </c>
      <c r="G322" s="180">
        <v>0.120141755115903</v>
      </c>
      <c r="H322" s="180">
        <v>0.29044000166234</v>
      </c>
      <c r="I322" s="180">
        <v>0.410581756778244</v>
      </c>
      <c r="J322" s="180">
        <v>1.86498643827821</v>
      </c>
      <c r="K322" s="180">
        <v>0.0069837946122622</v>
      </c>
      <c r="L322" s="180">
        <v>0.0496085282452251</v>
      </c>
      <c r="M322" s="180">
        <v>0.000303125495304843</v>
      </c>
      <c r="N322" s="180">
        <v>0.00772107420224601</v>
      </c>
      <c r="O322" s="180">
        <v>2.04147167984301</v>
      </c>
      <c r="P322" s="180">
        <v>0.918876468958622</v>
      </c>
      <c r="Q322" s="180">
        <v>0.07010926965102959</v>
      </c>
      <c r="R322" s="180">
        <v>0.209335951994872</v>
      </c>
      <c r="S322" s="180">
        <v>0.0192919323925523</v>
      </c>
      <c r="T322" s="180">
        <v>0</v>
      </c>
      <c r="U322" s="180">
        <v>0</v>
      </c>
      <c r="V322" s="180">
        <v>0</v>
      </c>
      <c r="W322" s="180"/>
      <c r="X322" s="68"/>
      <c r="Y322" s="179"/>
      <c r="Z322" s="179"/>
      <c r="AA322" s="179"/>
      <c r="AB322" s="179"/>
      <c r="AC322" s="179"/>
      <c r="AD322" s="181"/>
      <c r="AE322" s="180"/>
    </row>
    <row r="323" ht="21.25" customHeight="1">
      <c r="A323" t="s" s="8">
        <v>360</v>
      </c>
      <c r="B323" t="s" s="177">
        <v>953</v>
      </c>
      <c r="C323" s="178">
        <v>35</v>
      </c>
      <c r="D323" t="s" s="177">
        <v>927</v>
      </c>
      <c r="E323" s="68">
        <v>76.2310714285714</v>
      </c>
      <c r="F323" s="179">
        <v>19.9386875110429</v>
      </c>
      <c r="G323" s="180">
        <v>0.08627627072675451</v>
      </c>
      <c r="H323" s="180">
        <v>0.321992200427477</v>
      </c>
      <c r="I323" s="180">
        <v>0.408268471154232</v>
      </c>
      <c r="J323" s="180">
        <v>1.66229324566406</v>
      </c>
      <c r="K323" s="180">
        <v>0.0192195681750282</v>
      </c>
      <c r="L323" s="180">
        <v>0.092740882319338</v>
      </c>
      <c r="M323" s="180">
        <v>0.000304138510102449</v>
      </c>
      <c r="N323" s="180">
        <v>0.00564987899483176</v>
      </c>
      <c r="O323" s="180">
        <v>1.53859521729361</v>
      </c>
      <c r="P323" s="180">
        <v>2.24199130502379</v>
      </c>
      <c r="Q323" s="180">
        <v>-0.00999490953066373</v>
      </c>
      <c r="R323" s="180">
        <v>0.41486846393656</v>
      </c>
      <c r="S323" s="180">
        <v>0.0138490689984532</v>
      </c>
      <c r="T323" s="180">
        <v>0</v>
      </c>
      <c r="U323" s="180">
        <v>0</v>
      </c>
      <c r="V323" s="180">
        <v>0</v>
      </c>
      <c r="W323" s="180"/>
      <c r="X323" s="68"/>
      <c r="Y323" s="179"/>
      <c r="Z323" s="179"/>
      <c r="AA323" s="179"/>
      <c r="AB323" s="179"/>
      <c r="AC323" s="179"/>
      <c r="AD323" s="181"/>
      <c r="AE323" s="180"/>
    </row>
    <row r="324" ht="21.25" customHeight="1">
      <c r="A324" t="s" s="8">
        <v>665</v>
      </c>
      <c r="B324" t="s" s="177">
        <v>958</v>
      </c>
      <c r="C324" s="178">
        <v>22</v>
      </c>
      <c r="D324" t="s" s="177">
        <v>924</v>
      </c>
      <c r="E324" s="68">
        <v>70.86750000000001</v>
      </c>
      <c r="F324" s="179">
        <v>14.4655959686337</v>
      </c>
      <c r="G324" s="180">
        <v>0.205310917298883</v>
      </c>
      <c r="H324" s="180">
        <v>0.200767389762306</v>
      </c>
      <c r="I324" s="180">
        <v>0.406078307061189</v>
      </c>
      <c r="J324" s="180">
        <v>1.61718453684289</v>
      </c>
      <c r="K324" s="180">
        <v>0.0256446618422865</v>
      </c>
      <c r="L324" s="180">
        <v>0.052477634592637</v>
      </c>
      <c r="M324" s="180">
        <v>0.00171310447478487</v>
      </c>
      <c r="N324" s="180">
        <v>0.00316253492148701</v>
      </c>
      <c r="O324" s="180">
        <v>0.560713672624789</v>
      </c>
      <c r="P324" s="180">
        <v>0.872252286014279</v>
      </c>
      <c r="Q324" s="180">
        <v>-0.00747160704830721</v>
      </c>
      <c r="R324" s="180">
        <v>0.284291806193694</v>
      </c>
      <c r="S324" s="180">
        <v>0.0308758687485394</v>
      </c>
      <c r="T324" s="180">
        <v>4.84691429037845</v>
      </c>
      <c r="U324" s="180">
        <v>4.71487864929887</v>
      </c>
      <c r="V324" s="180">
        <v>0.506904334883246</v>
      </c>
      <c r="W324" s="180"/>
      <c r="X324" s="68"/>
      <c r="Y324" s="179"/>
      <c r="Z324" s="179"/>
      <c r="AA324" s="179"/>
      <c r="AB324" s="179"/>
      <c r="AC324" s="179"/>
      <c r="AD324" s="181"/>
      <c r="AE324" s="180"/>
    </row>
    <row r="325" ht="21.25" customHeight="1">
      <c r="A325" t="s" s="8">
        <v>607</v>
      </c>
      <c r="B325" t="s" s="177">
        <v>960</v>
      </c>
      <c r="C325" s="182">
        <v>27</v>
      </c>
      <c r="D325" t="s" s="177">
        <v>924</v>
      </c>
      <c r="E325" s="68">
        <v>78.0989285714286</v>
      </c>
      <c r="F325" s="179">
        <v>13.1853251012783</v>
      </c>
      <c r="G325" s="180">
        <v>0.193399331519448</v>
      </c>
      <c r="H325" s="180">
        <v>0.212317420403849</v>
      </c>
      <c r="I325" s="180">
        <v>0.405716751923296</v>
      </c>
      <c r="J325" s="180">
        <v>1.94659533039927</v>
      </c>
      <c r="K325" s="180">
        <v>0.0107955404625787</v>
      </c>
      <c r="L325" s="180">
        <v>0.0362565370807607</v>
      </c>
      <c r="M325" s="180">
        <v>0.00298590636899441</v>
      </c>
      <c r="N325" s="180">
        <v>0.00547187703591063</v>
      </c>
      <c r="O325" s="180">
        <v>0.265504572782667</v>
      </c>
      <c r="P325" s="180">
        <v>1.07906354506468</v>
      </c>
      <c r="Q325" s="180">
        <v>-0.0635709424855328</v>
      </c>
      <c r="R325" s="180">
        <v>0.426302514008738</v>
      </c>
      <c r="S325" s="180">
        <v>0.0226628338139261</v>
      </c>
      <c r="T325" s="180">
        <v>0.799552179482804</v>
      </c>
      <c r="U325" s="180">
        <v>1.14267016898972</v>
      </c>
      <c r="V325" s="180">
        <v>0.41166871553693</v>
      </c>
      <c r="W325" s="180"/>
      <c r="X325" s="68"/>
      <c r="Y325" s="179"/>
      <c r="Z325" s="179"/>
      <c r="AA325" s="179"/>
      <c r="AB325" s="179"/>
      <c r="AC325" s="179"/>
      <c r="AD325" s="181"/>
      <c r="AE325" s="180"/>
    </row>
    <row r="326" ht="21.25" customHeight="1">
      <c r="A326" t="s" s="8">
        <v>361</v>
      </c>
      <c r="B326" t="s" s="177">
        <v>967</v>
      </c>
      <c r="C326" s="182">
        <v>21</v>
      </c>
      <c r="D326" t="s" s="177">
        <v>927</v>
      </c>
      <c r="E326" s="68">
        <v>72.9467857142857</v>
      </c>
      <c r="F326" s="179">
        <v>21.8423006121808</v>
      </c>
      <c r="G326" s="180">
        <v>0.0731518327343465</v>
      </c>
      <c r="H326" s="180">
        <v>0.331460111422073</v>
      </c>
      <c r="I326" s="180">
        <v>0.40461194415642</v>
      </c>
      <c r="J326" s="180">
        <v>1.64487325976345</v>
      </c>
      <c r="K326" s="180">
        <v>0.00624021330919777</v>
      </c>
      <c r="L326" s="180">
        <v>0.129674901999462</v>
      </c>
      <c r="M326" s="180">
        <v>0.00161339186137916</v>
      </c>
      <c r="N326" s="180">
        <v>0.00605953938320643</v>
      </c>
      <c r="O326" s="180">
        <v>1.32777247192361</v>
      </c>
      <c r="P326" s="180">
        <v>1.05501867106312</v>
      </c>
      <c r="Q326" s="180">
        <v>-0.117901231633166</v>
      </c>
      <c r="R326" s="180">
        <v>0.330250558485244</v>
      </c>
      <c r="S326" s="180">
        <v>0.00701255601907716</v>
      </c>
      <c r="T326" s="180">
        <v>0</v>
      </c>
      <c r="U326" s="180">
        <v>0</v>
      </c>
      <c r="V326" s="180">
        <v>0</v>
      </c>
      <c r="W326" s="180"/>
      <c r="X326" s="68"/>
      <c r="Y326" s="179"/>
      <c r="Z326" s="179"/>
      <c r="AA326" s="179"/>
      <c r="AB326" s="179"/>
      <c r="AC326" s="179"/>
      <c r="AD326" s="181"/>
      <c r="AE326" s="180"/>
    </row>
    <row r="327" ht="21.25" customHeight="1">
      <c r="A327" t="s" s="8">
        <v>347</v>
      </c>
      <c r="B327" t="s" s="177">
        <v>939</v>
      </c>
      <c r="C327" s="178">
        <v>33</v>
      </c>
      <c r="D327" t="s" s="177">
        <v>927</v>
      </c>
      <c r="E327" s="68">
        <v>79.3235714285714</v>
      </c>
      <c r="F327" s="179">
        <v>22.2133271023837</v>
      </c>
      <c r="G327" s="180">
        <v>0.0955086961864061</v>
      </c>
      <c r="H327" s="180">
        <v>0.306112479264521</v>
      </c>
      <c r="I327" s="180">
        <v>0.401621175450927</v>
      </c>
      <c r="J327" s="180">
        <v>1.861193236754</v>
      </c>
      <c r="K327" s="180">
        <v>0.00131961554601871</v>
      </c>
      <c r="L327" s="180">
        <v>0.0442554412047252</v>
      </c>
      <c r="M327" s="180">
        <v>0.000246429490497161</v>
      </c>
      <c r="N327" s="180">
        <v>0.0109615049115823</v>
      </c>
      <c r="O327" s="180">
        <v>1.35375397177899</v>
      </c>
      <c r="P327" s="180">
        <v>1.11951446823123</v>
      </c>
      <c r="Q327" s="180">
        <v>0.109876271276031</v>
      </c>
      <c r="R327" s="180">
        <v>0.438081826454689</v>
      </c>
      <c r="S327" s="180">
        <v>0.0151180012609583</v>
      </c>
      <c r="T327" s="180">
        <v>0</v>
      </c>
      <c r="U327" s="180">
        <v>0</v>
      </c>
      <c r="V327" s="180">
        <v>0</v>
      </c>
      <c r="W327" s="180"/>
      <c r="X327" s="68"/>
      <c r="Y327" s="179"/>
      <c r="Z327" s="179"/>
      <c r="AA327" s="179"/>
      <c r="AB327" s="179"/>
      <c r="AC327" s="179"/>
      <c r="AD327" s="181"/>
      <c r="AE327" s="180"/>
    </row>
    <row r="328" ht="21.25" customHeight="1">
      <c r="A328" t="s" s="8">
        <v>387</v>
      </c>
      <c r="B328" t="s" s="177">
        <v>972</v>
      </c>
      <c r="C328" s="178">
        <v>33</v>
      </c>
      <c r="D328" t="s" s="177">
        <v>927</v>
      </c>
      <c r="E328" s="68">
        <v>77.8682142857143</v>
      </c>
      <c r="F328" s="179">
        <v>17.4582225042108</v>
      </c>
      <c r="G328" s="180">
        <v>0.06568515606375799</v>
      </c>
      <c r="H328" s="180">
        <v>0.33273312729592</v>
      </c>
      <c r="I328" s="180">
        <v>0.398418283359678</v>
      </c>
      <c r="J328" s="180">
        <v>1.31939833123006</v>
      </c>
      <c r="K328" s="180">
        <v>0.0162108668542076</v>
      </c>
      <c r="L328" s="180">
        <v>0.136918194553326</v>
      </c>
      <c r="M328" s="180">
        <v>5.8309924390896e-05</v>
      </c>
      <c r="N328" s="180">
        <v>0.000226401498738733</v>
      </c>
      <c r="O328" s="180">
        <v>1.06588454326918</v>
      </c>
      <c r="P328" s="180">
        <v>0.65738167933486</v>
      </c>
      <c r="Q328" s="180">
        <v>-0.0037575410412883</v>
      </c>
      <c r="R328" s="180">
        <v>0.387667846435749</v>
      </c>
      <c r="S328" s="180">
        <v>0.009232769656012781</v>
      </c>
      <c r="T328" s="180">
        <v>0</v>
      </c>
      <c r="U328" s="180">
        <v>0</v>
      </c>
      <c r="V328" s="180">
        <v>0</v>
      </c>
      <c r="W328" s="180"/>
      <c r="X328" s="68"/>
      <c r="Y328" s="179"/>
      <c r="Z328" s="179"/>
      <c r="AA328" s="179"/>
      <c r="AB328" s="179"/>
      <c r="AC328" s="179"/>
      <c r="AD328" s="181"/>
      <c r="AE328" s="180"/>
    </row>
    <row r="329" ht="21.25" customHeight="1">
      <c r="A329" t="s" s="8">
        <v>694</v>
      </c>
      <c r="B329" t="s" s="177">
        <v>939</v>
      </c>
      <c r="C329" s="178">
        <v>23</v>
      </c>
      <c r="D329" t="s" s="177">
        <v>924</v>
      </c>
      <c r="E329" s="68">
        <v>74.28</v>
      </c>
      <c r="F329" s="179">
        <v>14.364570120730</v>
      </c>
      <c r="G329" s="180">
        <v>0.176982820217979</v>
      </c>
      <c r="H329" s="180">
        <v>0.218333410995359</v>
      </c>
      <c r="I329" s="180">
        <v>0.395316231213338</v>
      </c>
      <c r="J329" s="180">
        <v>1.36979332178032</v>
      </c>
      <c r="K329" s="180">
        <v>0.0139058875449334</v>
      </c>
      <c r="L329" s="180">
        <v>0.0350638380849671</v>
      </c>
      <c r="M329" s="180">
        <v>0.0179636865804096</v>
      </c>
      <c r="N329" s="180">
        <v>0.027662375118021</v>
      </c>
      <c r="O329" s="180">
        <v>0.394533420516948</v>
      </c>
      <c r="P329" s="180">
        <v>0.7719739462605349</v>
      </c>
      <c r="Q329" s="180">
        <v>0.06458132109312741</v>
      </c>
      <c r="R329" s="180">
        <v>0.279323968152472</v>
      </c>
      <c r="S329" s="180">
        <v>0.0280144804196813</v>
      </c>
      <c r="T329" s="180">
        <v>4.85517595835056</v>
      </c>
      <c r="U329" s="180">
        <v>5.30911900101105</v>
      </c>
      <c r="V329" s="180">
        <v>0.477669723061195</v>
      </c>
      <c r="W329" s="180"/>
      <c r="X329" s="68"/>
      <c r="Y329" s="179"/>
      <c r="Z329" s="179"/>
      <c r="AA329" s="179"/>
      <c r="AB329" s="179"/>
      <c r="AC329" s="179"/>
      <c r="AD329" s="181"/>
      <c r="AE329" s="180"/>
    </row>
    <row r="330" ht="21.25" customHeight="1">
      <c r="A330" t="s" s="8">
        <v>399</v>
      </c>
      <c r="B330" t="s" s="177">
        <v>946</v>
      </c>
      <c r="C330" s="178">
        <v>20</v>
      </c>
      <c r="D330" t="s" s="177">
        <v>927</v>
      </c>
      <c r="E330" s="68">
        <v>74</v>
      </c>
      <c r="F330" s="179">
        <v>20</v>
      </c>
      <c r="G330" s="180">
        <v>0.0773169172804363</v>
      </c>
      <c r="H330" s="180">
        <v>0.317827794521833</v>
      </c>
      <c r="I330" s="180">
        <v>0.39514471180227</v>
      </c>
      <c r="J330" s="180">
        <v>1.56704726835194</v>
      </c>
      <c r="K330" s="180">
        <v>0.0142234568367668</v>
      </c>
      <c r="L330" s="180">
        <v>0.0726920310623712</v>
      </c>
      <c r="M330" s="180">
        <v>0</v>
      </c>
      <c r="N330" s="180">
        <v>0</v>
      </c>
      <c r="O330" s="180">
        <v>1.29268292682927</v>
      </c>
      <c r="P330" s="180">
        <v>1.31795062491404</v>
      </c>
      <c r="Q330" s="180">
        <v>0.0098780487804878</v>
      </c>
      <c r="R330" s="180">
        <v>0.471010028248704</v>
      </c>
      <c r="S330" s="180">
        <v>0.0124152734370807</v>
      </c>
      <c r="T330" s="180">
        <v>0</v>
      </c>
      <c r="U330" s="180">
        <v>0</v>
      </c>
      <c r="V330" s="180">
        <v>0</v>
      </c>
      <c r="W330" s="180"/>
      <c r="X330" s="68"/>
      <c r="Y330" s="180"/>
      <c r="Z330" s="180"/>
      <c r="AA330" s="180"/>
      <c r="AB330" s="180"/>
      <c r="AC330" s="179"/>
      <c r="AD330" s="181"/>
      <c r="AE330" s="180"/>
    </row>
    <row r="331" ht="21.25" customHeight="1">
      <c r="A331" t="s" s="8">
        <v>562</v>
      </c>
      <c r="B331" t="s" s="177">
        <v>974</v>
      </c>
      <c r="C331" s="178">
        <v>35</v>
      </c>
      <c r="D331" t="s" s="177">
        <v>926</v>
      </c>
      <c r="E331" s="68">
        <v>82.03</v>
      </c>
      <c r="F331" s="179">
        <v>12.5961166158537</v>
      </c>
      <c r="G331" s="180">
        <v>0.118341877110403</v>
      </c>
      <c r="H331" s="180">
        <v>0.276427043480333</v>
      </c>
      <c r="I331" s="180">
        <v>0.394768920590737</v>
      </c>
      <c r="J331" s="180">
        <v>1.65143663327972</v>
      </c>
      <c r="K331" s="180">
        <v>0.0165023013264466</v>
      </c>
      <c r="L331" s="180">
        <v>0.0767723701174518</v>
      </c>
      <c r="M331" s="180">
        <v>0</v>
      </c>
      <c r="N331" s="180">
        <v>0</v>
      </c>
      <c r="O331" s="180">
        <v>0.302961653383145</v>
      </c>
      <c r="P331" s="180">
        <v>0.249873541126793</v>
      </c>
      <c r="Q331" s="180">
        <v>-0.0116621981532364</v>
      </c>
      <c r="R331" s="180">
        <v>0.2905726999907</v>
      </c>
      <c r="S331" s="180"/>
      <c r="T331" s="180">
        <v>0.0438752095616782</v>
      </c>
      <c r="U331" s="180">
        <v>0.0821638524154355</v>
      </c>
      <c r="V331" s="180">
        <v>0.348108029950628</v>
      </c>
      <c r="W331" s="180"/>
      <c r="X331" s="68"/>
      <c r="Y331" s="179"/>
      <c r="Z331" s="179"/>
      <c r="AA331" s="179"/>
      <c r="AB331" s="179"/>
      <c r="AC331" s="179"/>
      <c r="AD331" s="181"/>
      <c r="AE331" s="180"/>
    </row>
    <row r="332" ht="21.25" customHeight="1">
      <c r="A332" t="s" s="8">
        <v>364</v>
      </c>
      <c r="B332" t="s" s="177">
        <v>955</v>
      </c>
      <c r="C332" s="178">
        <v>30</v>
      </c>
      <c r="D332" t="s" s="177">
        <v>927</v>
      </c>
      <c r="E332" s="68">
        <v>78.44</v>
      </c>
      <c r="F332" s="179">
        <v>23.0827304398059</v>
      </c>
      <c r="G332" s="180">
        <v>0.06575309042850901</v>
      </c>
      <c r="H332" s="180">
        <v>0.327822695246751</v>
      </c>
      <c r="I332" s="180">
        <v>0.39357578567526</v>
      </c>
      <c r="J332" s="180">
        <v>1.70030129984685</v>
      </c>
      <c r="K332" s="180">
        <v>0.00125088753059052</v>
      </c>
      <c r="L332" s="180">
        <v>0.0203568850395816</v>
      </c>
      <c r="M332" s="180">
        <v>0.000304748309326734</v>
      </c>
      <c r="N332" s="180">
        <v>0.007921676782068669</v>
      </c>
      <c r="O332" s="180">
        <v>1.86552926667623</v>
      </c>
      <c r="P332" s="180">
        <v>1.28717119662833</v>
      </c>
      <c r="Q332" s="180">
        <v>-0.07902407064727909</v>
      </c>
      <c r="R332" s="180">
        <v>0.37228467841726</v>
      </c>
      <c r="S332" s="180">
        <v>0.00756638773096273</v>
      </c>
      <c r="T332" s="180">
        <v>0</v>
      </c>
      <c r="U332" s="180">
        <v>0</v>
      </c>
      <c r="V332" s="180">
        <v>0</v>
      </c>
      <c r="W332" s="180"/>
      <c r="X332" s="68"/>
      <c r="Y332" s="179"/>
      <c r="Z332" s="179"/>
      <c r="AA332" s="179"/>
      <c r="AB332" s="179"/>
      <c r="AC332" s="179"/>
      <c r="AD332" s="181"/>
      <c r="AE332" s="180"/>
    </row>
    <row r="333" ht="21.25" customHeight="1">
      <c r="A333" t="s" s="8">
        <v>663</v>
      </c>
      <c r="B333" t="s" s="177">
        <v>972</v>
      </c>
      <c r="C333" s="182">
        <v>24</v>
      </c>
      <c r="D333" t="s" s="177">
        <v>926</v>
      </c>
      <c r="E333" s="68">
        <v>76.2</v>
      </c>
      <c r="F333" s="179">
        <v>13.4132314240788</v>
      </c>
      <c r="G333" s="180">
        <v>0.168820679852821</v>
      </c>
      <c r="H333" s="180">
        <v>0.221292062852385</v>
      </c>
      <c r="I333" s="180">
        <v>0.390112742705206</v>
      </c>
      <c r="J333" s="180">
        <v>1.28551667274457</v>
      </c>
      <c r="K333" s="180">
        <v>0.0107938724622757</v>
      </c>
      <c r="L333" s="180">
        <v>0.0235505299102998</v>
      </c>
      <c r="M333" s="180">
        <v>0.0052230261909098</v>
      </c>
      <c r="N333" s="180">
        <v>0.0114388667544193</v>
      </c>
      <c r="O333" s="180">
        <v>0.369688712340913</v>
      </c>
      <c r="P333" s="180">
        <v>1.10643029746083</v>
      </c>
      <c r="Q333" s="180">
        <v>0.000897320085370535</v>
      </c>
      <c r="R333" s="180">
        <v>0.334680207944187</v>
      </c>
      <c r="S333" s="180">
        <v>0.0237295995573127</v>
      </c>
      <c r="T333" s="180">
        <v>0.0432425385959893</v>
      </c>
      <c r="U333" s="180">
        <v>0.0933562147665538</v>
      </c>
      <c r="V333" s="180">
        <v>0.316566129130186</v>
      </c>
      <c r="W333" s="180"/>
      <c r="X333" s="68"/>
      <c r="Y333" s="179"/>
      <c r="Z333" s="179"/>
      <c r="AA333" s="179"/>
      <c r="AB333" s="179"/>
      <c r="AC333" s="179"/>
      <c r="AD333" s="181"/>
      <c r="AE333" s="180"/>
    </row>
    <row r="334" ht="21.25" customHeight="1">
      <c r="A334" t="s" s="8">
        <v>713</v>
      </c>
      <c r="B334" t="s" s="177">
        <v>965</v>
      </c>
      <c r="C334" s="178">
        <v>23</v>
      </c>
      <c r="D334" t="s" s="177">
        <v>925</v>
      </c>
      <c r="E334" s="68">
        <v>65.9175</v>
      </c>
      <c r="F334" s="179">
        <v>12.9291446136325</v>
      </c>
      <c r="G334" s="180">
        <v>0.127084020402926</v>
      </c>
      <c r="H334" s="180">
        <v>0.262805842760778</v>
      </c>
      <c r="I334" s="180">
        <v>0.389889863163704</v>
      </c>
      <c r="J334" s="180">
        <v>1.62118687585845</v>
      </c>
      <c r="K334" s="180">
        <v>0.009078396772107261</v>
      </c>
      <c r="L334" s="180">
        <v>0.0245570499940295</v>
      </c>
      <c r="M334" s="180">
        <v>9.154614600148671e-05</v>
      </c>
      <c r="N334" s="180">
        <v>0.00016285964691599</v>
      </c>
      <c r="O334" s="180">
        <v>0.331181802194324</v>
      </c>
      <c r="P334" s="180">
        <v>0.90345184578629</v>
      </c>
      <c r="Q334" s="180">
        <v>-0.00355990898736705</v>
      </c>
      <c r="R334" s="180">
        <v>0.22960275453506</v>
      </c>
      <c r="S334" s="180">
        <v>0.0157782124282794</v>
      </c>
      <c r="T334" s="180">
        <v>0.110519355074139</v>
      </c>
      <c r="U334" s="180">
        <v>0.135284030406459</v>
      </c>
      <c r="V334" s="180">
        <v>0.449625032047666</v>
      </c>
      <c r="W334" s="180"/>
      <c r="X334" s="68"/>
      <c r="Y334" s="179"/>
      <c r="Z334" s="179"/>
      <c r="AA334" s="179"/>
      <c r="AB334" s="179"/>
      <c r="AC334" s="179"/>
      <c r="AD334" s="181"/>
      <c r="AE334" s="180"/>
    </row>
    <row r="335" ht="21.25" customHeight="1">
      <c r="A335" t="s" s="8">
        <v>707</v>
      </c>
      <c r="B335" t="s" s="177">
        <v>961</v>
      </c>
      <c r="C335" s="178">
        <v>27</v>
      </c>
      <c r="D335" t="s" s="177">
        <v>925</v>
      </c>
      <c r="E335" s="68">
        <v>74.83499999999999</v>
      </c>
      <c r="F335" s="179">
        <v>12.3635814012576</v>
      </c>
      <c r="G335" s="180">
        <v>0.144189719073</v>
      </c>
      <c r="H335" s="180">
        <v>0.245223546294979</v>
      </c>
      <c r="I335" s="180">
        <v>0.389413265367979</v>
      </c>
      <c r="J335" s="180">
        <v>1.21794379472345</v>
      </c>
      <c r="K335" s="180">
        <v>0.00617130332286388</v>
      </c>
      <c r="L335" s="180">
        <v>0.0170086927398122</v>
      </c>
      <c r="M335" s="180">
        <v>1.03487574300133e-05</v>
      </c>
      <c r="N335" s="180">
        <v>1.90004211187077e-05</v>
      </c>
      <c r="O335" s="180">
        <v>0.258592556882724</v>
      </c>
      <c r="P335" s="180">
        <v>0.656291843186471</v>
      </c>
      <c r="Q335" s="180">
        <v>-0.0331216794831237</v>
      </c>
      <c r="R335" s="180">
        <v>0.22455390074233</v>
      </c>
      <c r="S335" s="180">
        <v>0.017736184246504</v>
      </c>
      <c r="T335" s="180">
        <v>0</v>
      </c>
      <c r="U335" s="180">
        <v>0.00484076141898655</v>
      </c>
      <c r="V335" s="180">
        <v>0</v>
      </c>
      <c r="W335" s="180"/>
      <c r="X335" s="68"/>
      <c r="Y335" s="179"/>
      <c r="Z335" s="179"/>
      <c r="AA335" s="179"/>
      <c r="AB335" s="179"/>
      <c r="AC335" s="179"/>
      <c r="AD335" s="181"/>
      <c r="AE335" s="180"/>
    </row>
    <row r="336" ht="21.25" customHeight="1">
      <c r="A336" t="s" s="8">
        <v>450</v>
      </c>
      <c r="B336" t="s" s="177">
        <v>970</v>
      </c>
      <c r="C336" s="182">
        <v>27</v>
      </c>
      <c r="D336" t="s" s="177">
        <v>927</v>
      </c>
      <c r="E336" s="68">
        <v>66.40000000000001</v>
      </c>
      <c r="F336" s="179">
        <v>16.0190706365964</v>
      </c>
      <c r="G336" s="180">
        <v>0.095727521449175</v>
      </c>
      <c r="H336" s="180">
        <v>0.293542904319432</v>
      </c>
      <c r="I336" s="180">
        <v>0.389270425768607</v>
      </c>
      <c r="J336" s="180">
        <v>1.66750248953299</v>
      </c>
      <c r="K336" s="180">
        <v>0.0108176587055288</v>
      </c>
      <c r="L336" s="180">
        <v>0.0666594321539449</v>
      </c>
      <c r="M336" s="180">
        <v>4.88420891064306e-05</v>
      </c>
      <c r="N336" s="180">
        <v>0.000181727986941222</v>
      </c>
      <c r="O336" s="180">
        <v>0.908322274410677</v>
      </c>
      <c r="P336" s="180">
        <v>0.7311120120864369</v>
      </c>
      <c r="Q336" s="180">
        <v>0.0579602230196468</v>
      </c>
      <c r="R336" s="180">
        <v>0.451549521435138</v>
      </c>
      <c r="S336" s="180">
        <v>0.0112523530043667</v>
      </c>
      <c r="T336" s="180">
        <v>0</v>
      </c>
      <c r="U336" s="180">
        <v>0</v>
      </c>
      <c r="V336" s="180">
        <v>0</v>
      </c>
      <c r="W336" s="180"/>
      <c r="X336" s="68"/>
      <c r="Y336" s="179"/>
      <c r="Z336" s="179"/>
      <c r="AA336" s="179"/>
      <c r="AB336" s="179"/>
      <c r="AC336" s="179"/>
      <c r="AD336" s="181"/>
      <c r="AE336" s="180"/>
    </row>
    <row r="337" ht="21.25" customHeight="1">
      <c r="A337" t="s" s="8">
        <v>697</v>
      </c>
      <c r="B337" t="s" s="177">
        <v>962</v>
      </c>
      <c r="C337" s="178">
        <v>25</v>
      </c>
      <c r="D337" t="s" s="177">
        <v>924</v>
      </c>
      <c r="E337" s="68">
        <v>78.0060714285714</v>
      </c>
      <c r="F337" s="179">
        <v>12.9079229362108</v>
      </c>
      <c r="G337" s="180">
        <v>0.140842387355894</v>
      </c>
      <c r="H337" s="180">
        <v>0.24752815979318</v>
      </c>
      <c r="I337" s="180">
        <v>0.388370547149074</v>
      </c>
      <c r="J337" s="180">
        <v>1.32153917377385</v>
      </c>
      <c r="K337" s="180">
        <v>0.000698093407715004</v>
      </c>
      <c r="L337" s="180">
        <v>0.00175803206595327</v>
      </c>
      <c r="M337" s="180">
        <v>0.00532375433390373</v>
      </c>
      <c r="N337" s="180">
        <v>0.0279128379372652</v>
      </c>
      <c r="O337" s="180">
        <v>0.422010727738218</v>
      </c>
      <c r="P337" s="180">
        <v>1.17724917698252</v>
      </c>
      <c r="Q337" s="180">
        <v>0.008641467374061729</v>
      </c>
      <c r="R337" s="180">
        <v>0.529880167231937</v>
      </c>
      <c r="S337" s="180">
        <v>0.0208532725603991</v>
      </c>
      <c r="T337" s="180">
        <v>5.0076310220212</v>
      </c>
      <c r="U337" s="180">
        <v>4.73727892524045</v>
      </c>
      <c r="V337" s="180">
        <v>0.5138714517755349</v>
      </c>
      <c r="W337" s="180"/>
      <c r="X337" s="68"/>
      <c r="Y337" s="179"/>
      <c r="Z337" s="179"/>
      <c r="AA337" s="179"/>
      <c r="AB337" s="179"/>
      <c r="AC337" s="179"/>
      <c r="AD337" s="181"/>
      <c r="AE337" s="180"/>
    </row>
    <row r="338" ht="21.25" customHeight="1">
      <c r="A338" t="s" s="8">
        <v>717</v>
      </c>
      <c r="B338" t="s" s="177">
        <v>973</v>
      </c>
      <c r="C338" s="178">
        <v>19</v>
      </c>
      <c r="D338" t="s" s="177">
        <v>925</v>
      </c>
      <c r="E338" s="68">
        <v>64.185</v>
      </c>
      <c r="F338" s="179">
        <v>13.6367936999764</v>
      </c>
      <c r="G338" s="180">
        <v>0.158450444434498</v>
      </c>
      <c r="H338" s="180">
        <v>0.22849522689358</v>
      </c>
      <c r="I338" s="180">
        <v>0.386945671328078</v>
      </c>
      <c r="J338" s="180">
        <v>1.37207074399595</v>
      </c>
      <c r="K338" s="180">
        <v>0.0348157019571563</v>
      </c>
      <c r="L338" s="180">
        <v>0.0797132597210171</v>
      </c>
      <c r="M338" s="180">
        <v>1.56396821828201e-05</v>
      </c>
      <c r="N338" s="180">
        <v>2.85712683375926e-05</v>
      </c>
      <c r="O338" s="180">
        <v>0.606897288739651</v>
      </c>
      <c r="P338" s="180">
        <v>1.37929474812698</v>
      </c>
      <c r="Q338" s="180">
        <v>-0.102121155830744</v>
      </c>
      <c r="R338" s="180">
        <v>0.489134176688328</v>
      </c>
      <c r="S338" s="180">
        <v>0.0162319985845421</v>
      </c>
      <c r="T338" s="180">
        <v>0.14312335957154</v>
      </c>
      <c r="U338" s="180">
        <v>0.14312335957154</v>
      </c>
      <c r="V338" s="180">
        <v>0.5</v>
      </c>
      <c r="W338" s="180"/>
      <c r="X338" s="68"/>
      <c r="Y338" s="179"/>
      <c r="Z338" s="179"/>
      <c r="AA338" s="179"/>
      <c r="AB338" s="179"/>
      <c r="AC338" s="179"/>
      <c r="AD338" s="181"/>
      <c r="AE338" s="180"/>
    </row>
    <row r="339" ht="21.25" customHeight="1">
      <c r="A339" t="s" s="8">
        <v>696</v>
      </c>
      <c r="B339" t="s" s="177">
        <v>972</v>
      </c>
      <c r="C339" s="178">
        <v>31</v>
      </c>
      <c r="D339" t="s" s="177">
        <v>925</v>
      </c>
      <c r="E339" s="68">
        <v>71.2</v>
      </c>
      <c r="F339" s="179">
        <v>14.1829092835366</v>
      </c>
      <c r="G339" s="180">
        <v>0.177399641739113</v>
      </c>
      <c r="H339" s="180">
        <v>0.208477252039359</v>
      </c>
      <c r="I339" s="180">
        <v>0.385876893778472</v>
      </c>
      <c r="J339" s="180">
        <v>1.41099187144185</v>
      </c>
      <c r="K339" s="180">
        <v>0.00139189036721287</v>
      </c>
      <c r="L339" s="180">
        <v>0.00239625363371299</v>
      </c>
      <c r="M339" s="180">
        <v>0.0169197354905513</v>
      </c>
      <c r="N339" s="180">
        <v>0.0213624928245001</v>
      </c>
      <c r="O339" s="180">
        <v>0.794900573238338</v>
      </c>
      <c r="P339" s="180">
        <v>2.31138787812887</v>
      </c>
      <c r="Q339" s="180">
        <v>0.011365810754613</v>
      </c>
      <c r="R339" s="180">
        <v>0.396012310705024</v>
      </c>
      <c r="S339" s="180">
        <v>0.0249354668145507</v>
      </c>
      <c r="T339" s="180">
        <v>0.06377851347285229</v>
      </c>
      <c r="U339" s="180">
        <v>0.226701860756</v>
      </c>
      <c r="V339" s="180">
        <v>0.219562211878056</v>
      </c>
      <c r="W339" s="180"/>
      <c r="X339" s="68"/>
      <c r="Y339" s="179"/>
      <c r="Z339" s="179"/>
      <c r="AA339" s="179"/>
      <c r="AB339" s="179"/>
      <c r="AC339" s="179"/>
      <c r="AD339" s="181"/>
      <c r="AE339" s="180"/>
    </row>
    <row r="340" ht="21.25" customHeight="1">
      <c r="A340" t="s" s="8">
        <v>641</v>
      </c>
      <c r="B340" t="s" s="177">
        <v>966</v>
      </c>
      <c r="C340" s="182">
        <v>28</v>
      </c>
      <c r="D340" t="s" s="177">
        <v>925</v>
      </c>
      <c r="E340" s="68">
        <v>74.21678571428571</v>
      </c>
      <c r="F340" s="179">
        <v>12.6036159482524</v>
      </c>
      <c r="G340" s="180">
        <v>0.20081913095378</v>
      </c>
      <c r="H340" s="180">
        <v>0.183441327860661</v>
      </c>
      <c r="I340" s="180">
        <v>0.384260458814441</v>
      </c>
      <c r="J340" s="180">
        <v>1.85174975373699</v>
      </c>
      <c r="K340" s="180">
        <v>0.00531473721129722</v>
      </c>
      <c r="L340" s="180">
        <v>0.0134563772530878</v>
      </c>
      <c r="M340" s="180">
        <v>0.000893774964771104</v>
      </c>
      <c r="N340" s="180">
        <v>0.00163470555137852</v>
      </c>
      <c r="O340" s="180">
        <v>0.375467947331132</v>
      </c>
      <c r="P340" s="180">
        <v>2.17952650339187</v>
      </c>
      <c r="Q340" s="180">
        <v>0.0850621361236565</v>
      </c>
      <c r="R340" s="180">
        <v>0.423299787889576</v>
      </c>
      <c r="S340" s="180">
        <v>0.0328193252992206</v>
      </c>
      <c r="T340" s="180">
        <v>0.0461468957253613</v>
      </c>
      <c r="U340" s="180">
        <v>0.101066568608041</v>
      </c>
      <c r="V340" s="180">
        <v>0.313469259991395</v>
      </c>
      <c r="W340" s="180"/>
      <c r="X340" s="68"/>
      <c r="Y340" s="179"/>
      <c r="Z340" s="179"/>
      <c r="AA340" s="179"/>
      <c r="AB340" s="179"/>
      <c r="AC340" s="179"/>
      <c r="AD340" s="181"/>
      <c r="AE340" s="180"/>
    </row>
    <row r="341" ht="21.25" customHeight="1">
      <c r="A341" t="s" s="8">
        <v>621</v>
      </c>
      <c r="B341" t="s" s="177">
        <v>971</v>
      </c>
      <c r="C341" s="178">
        <v>23</v>
      </c>
      <c r="D341" t="s" s="177">
        <v>926</v>
      </c>
      <c r="E341" s="68">
        <v>70.69285714285709</v>
      </c>
      <c r="F341" s="179">
        <v>12.0596347166649</v>
      </c>
      <c r="G341" s="180">
        <v>0.180904767020941</v>
      </c>
      <c r="H341" s="180">
        <v>0.202581859263854</v>
      </c>
      <c r="I341" s="180">
        <v>0.383486626284795</v>
      </c>
      <c r="J341" s="180">
        <v>1.8709415084481</v>
      </c>
      <c r="K341" s="180">
        <v>0.034583321904553</v>
      </c>
      <c r="L341" s="180">
        <v>0.0643869502290571</v>
      </c>
      <c r="M341" s="180">
        <v>3.65837875760921e-06</v>
      </c>
      <c r="N341" s="180">
        <v>6.69206432343711e-06</v>
      </c>
      <c r="O341" s="180">
        <v>0.367529263530516</v>
      </c>
      <c r="P341" s="180">
        <v>1.38755107768854</v>
      </c>
      <c r="Q341" s="180">
        <v>0.0192883673162689</v>
      </c>
      <c r="R341" s="180">
        <v>0.606117844281732</v>
      </c>
      <c r="S341" s="180">
        <v>0.0279537406022041</v>
      </c>
      <c r="T341" s="180">
        <v>0.171479326577739</v>
      </c>
      <c r="U341" s="180">
        <v>0.253676623051894</v>
      </c>
      <c r="V341" s="180">
        <v>0.403332769368792</v>
      </c>
      <c r="W341" s="180"/>
      <c r="X341" s="68"/>
      <c r="Y341" s="179"/>
      <c r="Z341" s="179"/>
      <c r="AA341" s="179"/>
      <c r="AB341" s="179"/>
      <c r="AC341" s="179"/>
      <c r="AD341" s="181"/>
      <c r="AE341" s="180"/>
    </row>
    <row r="342" ht="21.25" customHeight="1">
      <c r="A342" t="s" s="8">
        <v>608</v>
      </c>
      <c r="B342" t="s" s="177">
        <v>973</v>
      </c>
      <c r="C342" s="178">
        <v>31</v>
      </c>
      <c r="D342" t="s" s="177">
        <v>926</v>
      </c>
      <c r="E342" s="68">
        <v>67.3925</v>
      </c>
      <c r="F342" s="179">
        <v>13.6606361414098</v>
      </c>
      <c r="G342" s="180">
        <v>0.168331790532341</v>
      </c>
      <c r="H342" s="180">
        <v>0.215141134034678</v>
      </c>
      <c r="I342" s="180">
        <v>0.38347292456702</v>
      </c>
      <c r="J342" s="180">
        <v>2.32949057846545</v>
      </c>
      <c r="K342" s="180">
        <v>0.0248129010098511</v>
      </c>
      <c r="L342" s="180">
        <v>0.0493607509414971</v>
      </c>
      <c r="M342" s="180">
        <v>3.89316354991198e-05</v>
      </c>
      <c r="N342" s="180">
        <v>7.21787792771855e-05</v>
      </c>
      <c r="O342" s="180">
        <v>0.409987567580243</v>
      </c>
      <c r="P342" s="180">
        <v>0.770915346489172</v>
      </c>
      <c r="Q342" s="180">
        <v>-0.0620492834086874</v>
      </c>
      <c r="R342" s="180">
        <v>0.640865838191259</v>
      </c>
      <c r="S342" s="180">
        <v>0.0172442645737351</v>
      </c>
      <c r="T342" s="180">
        <v>0.221995791071385</v>
      </c>
      <c r="U342" s="180">
        <v>0.332254304890768</v>
      </c>
      <c r="V342" s="180">
        <v>0.400533608724074</v>
      </c>
      <c r="W342" s="180"/>
      <c r="X342" s="68"/>
      <c r="Y342" s="179"/>
      <c r="Z342" s="179"/>
      <c r="AA342" s="179"/>
      <c r="AB342" s="179"/>
      <c r="AC342" s="179"/>
      <c r="AD342" s="181"/>
      <c r="AE342" s="180"/>
    </row>
    <row r="343" ht="21.25" customHeight="1">
      <c r="A343" t="s" s="8">
        <v>722</v>
      </c>
      <c r="B343" t="s" s="177">
        <v>952</v>
      </c>
      <c r="C343" s="178">
        <v>29</v>
      </c>
      <c r="D343" t="s" s="177">
        <v>925</v>
      </c>
      <c r="E343" s="68">
        <v>57.8642857142857</v>
      </c>
      <c r="F343" s="179">
        <v>14.5824482758621</v>
      </c>
      <c r="G343" s="180">
        <v>0.16362017743831</v>
      </c>
      <c r="H343" s="180">
        <v>0.218793358555996</v>
      </c>
      <c r="I343" s="180">
        <v>0.382413535994306</v>
      </c>
      <c r="J343" s="180">
        <v>2.14745720978252</v>
      </c>
      <c r="K343" s="180">
        <v>0.00437676351506288</v>
      </c>
      <c r="L343" s="180">
        <v>0.0158488069440976</v>
      </c>
      <c r="M343" s="180">
        <v>0.00316683523449457</v>
      </c>
      <c r="N343" s="180">
        <v>0.0211310312610265</v>
      </c>
      <c r="O343" s="180">
        <v>0.410202239855188</v>
      </c>
      <c r="P343" s="180">
        <v>1.60313773323362</v>
      </c>
      <c r="Q343" s="180">
        <v>0.00321388204863128</v>
      </c>
      <c r="R343" s="180">
        <v>0.435101827586405</v>
      </c>
      <c r="S343" s="180">
        <v>0.0231620148799568</v>
      </c>
      <c r="T343" s="180">
        <v>0.047876270073167</v>
      </c>
      <c r="U343" s="180">
        <v>0.10833173901497</v>
      </c>
      <c r="V343" s="180">
        <v>0.306490495286664</v>
      </c>
      <c r="W343" s="180"/>
      <c r="X343" s="68"/>
      <c r="Y343" s="179"/>
      <c r="Z343" s="179"/>
      <c r="AA343" s="179"/>
      <c r="AB343" s="179"/>
      <c r="AC343" s="179"/>
      <c r="AD343" s="181"/>
      <c r="AE343" s="180"/>
    </row>
    <row r="344" ht="21.25" customHeight="1">
      <c r="A344" t="s" s="8">
        <v>373</v>
      </c>
      <c r="B344" t="s" s="177">
        <v>963</v>
      </c>
      <c r="C344" s="178">
        <v>29</v>
      </c>
      <c r="D344" t="s" s="177">
        <v>927</v>
      </c>
      <c r="E344" s="68">
        <v>79.96678571428571</v>
      </c>
      <c r="F344" s="179">
        <v>21.8995668675786</v>
      </c>
      <c r="G344" s="180">
        <v>0.066585629063748</v>
      </c>
      <c r="H344" s="180">
        <v>0.315738120574917</v>
      </c>
      <c r="I344" s="180">
        <v>0.382323749638665</v>
      </c>
      <c r="J344" s="180">
        <v>1.78583723404237</v>
      </c>
      <c r="K344" s="180">
        <v>0.00073664261257015</v>
      </c>
      <c r="L344" s="180">
        <v>0.00472016010141055</v>
      </c>
      <c r="M344" s="180">
        <v>0.000277225630634234</v>
      </c>
      <c r="N344" s="180">
        <v>0.0155324424976018</v>
      </c>
      <c r="O344" s="180">
        <v>1.43851593501098</v>
      </c>
      <c r="P344" s="180">
        <v>0.642095050940266</v>
      </c>
      <c r="Q344" s="180">
        <v>0.114282558856597</v>
      </c>
      <c r="R344" s="180">
        <v>0.156206625117693</v>
      </c>
      <c r="S344" s="180">
        <v>0.0119469528190235</v>
      </c>
      <c r="T344" s="180">
        <v>0</v>
      </c>
      <c r="U344" s="180">
        <v>0</v>
      </c>
      <c r="V344" s="180">
        <v>0</v>
      </c>
      <c r="W344" s="180"/>
      <c r="X344" s="68"/>
      <c r="Y344" s="179"/>
      <c r="Z344" s="179"/>
      <c r="AA344" s="179"/>
      <c r="AB344" s="179"/>
      <c r="AC344" s="179"/>
      <c r="AD344" s="181"/>
      <c r="AE344" s="180"/>
    </row>
    <row r="345" ht="21.25" customHeight="1">
      <c r="A345" t="s" s="8">
        <v>600</v>
      </c>
      <c r="B345" t="s" s="177">
        <v>948</v>
      </c>
      <c r="C345" s="182">
        <v>34</v>
      </c>
      <c r="D345" t="s" s="177">
        <v>926</v>
      </c>
      <c r="E345" s="68">
        <v>79.73607142857141</v>
      </c>
      <c r="F345" s="179">
        <v>13.7212905977057</v>
      </c>
      <c r="G345" s="180">
        <v>0.131820133710735</v>
      </c>
      <c r="H345" s="180">
        <v>0.249935105000944</v>
      </c>
      <c r="I345" s="180">
        <v>0.381755238711679</v>
      </c>
      <c r="J345" s="180">
        <v>1.54036574958168</v>
      </c>
      <c r="K345" s="180">
        <v>0.0184535446891276</v>
      </c>
      <c r="L345" s="180">
        <v>0.0679875610516785</v>
      </c>
      <c r="M345" s="180">
        <v>0.000952178107266895</v>
      </c>
      <c r="N345" s="180">
        <v>0.00181669248141473</v>
      </c>
      <c r="O345" s="180">
        <v>0.467804758732644</v>
      </c>
      <c r="P345" s="180">
        <v>0.635912627187717</v>
      </c>
      <c r="Q345" s="180">
        <v>0.0578673547468815</v>
      </c>
      <c r="R345" s="180">
        <v>0.215118503275615</v>
      </c>
      <c r="S345" s="180">
        <v>0.0210902869136111</v>
      </c>
      <c r="T345" s="180">
        <v>0.0153136452116576</v>
      </c>
      <c r="U345" s="180">
        <v>0.0688656426866584</v>
      </c>
      <c r="V345" s="180">
        <v>0.181917020136303</v>
      </c>
      <c r="W345" s="180"/>
      <c r="X345" s="68"/>
      <c r="Y345" s="179"/>
      <c r="Z345" s="179"/>
      <c r="AA345" s="179"/>
      <c r="AB345" s="179"/>
      <c r="AC345" s="179"/>
      <c r="AD345" s="181"/>
      <c r="AE345" s="180"/>
    </row>
    <row r="346" ht="21.25" customHeight="1">
      <c r="A346" t="s" s="8">
        <v>672</v>
      </c>
      <c r="B346" t="s" s="177">
        <v>974</v>
      </c>
      <c r="C346" s="178">
        <v>33</v>
      </c>
      <c r="D346" t="s" s="177">
        <v>926</v>
      </c>
      <c r="E346" s="68">
        <v>77.4421428571429</v>
      </c>
      <c r="F346" s="179">
        <v>13.1155186302065</v>
      </c>
      <c r="G346" s="180">
        <v>0.12073455120957</v>
      </c>
      <c r="H346" s="180">
        <v>0.260083670822254</v>
      </c>
      <c r="I346" s="180">
        <v>0.380818222031824</v>
      </c>
      <c r="J346" s="180">
        <v>1.07581634190074</v>
      </c>
      <c r="K346" s="180">
        <v>0.00744751107993632</v>
      </c>
      <c r="L346" s="180">
        <v>0.0552572987594773</v>
      </c>
      <c r="M346" s="180">
        <v>0</v>
      </c>
      <c r="N346" s="180">
        <v>0</v>
      </c>
      <c r="O346" s="180">
        <v>0.353912569191796</v>
      </c>
      <c r="P346" s="180">
        <v>0.351066232233282</v>
      </c>
      <c r="Q346" s="180">
        <v>-0.0072239160350481</v>
      </c>
      <c r="R346" s="180">
        <v>0.10003430801877</v>
      </c>
      <c r="S346" s="180"/>
      <c r="T346" s="180">
        <v>0.475014155243059</v>
      </c>
      <c r="U346" s="180">
        <v>0.681406907409115</v>
      </c>
      <c r="V346" s="180">
        <v>0.41076228251468</v>
      </c>
      <c r="W346" s="180"/>
      <c r="X346" s="68"/>
      <c r="Y346" s="179"/>
      <c r="Z346" s="179"/>
      <c r="AA346" s="179"/>
      <c r="AB346" s="179"/>
      <c r="AC346" s="179"/>
      <c r="AD346" s="181"/>
      <c r="AE346" s="180"/>
    </row>
    <row r="347" ht="21.25" customHeight="1">
      <c r="A347" t="s" s="8">
        <v>644</v>
      </c>
      <c r="B347" t="s" s="177">
        <v>965</v>
      </c>
      <c r="C347" s="178">
        <v>25</v>
      </c>
      <c r="D347" t="s" s="177">
        <v>924</v>
      </c>
      <c r="E347" s="68">
        <v>70.34178571428571</v>
      </c>
      <c r="F347" s="179">
        <v>15.359567736059</v>
      </c>
      <c r="G347" s="180">
        <v>0.183220634026161</v>
      </c>
      <c r="H347" s="180">
        <v>0.196515183231827</v>
      </c>
      <c r="I347" s="180">
        <v>0.379735817257988</v>
      </c>
      <c r="J347" s="180">
        <v>1.8310411625296</v>
      </c>
      <c r="K347" s="180">
        <v>0.0327981500363399</v>
      </c>
      <c r="L347" s="180">
        <v>0.0826943969687443</v>
      </c>
      <c r="M347" s="180">
        <v>0.00339930987923717</v>
      </c>
      <c r="N347" s="180">
        <v>0.00570871566852165</v>
      </c>
      <c r="O347" s="180">
        <v>0.724394426744928</v>
      </c>
      <c r="P347" s="180">
        <v>2.1213170381818</v>
      </c>
      <c r="Q347" s="180">
        <v>-0.0127496120848924</v>
      </c>
      <c r="R347" s="180">
        <v>0.785521165224276</v>
      </c>
      <c r="S347" s="180">
        <v>0.022747896043445</v>
      </c>
      <c r="T347" s="180">
        <v>0.3387089907549</v>
      </c>
      <c r="U347" s="180">
        <v>0.47846105618309</v>
      </c>
      <c r="V347" s="180">
        <v>0.414490217824396</v>
      </c>
      <c r="W347" s="180"/>
      <c r="X347" s="68"/>
      <c r="Y347" s="179"/>
      <c r="Z347" s="179"/>
      <c r="AA347" s="179"/>
      <c r="AB347" s="179"/>
      <c r="AC347" s="179"/>
      <c r="AD347" s="181"/>
      <c r="AE347" s="180"/>
    </row>
    <row r="348" ht="21.25" customHeight="1">
      <c r="A348" t="s" s="8">
        <v>365</v>
      </c>
      <c r="B348" t="s" s="177">
        <v>963</v>
      </c>
      <c r="C348" s="178">
        <v>28</v>
      </c>
      <c r="D348" t="s" s="177">
        <v>927</v>
      </c>
      <c r="E348" s="68">
        <v>80.23357142857139</v>
      </c>
      <c r="F348" s="179">
        <v>21.342498913872</v>
      </c>
      <c r="G348" s="180">
        <v>0.0734535830585438</v>
      </c>
      <c r="H348" s="180">
        <v>0.305671112710772</v>
      </c>
      <c r="I348" s="180">
        <v>0.379124695769316</v>
      </c>
      <c r="J348" s="180">
        <v>1.77313182387593</v>
      </c>
      <c r="K348" s="180">
        <v>0.00703015794335527</v>
      </c>
      <c r="L348" s="180">
        <v>0.0305311701270839</v>
      </c>
      <c r="M348" s="180">
        <v>0.000267099315626289</v>
      </c>
      <c r="N348" s="180">
        <v>0.0121887436146477</v>
      </c>
      <c r="O348" s="180">
        <v>1.38556568090357</v>
      </c>
      <c r="P348" s="180">
        <v>0.5942285726115381</v>
      </c>
      <c r="Q348" s="180">
        <v>0.0897763325007621</v>
      </c>
      <c r="R348" s="180">
        <v>0.405854991844799</v>
      </c>
      <c r="S348" s="180">
        <v>0.0131792175508095</v>
      </c>
      <c r="T348" s="180">
        <v>0</v>
      </c>
      <c r="U348" s="180">
        <v>0</v>
      </c>
      <c r="V348" s="180">
        <v>0</v>
      </c>
      <c r="W348" s="180"/>
      <c r="X348" s="68"/>
      <c r="Y348" s="179"/>
      <c r="Z348" s="179"/>
      <c r="AA348" s="179"/>
      <c r="AB348" s="179"/>
      <c r="AC348" s="179"/>
      <c r="AD348" s="181"/>
      <c r="AE348" s="180"/>
    </row>
    <row r="349" ht="21.25" customHeight="1">
      <c r="A349" t="s" s="8">
        <v>704</v>
      </c>
      <c r="B349" t="s" s="177">
        <v>954</v>
      </c>
      <c r="C349" s="178">
        <v>23</v>
      </c>
      <c r="D349" t="s" s="177">
        <v>944</v>
      </c>
      <c r="E349" s="68">
        <v>72.12</v>
      </c>
      <c r="F349" s="179">
        <v>11.6997632043796</v>
      </c>
      <c r="G349" s="180">
        <v>0.1757259500141</v>
      </c>
      <c r="H349" s="180">
        <v>0.202683651760212</v>
      </c>
      <c r="I349" s="180">
        <v>0.378409601774312</v>
      </c>
      <c r="J349" s="180">
        <v>1.25231688846906</v>
      </c>
      <c r="K349" s="180">
        <v>0.00325495772007556</v>
      </c>
      <c r="L349" s="180">
        <v>0.00822797136514496</v>
      </c>
      <c r="M349" s="180">
        <v>0</v>
      </c>
      <c r="N349" s="180">
        <v>0</v>
      </c>
      <c r="O349" s="180">
        <v>0.332315746732135</v>
      </c>
      <c r="P349" s="180">
        <v>0.822427261800091</v>
      </c>
      <c r="Q349" s="180">
        <v>-0.0584073490425934</v>
      </c>
      <c r="R349" s="180"/>
      <c r="S349" s="180">
        <v>0.0188302454500843</v>
      </c>
      <c r="T349" s="180">
        <v>1.31856725090002</v>
      </c>
      <c r="U349" s="180">
        <v>2.39243653396665</v>
      </c>
      <c r="V349" s="180">
        <v>0.355312828371961</v>
      </c>
      <c r="W349" s="180"/>
      <c r="X349" s="68"/>
      <c r="Y349" s="179"/>
      <c r="Z349" s="179"/>
      <c r="AA349" s="179"/>
      <c r="AB349" s="179"/>
      <c r="AC349" s="179"/>
      <c r="AD349" s="181"/>
      <c r="AE349" s="180"/>
    </row>
    <row r="350" ht="21.25" customHeight="1">
      <c r="A350" t="s" s="8">
        <v>732</v>
      </c>
      <c r="B350" t="s" s="177">
        <v>964</v>
      </c>
      <c r="C350" s="178">
        <v>25</v>
      </c>
      <c r="D350" t="s" s="177">
        <v>926</v>
      </c>
      <c r="E350" s="68">
        <v>59.205</v>
      </c>
      <c r="F350" s="179">
        <v>11.2952901918503</v>
      </c>
      <c r="G350" s="180">
        <v>0.203038232869949</v>
      </c>
      <c r="H350" s="180">
        <v>0.174759239385394</v>
      </c>
      <c r="I350" s="180">
        <v>0.377797472255343</v>
      </c>
      <c r="J350" s="180">
        <v>1.66473394657373</v>
      </c>
      <c r="K350" s="180">
        <v>0.00240429599994771</v>
      </c>
      <c r="L350" s="180">
        <v>0.00609669952061</v>
      </c>
      <c r="M350" s="180">
        <v>0</v>
      </c>
      <c r="N350" s="180">
        <v>0</v>
      </c>
      <c r="O350" s="180">
        <v>0.267303534070259</v>
      </c>
      <c r="P350" s="180">
        <v>1.80134621951066</v>
      </c>
      <c r="Q350" s="180">
        <v>0.0235424316716041</v>
      </c>
      <c r="R350" s="180">
        <v>0.243269918117374</v>
      </c>
      <c r="S350" s="180">
        <v>0.0339273334079711</v>
      </c>
      <c r="T350" s="180">
        <v>0.0397108560640444</v>
      </c>
      <c r="U350" s="180">
        <v>0.24561840734325</v>
      </c>
      <c r="V350" s="180">
        <v>0.139175546138634</v>
      </c>
      <c r="W350" s="180"/>
      <c r="X350" s="68"/>
      <c r="Y350" s="179"/>
      <c r="Z350" s="179"/>
      <c r="AA350" s="179"/>
      <c r="AB350" s="179"/>
      <c r="AC350" s="179"/>
      <c r="AD350" s="181"/>
      <c r="AE350" s="180"/>
    </row>
    <row r="351" ht="21.25" customHeight="1">
      <c r="A351" t="s" s="8">
        <v>729</v>
      </c>
      <c r="B351" t="s" s="177">
        <v>968</v>
      </c>
      <c r="C351" s="178">
        <v>28</v>
      </c>
      <c r="D351" t="s" s="177">
        <v>926</v>
      </c>
      <c r="E351" s="68">
        <v>57.5353571428571</v>
      </c>
      <c r="F351" s="179">
        <v>13.2024798979802</v>
      </c>
      <c r="G351" s="180">
        <v>0.171097062832941</v>
      </c>
      <c r="H351" s="180">
        <v>0.203890530242738</v>
      </c>
      <c r="I351" s="180">
        <v>0.374987593075679</v>
      </c>
      <c r="J351" s="180">
        <v>1.66731546834549</v>
      </c>
      <c r="K351" s="180">
        <v>0.0146339435949084</v>
      </c>
      <c r="L351" s="180">
        <v>0.033524050900557</v>
      </c>
      <c r="M351" s="180">
        <v>0.000276202385631594</v>
      </c>
      <c r="N351" s="180">
        <v>0.00050976309137585</v>
      </c>
      <c r="O351" s="180">
        <v>0.462796303230712</v>
      </c>
      <c r="P351" s="180">
        <v>2.44945640959029</v>
      </c>
      <c r="Q351" s="180">
        <v>-0.0056587014801469</v>
      </c>
      <c r="R351" s="180">
        <v>0.5094188145724931</v>
      </c>
      <c r="S351" s="180">
        <v>0.0249846460594185</v>
      </c>
      <c r="T351" s="180">
        <v>0.185211069718711</v>
      </c>
      <c r="U351" s="180">
        <v>0.10482878130852</v>
      </c>
      <c r="V351" s="180">
        <v>0.638571110358633</v>
      </c>
      <c r="W351" s="180"/>
      <c r="X351" s="68"/>
      <c r="Y351" s="179"/>
      <c r="Z351" s="179"/>
      <c r="AA351" s="179"/>
      <c r="AB351" s="179"/>
      <c r="AC351" s="179"/>
      <c r="AD351" s="181"/>
      <c r="AE351" s="180"/>
    </row>
    <row r="352" ht="21.25" customHeight="1">
      <c r="A352" t="s" s="8">
        <v>698</v>
      </c>
      <c r="B352" t="s" s="177">
        <v>946</v>
      </c>
      <c r="C352" s="178">
        <v>32</v>
      </c>
      <c r="D352" t="s" s="177">
        <v>925</v>
      </c>
      <c r="E352" s="68">
        <v>75.42321428571429</v>
      </c>
      <c r="F352" s="179">
        <v>14.1025034171213</v>
      </c>
      <c r="G352" s="180">
        <v>0.16420241922467</v>
      </c>
      <c r="H352" s="180">
        <v>0.210673417536113</v>
      </c>
      <c r="I352" s="180">
        <v>0.374875836760783</v>
      </c>
      <c r="J352" s="180">
        <v>1.21330254924815</v>
      </c>
      <c r="K352" s="180">
        <v>0.0134280673260528</v>
      </c>
      <c r="L352" s="180">
        <v>0.032211525745634</v>
      </c>
      <c r="M352" s="180">
        <v>0.002658317188922</v>
      </c>
      <c r="N352" s="180">
        <v>0.00356209865142576</v>
      </c>
      <c r="O352" s="180">
        <v>0.546991757344362</v>
      </c>
      <c r="P352" s="180">
        <v>2.9946227543331</v>
      </c>
      <c r="Q352" s="180">
        <v>0.0329806607530151</v>
      </c>
      <c r="R352" s="180">
        <v>0.903518967535491</v>
      </c>
      <c r="S352" s="180">
        <v>0.0263670359012138</v>
      </c>
      <c r="T352" s="180">
        <v>0.106112202450456</v>
      </c>
      <c r="U352" s="180">
        <v>0.107677019771104</v>
      </c>
      <c r="V352" s="180">
        <v>0.496340280149797</v>
      </c>
      <c r="W352" s="180"/>
      <c r="X352" s="68"/>
      <c r="Y352" s="179"/>
      <c r="Z352" s="179"/>
      <c r="AA352" s="179"/>
      <c r="AB352" s="179"/>
      <c r="AC352" s="179"/>
      <c r="AD352" s="181"/>
      <c r="AE352" s="180"/>
    </row>
    <row r="353" ht="21.25" customHeight="1">
      <c r="A353" t="s" s="8">
        <v>459</v>
      </c>
      <c r="B353" t="s" s="177">
        <v>954</v>
      </c>
      <c r="C353" s="178">
        <v>23</v>
      </c>
      <c r="D353" t="s" s="177">
        <v>927</v>
      </c>
      <c r="E353" s="68">
        <v>72.09999999999999</v>
      </c>
      <c r="F353" s="179">
        <v>16.7589484984176</v>
      </c>
      <c r="G353" s="180">
        <v>0.112326229082809</v>
      </c>
      <c r="H353" s="180">
        <v>0.259356989175283</v>
      </c>
      <c r="I353" s="180">
        <v>0.371683218258093</v>
      </c>
      <c r="J353" s="180">
        <v>1.20402707613805</v>
      </c>
      <c r="K353" s="180">
        <v>0.0112446469661943</v>
      </c>
      <c r="L353" s="180">
        <v>0.0742204917033198</v>
      </c>
      <c r="M353" s="180">
        <v>4.37655081581056e-05</v>
      </c>
      <c r="N353" s="180">
        <v>0.000163397607476188</v>
      </c>
      <c r="O353" s="180">
        <v>1.01428467822359</v>
      </c>
      <c r="P353" s="180">
        <v>0.763427823734913</v>
      </c>
      <c r="Q353" s="180">
        <v>-0.0690893804992367</v>
      </c>
      <c r="R353" s="180">
        <v>0.279595673636561</v>
      </c>
      <c r="S353" s="180">
        <v>0.0120365288333452</v>
      </c>
      <c r="T353" s="180">
        <v>0</v>
      </c>
      <c r="U353" s="180">
        <v>0</v>
      </c>
      <c r="V353" s="180">
        <v>0</v>
      </c>
      <c r="W353" s="180"/>
      <c r="X353" s="68"/>
      <c r="Y353" s="179"/>
      <c r="Z353" s="179"/>
      <c r="AA353" s="179"/>
      <c r="AB353" s="179"/>
      <c r="AC353" s="179"/>
      <c r="AD353" s="181"/>
      <c r="AE353" s="180"/>
    </row>
    <row r="354" ht="21.25" customHeight="1">
      <c r="A354" t="s" s="8">
        <v>706</v>
      </c>
      <c r="B354" t="s" s="177">
        <v>956</v>
      </c>
      <c r="C354" s="182">
        <v>27</v>
      </c>
      <c r="D354" t="s" s="177">
        <v>924</v>
      </c>
      <c r="E354" s="68">
        <v>72.8275</v>
      </c>
      <c r="F354" s="179">
        <v>15.5562998169254</v>
      </c>
      <c r="G354" s="180">
        <v>0.136547073733148</v>
      </c>
      <c r="H354" s="180">
        <v>0.233914368604874</v>
      </c>
      <c r="I354" s="180">
        <v>0.370461442338022</v>
      </c>
      <c r="J354" s="180">
        <v>1.60731134409239</v>
      </c>
      <c r="K354" s="180">
        <v>0.00107632144044005</v>
      </c>
      <c r="L354" s="180">
        <v>0.00191733302534585</v>
      </c>
      <c r="M354" s="180">
        <v>0.00193141369365823</v>
      </c>
      <c r="N354" s="180">
        <v>0.008540330189207371</v>
      </c>
      <c r="O354" s="180">
        <v>0.356838234097009</v>
      </c>
      <c r="P354" s="180">
        <v>1.07925482333488</v>
      </c>
      <c r="Q354" s="180">
        <v>0.0268678758644626</v>
      </c>
      <c r="R354" s="180">
        <v>0.287748845481541</v>
      </c>
      <c r="S354" s="180">
        <v>0.021301800550281</v>
      </c>
      <c r="T354" s="180">
        <v>0.0861289107128541</v>
      </c>
      <c r="U354" s="180">
        <v>0.173449065219796</v>
      </c>
      <c r="V354" s="180">
        <v>0.331803614707286</v>
      </c>
      <c r="W354" s="180"/>
      <c r="X354" s="68"/>
      <c r="Y354" s="179"/>
      <c r="Z354" s="179"/>
      <c r="AA354" s="179"/>
      <c r="AB354" s="179"/>
      <c r="AC354" s="179"/>
      <c r="AD354" s="181"/>
      <c r="AE354" s="180"/>
    </row>
    <row r="355" ht="21.25" customHeight="1">
      <c r="A355" t="s" s="8">
        <v>720</v>
      </c>
      <c r="B355" t="s" s="177">
        <v>947</v>
      </c>
      <c r="C355" s="178">
        <v>21</v>
      </c>
      <c r="D355" t="s" s="177">
        <v>926</v>
      </c>
      <c r="E355" s="68">
        <v>61</v>
      </c>
      <c r="F355" s="179">
        <v>13.626346150504</v>
      </c>
      <c r="G355" s="180">
        <v>0.166622543799105</v>
      </c>
      <c r="H355" s="180">
        <v>0.203154778875384</v>
      </c>
      <c r="I355" s="180">
        <v>0.369777322674489</v>
      </c>
      <c r="J355" s="180">
        <v>1.46638780211441</v>
      </c>
      <c r="K355" s="180">
        <v>0.0533151499029778</v>
      </c>
      <c r="L355" s="180">
        <v>0.09512955194945889</v>
      </c>
      <c r="M355" s="180">
        <v>0</v>
      </c>
      <c r="N355" s="180">
        <v>0</v>
      </c>
      <c r="O355" s="180">
        <v>0.369736303394044</v>
      </c>
      <c r="P355" s="180">
        <v>0.944053162227752</v>
      </c>
      <c r="Q355" s="180">
        <v>-0.0145824001958291</v>
      </c>
      <c r="R355" s="180">
        <v>0.38506504185024</v>
      </c>
      <c r="S355" s="180">
        <v>0.02448984507604</v>
      </c>
      <c r="T355" s="180">
        <v>0</v>
      </c>
      <c r="U355" s="180">
        <v>0</v>
      </c>
      <c r="V355" s="180">
        <v>0</v>
      </c>
      <c r="W355" s="180"/>
      <c r="X355" s="68"/>
      <c r="Y355" s="179"/>
      <c r="Z355" s="179"/>
      <c r="AA355" s="179"/>
      <c r="AB355" s="179"/>
      <c r="AC355" s="179"/>
      <c r="AD355" s="181"/>
      <c r="AE355" s="180"/>
    </row>
    <row r="356" ht="21.25" customHeight="1">
      <c r="A356" t="s" s="8">
        <v>667</v>
      </c>
      <c r="B356" t="s" s="177">
        <v>963</v>
      </c>
      <c r="C356" s="178">
        <v>34</v>
      </c>
      <c r="D356" t="s" s="177">
        <v>924</v>
      </c>
      <c r="E356" s="68">
        <v>80.86321428571431</v>
      </c>
      <c r="F356" s="179">
        <v>15.2558396813642</v>
      </c>
      <c r="G356" s="180">
        <v>0.169116639571746</v>
      </c>
      <c r="H356" s="180">
        <v>0.198295047017002</v>
      </c>
      <c r="I356" s="180">
        <v>0.367411686588749</v>
      </c>
      <c r="J356" s="180">
        <v>1.51228247926232</v>
      </c>
      <c r="K356" s="180">
        <v>0.00336711404784338</v>
      </c>
      <c r="L356" s="180">
        <v>0.00700236320290205</v>
      </c>
      <c r="M356" s="180">
        <v>0.000862088137809933</v>
      </c>
      <c r="N356" s="180">
        <v>0.00381186354775265</v>
      </c>
      <c r="O356" s="180">
        <v>0.442069273614361</v>
      </c>
      <c r="P356" s="180">
        <v>1.90943731208554</v>
      </c>
      <c r="Q356" s="180">
        <v>0.08483671048057299</v>
      </c>
      <c r="R356" s="180">
        <v>0.345244575203735</v>
      </c>
      <c r="S356" s="180">
        <v>0.0303433119471038</v>
      </c>
      <c r="T356" s="180">
        <v>9.49974245016988</v>
      </c>
      <c r="U356" s="180">
        <v>7.25042659536707</v>
      </c>
      <c r="V356" s="180">
        <v>0.567143079233643</v>
      </c>
      <c r="W356" s="180"/>
      <c r="X356" s="68"/>
      <c r="Y356" s="179"/>
      <c r="Z356" s="179"/>
      <c r="AA356" s="179"/>
      <c r="AB356" s="179"/>
      <c r="AC356" s="179"/>
      <c r="AD356" s="181"/>
      <c r="AE356" s="180"/>
    </row>
    <row r="357" ht="21.25" customHeight="1">
      <c r="A357" t="s" s="8">
        <v>676</v>
      </c>
      <c r="B357" t="s" s="177">
        <v>969</v>
      </c>
      <c r="C357" s="178">
        <v>23</v>
      </c>
      <c r="D357" t="s" s="177">
        <v>925</v>
      </c>
      <c r="E357" s="68">
        <v>75.80500000000001</v>
      </c>
      <c r="F357" s="179">
        <v>12.5984188545316</v>
      </c>
      <c r="G357" s="180">
        <v>0.181329176255662</v>
      </c>
      <c r="H357" s="180">
        <v>0.185420180091306</v>
      </c>
      <c r="I357" s="180">
        <v>0.366749356346968</v>
      </c>
      <c r="J357" s="180">
        <v>1.36543479332837</v>
      </c>
      <c r="K357" s="180">
        <v>0.0291470497725827</v>
      </c>
      <c r="L357" s="180">
        <v>0.0564606551558667</v>
      </c>
      <c r="M357" s="180">
        <v>5.59798446553549e-05</v>
      </c>
      <c r="N357" s="180">
        <v>0.000102711283629671</v>
      </c>
      <c r="O357" s="180">
        <v>0.406845320764678</v>
      </c>
      <c r="P357" s="180">
        <v>0.516787849514439</v>
      </c>
      <c r="Q357" s="180">
        <v>-0.0334205096526841</v>
      </c>
      <c r="R357" s="180">
        <v>0.259614307787938</v>
      </c>
      <c r="S357" s="180">
        <v>0.0239963524443665</v>
      </c>
      <c r="T357" s="180">
        <v>0.0419099782258043</v>
      </c>
      <c r="U357" s="180">
        <v>0.0419099782258043</v>
      </c>
      <c r="V357" s="180">
        <v>0.5</v>
      </c>
      <c r="W357" s="180"/>
      <c r="X357" s="68"/>
      <c r="Y357" s="179"/>
      <c r="Z357" s="179"/>
      <c r="AA357" s="179"/>
      <c r="AB357" s="179"/>
      <c r="AC357" s="179"/>
      <c r="AD357" s="181"/>
      <c r="AE357" s="180"/>
    </row>
    <row r="358" ht="21.25" customHeight="1">
      <c r="A358" t="s" s="8">
        <v>629</v>
      </c>
      <c r="B358" t="s" s="177">
        <v>949</v>
      </c>
      <c r="C358" s="182">
        <v>25</v>
      </c>
      <c r="D358" t="s" s="177">
        <v>959</v>
      </c>
      <c r="E358" s="68">
        <v>76.4225</v>
      </c>
      <c r="F358" s="179">
        <v>12.4100397600268</v>
      </c>
      <c r="G358" s="180">
        <v>0.185138989036644</v>
      </c>
      <c r="H358" s="180">
        <v>0.180426673443183</v>
      </c>
      <c r="I358" s="180">
        <v>0.365565662479827</v>
      </c>
      <c r="J358" s="180">
        <v>1.73253124300218</v>
      </c>
      <c r="K358" s="180">
        <v>0.000658259728894767</v>
      </c>
      <c r="L358" s="180">
        <v>0.00166753541452994</v>
      </c>
      <c r="M358" s="180">
        <v>0.00095462306226186</v>
      </c>
      <c r="N358" s="180">
        <v>0.00627928408986954</v>
      </c>
      <c r="O358" s="180">
        <v>0.491706356298616</v>
      </c>
      <c r="P358" s="180">
        <v>1.64656948806637</v>
      </c>
      <c r="Q358" s="180">
        <v>0.0688870773423934</v>
      </c>
      <c r="R358" s="180">
        <v>0.690733320399721</v>
      </c>
      <c r="S358" s="180">
        <v>0.0310811928386598</v>
      </c>
      <c r="T358" s="180">
        <v>0.420849880161343</v>
      </c>
      <c r="U358" s="180">
        <v>0.678562878190484</v>
      </c>
      <c r="V358" s="180">
        <v>0.382795157655124</v>
      </c>
      <c r="W358" s="180"/>
      <c r="X358" s="68"/>
      <c r="Y358" s="179"/>
      <c r="Z358" s="179"/>
      <c r="AA358" s="179"/>
      <c r="AB358" s="179"/>
      <c r="AC358" s="179"/>
      <c r="AD358" s="181"/>
      <c r="AE358" s="180"/>
    </row>
    <row r="359" ht="21.25" customHeight="1">
      <c r="A359" t="s" s="8">
        <v>788</v>
      </c>
      <c r="B359" t="s" s="177">
        <v>969</v>
      </c>
      <c r="C359" s="182">
        <v>24</v>
      </c>
      <c r="D359" t="s" s="177">
        <v>924</v>
      </c>
      <c r="E359" s="68">
        <v>63.9103571428571</v>
      </c>
      <c r="F359" s="179">
        <v>11.2179535886427</v>
      </c>
      <c r="G359" s="180">
        <v>0.174937622119255</v>
      </c>
      <c r="H359" s="180">
        <v>0.190397639810459</v>
      </c>
      <c r="I359" s="180">
        <v>0.365335261929713</v>
      </c>
      <c r="J359" s="180">
        <v>1.10372973475471</v>
      </c>
      <c r="K359" s="180">
        <v>0.000847716129162995</v>
      </c>
      <c r="L359" s="180">
        <v>0.00214681453349567</v>
      </c>
      <c r="M359" s="180">
        <v>7.42259499794371e-06</v>
      </c>
      <c r="N359" s="180">
        <v>1.35789077587918e-05</v>
      </c>
      <c r="O359" s="180">
        <v>0.315365818159789</v>
      </c>
      <c r="P359" s="180">
        <v>2.61092037882487</v>
      </c>
      <c r="Q359" s="180">
        <v>-0.0207544214112833</v>
      </c>
      <c r="R359" s="180">
        <v>0.691188273129724</v>
      </c>
      <c r="S359" s="180">
        <v>0.0231505206323461</v>
      </c>
      <c r="T359" s="180">
        <v>0.0792369868375318</v>
      </c>
      <c r="U359" s="180">
        <v>0.106613644782011</v>
      </c>
      <c r="V359" s="180">
        <v>0.426347686564439</v>
      </c>
      <c r="W359" s="180"/>
      <c r="X359" s="68"/>
      <c r="Y359" s="179"/>
      <c r="Z359" s="179"/>
      <c r="AA359" s="179"/>
      <c r="AB359" s="179"/>
      <c r="AC359" s="179"/>
      <c r="AD359" s="181"/>
      <c r="AE359" s="180"/>
    </row>
    <row r="360" ht="21.25" customHeight="1">
      <c r="A360" t="s" s="8">
        <v>375</v>
      </c>
      <c r="B360" t="s" s="177">
        <v>963</v>
      </c>
      <c r="C360" s="178">
        <v>29</v>
      </c>
      <c r="D360" t="s" s="177">
        <v>927</v>
      </c>
      <c r="E360" s="68">
        <v>80.59999999999999</v>
      </c>
      <c r="F360" s="179">
        <v>19.1642363178196</v>
      </c>
      <c r="G360" s="180">
        <v>0.121007361624446</v>
      </c>
      <c r="H360" s="180">
        <v>0.244111126999578</v>
      </c>
      <c r="I360" s="180">
        <v>0.365118488624024</v>
      </c>
      <c r="J360" s="180">
        <v>1.94554860711171</v>
      </c>
      <c r="K360" s="180">
        <v>0.0167670625559722</v>
      </c>
      <c r="L360" s="180">
        <v>0.0355630874476932</v>
      </c>
      <c r="M360" s="180">
        <v>0.00510604684171126</v>
      </c>
      <c r="N360" s="180">
        <v>0.007917683109503739</v>
      </c>
      <c r="O360" s="180">
        <v>0.873865498927805</v>
      </c>
      <c r="P360" s="180">
        <v>0.986266709496871</v>
      </c>
      <c r="Q360" s="180">
        <v>0.0798561364069862</v>
      </c>
      <c r="R360" s="180">
        <v>0.493381113771844</v>
      </c>
      <c r="S360" s="180">
        <v>0.0217114302351594</v>
      </c>
      <c r="T360" s="180">
        <v>0</v>
      </c>
      <c r="U360" s="180">
        <v>0</v>
      </c>
      <c r="V360" s="180">
        <v>0</v>
      </c>
      <c r="W360" s="180"/>
      <c r="X360" s="68"/>
      <c r="Y360" s="179"/>
      <c r="Z360" s="179"/>
      <c r="AA360" s="179"/>
      <c r="AB360" s="179"/>
      <c r="AC360" s="179"/>
      <c r="AD360" s="181"/>
      <c r="AE360" s="180"/>
    </row>
    <row r="361" ht="21.25" customHeight="1">
      <c r="A361" t="s" s="8">
        <v>342</v>
      </c>
      <c r="B361" t="s" s="177">
        <v>950</v>
      </c>
      <c r="C361" s="178">
        <v>29</v>
      </c>
      <c r="D361" t="s" s="177">
        <v>927</v>
      </c>
      <c r="E361" s="68">
        <v>78.51000000000001</v>
      </c>
      <c r="F361" s="179">
        <v>20.6731196455792</v>
      </c>
      <c r="G361" s="180">
        <v>0.09082258765221279</v>
      </c>
      <c r="H361" s="180">
        <v>0.273835945114661</v>
      </c>
      <c r="I361" s="180">
        <v>0.364658532766874</v>
      </c>
      <c r="J361" s="180">
        <v>2.1526895391269</v>
      </c>
      <c r="K361" s="180">
        <v>0.0063058200431561</v>
      </c>
      <c r="L361" s="180">
        <v>0.0199005084007321</v>
      </c>
      <c r="M361" s="180">
        <v>0.000299063773548695</v>
      </c>
      <c r="N361" s="180">
        <v>0.011014437012471</v>
      </c>
      <c r="O361" s="180">
        <v>2.17068276341771</v>
      </c>
      <c r="P361" s="180">
        <v>2.39595894133198</v>
      </c>
      <c r="Q361" s="180">
        <v>0.0437466334474793</v>
      </c>
      <c r="R361" s="180">
        <v>0.776729616066927</v>
      </c>
      <c r="S361" s="180">
        <v>0.0154759993362465</v>
      </c>
      <c r="T361" s="180">
        <v>0</v>
      </c>
      <c r="U361" s="180">
        <v>0.00906326148912261</v>
      </c>
      <c r="V361" s="180">
        <v>0</v>
      </c>
      <c r="W361" s="180"/>
      <c r="X361" s="68"/>
      <c r="Y361" s="179"/>
      <c r="Z361" s="179"/>
      <c r="AA361" s="179"/>
      <c r="AB361" s="179"/>
      <c r="AC361" s="179"/>
      <c r="AD361" s="181"/>
      <c r="AE361" s="180"/>
    </row>
    <row r="362" ht="21.25" customHeight="1">
      <c r="A362" t="s" s="8">
        <v>671</v>
      </c>
      <c r="B362" t="s" s="177">
        <v>954</v>
      </c>
      <c r="C362" s="178">
        <v>22</v>
      </c>
      <c r="D362" t="s" s="177">
        <v>926</v>
      </c>
      <c r="E362" s="68">
        <v>70</v>
      </c>
      <c r="F362" s="179">
        <v>13.2523333333333</v>
      </c>
      <c r="G362" s="180">
        <v>0.145691845937812</v>
      </c>
      <c r="H362" s="180">
        <v>0.217954345118987</v>
      </c>
      <c r="I362" s="180">
        <v>0.363646191056799</v>
      </c>
      <c r="J362" s="180">
        <v>1.53377711730763</v>
      </c>
      <c r="K362" s="180">
        <v>0.0241836453527815</v>
      </c>
      <c r="L362" s="180">
        <v>0.0569420152632866</v>
      </c>
      <c r="M362" s="180">
        <v>0</v>
      </c>
      <c r="N362" s="180">
        <v>0</v>
      </c>
      <c r="O362" s="180">
        <v>0.439647444150206</v>
      </c>
      <c r="P362" s="180">
        <v>1.00112560026332</v>
      </c>
      <c r="Q362" s="180">
        <v>-0.0263547657983367</v>
      </c>
      <c r="R362" s="180">
        <v>0.311686528780707</v>
      </c>
      <c r="S362" s="180">
        <v>0.015611884407879</v>
      </c>
      <c r="T362" s="180">
        <v>0.0128300228741599</v>
      </c>
      <c r="U362" s="180">
        <v>0.08790764614090781</v>
      </c>
      <c r="V362" s="180">
        <v>0.127360728112945</v>
      </c>
      <c r="W362" s="180"/>
      <c r="X362" s="68"/>
      <c r="Y362" s="179"/>
      <c r="Z362" s="179"/>
      <c r="AA362" s="179"/>
      <c r="AB362" s="179"/>
      <c r="AC362" s="179"/>
      <c r="AD362" s="181"/>
      <c r="AE362" s="180"/>
    </row>
    <row r="363" ht="21.25" customHeight="1">
      <c r="A363" t="s" s="8">
        <v>369</v>
      </c>
      <c r="B363" t="s" s="177">
        <v>965</v>
      </c>
      <c r="C363" s="178">
        <v>24</v>
      </c>
      <c r="D363" t="s" s="177">
        <v>927</v>
      </c>
      <c r="E363" s="68">
        <v>76.59999999999999</v>
      </c>
      <c r="F363" s="179">
        <v>25.8324009612213</v>
      </c>
      <c r="G363" s="180">
        <v>0.0677557001388928</v>
      </c>
      <c r="H363" s="180">
        <v>0.295543494530448</v>
      </c>
      <c r="I363" s="180">
        <v>0.36329919466934</v>
      </c>
      <c r="J363" s="180">
        <v>1.31282212123246</v>
      </c>
      <c r="K363" s="180">
        <v>0.011057271634306</v>
      </c>
      <c r="L363" s="180">
        <v>0.130832602774877</v>
      </c>
      <c r="M363" s="180">
        <v>0.000363701902507183</v>
      </c>
      <c r="N363" s="180">
        <v>0.0018053350805975</v>
      </c>
      <c r="O363" s="180">
        <v>2.24061810035772</v>
      </c>
      <c r="P363" s="180">
        <v>1.98419714880826</v>
      </c>
      <c r="Q363" s="180">
        <v>-0.0259546687170602</v>
      </c>
      <c r="R363" s="180">
        <v>0.414522801179124</v>
      </c>
      <c r="S363" s="180">
        <v>0.00841226006722743</v>
      </c>
      <c r="T363" s="180">
        <v>0</v>
      </c>
      <c r="U363" s="180">
        <v>0.0122283446225289</v>
      </c>
      <c r="V363" s="180">
        <v>0</v>
      </c>
      <c r="W363" s="180"/>
      <c r="X363" s="68"/>
      <c r="Y363" s="179"/>
      <c r="Z363" s="179"/>
      <c r="AA363" s="179"/>
      <c r="AB363" s="179"/>
      <c r="AC363" s="179"/>
      <c r="AD363" s="181"/>
      <c r="AE363" s="180"/>
    </row>
    <row r="364" ht="21.25" customHeight="1">
      <c r="A364" t="s" s="8">
        <v>773</v>
      </c>
      <c r="B364" t="s" s="177">
        <v>958</v>
      </c>
      <c r="C364" s="182">
        <v>21</v>
      </c>
      <c r="D364" t="s" s="177">
        <v>924</v>
      </c>
      <c r="E364" s="68">
        <v>63</v>
      </c>
      <c r="F364" s="179">
        <v>12.1263973818598</v>
      </c>
      <c r="G364" s="180">
        <v>0.137127902615867</v>
      </c>
      <c r="H364" s="180">
        <v>0.223154185786532</v>
      </c>
      <c r="I364" s="180">
        <v>0.360282088402399</v>
      </c>
      <c r="J364" s="180">
        <v>1.36138906678326</v>
      </c>
      <c r="K364" s="180">
        <v>0.00505265986691924</v>
      </c>
      <c r="L364" s="180">
        <v>0.0278958609792183</v>
      </c>
      <c r="M364" s="180">
        <v>0.001964418673161</v>
      </c>
      <c r="N364" s="180">
        <v>0.00351744219392974</v>
      </c>
      <c r="O364" s="180">
        <v>0.289422932153572</v>
      </c>
      <c r="P364" s="180">
        <v>1.41637237901283</v>
      </c>
      <c r="Q364" s="180">
        <v>0.0292758299187722</v>
      </c>
      <c r="R364" s="180">
        <v>0.387814054236341</v>
      </c>
      <c r="S364" s="180">
        <v>0.0206221041658804</v>
      </c>
      <c r="T364" s="180">
        <v>2.02083124993207</v>
      </c>
      <c r="U364" s="180">
        <v>3.10174098826783</v>
      </c>
      <c r="V364" s="180">
        <v>0.394495412844037</v>
      </c>
      <c r="W364" s="180"/>
      <c r="X364" s="68"/>
      <c r="Y364" s="179"/>
      <c r="Z364" s="179"/>
      <c r="AA364" s="179"/>
      <c r="AB364" s="179"/>
      <c r="AC364" s="179"/>
      <c r="AD364" s="181"/>
      <c r="AE364" s="180"/>
    </row>
    <row r="365" ht="21.25" customHeight="1">
      <c r="A365" t="s" s="8">
        <v>746</v>
      </c>
      <c r="B365" t="s" s="177">
        <v>955</v>
      </c>
      <c r="C365" s="182">
        <v>27</v>
      </c>
      <c r="D365" t="s" s="177">
        <v>925</v>
      </c>
      <c r="E365" s="68">
        <v>71.5114285714286</v>
      </c>
      <c r="F365" s="179">
        <v>12.1292917207309</v>
      </c>
      <c r="G365" s="180">
        <v>0.134747821421828</v>
      </c>
      <c r="H365" s="180">
        <v>0.223024019603791</v>
      </c>
      <c r="I365" s="180">
        <v>0.35777184102562</v>
      </c>
      <c r="J365" s="180">
        <v>1.0525225748722</v>
      </c>
      <c r="K365" s="180">
        <v>0.00455903659892868</v>
      </c>
      <c r="L365" s="180">
        <v>0.0163328899057502</v>
      </c>
      <c r="M365" s="180">
        <v>3.2733269357352e-05</v>
      </c>
      <c r="N365" s="180">
        <v>6.01167693159274e-05</v>
      </c>
      <c r="O365" s="180">
        <v>0.490297894695373</v>
      </c>
      <c r="P365" s="180">
        <v>2.95809634604391</v>
      </c>
      <c r="Q365" s="180">
        <v>-0.0412236707299506</v>
      </c>
      <c r="R365" s="180">
        <v>0.43076528360383</v>
      </c>
      <c r="S365" s="180">
        <v>0.0155057998967912</v>
      </c>
      <c r="T365" s="180">
        <v>0.0411414564224793</v>
      </c>
      <c r="U365" s="180">
        <v>0.0700508291433483</v>
      </c>
      <c r="V365" s="180">
        <v>0.370002794826291</v>
      </c>
      <c r="W365" s="180"/>
      <c r="X365" s="68"/>
      <c r="Y365" s="179"/>
      <c r="Z365" s="179"/>
      <c r="AA365" s="179"/>
      <c r="AB365" s="179"/>
      <c r="AC365" s="179"/>
      <c r="AD365" s="181"/>
      <c r="AE365" s="180"/>
    </row>
    <row r="366" ht="21.25" customHeight="1">
      <c r="A366" t="s" s="8">
        <v>653</v>
      </c>
      <c r="B366" t="s" s="177">
        <v>941</v>
      </c>
      <c r="C366" s="178">
        <v>27</v>
      </c>
      <c r="D366" t="s" s="177">
        <v>925</v>
      </c>
      <c r="E366" s="68">
        <v>72.2935714285714</v>
      </c>
      <c r="F366" s="179">
        <v>12.3440379801475</v>
      </c>
      <c r="G366" s="180">
        <v>0.169562232992176</v>
      </c>
      <c r="H366" s="180">
        <v>0.186968068687476</v>
      </c>
      <c r="I366" s="180">
        <v>0.356530301679651</v>
      </c>
      <c r="J366" s="180">
        <v>2.03896576919951</v>
      </c>
      <c r="K366" s="180">
        <v>0.00565535938888066</v>
      </c>
      <c r="L366" s="180">
        <v>0.009229924151941619</v>
      </c>
      <c r="M366" s="180">
        <v>0.00016884082007915</v>
      </c>
      <c r="N366" s="180">
        <v>0.000309517545805738</v>
      </c>
      <c r="O366" s="180">
        <v>0.31489785642679</v>
      </c>
      <c r="P366" s="180">
        <v>1.35890953968226</v>
      </c>
      <c r="Q366" s="180">
        <v>0.0354881713426673</v>
      </c>
      <c r="R366" s="180">
        <v>0.557636691955793</v>
      </c>
      <c r="S366" s="180">
        <v>0.026827300009421</v>
      </c>
      <c r="T366" s="180">
        <v>0.0254664715095535</v>
      </c>
      <c r="U366" s="180">
        <v>0.0881994443732073</v>
      </c>
      <c r="V366" s="180">
        <v>0.224046683755406</v>
      </c>
      <c r="W366" s="180"/>
      <c r="X366" s="68"/>
      <c r="Y366" s="179"/>
      <c r="Z366" s="179"/>
      <c r="AA366" s="179"/>
      <c r="AB366" s="179"/>
      <c r="AC366" s="179"/>
      <c r="AD366" s="181"/>
      <c r="AE366" s="180"/>
    </row>
    <row r="367" ht="21.25" customHeight="1">
      <c r="A367" t="s" s="8">
        <v>648</v>
      </c>
      <c r="B367" t="s" s="177">
        <v>939</v>
      </c>
      <c r="C367" s="182">
        <v>27</v>
      </c>
      <c r="D367" t="s" s="177">
        <v>925</v>
      </c>
      <c r="E367" s="68">
        <v>78.9282142857143</v>
      </c>
      <c r="F367" s="179">
        <v>12.301779787211</v>
      </c>
      <c r="G367" s="180">
        <v>0.159576196871744</v>
      </c>
      <c r="H367" s="180">
        <v>0.195855831356429</v>
      </c>
      <c r="I367" s="180">
        <v>0.355432028228173</v>
      </c>
      <c r="J367" s="180">
        <v>1.72630515247833</v>
      </c>
      <c r="K367" s="180">
        <v>0.00624956529591323</v>
      </c>
      <c r="L367" s="180">
        <v>0.0124182682868237</v>
      </c>
      <c r="M367" s="180">
        <v>0.00342034649838035</v>
      </c>
      <c r="N367" s="180">
        <v>0.00395144986363005</v>
      </c>
      <c r="O367" s="180">
        <v>0.291206559427179</v>
      </c>
      <c r="P367" s="180">
        <v>1.40319715853737</v>
      </c>
      <c r="Q367" s="180">
        <v>0.0746328237377178</v>
      </c>
      <c r="R367" s="180">
        <v>0.337217018065229</v>
      </c>
      <c r="S367" s="180">
        <v>0.0252591988149172</v>
      </c>
      <c r="T367" s="180">
        <v>0.132143568103291</v>
      </c>
      <c r="U367" s="180">
        <v>0.13009485175376</v>
      </c>
      <c r="V367" s="180">
        <v>0.503906209377423</v>
      </c>
      <c r="W367" s="180"/>
      <c r="X367" s="68"/>
      <c r="Y367" s="179"/>
      <c r="Z367" s="179"/>
      <c r="AA367" s="179"/>
      <c r="AB367" s="179"/>
      <c r="AC367" s="179"/>
      <c r="AD367" s="181"/>
      <c r="AE367" s="180"/>
    </row>
    <row r="368" ht="21.25" customHeight="1">
      <c r="A368" t="s" s="8">
        <v>675</v>
      </c>
      <c r="B368" t="s" s="177">
        <v>974</v>
      </c>
      <c r="C368" s="178">
        <v>27</v>
      </c>
      <c r="D368" t="s" s="177">
        <v>924</v>
      </c>
      <c r="E368" s="68">
        <v>81.3510714285714</v>
      </c>
      <c r="F368" s="179">
        <v>14.3398719128334</v>
      </c>
      <c r="G368" s="180">
        <v>0.180108506036079</v>
      </c>
      <c r="H368" s="180">
        <v>0.175158772654456</v>
      </c>
      <c r="I368" s="180">
        <v>0.355267278690535</v>
      </c>
      <c r="J368" s="180">
        <v>1.50790858556755</v>
      </c>
      <c r="K368" s="180">
        <v>0.00044018013033776</v>
      </c>
      <c r="L368" s="180">
        <v>0.00175761527273523</v>
      </c>
      <c r="M368" s="180">
        <v>0.0218028001810565</v>
      </c>
      <c r="N368" s="180">
        <v>0.0232317159734009</v>
      </c>
      <c r="O368" s="180">
        <v>0.472699728699639</v>
      </c>
      <c r="P368" s="180">
        <v>0.516187780859341</v>
      </c>
      <c r="Q368" s="180">
        <v>0.00740854201001411</v>
      </c>
      <c r="R368" s="180">
        <v>0.19808548376505</v>
      </c>
      <c r="S368" s="180"/>
      <c r="T368" s="180">
        <v>3.38019006506834</v>
      </c>
      <c r="U368" s="180">
        <v>3.80539860898324</v>
      </c>
      <c r="V368" s="180">
        <v>0.470412407166416</v>
      </c>
      <c r="W368" s="180"/>
      <c r="X368" s="68"/>
      <c r="Y368" s="179"/>
      <c r="Z368" s="179"/>
      <c r="AA368" s="179"/>
      <c r="AB368" s="179"/>
      <c r="AC368" s="179"/>
      <c r="AD368" s="181"/>
      <c r="AE368" s="180"/>
    </row>
    <row r="369" ht="21.25" customHeight="1">
      <c r="A369" t="s" s="8">
        <v>649</v>
      </c>
      <c r="B369" t="s" s="177">
        <v>963</v>
      </c>
      <c r="C369" s="178">
        <v>31</v>
      </c>
      <c r="D369" t="s" s="177">
        <v>925</v>
      </c>
      <c r="E369" s="68">
        <v>77.1103571428571</v>
      </c>
      <c r="F369" s="179">
        <v>14.9683511553716</v>
      </c>
      <c r="G369" s="180">
        <v>0.13251662960168</v>
      </c>
      <c r="H369" s="180">
        <v>0.22221220743681</v>
      </c>
      <c r="I369" s="180">
        <v>0.35472883703849</v>
      </c>
      <c r="J369" s="180">
        <v>1.82691452969895</v>
      </c>
      <c r="K369" s="180">
        <v>0.000644650106669926</v>
      </c>
      <c r="L369" s="180">
        <v>0.00168521916016902</v>
      </c>
      <c r="M369" s="180">
        <v>0.00188419144124488</v>
      </c>
      <c r="N369" s="180">
        <v>0.00597473278442082</v>
      </c>
      <c r="O369" s="180">
        <v>0.38138100010311</v>
      </c>
      <c r="P369" s="180">
        <v>1.1344225208732</v>
      </c>
      <c r="Q369" s="180">
        <v>0.0788796532456674</v>
      </c>
      <c r="R369" s="180">
        <v>0.597583747909471</v>
      </c>
      <c r="S369" s="180">
        <v>0.0237764506222744</v>
      </c>
      <c r="T369" s="180">
        <v>0.512282330754537</v>
      </c>
      <c r="U369" s="180">
        <v>0.6168261061013151</v>
      </c>
      <c r="V369" s="180">
        <v>0.45370516598127</v>
      </c>
      <c r="W369" s="180"/>
      <c r="X369" s="68"/>
      <c r="Y369" s="179"/>
      <c r="Z369" s="179"/>
      <c r="AA369" s="179"/>
      <c r="AB369" s="179"/>
      <c r="AC369" s="179"/>
      <c r="AD369" s="181"/>
      <c r="AE369" s="180"/>
    </row>
    <row r="370" ht="21.25" customHeight="1">
      <c r="A370" t="s" s="8">
        <v>642</v>
      </c>
      <c r="B370" t="s" s="177">
        <v>962</v>
      </c>
      <c r="C370" s="178">
        <v>22</v>
      </c>
      <c r="D370" t="s" s="177">
        <v>926</v>
      </c>
      <c r="E370" s="68">
        <v>69.0864285714286</v>
      </c>
      <c r="F370" s="179">
        <v>10.8245709484702</v>
      </c>
      <c r="G370" s="180">
        <v>0.161677275081973</v>
      </c>
      <c r="H370" s="180">
        <v>0.1928201353778</v>
      </c>
      <c r="I370" s="180">
        <v>0.354497410459773</v>
      </c>
      <c r="J370" s="180">
        <v>1.8285362091786</v>
      </c>
      <c r="K370" s="180">
        <v>0.0649809355580226</v>
      </c>
      <c r="L370" s="180">
        <v>0.105153520552075</v>
      </c>
      <c r="M370" s="180">
        <v>1.16267343671976e-05</v>
      </c>
      <c r="N370" s="180">
        <v>2.12470001453239e-05</v>
      </c>
      <c r="O370" s="180">
        <v>0.202780870716111</v>
      </c>
      <c r="P370" s="180">
        <v>0.732300813341537</v>
      </c>
      <c r="Q370" s="180">
        <v>0.0027269059516478</v>
      </c>
      <c r="R370" s="180">
        <v>0.252858414920735</v>
      </c>
      <c r="S370" s="180">
        <v>0.0239381080326876</v>
      </c>
      <c r="T370" s="180">
        <v>0</v>
      </c>
      <c r="U370" s="180">
        <v>0</v>
      </c>
      <c r="V370" s="180">
        <v>0</v>
      </c>
      <c r="W370" s="180"/>
      <c r="X370" s="68"/>
      <c r="Y370" s="179"/>
      <c r="Z370" s="179"/>
      <c r="AA370" s="179"/>
      <c r="AB370" s="179"/>
      <c r="AC370" s="179"/>
      <c r="AD370" s="181"/>
      <c r="AE370" s="180"/>
    </row>
    <row r="371" ht="21.25" customHeight="1">
      <c r="A371" t="s" s="8">
        <v>764</v>
      </c>
      <c r="B371" t="s" s="177">
        <v>951</v>
      </c>
      <c r="C371" s="178">
        <v>22</v>
      </c>
      <c r="D371" t="s" s="177">
        <v>924</v>
      </c>
      <c r="E371" s="68">
        <v>69.5582142857143</v>
      </c>
      <c r="F371" s="179">
        <v>13.1284601920609</v>
      </c>
      <c r="G371" s="180">
        <v>0.134033275425383</v>
      </c>
      <c r="H371" s="180">
        <v>0.218602699326144</v>
      </c>
      <c r="I371" s="180">
        <v>0.352635974751527</v>
      </c>
      <c r="J371" s="180">
        <v>1.044905975840</v>
      </c>
      <c r="K371" s="180">
        <v>0.0101932621143695</v>
      </c>
      <c r="L371" s="180">
        <v>0.0571675309190599</v>
      </c>
      <c r="M371" s="180">
        <v>0.008995020849849791</v>
      </c>
      <c r="N371" s="180">
        <v>0.0101926416523035</v>
      </c>
      <c r="O371" s="180">
        <v>0.265764552675035</v>
      </c>
      <c r="P371" s="180">
        <v>1.05960252196531</v>
      </c>
      <c r="Q371" s="180">
        <v>-0.0482522895241168</v>
      </c>
      <c r="R371" s="180">
        <v>0.47570480294937</v>
      </c>
      <c r="S371" s="180">
        <v>0.0171588134605427</v>
      </c>
      <c r="T371" s="180">
        <v>2.6889829696386</v>
      </c>
      <c r="U371" s="180">
        <v>3.77965907819509</v>
      </c>
      <c r="V371" s="180">
        <v>0.415695125770505</v>
      </c>
      <c r="W371" s="180"/>
      <c r="X371" s="68"/>
      <c r="Y371" s="179"/>
      <c r="Z371" s="179"/>
      <c r="AA371" s="179"/>
      <c r="AB371" s="179"/>
      <c r="AC371" s="179"/>
      <c r="AD371" s="181"/>
      <c r="AE371" s="180"/>
    </row>
    <row r="372" ht="21.25" customHeight="1">
      <c r="A372" t="s" s="8">
        <v>476</v>
      </c>
      <c r="B372" t="s" s="177">
        <v>950</v>
      </c>
      <c r="C372" s="178">
        <v>31</v>
      </c>
      <c r="D372" t="s" s="177">
        <v>927</v>
      </c>
      <c r="E372" s="68">
        <v>68.67</v>
      </c>
      <c r="F372" s="179">
        <v>15.9357560849304</v>
      </c>
      <c r="G372" s="180">
        <v>0.0599293958338874</v>
      </c>
      <c r="H372" s="180">
        <v>0.291281328093282</v>
      </c>
      <c r="I372" s="180">
        <v>0.35121072392717</v>
      </c>
      <c r="J372" s="180">
        <v>1.33282032711054</v>
      </c>
      <c r="K372" s="180">
        <v>0.00112054837204721</v>
      </c>
      <c r="L372" s="180">
        <v>0.07843783066749629</v>
      </c>
      <c r="M372" s="180">
        <v>0.000130051917234796</v>
      </c>
      <c r="N372" s="180">
        <v>0.000496951014483706</v>
      </c>
      <c r="O372" s="180">
        <v>0.861035053021654</v>
      </c>
      <c r="P372" s="180">
        <v>0.798891908900451</v>
      </c>
      <c r="Q372" s="180">
        <v>0.07344017273823911</v>
      </c>
      <c r="R372" s="180">
        <v>0.257885514837516</v>
      </c>
      <c r="S372" s="180">
        <v>0.0102118571395306</v>
      </c>
      <c r="T372" s="180">
        <v>0</v>
      </c>
      <c r="U372" s="180">
        <v>0</v>
      </c>
      <c r="V372" s="180">
        <v>0</v>
      </c>
      <c r="W372" s="180"/>
      <c r="X372" s="68"/>
      <c r="Y372" s="179"/>
      <c r="Z372" s="179"/>
      <c r="AA372" s="179"/>
      <c r="AB372" s="179"/>
      <c r="AC372" s="179"/>
      <c r="AD372" s="181"/>
      <c r="AE372" s="180"/>
    </row>
    <row r="373" ht="21.25" customHeight="1">
      <c r="A373" t="s" s="8">
        <v>796</v>
      </c>
      <c r="B373" t="s" s="177">
        <v>961</v>
      </c>
      <c r="C373" s="178">
        <v>27</v>
      </c>
      <c r="D373" t="s" s="177">
        <v>924</v>
      </c>
      <c r="E373" s="68">
        <v>58.89</v>
      </c>
      <c r="F373" s="179">
        <v>12.0083198812089</v>
      </c>
      <c r="G373" s="180">
        <v>0.16078045445305</v>
      </c>
      <c r="H373" s="180">
        <v>0.189798942488839</v>
      </c>
      <c r="I373" s="180">
        <v>0.350579396941889</v>
      </c>
      <c r="J373" s="180">
        <v>1.35279583926177</v>
      </c>
      <c r="K373" s="180">
        <v>0.0012576195356273</v>
      </c>
      <c r="L373" s="180">
        <v>0.00247634181939789</v>
      </c>
      <c r="M373" s="180">
        <v>0</v>
      </c>
      <c r="N373" s="180">
        <v>0</v>
      </c>
      <c r="O373" s="180">
        <v>0.425324640798216</v>
      </c>
      <c r="P373" s="180">
        <v>0.813723131108671</v>
      </c>
      <c r="Q373" s="180">
        <v>-0.0290971540221956</v>
      </c>
      <c r="R373" s="180">
        <v>0.230355074862841</v>
      </c>
      <c r="S373" s="180">
        <v>0.0197769423628062</v>
      </c>
      <c r="T373" s="180">
        <v>0.0810989945012752</v>
      </c>
      <c r="U373" s="180">
        <v>0.133125278493249</v>
      </c>
      <c r="V373" s="180">
        <v>0.37857052035998</v>
      </c>
      <c r="W373" s="180"/>
      <c r="X373" s="68"/>
      <c r="Y373" s="179"/>
      <c r="Z373" s="179"/>
      <c r="AA373" s="179"/>
      <c r="AB373" s="179"/>
      <c r="AC373" s="179"/>
      <c r="AD373" s="181"/>
      <c r="AE373" s="180"/>
    </row>
    <row r="374" ht="21.25" customHeight="1">
      <c r="A374" t="s" s="8">
        <v>678</v>
      </c>
      <c r="B374" t="s" s="177">
        <v>956</v>
      </c>
      <c r="C374" s="182">
        <v>30</v>
      </c>
      <c r="D374" t="s" s="177">
        <v>924</v>
      </c>
      <c r="E374" s="68">
        <v>81.0317857142857</v>
      </c>
      <c r="F374" s="179">
        <v>14.8754127210366</v>
      </c>
      <c r="G374" s="180">
        <v>0.15246397171919</v>
      </c>
      <c r="H374" s="180">
        <v>0.196489250570995</v>
      </c>
      <c r="I374" s="180">
        <v>0.348953222290185</v>
      </c>
      <c r="J374" s="180">
        <v>1.44622315129706</v>
      </c>
      <c r="K374" s="180">
        <v>0.00274540779733934</v>
      </c>
      <c r="L374" s="180">
        <v>0.0152092983496856</v>
      </c>
      <c r="M374" s="180">
        <v>0.0289713953963859</v>
      </c>
      <c r="N374" s="180">
        <v>0.042613930218238</v>
      </c>
      <c r="O374" s="180">
        <v>0.54988108029905</v>
      </c>
      <c r="P374" s="180">
        <v>2.12164975847488</v>
      </c>
      <c r="Q374" s="180">
        <v>0.014767267888745</v>
      </c>
      <c r="R374" s="180">
        <v>0.489040751743816</v>
      </c>
      <c r="S374" s="180">
        <v>0.0237848899128584</v>
      </c>
      <c r="T374" s="180">
        <v>6.94445425649048</v>
      </c>
      <c r="U374" s="180">
        <v>6.57138483368961</v>
      </c>
      <c r="V374" s="180">
        <v>0.513801193559337</v>
      </c>
      <c r="W374" s="180"/>
      <c r="X374" s="68"/>
      <c r="Y374" s="179"/>
      <c r="Z374" s="179"/>
      <c r="AA374" s="179"/>
      <c r="AB374" s="179"/>
      <c r="AC374" s="179"/>
      <c r="AD374" s="181"/>
      <c r="AE374" s="180"/>
    </row>
    <row r="375" ht="21.25" customHeight="1">
      <c r="A375" t="s" s="8">
        <v>668</v>
      </c>
      <c r="B375" t="s" s="177">
        <v>954</v>
      </c>
      <c r="C375" s="178">
        <v>20</v>
      </c>
      <c r="D375" t="s" s="177">
        <v>924</v>
      </c>
      <c r="E375" s="68">
        <v>77.4225</v>
      </c>
      <c r="F375" s="179">
        <v>14.0638927704063</v>
      </c>
      <c r="G375" s="180">
        <v>0.151127298221694</v>
      </c>
      <c r="H375" s="180">
        <v>0.197461893855826</v>
      </c>
      <c r="I375" s="180">
        <v>0.34858919207752</v>
      </c>
      <c r="J375" s="180">
        <v>1.62904311857185</v>
      </c>
      <c r="K375" s="180">
        <v>0.0157362363717218</v>
      </c>
      <c r="L375" s="180">
        <v>0.0351098944370776</v>
      </c>
      <c r="M375" s="180">
        <v>0.00180976699732043</v>
      </c>
      <c r="N375" s="180">
        <v>0.00330731194739065</v>
      </c>
      <c r="O375" s="180">
        <v>0.571810980228484</v>
      </c>
      <c r="P375" s="180">
        <v>1.51160000282027</v>
      </c>
      <c r="Q375" s="180">
        <v>-0.09607423243981771</v>
      </c>
      <c r="R375" s="180">
        <v>0.403119457411983</v>
      </c>
      <c r="S375" s="180">
        <v>0.0161943305442038</v>
      </c>
      <c r="T375" s="180">
        <v>5.08971498919521</v>
      </c>
      <c r="U375" s="180">
        <v>6.1311047593344</v>
      </c>
      <c r="V375" s="180">
        <v>0.453595646598117</v>
      </c>
      <c r="W375" s="180"/>
      <c r="X375" s="68"/>
      <c r="Y375" s="179"/>
      <c r="Z375" s="179"/>
      <c r="AA375" s="179"/>
      <c r="AB375" s="179"/>
      <c r="AC375" s="179"/>
      <c r="AD375" s="181"/>
      <c r="AE375" s="180"/>
    </row>
    <row r="376" ht="21.25" customHeight="1">
      <c r="A376" t="s" s="8">
        <v>740</v>
      </c>
      <c r="B376" t="s" s="177">
        <v>966</v>
      </c>
      <c r="C376" s="178">
        <v>27</v>
      </c>
      <c r="D376" t="s" s="177">
        <v>924</v>
      </c>
      <c r="E376" s="68">
        <v>71.25321428571429</v>
      </c>
      <c r="F376" s="179">
        <v>12.1030655044139</v>
      </c>
      <c r="G376" s="180">
        <v>0.188808599324172</v>
      </c>
      <c r="H376" s="180">
        <v>0.157255808616913</v>
      </c>
      <c r="I376" s="180">
        <v>0.346064407941085</v>
      </c>
      <c r="J376" s="180">
        <v>1.36169869582382</v>
      </c>
      <c r="K376" s="180">
        <v>0.00834770522814624</v>
      </c>
      <c r="L376" s="180">
        <v>0.0204596007808802</v>
      </c>
      <c r="M376" s="180">
        <v>0</v>
      </c>
      <c r="N376" s="180">
        <v>0</v>
      </c>
      <c r="O376" s="180">
        <v>0.386013026575021</v>
      </c>
      <c r="P376" s="180">
        <v>0.878917463615979</v>
      </c>
      <c r="Q376" s="180">
        <v>0.0579518377599913</v>
      </c>
      <c r="R376" s="180">
        <v>0.231648469363838</v>
      </c>
      <c r="S376" s="180">
        <v>0.0308564767264945</v>
      </c>
      <c r="T376" s="180">
        <v>0.6422995514651541</v>
      </c>
      <c r="U376" s="180">
        <v>0.736553378962187</v>
      </c>
      <c r="V376" s="180">
        <v>0.465821653122998</v>
      </c>
      <c r="W376" s="180"/>
      <c r="X376" s="68"/>
      <c r="Y376" s="179"/>
      <c r="Z376" s="179"/>
      <c r="AA376" s="179"/>
      <c r="AB376" s="179"/>
      <c r="AC376" s="179"/>
      <c r="AD376" s="181"/>
      <c r="AE376" s="180"/>
    </row>
    <row r="377" ht="21.25" customHeight="1">
      <c r="A377" t="s" s="8">
        <v>790</v>
      </c>
      <c r="B377" t="s" s="177">
        <v>945</v>
      </c>
      <c r="C377" s="178">
        <v>21</v>
      </c>
      <c r="D377" t="s" s="177">
        <v>925</v>
      </c>
      <c r="E377" s="68">
        <v>52.9160714285714</v>
      </c>
      <c r="F377" s="179">
        <v>12.0075965624741</v>
      </c>
      <c r="G377" s="180">
        <v>0.151494077476328</v>
      </c>
      <c r="H377" s="180">
        <v>0.19451276502378</v>
      </c>
      <c r="I377" s="180">
        <v>0.346006842500109</v>
      </c>
      <c r="J377" s="180">
        <v>1.60675424175107</v>
      </c>
      <c r="K377" s="180">
        <v>0.00684863496780433</v>
      </c>
      <c r="L377" s="180">
        <v>0.0172211196137741</v>
      </c>
      <c r="M377" s="180">
        <v>0.000199445583447899</v>
      </c>
      <c r="N377" s="180">
        <v>0.000362282020526209</v>
      </c>
      <c r="O377" s="180">
        <v>0.446192225121656</v>
      </c>
      <c r="P377" s="180">
        <v>1.28649065883379</v>
      </c>
      <c r="Q377" s="180">
        <v>0.0469886534604062</v>
      </c>
      <c r="R377" s="180">
        <v>0.245978062320299</v>
      </c>
      <c r="S377" s="180">
        <v>0.0243374832800567</v>
      </c>
      <c r="T377" s="180">
        <v>0.0709780001223299</v>
      </c>
      <c r="U377" s="180">
        <v>0.112746566174139</v>
      </c>
      <c r="V377" s="180">
        <v>0.386328304119089</v>
      </c>
      <c r="W377" s="180"/>
      <c r="X377" s="68"/>
      <c r="Y377" s="179"/>
      <c r="Z377" s="179"/>
      <c r="AA377" s="179"/>
      <c r="AB377" s="179"/>
      <c r="AC377" s="179"/>
      <c r="AD377" s="181"/>
      <c r="AE377" s="180"/>
    </row>
    <row r="378" ht="21.25" customHeight="1">
      <c r="A378" t="s" s="8">
        <v>374</v>
      </c>
      <c r="B378" t="s" s="177">
        <v>972</v>
      </c>
      <c r="C378" s="178">
        <v>30</v>
      </c>
      <c r="D378" t="s" s="177">
        <v>927</v>
      </c>
      <c r="E378" s="68">
        <v>82.03</v>
      </c>
      <c r="F378" s="179">
        <v>23.7719653544207</v>
      </c>
      <c r="G378" s="180">
        <v>0.0949639587522733</v>
      </c>
      <c r="H378" s="180">
        <v>0.250604814745682</v>
      </c>
      <c r="I378" s="180">
        <v>0.345568773497955</v>
      </c>
      <c r="J378" s="180">
        <v>1.65293981287109</v>
      </c>
      <c r="K378" s="180">
        <v>0.000435289694006302</v>
      </c>
      <c r="L378" s="180">
        <v>0.00399974689595715</v>
      </c>
      <c r="M378" s="180">
        <v>0.000319394891775979</v>
      </c>
      <c r="N378" s="180">
        <v>0.00170798728380801</v>
      </c>
      <c r="O378" s="180">
        <v>2.02826593980624</v>
      </c>
      <c r="P378" s="180">
        <v>2.42740231098809</v>
      </c>
      <c r="Q378" s="180">
        <v>0.00181459820372059</v>
      </c>
      <c r="R378" s="180">
        <v>0.622924887323968</v>
      </c>
      <c r="S378" s="180">
        <v>0.0133482267429156</v>
      </c>
      <c r="T378" s="180">
        <v>0.000303930670497272</v>
      </c>
      <c r="U378" s="180">
        <v>0.00162192372570098</v>
      </c>
      <c r="V378" s="180">
        <v>0.157816017190733</v>
      </c>
      <c r="W378" s="180"/>
      <c r="X378" s="68"/>
      <c r="Y378" s="179"/>
      <c r="Z378" s="179"/>
      <c r="AA378" s="179"/>
      <c r="AB378" s="179"/>
      <c r="AC378" s="179"/>
      <c r="AD378" s="181"/>
      <c r="AE378" s="180"/>
    </row>
    <row r="379" ht="21.25" customHeight="1">
      <c r="A379" t="s" s="8">
        <v>398</v>
      </c>
      <c r="B379" t="s" s="177">
        <v>970</v>
      </c>
      <c r="C379" s="182">
        <v>27</v>
      </c>
      <c r="D379" t="s" s="177">
        <v>927</v>
      </c>
      <c r="E379" s="68">
        <v>81.4310714285714</v>
      </c>
      <c r="F379" s="179">
        <v>21.5624900763453</v>
      </c>
      <c r="G379" s="180">
        <v>0.0849803074530871</v>
      </c>
      <c r="H379" s="180">
        <v>0.260469646259491</v>
      </c>
      <c r="I379" s="180">
        <v>0.345449953712578</v>
      </c>
      <c r="J379" s="180">
        <v>1.51120740095395</v>
      </c>
      <c r="K379" s="180">
        <v>0.00127205466552904</v>
      </c>
      <c r="L379" s="180">
        <v>0.0129904316983671</v>
      </c>
      <c r="M379" s="180">
        <v>0.00599041070268523</v>
      </c>
      <c r="N379" s="180">
        <v>0.00713916477365994</v>
      </c>
      <c r="O379" s="180">
        <v>1.69223875986809</v>
      </c>
      <c r="P379" s="180">
        <v>0.857527355028985</v>
      </c>
      <c r="Q379" s="180">
        <v>-0.0713183929414313</v>
      </c>
      <c r="R379" s="180">
        <v>0.468120458276445</v>
      </c>
      <c r="S379" s="180">
        <v>0.00998906483115667</v>
      </c>
      <c r="T379" s="180">
        <v>0</v>
      </c>
      <c r="U379" s="180">
        <v>0</v>
      </c>
      <c r="V379" s="180">
        <v>0</v>
      </c>
      <c r="W379" s="180"/>
      <c r="X379" s="68"/>
      <c r="Y379" s="179"/>
      <c r="Z379" s="179"/>
      <c r="AA379" s="179"/>
      <c r="AB379" s="179"/>
      <c r="AC379" s="179"/>
      <c r="AD379" s="181"/>
      <c r="AE379" s="180"/>
    </row>
    <row r="380" ht="21.25" customHeight="1">
      <c r="A380" t="s" s="8">
        <v>763</v>
      </c>
      <c r="B380" t="s" s="177">
        <v>948</v>
      </c>
      <c r="C380" s="178">
        <v>23</v>
      </c>
      <c r="D380" t="s" s="177">
        <v>924</v>
      </c>
      <c r="E380" s="68">
        <v>71.8621428571429</v>
      </c>
      <c r="F380" s="179">
        <v>13.8714016209192</v>
      </c>
      <c r="G380" s="180">
        <v>0.11957154141253</v>
      </c>
      <c r="H380" s="180">
        <v>0.225737725777694</v>
      </c>
      <c r="I380" s="180">
        <v>0.345309267190223</v>
      </c>
      <c r="J380" s="180">
        <v>1.1242558639197</v>
      </c>
      <c r="K380" s="180">
        <v>0.000935330652712894</v>
      </c>
      <c r="L380" s="180">
        <v>0.0019295311692115</v>
      </c>
      <c r="M380" s="180">
        <v>0.00185555280850491</v>
      </c>
      <c r="N380" s="180">
        <v>0.040078126599924</v>
      </c>
      <c r="O380" s="180">
        <v>0.471800231117366</v>
      </c>
      <c r="P380" s="180">
        <v>1.46172186181768</v>
      </c>
      <c r="Q380" s="180">
        <v>0.0481004285085885</v>
      </c>
      <c r="R380" s="180">
        <v>0.589177910395574</v>
      </c>
      <c r="S380" s="180">
        <v>0.019130598976836</v>
      </c>
      <c r="T380" s="180">
        <v>1.245202671090</v>
      </c>
      <c r="U380" s="180">
        <v>1.2537251791646</v>
      </c>
      <c r="V380" s="180">
        <v>0.498294767079063</v>
      </c>
      <c r="W380" s="180"/>
      <c r="X380" s="68"/>
      <c r="Y380" s="179"/>
      <c r="Z380" s="179"/>
      <c r="AA380" s="179"/>
      <c r="AB380" s="179"/>
      <c r="AC380" s="179"/>
      <c r="AD380" s="181"/>
      <c r="AE380" s="180"/>
    </row>
    <row r="381" ht="21.25" customHeight="1">
      <c r="A381" t="s" s="8">
        <v>709</v>
      </c>
      <c r="B381" t="s" s="177">
        <v>963</v>
      </c>
      <c r="C381" s="178">
        <v>31</v>
      </c>
      <c r="D381" t="s" s="177">
        <v>926</v>
      </c>
      <c r="E381" s="68">
        <v>80.2107142857143</v>
      </c>
      <c r="F381" s="179">
        <v>14.1055636656672</v>
      </c>
      <c r="G381" s="180">
        <v>0.124652637075878</v>
      </c>
      <c r="H381" s="180">
        <v>0.220449214018784</v>
      </c>
      <c r="I381" s="180">
        <v>0.345101851094662</v>
      </c>
      <c r="J381" s="180">
        <v>1.00690454036079</v>
      </c>
      <c r="K381" s="180">
        <v>0.00232679537992576</v>
      </c>
      <c r="L381" s="180">
        <v>0.00638212416053341</v>
      </c>
      <c r="M381" s="180">
        <v>0.00110558660616722</v>
      </c>
      <c r="N381" s="180">
        <v>0.0214788793164993</v>
      </c>
      <c r="O381" s="180">
        <v>0.469282594200817</v>
      </c>
      <c r="P381" s="180">
        <v>1.25670952455026</v>
      </c>
      <c r="Q381" s="180">
        <v>0.0842390868215656</v>
      </c>
      <c r="R381" s="180">
        <v>0.191839721513633</v>
      </c>
      <c r="S381" s="180">
        <v>0.0223654742750363</v>
      </c>
      <c r="T381" s="180">
        <v>0.137766489222454</v>
      </c>
      <c r="U381" s="180">
        <v>0.210017226572528</v>
      </c>
      <c r="V381" s="180">
        <v>0.396126911541962</v>
      </c>
      <c r="W381" s="180"/>
      <c r="X381" s="68"/>
      <c r="Y381" s="179"/>
      <c r="Z381" s="179"/>
      <c r="AA381" s="179"/>
      <c r="AB381" s="179"/>
      <c r="AC381" s="179"/>
      <c r="AD381" s="181"/>
      <c r="AE381" s="180"/>
    </row>
    <row r="382" ht="21.25" customHeight="1">
      <c r="A382" t="s" s="8">
        <v>681</v>
      </c>
      <c r="B382" t="s" s="177">
        <v>942</v>
      </c>
      <c r="C382" s="178">
        <v>26</v>
      </c>
      <c r="D382" t="s" s="177">
        <v>924</v>
      </c>
      <c r="E382" s="68">
        <v>68.2</v>
      </c>
      <c r="F382" s="179">
        <v>13.026067839193</v>
      </c>
      <c r="G382" s="180">
        <v>0.126768464658802</v>
      </c>
      <c r="H382" s="180">
        <v>0.217447378800657</v>
      </c>
      <c r="I382" s="180">
        <v>0.34421584345946</v>
      </c>
      <c r="J382" s="180">
        <v>2.25220208170343</v>
      </c>
      <c r="K382" s="180">
        <v>0.00541647602252917</v>
      </c>
      <c r="L382" s="180">
        <v>0.0138198993173526</v>
      </c>
      <c r="M382" s="180">
        <v>0.00039307278895469</v>
      </c>
      <c r="N382" s="180">
        <v>0.000724479377248924</v>
      </c>
      <c r="O382" s="180">
        <v>0.38467457807766</v>
      </c>
      <c r="P382" s="180">
        <v>1.85232725273707</v>
      </c>
      <c r="Q382" s="180">
        <v>0.0144186545551073</v>
      </c>
      <c r="R382" s="180">
        <v>0.714450058255834</v>
      </c>
      <c r="S382" s="180">
        <v>0.0198393107678266</v>
      </c>
      <c r="T382" s="180">
        <v>0.234097739681021</v>
      </c>
      <c r="U382" s="180">
        <v>0.43401810761183</v>
      </c>
      <c r="V382" s="180">
        <v>0.350384952893372</v>
      </c>
      <c r="W382" s="180"/>
      <c r="X382" s="68"/>
      <c r="Y382" s="179"/>
      <c r="Z382" s="179"/>
      <c r="AA382" s="179"/>
      <c r="AB382" s="179"/>
      <c r="AC382" s="179"/>
      <c r="AD382" s="181"/>
      <c r="AE382" s="180"/>
    </row>
    <row r="383" ht="21.25" customHeight="1">
      <c r="A383" t="s" s="8">
        <v>730</v>
      </c>
      <c r="B383" t="s" s="177">
        <v>971</v>
      </c>
      <c r="C383" s="182">
        <v>28</v>
      </c>
      <c r="D383" t="s" s="177">
        <v>926</v>
      </c>
      <c r="E383" s="68">
        <v>68.20999999999999</v>
      </c>
      <c r="F383" s="179">
        <v>12.5142664512031</v>
      </c>
      <c r="G383" s="180">
        <v>0.169685099130995</v>
      </c>
      <c r="H383" s="180">
        <v>0.173775726264493</v>
      </c>
      <c r="I383" s="180">
        <v>0.343460825395488</v>
      </c>
      <c r="J383" s="180">
        <v>1.28210832941371</v>
      </c>
      <c r="K383" s="180">
        <v>0.00337759999942276</v>
      </c>
      <c r="L383" s="180">
        <v>0.0121285841383641</v>
      </c>
      <c r="M383" s="180">
        <v>3.18096387508618e-06</v>
      </c>
      <c r="N383" s="180">
        <v>5.8556743941669e-06</v>
      </c>
      <c r="O383" s="180">
        <v>0.452170009193395</v>
      </c>
      <c r="P383" s="180">
        <v>0.9996314205990821</v>
      </c>
      <c r="Q383" s="180">
        <v>0.0160918046929887</v>
      </c>
      <c r="R383" s="180">
        <v>0.236220049143193</v>
      </c>
      <c r="S383" s="180">
        <v>0.0262200566810826</v>
      </c>
      <c r="T383" s="180">
        <v>0.0577882720857468</v>
      </c>
      <c r="U383" s="180">
        <v>0.140626437477334</v>
      </c>
      <c r="V383" s="180">
        <v>0.291249939145135</v>
      </c>
      <c r="W383" s="180"/>
      <c r="X383" s="68"/>
      <c r="Y383" s="179"/>
      <c r="Z383" s="179"/>
      <c r="AA383" s="179"/>
      <c r="AB383" s="179"/>
      <c r="AC383" s="179"/>
      <c r="AD383" s="181"/>
      <c r="AE383" s="180"/>
    </row>
    <row r="384" ht="21.25" customHeight="1">
      <c r="A384" t="s" s="8">
        <v>605</v>
      </c>
      <c r="B384" t="s" s="177">
        <v>974</v>
      </c>
      <c r="C384" s="178">
        <v>39</v>
      </c>
      <c r="D384" t="s" s="177">
        <v>925</v>
      </c>
      <c r="E384" s="68">
        <v>80.41928571428571</v>
      </c>
      <c r="F384" s="179">
        <v>13.7538688371612</v>
      </c>
      <c r="G384" s="180">
        <v>0.175821594750767</v>
      </c>
      <c r="H384" s="180">
        <v>0.16668689846318</v>
      </c>
      <c r="I384" s="180">
        <v>0.342508493213948</v>
      </c>
      <c r="J384" s="180">
        <v>1.89525836001359</v>
      </c>
      <c r="K384" s="180">
        <v>0.0204513018899533</v>
      </c>
      <c r="L384" s="180">
        <v>0.0457972419402554</v>
      </c>
      <c r="M384" s="180">
        <v>0</v>
      </c>
      <c r="N384" s="180">
        <v>0</v>
      </c>
      <c r="O384" s="180">
        <v>0.680926633118932</v>
      </c>
      <c r="P384" s="180">
        <v>0.938047052583328</v>
      </c>
      <c r="Q384" s="180">
        <v>0.00633469357332905</v>
      </c>
      <c r="R384" s="180">
        <v>0.269616025695298</v>
      </c>
      <c r="S384" s="180"/>
      <c r="T384" s="180">
        <v>0.18822930786381</v>
      </c>
      <c r="U384" s="180">
        <v>0.304767246642752</v>
      </c>
      <c r="V384" s="180">
        <v>0.381806538287488</v>
      </c>
      <c r="W384" s="180"/>
      <c r="X384" s="68"/>
      <c r="Y384" s="179"/>
      <c r="Z384" s="179"/>
      <c r="AA384" s="179"/>
      <c r="AB384" s="179"/>
      <c r="AC384" s="179"/>
      <c r="AD384" s="181"/>
      <c r="AE384" s="180"/>
    </row>
    <row r="385" ht="21.25" customHeight="1">
      <c r="A385" t="s" s="8">
        <v>793</v>
      </c>
      <c r="B385" t="s" s="177">
        <v>952</v>
      </c>
      <c r="C385" s="178">
        <v>22</v>
      </c>
      <c r="D385" t="s" s="177">
        <v>925</v>
      </c>
      <c r="E385" s="68">
        <v>55</v>
      </c>
      <c r="F385" s="179">
        <v>12.0552</v>
      </c>
      <c r="G385" s="180">
        <v>0.157398094622233</v>
      </c>
      <c r="H385" s="180">
        <v>0.185102414156409</v>
      </c>
      <c r="I385" s="180">
        <v>0.342500508778641</v>
      </c>
      <c r="J385" s="180">
        <v>1.50388949939312</v>
      </c>
      <c r="K385" s="180">
        <v>0.00404179354347737</v>
      </c>
      <c r="L385" s="180">
        <v>0.00969796934110804</v>
      </c>
      <c r="M385" s="180">
        <v>0</v>
      </c>
      <c r="N385" s="180">
        <v>0</v>
      </c>
      <c r="O385" s="180">
        <v>0.312576619255141</v>
      </c>
      <c r="P385" s="180">
        <v>0.858626280612012</v>
      </c>
      <c r="Q385" s="180">
        <v>-0.000753432469774801</v>
      </c>
      <c r="R385" s="180">
        <v>0.291880518681359</v>
      </c>
      <c r="S385" s="180">
        <v>0.0222812190207504</v>
      </c>
      <c r="T385" s="180">
        <v>0.0136409986189515</v>
      </c>
      <c r="U385" s="180">
        <v>0.0355785701699461</v>
      </c>
      <c r="V385" s="180">
        <v>0.277145837613035</v>
      </c>
      <c r="W385" s="180"/>
      <c r="X385" s="68"/>
      <c r="Y385" s="179"/>
      <c r="Z385" s="179"/>
      <c r="AA385" s="179"/>
      <c r="AB385" s="179"/>
      <c r="AC385" s="179"/>
      <c r="AD385" s="181"/>
      <c r="AE385" s="180"/>
    </row>
    <row r="386" ht="21.25" customHeight="1">
      <c r="A386" t="s" s="8">
        <v>415</v>
      </c>
      <c r="B386" t="s" s="177">
        <v>971</v>
      </c>
      <c r="C386" s="178">
        <v>29</v>
      </c>
      <c r="D386" t="s" s="177">
        <v>927</v>
      </c>
      <c r="E386" s="68">
        <v>77.7525</v>
      </c>
      <c r="F386" s="179">
        <v>21.8000206054784</v>
      </c>
      <c r="G386" s="180">
        <v>0.0691173706212849</v>
      </c>
      <c r="H386" s="180">
        <v>0.273235611659732</v>
      </c>
      <c r="I386" s="180">
        <v>0.342352982281017</v>
      </c>
      <c r="J386" s="180">
        <v>1.54090934500199</v>
      </c>
      <c r="K386" s="180">
        <v>0.000440032941407168</v>
      </c>
      <c r="L386" s="180">
        <v>0.00304418290815833</v>
      </c>
      <c r="M386" s="180">
        <v>0.00287001707703105</v>
      </c>
      <c r="N386" s="180">
        <v>0.0230003387329616</v>
      </c>
      <c r="O386" s="180">
        <v>1.74797374756467</v>
      </c>
      <c r="P386" s="180">
        <v>1.24569261032932</v>
      </c>
      <c r="Q386" s="180">
        <v>0.0302770902518057</v>
      </c>
      <c r="R386" s="180">
        <v>0.49618014749745</v>
      </c>
      <c r="S386" s="180">
        <v>0.010680144483037</v>
      </c>
      <c r="T386" s="180">
        <v>0</v>
      </c>
      <c r="U386" s="180">
        <v>0</v>
      </c>
      <c r="V386" s="180">
        <v>0</v>
      </c>
      <c r="W386" s="180"/>
      <c r="X386" s="68"/>
      <c r="Y386" s="179"/>
      <c r="Z386" s="179"/>
      <c r="AA386" s="179"/>
      <c r="AB386" s="179"/>
      <c r="AC386" s="179"/>
      <c r="AD386" s="181"/>
      <c r="AE386" s="180"/>
    </row>
    <row r="387" ht="21.25" customHeight="1">
      <c r="A387" t="s" s="8">
        <v>430</v>
      </c>
      <c r="B387" t="s" s="177">
        <v>962</v>
      </c>
      <c r="C387" s="178">
        <v>27</v>
      </c>
      <c r="D387" t="s" s="177">
        <v>927</v>
      </c>
      <c r="E387" s="68">
        <v>79.8335714285714</v>
      </c>
      <c r="F387" s="179">
        <v>21.9373527078676</v>
      </c>
      <c r="G387" s="180">
        <v>0.0728012513812806</v>
      </c>
      <c r="H387" s="180">
        <v>0.269023134171934</v>
      </c>
      <c r="I387" s="180">
        <v>0.341824385553215</v>
      </c>
      <c r="J387" s="180">
        <v>1.29482578749168</v>
      </c>
      <c r="K387" s="180">
        <v>0.0010091507012907</v>
      </c>
      <c r="L387" s="180">
        <v>0.00691141081982941</v>
      </c>
      <c r="M387" s="180">
        <v>0.00715453357859067</v>
      </c>
      <c r="N387" s="180">
        <v>0.0196425287000261</v>
      </c>
      <c r="O387" s="180">
        <v>1.65385179066577</v>
      </c>
      <c r="P387" s="180">
        <v>1.18335893135219</v>
      </c>
      <c r="Q387" s="180">
        <v>-0.000971100479582341</v>
      </c>
      <c r="R387" s="180">
        <v>0.59874809675034</v>
      </c>
      <c r="S387" s="180">
        <v>0.0107790301364019</v>
      </c>
      <c r="T387" s="180">
        <v>0</v>
      </c>
      <c r="U387" s="180">
        <v>0</v>
      </c>
      <c r="V387" s="180">
        <v>0</v>
      </c>
      <c r="W387" s="180"/>
      <c r="X387" s="68"/>
      <c r="Y387" s="179"/>
      <c r="Z387" s="179"/>
      <c r="AA387" s="179"/>
      <c r="AB387" s="179"/>
      <c r="AC387" s="179"/>
      <c r="AD387" s="181"/>
      <c r="AE387" s="180"/>
    </row>
    <row r="388" ht="21.25" customHeight="1">
      <c r="A388" t="s" s="8">
        <v>734</v>
      </c>
      <c r="B388" t="s" s="177">
        <v>939</v>
      </c>
      <c r="C388" s="182">
        <v>30</v>
      </c>
      <c r="D388" t="s" s="177">
        <v>924</v>
      </c>
      <c r="E388" s="68">
        <v>77.1275</v>
      </c>
      <c r="F388" s="179">
        <v>13.8719586680853</v>
      </c>
      <c r="G388" s="180">
        <v>0.132271245899396</v>
      </c>
      <c r="H388" s="180">
        <v>0.208980788647305</v>
      </c>
      <c r="I388" s="180">
        <v>0.341252034546701</v>
      </c>
      <c r="J388" s="180">
        <v>1.23267531014149</v>
      </c>
      <c r="K388" s="180">
        <v>0.000902125315095137</v>
      </c>
      <c r="L388" s="180">
        <v>0.00192118986498317</v>
      </c>
      <c r="M388" s="180">
        <v>0.0270830425303068</v>
      </c>
      <c r="N388" s="180">
        <v>0.0390331801473152</v>
      </c>
      <c r="O388" s="180">
        <v>0.392597647942684</v>
      </c>
      <c r="P388" s="180">
        <v>0.407693587828199</v>
      </c>
      <c r="Q388" s="180">
        <v>0.0498192190796843</v>
      </c>
      <c r="R388" s="180">
        <v>0.324972178800078</v>
      </c>
      <c r="S388" s="180">
        <v>0.0209371182116526</v>
      </c>
      <c r="T388" s="180">
        <v>0.318017672013461</v>
      </c>
      <c r="U388" s="180">
        <v>0.475356091460588</v>
      </c>
      <c r="V388" s="180">
        <v>0.400842183917093</v>
      </c>
      <c r="W388" s="180"/>
      <c r="X388" s="68"/>
      <c r="Y388" s="179"/>
      <c r="Z388" s="179"/>
      <c r="AA388" s="179"/>
      <c r="AB388" s="179"/>
      <c r="AC388" s="179"/>
      <c r="AD388" s="181"/>
      <c r="AE388" s="180"/>
    </row>
    <row r="389" ht="21.25" customHeight="1">
      <c r="A389" t="s" s="8">
        <v>389</v>
      </c>
      <c r="B389" t="s" s="177">
        <v>953</v>
      </c>
      <c r="C389" s="178">
        <v>28</v>
      </c>
      <c r="D389" t="s" s="177">
        <v>927</v>
      </c>
      <c r="E389" s="68">
        <v>80.0646428571429</v>
      </c>
      <c r="F389" s="179">
        <v>20.0840416037368</v>
      </c>
      <c r="G389" s="180">
        <v>0.0790515335912545</v>
      </c>
      <c r="H389" s="180">
        <v>0.261139234011043</v>
      </c>
      <c r="I389" s="180">
        <v>0.340190767602298</v>
      </c>
      <c r="J389" s="180">
        <v>1.69499810188218</v>
      </c>
      <c r="K389" s="180">
        <v>0.000305141746288778</v>
      </c>
      <c r="L389" s="180">
        <v>0.00208490210542933</v>
      </c>
      <c r="M389" s="180">
        <v>0.000306145972005059</v>
      </c>
      <c r="N389" s="180">
        <v>0.013895554188091</v>
      </c>
      <c r="O389" s="180">
        <v>1.86196674957801</v>
      </c>
      <c r="P389" s="180">
        <v>1.20325129914207</v>
      </c>
      <c r="Q389" s="180">
        <v>0.0259144307112877</v>
      </c>
      <c r="R389" s="180">
        <v>0.425452314143077</v>
      </c>
      <c r="S389" s="180">
        <v>0.012689354024192</v>
      </c>
      <c r="T389" s="180">
        <v>0</v>
      </c>
      <c r="U389" s="180">
        <v>0</v>
      </c>
      <c r="V389" s="180">
        <v>0</v>
      </c>
      <c r="W389" s="180"/>
      <c r="X389" s="68"/>
      <c r="Y389" s="179"/>
      <c r="Z389" s="179"/>
      <c r="AA389" s="179"/>
      <c r="AB389" s="179"/>
      <c r="AC389" s="179"/>
      <c r="AD389" s="181"/>
      <c r="AE389" s="180"/>
    </row>
    <row r="390" ht="21.25" customHeight="1">
      <c r="A390" t="s" s="8">
        <v>712</v>
      </c>
      <c r="B390" t="s" s="177">
        <v>968</v>
      </c>
      <c r="C390" s="182">
        <v>29</v>
      </c>
      <c r="D390" t="s" s="177">
        <v>924</v>
      </c>
      <c r="E390" s="68">
        <v>81.3246428571429</v>
      </c>
      <c r="F390" s="179">
        <v>15.4996169029726</v>
      </c>
      <c r="G390" s="180">
        <v>0.12583106349843</v>
      </c>
      <c r="H390" s="180">
        <v>0.213731652869343</v>
      </c>
      <c r="I390" s="180">
        <v>0.339562716367773</v>
      </c>
      <c r="J390" s="180">
        <v>1.11767468601485</v>
      </c>
      <c r="K390" s="180">
        <v>0.00528114278171707</v>
      </c>
      <c r="L390" s="180">
        <v>0.0237855051801904</v>
      </c>
      <c r="M390" s="180">
        <v>0.0065718853582094</v>
      </c>
      <c r="N390" s="180">
        <v>0.009764129375846061</v>
      </c>
      <c r="O390" s="180">
        <v>0.736710250867517</v>
      </c>
      <c r="P390" s="180">
        <v>1.93070822020972</v>
      </c>
      <c r="Q390" s="180">
        <v>-0.0274532319082043</v>
      </c>
      <c r="R390" s="180">
        <v>0.3178986290908</v>
      </c>
      <c r="S390" s="180">
        <v>0.0183746262661338</v>
      </c>
      <c r="T390" s="180">
        <v>7.32489224941663</v>
      </c>
      <c r="U390" s="180">
        <v>6.15130807695843</v>
      </c>
      <c r="V390" s="180">
        <v>0.5435428438297</v>
      </c>
      <c r="W390" s="180"/>
      <c r="X390" s="68"/>
      <c r="Y390" s="179"/>
      <c r="Z390" s="179"/>
      <c r="AA390" s="179"/>
      <c r="AB390" s="179"/>
      <c r="AC390" s="179"/>
      <c r="AD390" s="181"/>
      <c r="AE390" s="180"/>
    </row>
    <row r="391" ht="21.25" customHeight="1">
      <c r="A391" t="s" s="8">
        <v>633</v>
      </c>
      <c r="B391" t="s" s="177">
        <v>945</v>
      </c>
      <c r="C391" s="178">
        <v>24</v>
      </c>
      <c r="D391" t="s" s="177">
        <v>927</v>
      </c>
      <c r="E391" s="68">
        <v>50</v>
      </c>
      <c r="F391" s="179">
        <v>16.4168791263522</v>
      </c>
      <c r="G391" s="180">
        <v>0.0549688550808498</v>
      </c>
      <c r="H391" s="180">
        <v>0.283684965436799</v>
      </c>
      <c r="I391" s="180">
        <v>0.338653820517649</v>
      </c>
      <c r="J391" s="180">
        <v>0.957743727896807</v>
      </c>
      <c r="K391" s="180">
        <v>0.00195618747599396</v>
      </c>
      <c r="L391" s="180">
        <v>0.0390449957161695</v>
      </c>
      <c r="M391" s="180">
        <v>8.08422803970733e-05</v>
      </c>
      <c r="N391" s="180">
        <v>0.000297071844182471</v>
      </c>
      <c r="O391" s="180">
        <v>0.9957365121607979</v>
      </c>
      <c r="P391" s="180">
        <v>1.15392522551926</v>
      </c>
      <c r="Q391" s="180">
        <v>0.0527738275274702</v>
      </c>
      <c r="R391" s="180">
        <v>0.341100283533162</v>
      </c>
      <c r="S391" s="180">
        <v>0.008830731958238301</v>
      </c>
      <c r="T391" s="180">
        <v>0</v>
      </c>
      <c r="U391" s="180">
        <v>0</v>
      </c>
      <c r="V391" s="180">
        <v>0</v>
      </c>
      <c r="W391" s="180"/>
      <c r="X391" s="68"/>
      <c r="Y391" s="179"/>
      <c r="Z391" s="179"/>
      <c r="AA391" s="179"/>
      <c r="AB391" s="179"/>
      <c r="AC391" s="179"/>
      <c r="AD391" s="181"/>
      <c r="AE391" s="180"/>
    </row>
    <row r="392" ht="21.25" customHeight="1">
      <c r="A392" t="s" s="8">
        <v>776</v>
      </c>
      <c r="B392" t="s" s="177">
        <v>966</v>
      </c>
      <c r="C392" s="178">
        <v>25</v>
      </c>
      <c r="D392" t="s" s="177">
        <v>924</v>
      </c>
      <c r="E392" s="68">
        <v>70.19750000000001</v>
      </c>
      <c r="F392" s="179">
        <v>13.1735329653879</v>
      </c>
      <c r="G392" s="180">
        <v>0.143107997799015</v>
      </c>
      <c r="H392" s="180">
        <v>0.194352780977849</v>
      </c>
      <c r="I392" s="180">
        <v>0.337460778776863</v>
      </c>
      <c r="J392" s="180">
        <v>1.05621009034441</v>
      </c>
      <c r="K392" s="180">
        <v>0.000458730527431484</v>
      </c>
      <c r="L392" s="180">
        <v>0.000906309090062288</v>
      </c>
      <c r="M392" s="180">
        <v>0.0017178839730281</v>
      </c>
      <c r="N392" s="180">
        <v>0.0125072765929084</v>
      </c>
      <c r="O392" s="180">
        <v>0.666725209906602</v>
      </c>
      <c r="P392" s="180">
        <v>1.72060032412337</v>
      </c>
      <c r="Q392" s="180">
        <v>0.0557366016622266</v>
      </c>
      <c r="R392" s="180">
        <v>0.505711970065348</v>
      </c>
      <c r="S392" s="180">
        <v>0.0233877515074346</v>
      </c>
      <c r="T392" s="180">
        <v>2.41013771080829</v>
      </c>
      <c r="U392" s="180">
        <v>2.46053909563337</v>
      </c>
      <c r="V392" s="180">
        <v>0.49482603888248</v>
      </c>
      <c r="W392" s="180"/>
      <c r="X392" s="68"/>
      <c r="Y392" s="179"/>
      <c r="Z392" s="179"/>
      <c r="AA392" s="179"/>
      <c r="AB392" s="179"/>
      <c r="AC392" s="179"/>
      <c r="AD392" s="181"/>
      <c r="AE392" s="180"/>
    </row>
    <row r="393" ht="21.25" customHeight="1">
      <c r="A393" t="s" s="8">
        <v>468</v>
      </c>
      <c r="B393" t="s" s="177">
        <v>965</v>
      </c>
      <c r="C393" s="182">
        <v>29</v>
      </c>
      <c r="D393" t="s" s="177">
        <v>927</v>
      </c>
      <c r="E393" s="68">
        <v>73.8</v>
      </c>
      <c r="F393" s="179">
        <v>22.9203133322888</v>
      </c>
      <c r="G393" s="180">
        <v>0.0332481829805434</v>
      </c>
      <c r="H393" s="180">
        <v>0.303467709511757</v>
      </c>
      <c r="I393" s="180">
        <v>0.336715892492301</v>
      </c>
      <c r="J393" s="180">
        <v>1.11589938661804</v>
      </c>
      <c r="K393" s="180">
        <v>0.0030358491225053</v>
      </c>
      <c r="L393" s="180">
        <v>0.0306661550210562</v>
      </c>
      <c r="M393" s="180">
        <v>0.000331333887336499</v>
      </c>
      <c r="N393" s="180">
        <v>0.0106055050195988</v>
      </c>
      <c r="O393" s="180">
        <v>1.6308457924927</v>
      </c>
      <c r="P393" s="180">
        <v>1.45259098529974</v>
      </c>
      <c r="Q393" s="180">
        <v>-0.0109656966440226</v>
      </c>
      <c r="R393" s="180">
        <v>0.54635818403878</v>
      </c>
      <c r="S393" s="180">
        <v>0.0041279532411554</v>
      </c>
      <c r="T393" s="180">
        <v>0</v>
      </c>
      <c r="U393" s="180">
        <v>0</v>
      </c>
      <c r="V393" s="180">
        <v>0</v>
      </c>
      <c r="W393" s="180"/>
      <c r="X393" s="68"/>
      <c r="Y393" s="179"/>
      <c r="Z393" s="179"/>
      <c r="AA393" s="179"/>
      <c r="AB393" s="179"/>
      <c r="AC393" s="179"/>
      <c r="AD393" s="181"/>
      <c r="AE393" s="180"/>
    </row>
    <row r="394" ht="21.25" customHeight="1">
      <c r="A394" t="s" s="8">
        <v>716</v>
      </c>
      <c r="B394" t="s" s="177">
        <v>958</v>
      </c>
      <c r="C394" s="178">
        <v>26</v>
      </c>
      <c r="D394" t="s" s="177">
        <v>926</v>
      </c>
      <c r="E394" s="68">
        <v>75.6275</v>
      </c>
      <c r="F394" s="179">
        <v>13.5272951333841</v>
      </c>
      <c r="G394" s="180">
        <v>0.120709349494345</v>
      </c>
      <c r="H394" s="180">
        <v>0.214739376464573</v>
      </c>
      <c r="I394" s="180">
        <v>0.335448725958918</v>
      </c>
      <c r="J394" s="180">
        <v>1.19496313280672</v>
      </c>
      <c r="K394" s="180">
        <v>0.00261450206756172</v>
      </c>
      <c r="L394" s="180">
        <v>0.00699235002278765</v>
      </c>
      <c r="M394" s="180">
        <v>0.0221503544046388</v>
      </c>
      <c r="N394" s="180">
        <v>0.044833557924365</v>
      </c>
      <c r="O394" s="180">
        <v>0.479145782043843</v>
      </c>
      <c r="P394" s="180">
        <v>1.4798558021583</v>
      </c>
      <c r="Q394" s="180">
        <v>0.0160219548130706</v>
      </c>
      <c r="R394" s="180">
        <v>0.375644127668262</v>
      </c>
      <c r="S394" s="180">
        <v>0.0181529851443961</v>
      </c>
      <c r="T394" s="180">
        <v>0.19227097521231</v>
      </c>
      <c r="U394" s="180">
        <v>0.317432683221233</v>
      </c>
      <c r="V394" s="180">
        <v>0.377221100988779</v>
      </c>
      <c r="W394" s="180"/>
      <c r="X394" s="68"/>
      <c r="Y394" s="179"/>
      <c r="Z394" s="179"/>
      <c r="AA394" s="179"/>
      <c r="AB394" s="179"/>
      <c r="AC394" s="179"/>
      <c r="AD394" s="181"/>
      <c r="AE394" s="180"/>
    </row>
    <row r="395" ht="21.25" customHeight="1">
      <c r="A395" t="s" s="8">
        <v>779</v>
      </c>
      <c r="B395" t="s" s="177">
        <v>966</v>
      </c>
      <c r="C395" s="182">
        <v>23</v>
      </c>
      <c r="D395" t="s" s="177">
        <v>924</v>
      </c>
      <c r="E395" s="68">
        <v>67.45</v>
      </c>
      <c r="F395" s="179">
        <v>11.811131444221</v>
      </c>
      <c r="G395" s="180">
        <v>0.209647475150051</v>
      </c>
      <c r="H395" s="180">
        <v>0.125375295971037</v>
      </c>
      <c r="I395" s="180">
        <v>0.335022771121088</v>
      </c>
      <c r="J395" s="180">
        <v>1.2991146648272</v>
      </c>
      <c r="K395" s="180">
        <v>0.00309701667115094</v>
      </c>
      <c r="L395" s="180">
        <v>0.00795885202417459</v>
      </c>
      <c r="M395" s="180">
        <v>9.53476518105899e-05</v>
      </c>
      <c r="N395" s="180">
        <v>0.000177003511423585</v>
      </c>
      <c r="O395" s="180">
        <v>0.314665055894239</v>
      </c>
      <c r="P395" s="180">
        <v>2.4594601396597</v>
      </c>
      <c r="Q395" s="180">
        <v>0.0309957840637196</v>
      </c>
      <c r="R395" s="180">
        <v>0.301793970330954</v>
      </c>
      <c r="S395" s="180">
        <v>0.0342621176201254</v>
      </c>
      <c r="T395" s="180">
        <v>0.170120208187162</v>
      </c>
      <c r="U395" s="180">
        <v>0.227967686692329</v>
      </c>
      <c r="V395" s="180">
        <v>0.427343333910368</v>
      </c>
      <c r="W395" s="180"/>
      <c r="X395" s="68"/>
      <c r="Y395" s="179"/>
      <c r="Z395" s="179"/>
      <c r="AA395" s="179"/>
      <c r="AB395" s="179"/>
      <c r="AC395" s="179"/>
      <c r="AD395" s="181"/>
      <c r="AE395" s="180"/>
    </row>
    <row r="396" ht="21.25" customHeight="1">
      <c r="A396" t="s" s="8">
        <v>714</v>
      </c>
      <c r="B396" t="s" s="177">
        <v>954</v>
      </c>
      <c r="C396" s="178">
        <v>28</v>
      </c>
      <c r="D396" t="s" s="177">
        <v>925</v>
      </c>
      <c r="E396" s="68">
        <v>78.1925</v>
      </c>
      <c r="F396" s="179">
        <v>13.3718331331986</v>
      </c>
      <c r="G396" s="180">
        <v>0.144971494239295</v>
      </c>
      <c r="H396" s="180">
        <v>0.188521049477455</v>
      </c>
      <c r="I396" s="180">
        <v>0.33349254371675</v>
      </c>
      <c r="J396" s="180">
        <v>1.36404532559901</v>
      </c>
      <c r="K396" s="180">
        <v>0.000209017695706596</v>
      </c>
      <c r="L396" s="180">
        <v>0.000533228980557889</v>
      </c>
      <c r="M396" s="180">
        <v>0.0117834353994258</v>
      </c>
      <c r="N396" s="180">
        <v>0.0276926132549155</v>
      </c>
      <c r="O396" s="180">
        <v>0.405816753737323</v>
      </c>
      <c r="P396" s="180">
        <v>1.53154053896773</v>
      </c>
      <c r="Q396" s="180">
        <v>-0.0777229855058163</v>
      </c>
      <c r="R396" s="180">
        <v>0.179378327572024</v>
      </c>
      <c r="S396" s="180">
        <v>0.0155346937636266</v>
      </c>
      <c r="T396" s="180">
        <v>0.0616920379281411</v>
      </c>
      <c r="U396" s="180">
        <v>0.108687261915542</v>
      </c>
      <c r="V396" s="180">
        <v>0.36208646229173</v>
      </c>
      <c r="W396" s="180"/>
      <c r="X396" s="68"/>
      <c r="Y396" s="179"/>
      <c r="Z396" s="179"/>
      <c r="AA396" s="179"/>
      <c r="AB396" s="179"/>
      <c r="AC396" s="179"/>
      <c r="AD396" s="181"/>
      <c r="AE396" s="180"/>
    </row>
    <row r="397" ht="21.25" customHeight="1">
      <c r="A397" t="s" s="8">
        <v>724</v>
      </c>
      <c r="B397" t="s" s="177">
        <v>950</v>
      </c>
      <c r="C397" s="178">
        <v>30</v>
      </c>
      <c r="D397" t="s" s="177">
        <v>924</v>
      </c>
      <c r="E397" s="68">
        <v>81.47107142857141</v>
      </c>
      <c r="F397" s="179">
        <v>13.6422595058278</v>
      </c>
      <c r="G397" s="180">
        <v>0.117050252414092</v>
      </c>
      <c r="H397" s="180">
        <v>0.215327264464309</v>
      </c>
      <c r="I397" s="180">
        <v>0.332377516878401</v>
      </c>
      <c r="J397" s="180">
        <v>1.118742750860</v>
      </c>
      <c r="K397" s="180">
        <v>0.00253466924718238</v>
      </c>
      <c r="L397" s="180">
        <v>0.00458656897174798</v>
      </c>
      <c r="M397" s="180">
        <v>0.00441730284586015</v>
      </c>
      <c r="N397" s="180">
        <v>0.0174233215421866</v>
      </c>
      <c r="O397" s="180">
        <v>0.669325002899159</v>
      </c>
      <c r="P397" s="180">
        <v>1.41423126752621</v>
      </c>
      <c r="Q397" s="180">
        <v>0.0493040498502428</v>
      </c>
      <c r="R397" s="180">
        <v>0.626518859688448</v>
      </c>
      <c r="S397" s="180">
        <v>0.0199451444348254</v>
      </c>
      <c r="T397" s="180">
        <v>3.31458655071749</v>
      </c>
      <c r="U397" s="180">
        <v>3.58940458464712</v>
      </c>
      <c r="V397" s="180">
        <v>0.480097162022564</v>
      </c>
      <c r="W397" s="180"/>
      <c r="X397" s="68"/>
      <c r="Y397" s="179"/>
      <c r="Z397" s="179"/>
      <c r="AA397" s="179"/>
      <c r="AB397" s="179"/>
      <c r="AC397" s="179"/>
      <c r="AD397" s="181"/>
      <c r="AE397" s="180"/>
    </row>
    <row r="398" ht="21.25" customHeight="1">
      <c r="A398" t="s" s="8">
        <v>413</v>
      </c>
      <c r="B398" t="s" s="177">
        <v>946</v>
      </c>
      <c r="C398" s="178">
        <v>30</v>
      </c>
      <c r="D398" t="s" s="177">
        <v>927</v>
      </c>
      <c r="E398" s="68">
        <v>77.3</v>
      </c>
      <c r="F398" s="179">
        <v>22.5775077096037</v>
      </c>
      <c r="G398" s="180">
        <v>0.07689442777560671</v>
      </c>
      <c r="H398" s="180">
        <v>0.254067857292901</v>
      </c>
      <c r="I398" s="180">
        <v>0.330962285068509</v>
      </c>
      <c r="J398" s="180">
        <v>1.53875241616111</v>
      </c>
      <c r="K398" s="180">
        <v>0.00280095247564933</v>
      </c>
      <c r="L398" s="180">
        <v>0.0150927567648391</v>
      </c>
      <c r="M398" s="180">
        <v>0.000350638582652079</v>
      </c>
      <c r="N398" s="180">
        <v>0.020185272786301</v>
      </c>
      <c r="O398" s="180">
        <v>1.94799629293079</v>
      </c>
      <c r="P398" s="180">
        <v>0.8284398813123069</v>
      </c>
      <c r="Q398" s="180">
        <v>0.0404476420253032</v>
      </c>
      <c r="R398" s="180">
        <v>0.395351651755498</v>
      </c>
      <c r="S398" s="180">
        <v>0.0123474315867943</v>
      </c>
      <c r="T398" s="180">
        <v>0</v>
      </c>
      <c r="U398" s="180">
        <v>0</v>
      </c>
      <c r="V398" s="180">
        <v>0</v>
      </c>
      <c r="W398" s="180"/>
      <c r="X398" s="68"/>
      <c r="Y398" s="179"/>
      <c r="Z398" s="179"/>
      <c r="AA398" s="179"/>
      <c r="AB398" s="179"/>
      <c r="AC398" s="179"/>
      <c r="AD398" s="181"/>
      <c r="AE398" s="180"/>
    </row>
    <row r="399" ht="21.25" customHeight="1">
      <c r="A399" t="s" s="8">
        <v>638</v>
      </c>
      <c r="B399" t="s" s="177">
        <v>953</v>
      </c>
      <c r="C399" s="178">
        <v>38</v>
      </c>
      <c r="D399" t="s" s="177">
        <v>924</v>
      </c>
      <c r="E399" s="68">
        <v>80.3796428571429</v>
      </c>
      <c r="F399" s="179">
        <v>13.1988288162821</v>
      </c>
      <c r="G399" s="180">
        <v>0.143456718364943</v>
      </c>
      <c r="H399" s="180">
        <v>0.187192032041005</v>
      </c>
      <c r="I399" s="180">
        <v>0.330648750405948</v>
      </c>
      <c r="J399" s="180">
        <v>1.75041555360863</v>
      </c>
      <c r="K399" s="180">
        <v>0.0219933032959324</v>
      </c>
      <c r="L399" s="180">
        <v>0.0505461723078455</v>
      </c>
      <c r="M399" s="180">
        <v>0.00372499995095527</v>
      </c>
      <c r="N399" s="180">
        <v>0.00949925197599805</v>
      </c>
      <c r="O399" s="180">
        <v>0.595977306889357</v>
      </c>
      <c r="P399" s="180">
        <v>1.02282739555718</v>
      </c>
      <c r="Q399" s="180">
        <v>0.00089364266827678</v>
      </c>
      <c r="R399" s="180">
        <v>0.355484069930455</v>
      </c>
      <c r="S399" s="180">
        <v>0.0230276757930341</v>
      </c>
      <c r="T399" s="180">
        <v>5.96795386441037</v>
      </c>
      <c r="U399" s="180">
        <v>4.60794330087755</v>
      </c>
      <c r="V399" s="180">
        <v>0.564297645026118</v>
      </c>
      <c r="W399" s="180"/>
      <c r="X399" s="68"/>
      <c r="Y399" s="179"/>
      <c r="Z399" s="179"/>
      <c r="AA399" s="179"/>
      <c r="AB399" s="179"/>
      <c r="AC399" s="179"/>
      <c r="AD399" s="181"/>
      <c r="AE399" s="180"/>
    </row>
    <row r="400" ht="21.25" customHeight="1">
      <c r="A400" t="s" s="8">
        <v>595</v>
      </c>
      <c r="B400" t="s" s="177">
        <v>964</v>
      </c>
      <c r="C400" s="178">
        <v>26</v>
      </c>
      <c r="D400" t="s" s="177">
        <v>927</v>
      </c>
      <c r="E400" s="68">
        <v>52.4</v>
      </c>
      <c r="F400" s="179">
        <v>15.760745007622</v>
      </c>
      <c r="G400" s="180">
        <v>0.0856203900098373</v>
      </c>
      <c r="H400" s="180">
        <v>0.24441562785698</v>
      </c>
      <c r="I400" s="180">
        <v>0.330036017866818</v>
      </c>
      <c r="J400" s="180">
        <v>1.46065828148582</v>
      </c>
      <c r="K400" s="180">
        <v>0.007985690973425901</v>
      </c>
      <c r="L400" s="180">
        <v>0.0333868239137567</v>
      </c>
      <c r="M400" s="180">
        <v>0</v>
      </c>
      <c r="N400" s="180">
        <v>0</v>
      </c>
      <c r="O400" s="180">
        <v>1.00586172632474</v>
      </c>
      <c r="P400" s="180">
        <v>0.868767403259882</v>
      </c>
      <c r="Q400" s="180">
        <v>0.0448284046943743</v>
      </c>
      <c r="R400" s="180"/>
      <c r="S400" s="180">
        <v>0.0143070173401524</v>
      </c>
      <c r="T400" s="180">
        <v>0</v>
      </c>
      <c r="U400" s="180">
        <v>0</v>
      </c>
      <c r="V400" s="180">
        <v>0</v>
      </c>
      <c r="W400" s="180"/>
      <c r="X400" s="68"/>
      <c r="Y400" s="179"/>
      <c r="Z400" s="179"/>
      <c r="AA400" s="179"/>
      <c r="AB400" s="179"/>
      <c r="AC400" s="179"/>
      <c r="AD400" s="181"/>
      <c r="AE400" s="180"/>
    </row>
    <row r="401" ht="21.25" customHeight="1">
      <c r="A401" t="s" s="8">
        <v>391</v>
      </c>
      <c r="B401" t="s" s="177">
        <v>954</v>
      </c>
      <c r="C401" s="178">
        <v>26</v>
      </c>
      <c r="D401" t="s" s="177">
        <v>927</v>
      </c>
      <c r="E401" s="68">
        <v>81.61750000000001</v>
      </c>
      <c r="F401" s="179">
        <v>21.6247563504729</v>
      </c>
      <c r="G401" s="180">
        <v>0.08854739724672429</v>
      </c>
      <c r="H401" s="180">
        <v>0.240355458604538</v>
      </c>
      <c r="I401" s="180">
        <v>0.328902855851262</v>
      </c>
      <c r="J401" s="180">
        <v>1.50660272248645</v>
      </c>
      <c r="K401" s="180">
        <v>0.00244338869217112</v>
      </c>
      <c r="L401" s="180">
        <v>0.0349173552516711</v>
      </c>
      <c r="M401" s="180">
        <v>0.000299120802722187</v>
      </c>
      <c r="N401" s="180">
        <v>0.0204111267602005</v>
      </c>
      <c r="O401" s="180">
        <v>1.87342065406168</v>
      </c>
      <c r="P401" s="180">
        <v>1.13436706912644</v>
      </c>
      <c r="Q401" s="180">
        <v>-0.0824700677802649</v>
      </c>
      <c r="R401" s="180">
        <v>0.370060573809867</v>
      </c>
      <c r="S401" s="180">
        <v>0.009488463280398511</v>
      </c>
      <c r="T401" s="180">
        <v>0</v>
      </c>
      <c r="U401" s="180">
        <v>0</v>
      </c>
      <c r="V401" s="180">
        <v>0</v>
      </c>
      <c r="W401" s="180"/>
      <c r="X401" s="68"/>
      <c r="Y401" s="179"/>
      <c r="Z401" s="179"/>
      <c r="AA401" s="179"/>
      <c r="AB401" s="179"/>
      <c r="AC401" s="179"/>
      <c r="AD401" s="181"/>
      <c r="AE401" s="180"/>
    </row>
    <row r="402" ht="21.25" customHeight="1">
      <c r="A402" t="s" s="8">
        <v>705</v>
      </c>
      <c r="B402" t="s" s="177">
        <v>960</v>
      </c>
      <c r="C402" s="178">
        <v>28</v>
      </c>
      <c r="D402" t="s" s="177">
        <v>924</v>
      </c>
      <c r="E402" s="68">
        <v>77.8378571428571</v>
      </c>
      <c r="F402" s="179">
        <v>15.3935684739105</v>
      </c>
      <c r="G402" s="180">
        <v>0.110410602492714</v>
      </c>
      <c r="H402" s="180">
        <v>0.217987893661859</v>
      </c>
      <c r="I402" s="180">
        <v>0.328398496154573</v>
      </c>
      <c r="J402" s="180">
        <v>1.36059934049551</v>
      </c>
      <c r="K402" s="180">
        <v>0.00397855462311033</v>
      </c>
      <c r="L402" s="180">
        <v>0.00790179721015383</v>
      </c>
      <c r="M402" s="180">
        <v>0.00126401889112863</v>
      </c>
      <c r="N402" s="180">
        <v>0.0372459396331265</v>
      </c>
      <c r="O402" s="180">
        <v>0.933079701448213</v>
      </c>
      <c r="P402" s="180">
        <v>1.44119344946777</v>
      </c>
      <c r="Q402" s="180">
        <v>-0.10452192005243</v>
      </c>
      <c r="R402" s="180">
        <v>0.356017959513826</v>
      </c>
      <c r="S402" s="180">
        <v>0.0129380857520504</v>
      </c>
      <c r="T402" s="180">
        <v>4.000851169043</v>
      </c>
      <c r="U402" s="180">
        <v>4.6853623000926</v>
      </c>
      <c r="V402" s="180">
        <v>0.46059784084965</v>
      </c>
      <c r="W402" s="180"/>
      <c r="X402" s="68"/>
      <c r="Y402" s="179"/>
      <c r="Z402" s="179"/>
      <c r="AA402" s="179"/>
      <c r="AB402" s="179"/>
      <c r="AC402" s="179"/>
      <c r="AD402" s="181"/>
      <c r="AE402" s="180"/>
    </row>
    <row r="403" ht="21.25" customHeight="1">
      <c r="A403" t="s" s="8">
        <v>750</v>
      </c>
      <c r="B403" t="s" s="177">
        <v>973</v>
      </c>
      <c r="C403" s="178">
        <v>27</v>
      </c>
      <c r="D403" t="s" s="177">
        <v>924</v>
      </c>
      <c r="E403" s="68">
        <v>74.36714285714289</v>
      </c>
      <c r="F403" s="179">
        <v>13.5374809113221</v>
      </c>
      <c r="G403" s="180">
        <v>0.09105660473804091</v>
      </c>
      <c r="H403" s="180">
        <v>0.236711282937723</v>
      </c>
      <c r="I403" s="180">
        <v>0.327767887675765</v>
      </c>
      <c r="J403" s="180">
        <v>1.16705057432778</v>
      </c>
      <c r="K403" s="180">
        <v>0.00125461801599561</v>
      </c>
      <c r="L403" s="180">
        <v>0.00223457400455877</v>
      </c>
      <c r="M403" s="180">
        <v>0.00416894671691733</v>
      </c>
      <c r="N403" s="180">
        <v>0.0305147611493266</v>
      </c>
      <c r="O403" s="180">
        <v>0.616733094004138</v>
      </c>
      <c r="P403" s="180">
        <v>0.816213345915985</v>
      </c>
      <c r="Q403" s="180">
        <v>-0.0877845526150933</v>
      </c>
      <c r="R403" s="180">
        <v>0.377609955161906</v>
      </c>
      <c r="S403" s="180">
        <v>0.009328031136145481</v>
      </c>
      <c r="T403" s="180">
        <v>5.6201187712396</v>
      </c>
      <c r="U403" s="180">
        <v>5.46756565054021</v>
      </c>
      <c r="V403" s="180">
        <v>0.506879394961843</v>
      </c>
      <c r="W403" s="180"/>
      <c r="X403" s="68"/>
      <c r="Y403" s="179"/>
      <c r="Z403" s="179"/>
      <c r="AA403" s="179"/>
      <c r="AB403" s="179"/>
      <c r="AC403" s="179"/>
      <c r="AD403" s="181"/>
      <c r="AE403" s="180"/>
    </row>
    <row r="404" ht="21.25" customHeight="1">
      <c r="A404" t="s" s="8">
        <v>703</v>
      </c>
      <c r="B404" t="s" s="177">
        <v>965</v>
      </c>
      <c r="C404" s="178">
        <v>28</v>
      </c>
      <c r="D404" t="s" s="177">
        <v>924</v>
      </c>
      <c r="E404" s="68">
        <v>78.6314285714286</v>
      </c>
      <c r="F404" s="179">
        <v>13.6153605837417</v>
      </c>
      <c r="G404" s="180">
        <v>0.166194633031454</v>
      </c>
      <c r="H404" s="180">
        <v>0.161126699179161</v>
      </c>
      <c r="I404" s="180">
        <v>0.327321332210615</v>
      </c>
      <c r="J404" s="180">
        <v>1.50895024822833</v>
      </c>
      <c r="K404" s="180">
        <v>0.00325069467766657</v>
      </c>
      <c r="L404" s="180">
        <v>0.0076360535967251</v>
      </c>
      <c r="M404" s="180">
        <v>0.012656210515493</v>
      </c>
      <c r="N404" s="180">
        <v>0.0140197176772951</v>
      </c>
      <c r="O404" s="180">
        <v>0.5479108567262509</v>
      </c>
      <c r="P404" s="180">
        <v>1.3323798217393</v>
      </c>
      <c r="Q404" s="180">
        <v>-0.00395564059861876</v>
      </c>
      <c r="R404" s="180">
        <v>0.299138561258462</v>
      </c>
      <c r="S404" s="180">
        <v>0.0206340200451341</v>
      </c>
      <c r="T404" s="180">
        <v>5.48575736513893</v>
      </c>
      <c r="U404" s="180">
        <v>4.64832328218961</v>
      </c>
      <c r="V404" s="180">
        <v>0.541317713569315</v>
      </c>
      <c r="W404" s="180"/>
      <c r="X404" s="68"/>
      <c r="Y404" s="179"/>
      <c r="Z404" s="179"/>
      <c r="AA404" s="179"/>
      <c r="AB404" s="179"/>
      <c r="AC404" s="179"/>
      <c r="AD404" s="181"/>
      <c r="AE404" s="180"/>
    </row>
    <row r="405" ht="21.25" customHeight="1">
      <c r="A405" t="s" s="8">
        <v>738</v>
      </c>
      <c r="B405" t="s" s="177">
        <v>945</v>
      </c>
      <c r="C405" s="182">
        <v>28</v>
      </c>
      <c r="D405" t="s" s="177">
        <v>924</v>
      </c>
      <c r="E405" s="68">
        <v>73.1035714285714</v>
      </c>
      <c r="F405" s="179">
        <v>13.7581917839745</v>
      </c>
      <c r="G405" s="180">
        <v>0.135153271934779</v>
      </c>
      <c r="H405" s="180">
        <v>0.191320820343988</v>
      </c>
      <c r="I405" s="180">
        <v>0.326474092278767</v>
      </c>
      <c r="J405" s="180">
        <v>1.4122705791596</v>
      </c>
      <c r="K405" s="180">
        <v>0.00221860567376528</v>
      </c>
      <c r="L405" s="180">
        <v>0.00567251468649966</v>
      </c>
      <c r="M405" s="180">
        <v>0.03490587095774</v>
      </c>
      <c r="N405" s="180">
        <v>0.0453272395023377</v>
      </c>
      <c r="O405" s="180">
        <v>0.475408240115688</v>
      </c>
      <c r="P405" s="180">
        <v>1.82690558717945</v>
      </c>
      <c r="Q405" s="180">
        <v>0.0262126435257345</v>
      </c>
      <c r="R405" s="180">
        <v>0.530156536016465</v>
      </c>
      <c r="S405" s="180">
        <v>0.0217123372131272</v>
      </c>
      <c r="T405" s="180">
        <v>2.95845890766884</v>
      </c>
      <c r="U405" s="180">
        <v>3.22666421625027</v>
      </c>
      <c r="V405" s="180">
        <v>0.478318514990896</v>
      </c>
      <c r="W405" s="180"/>
      <c r="X405" s="68"/>
      <c r="Y405" s="179"/>
      <c r="Z405" s="179"/>
      <c r="AA405" s="179"/>
      <c r="AB405" s="179"/>
      <c r="AC405" s="179"/>
      <c r="AD405" s="181"/>
      <c r="AE405" s="180"/>
    </row>
    <row r="406" ht="21.25" customHeight="1">
      <c r="A406" t="s" s="8">
        <v>431</v>
      </c>
      <c r="B406" t="s" s="177">
        <v>942</v>
      </c>
      <c r="C406" s="178">
        <v>25</v>
      </c>
      <c r="D406" t="s" s="177">
        <v>927</v>
      </c>
      <c r="E406" s="68">
        <v>78.2</v>
      </c>
      <c r="F406" s="179">
        <v>17.1333307564481</v>
      </c>
      <c r="G406" s="180">
        <v>0.0791935705149313</v>
      </c>
      <c r="H406" s="180">
        <v>0.247130663856648</v>
      </c>
      <c r="I406" s="180">
        <v>0.326324234371579</v>
      </c>
      <c r="J406" s="180">
        <v>1.69717229747852</v>
      </c>
      <c r="K406" s="180">
        <v>0.000291512828232794</v>
      </c>
      <c r="L406" s="180">
        <v>0.00197423021476815</v>
      </c>
      <c r="M406" s="180">
        <v>6.822370387963381e-05</v>
      </c>
      <c r="N406" s="180">
        <v>0.000252527948215399</v>
      </c>
      <c r="O406" s="180">
        <v>1.13995057551925</v>
      </c>
      <c r="P406" s="180">
        <v>1.24309971848268</v>
      </c>
      <c r="Q406" s="180">
        <v>0.00593802046555541</v>
      </c>
      <c r="R406" s="180">
        <v>0.381552601740993</v>
      </c>
      <c r="S406" s="180">
        <v>0.0123938225527007</v>
      </c>
      <c r="T406" s="180">
        <v>0</v>
      </c>
      <c r="U406" s="180">
        <v>0</v>
      </c>
      <c r="V406" s="180">
        <v>0</v>
      </c>
      <c r="W406" s="180"/>
      <c r="X406" s="68"/>
      <c r="Y406" s="179"/>
      <c r="Z406" s="179"/>
      <c r="AA406" s="179"/>
      <c r="AB406" s="179"/>
      <c r="AC406" s="179"/>
      <c r="AD406" s="181"/>
      <c r="AE406" s="180"/>
    </row>
    <row r="407" ht="21.25" customHeight="1">
      <c r="A407" t="s" s="8">
        <v>464</v>
      </c>
      <c r="B407" t="s" s="177">
        <v>945</v>
      </c>
      <c r="C407" s="182">
        <v>24</v>
      </c>
      <c r="D407" t="s" s="177">
        <v>927</v>
      </c>
      <c r="E407" s="68">
        <v>74.68000000000001</v>
      </c>
      <c r="F407" s="179">
        <v>18.9095921721681</v>
      </c>
      <c r="G407" s="180">
        <v>0.0861983111635909</v>
      </c>
      <c r="H407" s="180">
        <v>0.238613724070551</v>
      </c>
      <c r="I407" s="180">
        <v>0.324812035234143</v>
      </c>
      <c r="J407" s="180">
        <v>1.34198383247366</v>
      </c>
      <c r="K407" s="180">
        <v>0.00290233529437312</v>
      </c>
      <c r="L407" s="180">
        <v>0.013099866082284</v>
      </c>
      <c r="M407" s="180">
        <v>0.00988119132567079</v>
      </c>
      <c r="N407" s="180">
        <v>0.0211509924534072</v>
      </c>
      <c r="O407" s="180">
        <v>1.41595788203006</v>
      </c>
      <c r="P407" s="180">
        <v>1.64461441102671</v>
      </c>
      <c r="Q407" s="180">
        <v>0.09270302911509461</v>
      </c>
      <c r="R407" s="180">
        <v>0.419085819114462</v>
      </c>
      <c r="S407" s="180">
        <v>0.0138477357772671</v>
      </c>
      <c r="T407" s="180">
        <v>0</v>
      </c>
      <c r="U407" s="180">
        <v>0</v>
      </c>
      <c r="V407" s="180">
        <v>0</v>
      </c>
      <c r="W407" s="180"/>
      <c r="X407" s="68"/>
      <c r="Y407" s="179"/>
      <c r="Z407" s="179"/>
      <c r="AA407" s="179"/>
      <c r="AB407" s="179"/>
      <c r="AC407" s="179"/>
      <c r="AD407" s="181"/>
      <c r="AE407" s="180"/>
    </row>
    <row r="408" ht="21.25" customHeight="1">
      <c r="A408" t="s" s="8">
        <v>683</v>
      </c>
      <c r="B408" t="s" s="177">
        <v>968</v>
      </c>
      <c r="C408" s="178">
        <v>26</v>
      </c>
      <c r="D408" t="s" s="177">
        <v>924</v>
      </c>
      <c r="E408" s="68">
        <v>79.2567857142857</v>
      </c>
      <c r="F408" s="179">
        <v>14.7728215239943</v>
      </c>
      <c r="G408" s="180">
        <v>0.177261922233611</v>
      </c>
      <c r="H408" s="180">
        <v>0.147099855339238</v>
      </c>
      <c r="I408" s="180">
        <v>0.324361777572849</v>
      </c>
      <c r="J408" s="180">
        <v>1.73291567961617</v>
      </c>
      <c r="K408" s="180">
        <v>0.00236335253265674</v>
      </c>
      <c r="L408" s="180">
        <v>0.0109733215149049</v>
      </c>
      <c r="M408" s="180">
        <v>0.0164733372991212</v>
      </c>
      <c r="N408" s="180">
        <v>0.0180370685844657</v>
      </c>
      <c r="O408" s="180">
        <v>0.417237650201246</v>
      </c>
      <c r="P408" s="180">
        <v>2.07448315777167</v>
      </c>
      <c r="Q408" s="180">
        <v>-0.0261735360912016</v>
      </c>
      <c r="R408" s="180">
        <v>0.499228789976433</v>
      </c>
      <c r="S408" s="180">
        <v>0.0258848767681257</v>
      </c>
      <c r="T408" s="180">
        <v>0.161964389843207</v>
      </c>
      <c r="U408" s="180">
        <v>0.283455568513182</v>
      </c>
      <c r="V408" s="180">
        <v>0.363621761451508</v>
      </c>
      <c r="W408" s="180"/>
      <c r="X408" s="68"/>
      <c r="Y408" s="179"/>
      <c r="Z408" s="179"/>
      <c r="AA408" s="179"/>
      <c r="AB408" s="179"/>
      <c r="AC408" s="179"/>
      <c r="AD408" s="181"/>
      <c r="AE408" s="180"/>
    </row>
    <row r="409" ht="21.25" customHeight="1">
      <c r="A409" t="s" s="8">
        <v>436</v>
      </c>
      <c r="B409" t="s" s="177">
        <v>961</v>
      </c>
      <c r="C409" s="178">
        <v>32</v>
      </c>
      <c r="D409" t="s" s="177">
        <v>927</v>
      </c>
      <c r="E409" s="68">
        <v>79.55</v>
      </c>
      <c r="F409" s="179">
        <v>20.7781347995496</v>
      </c>
      <c r="G409" s="180">
        <v>0.0602546361955783</v>
      </c>
      <c r="H409" s="180">
        <v>0.261293589354302</v>
      </c>
      <c r="I409" s="180">
        <v>0.32154822554988</v>
      </c>
      <c r="J409" s="180">
        <v>1.38076840652382</v>
      </c>
      <c r="K409" s="180">
        <v>0.000173324265447907</v>
      </c>
      <c r="L409" s="180">
        <v>0.00122388132646328</v>
      </c>
      <c r="M409" s="180">
        <v>0.000294285936414348</v>
      </c>
      <c r="N409" s="180">
        <v>0.00771181579553976</v>
      </c>
      <c r="O409" s="180">
        <v>1.61323688067638</v>
      </c>
      <c r="P409" s="180">
        <v>1.54763194069994</v>
      </c>
      <c r="Q409" s="180">
        <v>-0.025140746263802</v>
      </c>
      <c r="R409" s="180">
        <v>0.307625883009733</v>
      </c>
      <c r="S409" s="180">
        <v>0.00741167495256577</v>
      </c>
      <c r="T409" s="180">
        <v>0</v>
      </c>
      <c r="U409" s="180">
        <v>0</v>
      </c>
      <c r="V409" s="180">
        <v>0</v>
      </c>
      <c r="W409" s="180"/>
      <c r="X409" s="68"/>
      <c r="Y409" s="179"/>
      <c r="Z409" s="179"/>
      <c r="AA409" s="179"/>
      <c r="AB409" s="179"/>
      <c r="AC409" s="179"/>
      <c r="AD409" s="181"/>
      <c r="AE409" s="180"/>
    </row>
    <row r="410" ht="21.25" customHeight="1">
      <c r="A410" t="s" s="8">
        <v>765</v>
      </c>
      <c r="B410" t="s" s="177">
        <v>957</v>
      </c>
      <c r="C410" s="178">
        <v>23</v>
      </c>
      <c r="D410" t="s" s="177">
        <v>924</v>
      </c>
      <c r="E410" s="68">
        <v>77</v>
      </c>
      <c r="F410" s="179">
        <v>13.0415059605106</v>
      </c>
      <c r="G410" s="180">
        <v>0.151617604577698</v>
      </c>
      <c r="H410" s="180">
        <v>0.169108922967084</v>
      </c>
      <c r="I410" s="180">
        <v>0.320726527544782</v>
      </c>
      <c r="J410" s="180">
        <v>0.980003355221185</v>
      </c>
      <c r="K410" s="180">
        <v>0.00140535651844254</v>
      </c>
      <c r="L410" s="180">
        <v>0.00507795436949801</v>
      </c>
      <c r="M410" s="180">
        <v>0.00257258522815912</v>
      </c>
      <c r="N410" s="180">
        <v>0.00442177823689301</v>
      </c>
      <c r="O410" s="180">
        <v>0.559714743530879</v>
      </c>
      <c r="P410" s="180">
        <v>3.04237637190501</v>
      </c>
      <c r="Q410" s="180">
        <v>-0.0610033032558515</v>
      </c>
      <c r="R410" s="180">
        <v>0.595102182385672</v>
      </c>
      <c r="S410" s="180">
        <v>0.0191336258786638</v>
      </c>
      <c r="T410" s="180">
        <v>4.11856430816263</v>
      </c>
      <c r="U410" s="180">
        <v>5.43477608999328</v>
      </c>
      <c r="V410" s="180">
        <v>0.431112483855138</v>
      </c>
      <c r="W410" s="180"/>
      <c r="X410" s="68"/>
      <c r="Y410" s="179"/>
      <c r="Z410" s="179"/>
      <c r="AA410" s="179"/>
      <c r="AB410" s="179"/>
      <c r="AC410" s="179"/>
      <c r="AD410" s="181"/>
      <c r="AE410" s="180"/>
    </row>
    <row r="411" ht="21.25" customHeight="1">
      <c r="A411" t="s" s="8">
        <v>691</v>
      </c>
      <c r="B411" t="s" s="177">
        <v>974</v>
      </c>
      <c r="C411" s="178">
        <v>23</v>
      </c>
      <c r="D411" t="s" s="177">
        <v>926</v>
      </c>
      <c r="E411" s="68">
        <v>70.675</v>
      </c>
      <c r="F411" s="179">
        <v>13.4138340576111</v>
      </c>
      <c r="G411" s="180">
        <v>0.126410731182676</v>
      </c>
      <c r="H411" s="180">
        <v>0.191941061406576</v>
      </c>
      <c r="I411" s="180">
        <v>0.318351792589251</v>
      </c>
      <c r="J411" s="180">
        <v>1.6560719150459</v>
      </c>
      <c r="K411" s="180">
        <v>0.0189452105708733</v>
      </c>
      <c r="L411" s="180">
        <v>0.040143607558031</v>
      </c>
      <c r="M411" s="180">
        <v>0.000367954108500135</v>
      </c>
      <c r="N411" s="180">
        <v>0.000668722839030665</v>
      </c>
      <c r="O411" s="180">
        <v>0.46553529634771</v>
      </c>
      <c r="P411" s="180">
        <v>0.854993793514272</v>
      </c>
      <c r="Q411" s="180">
        <v>-0.00294134963173556</v>
      </c>
      <c r="R411" s="180">
        <v>0.191784182546962</v>
      </c>
      <c r="S411" s="180"/>
      <c r="T411" s="180">
        <v>0.0799668297683962</v>
      </c>
      <c r="U411" s="180">
        <v>0.112111758136066</v>
      </c>
      <c r="V411" s="180">
        <v>0.416323498838772</v>
      </c>
      <c r="W411" s="180"/>
      <c r="X411" s="68"/>
      <c r="Y411" s="179"/>
      <c r="Z411" s="179"/>
      <c r="AA411" s="179"/>
      <c r="AB411" s="179"/>
      <c r="AC411" s="179"/>
      <c r="AD411" s="181"/>
      <c r="AE411" s="180"/>
    </row>
    <row r="412" ht="21.25" customHeight="1">
      <c r="A412" t="s" s="8">
        <v>380</v>
      </c>
      <c r="B412" t="s" s="177">
        <v>949</v>
      </c>
      <c r="C412" s="178">
        <v>34</v>
      </c>
      <c r="D412" t="s" s="177">
        <v>927</v>
      </c>
      <c r="E412" s="68">
        <v>80.64107142857139</v>
      </c>
      <c r="F412" s="179">
        <v>17.5353695124035</v>
      </c>
      <c r="G412" s="180">
        <v>0.0558607842480221</v>
      </c>
      <c r="H412" s="180">
        <v>0.262285831561761</v>
      </c>
      <c r="I412" s="180">
        <v>0.318146615809783</v>
      </c>
      <c r="J412" s="180">
        <v>1.69983920801493</v>
      </c>
      <c r="K412" s="180">
        <v>0.0126725694989007</v>
      </c>
      <c r="L412" s="180">
        <v>0.118770011278276</v>
      </c>
      <c r="M412" s="180">
        <v>0.000114718179298184</v>
      </c>
      <c r="N412" s="180">
        <v>0.000451555020802377</v>
      </c>
      <c r="O412" s="180">
        <v>1.27199057471366</v>
      </c>
      <c r="P412" s="180">
        <v>0.999330460368315</v>
      </c>
      <c r="Q412" s="180">
        <v>0.0290163567859323</v>
      </c>
      <c r="R412" s="180">
        <v>0.454440114448098</v>
      </c>
      <c r="S412" s="180">
        <v>0.009377926369620071</v>
      </c>
      <c r="T412" s="180">
        <v>0</v>
      </c>
      <c r="U412" s="180">
        <v>0.00176384303710702</v>
      </c>
      <c r="V412" s="180">
        <v>0</v>
      </c>
      <c r="W412" s="180"/>
      <c r="X412" s="68"/>
      <c r="Y412" s="179"/>
      <c r="Z412" s="179"/>
      <c r="AA412" s="179"/>
      <c r="AB412" s="179"/>
      <c r="AC412" s="179"/>
      <c r="AD412" s="181"/>
      <c r="AE412" s="180"/>
    </row>
    <row r="413" ht="21.25" customHeight="1">
      <c r="A413" t="s" s="8">
        <v>462</v>
      </c>
      <c r="B413" t="s" s="177">
        <v>949</v>
      </c>
      <c r="C413" s="178">
        <v>29</v>
      </c>
      <c r="D413" t="s" s="177">
        <v>927</v>
      </c>
      <c r="E413" s="68">
        <v>76.7678571428571</v>
      </c>
      <c r="F413" s="179">
        <v>17.3033809175813</v>
      </c>
      <c r="G413" s="180">
        <v>0.0600039213861634</v>
      </c>
      <c r="H413" s="180">
        <v>0.256714819688751</v>
      </c>
      <c r="I413" s="180">
        <v>0.316718741074915</v>
      </c>
      <c r="J413" s="180">
        <v>1.41265165318556</v>
      </c>
      <c r="K413" s="180">
        <v>0.00203231503786183</v>
      </c>
      <c r="L413" s="180">
        <v>0.0232112628731612</v>
      </c>
      <c r="M413" s="180">
        <v>0.000132643219097321</v>
      </c>
      <c r="N413" s="180">
        <v>0.000500684749876634</v>
      </c>
      <c r="O413" s="180">
        <v>1.09495193058127</v>
      </c>
      <c r="P413" s="180">
        <v>0.797790185620645</v>
      </c>
      <c r="Q413" s="180">
        <v>0.0909264791704934</v>
      </c>
      <c r="R413" s="180">
        <v>0.382635786906666</v>
      </c>
      <c r="S413" s="180">
        <v>0.0100734775607422</v>
      </c>
      <c r="T413" s="180">
        <v>0</v>
      </c>
      <c r="U413" s="180">
        <v>0</v>
      </c>
      <c r="V413" s="180">
        <v>0</v>
      </c>
      <c r="W413" s="180"/>
      <c r="X413" s="68"/>
      <c r="Y413" s="179"/>
      <c r="Z413" s="179"/>
      <c r="AA413" s="179"/>
      <c r="AB413" s="179"/>
      <c r="AC413" s="179"/>
      <c r="AD413" s="181"/>
      <c r="AE413" s="180"/>
    </row>
    <row r="414" ht="21.25" customHeight="1">
      <c r="A414" t="s" s="8">
        <v>769</v>
      </c>
      <c r="B414" t="s" s="177">
        <v>967</v>
      </c>
      <c r="C414" s="178">
        <v>23</v>
      </c>
      <c r="D414" t="s" s="177">
        <v>924</v>
      </c>
      <c r="E414" s="68">
        <v>73.8</v>
      </c>
      <c r="F414" s="179">
        <v>14.3119135291102</v>
      </c>
      <c r="G414" s="180">
        <v>0.142428999906476</v>
      </c>
      <c r="H414" s="180">
        <v>0.174085908739385</v>
      </c>
      <c r="I414" s="180">
        <v>0.316514908645861</v>
      </c>
      <c r="J414" s="180">
        <v>1.06172523366041</v>
      </c>
      <c r="K414" s="180">
        <v>0.0021448791099181</v>
      </c>
      <c r="L414" s="180">
        <v>0.00543545314742879</v>
      </c>
      <c r="M414" s="180">
        <v>0.0159343296640927</v>
      </c>
      <c r="N414" s="180">
        <v>0.0174939446180329</v>
      </c>
      <c r="O414" s="180">
        <v>0.654233699373768</v>
      </c>
      <c r="P414" s="180">
        <v>0.522811294323473</v>
      </c>
      <c r="Q414" s="180">
        <v>-0.115359014547571</v>
      </c>
      <c r="R414" s="180">
        <v>0.159590486222761</v>
      </c>
      <c r="S414" s="180">
        <v>0.0136536748739084</v>
      </c>
      <c r="T414" s="180">
        <v>4.53927861862435</v>
      </c>
      <c r="U414" s="180">
        <v>5.2998623874165</v>
      </c>
      <c r="V414" s="180">
        <v>0.461349076696575</v>
      </c>
      <c r="W414" s="180"/>
      <c r="X414" s="68"/>
      <c r="Y414" s="179"/>
      <c r="Z414" s="179"/>
      <c r="AA414" s="179"/>
      <c r="AB414" s="179"/>
      <c r="AC414" s="179"/>
      <c r="AD414" s="181"/>
      <c r="AE414" s="180"/>
    </row>
    <row r="415" ht="21.25" customHeight="1">
      <c r="A415" t="s" s="8">
        <v>723</v>
      </c>
      <c r="B415" t="s" s="177">
        <v>970</v>
      </c>
      <c r="C415" s="178">
        <v>25</v>
      </c>
      <c r="D415" t="s" s="177">
        <v>926</v>
      </c>
      <c r="E415" s="68">
        <v>66.2</v>
      </c>
      <c r="F415" s="179">
        <v>12.9229472122967</v>
      </c>
      <c r="G415" s="180">
        <v>0.163860248029657</v>
      </c>
      <c r="H415" s="180">
        <v>0.151933558911618</v>
      </c>
      <c r="I415" s="180">
        <v>0.315793806941276</v>
      </c>
      <c r="J415" s="180">
        <v>1.5104888417428</v>
      </c>
      <c r="K415" s="180">
        <v>0.00471827441484999</v>
      </c>
      <c r="L415" s="180">
        <v>0.0101509539791352</v>
      </c>
      <c r="M415" s="180">
        <v>8.42476595695904e-05</v>
      </c>
      <c r="N415" s="180">
        <v>0.000155544206761905</v>
      </c>
      <c r="O415" s="180">
        <v>0.8967674243107</v>
      </c>
      <c r="P415" s="180">
        <v>2.6733559432925</v>
      </c>
      <c r="Q415" s="180">
        <v>-0.0676045874283016</v>
      </c>
      <c r="R415" s="180">
        <v>0.37979025593284</v>
      </c>
      <c r="S415" s="180">
        <v>0.0192610581189207</v>
      </c>
      <c r="T415" s="180">
        <v>0.0143398316468552</v>
      </c>
      <c r="U415" s="180">
        <v>0.08429922641345269</v>
      </c>
      <c r="V415" s="180">
        <v>0.145376810452588</v>
      </c>
      <c r="W415" s="180"/>
      <c r="X415" s="68"/>
      <c r="Y415" s="179"/>
      <c r="Z415" s="179"/>
      <c r="AA415" s="179"/>
      <c r="AB415" s="179"/>
      <c r="AC415" s="179"/>
      <c r="AD415" s="181"/>
      <c r="AE415" s="180"/>
    </row>
    <row r="416" ht="21.25" customHeight="1">
      <c r="A416" t="s" s="8">
        <v>452</v>
      </c>
      <c r="B416" t="s" s="177">
        <v>953</v>
      </c>
      <c r="C416" s="182">
        <v>27</v>
      </c>
      <c r="D416" t="s" s="177">
        <v>927</v>
      </c>
      <c r="E416" s="68">
        <v>76.85214285714289</v>
      </c>
      <c r="F416" s="179">
        <v>19.8970844291745</v>
      </c>
      <c r="G416" s="180">
        <v>0.0361879185767202</v>
      </c>
      <c r="H416" s="180">
        <v>0.279366668851552</v>
      </c>
      <c r="I416" s="180">
        <v>0.315554587428273</v>
      </c>
      <c r="J416" s="180">
        <v>1.36555901146184</v>
      </c>
      <c r="K416" s="180">
        <v>0.000431932416965871</v>
      </c>
      <c r="L416" s="180">
        <v>0.00293041394427761</v>
      </c>
      <c r="M416" s="180">
        <v>0.000515854081466323</v>
      </c>
      <c r="N416" s="180">
        <v>0.00272734780080767</v>
      </c>
      <c r="O416" s="180">
        <v>1.72328860688184</v>
      </c>
      <c r="P416" s="180">
        <v>1.84274587258671</v>
      </c>
      <c r="Q416" s="180">
        <v>0.0376749392525299</v>
      </c>
      <c r="R416" s="180">
        <v>0.631864310815752</v>
      </c>
      <c r="S416" s="180">
        <v>0.00580888553779351</v>
      </c>
      <c r="T416" s="180">
        <v>0</v>
      </c>
      <c r="U416" s="180">
        <v>0</v>
      </c>
      <c r="V416" s="180">
        <v>0</v>
      </c>
      <c r="W416" s="180"/>
      <c r="X416" s="68"/>
      <c r="Y416" s="179"/>
      <c r="Z416" s="179"/>
      <c r="AA416" s="179"/>
      <c r="AB416" s="179"/>
      <c r="AC416" s="179"/>
      <c r="AD416" s="181"/>
      <c r="AE416" s="180"/>
    </row>
    <row r="417" ht="21.25" customHeight="1">
      <c r="A417" t="s" s="8">
        <v>437</v>
      </c>
      <c r="B417" t="s" s="177">
        <v>974</v>
      </c>
      <c r="C417" s="178">
        <v>29</v>
      </c>
      <c r="D417" t="s" s="177">
        <v>927</v>
      </c>
      <c r="E417" s="68">
        <v>77.3278571428571</v>
      </c>
      <c r="F417" s="179">
        <v>21.6868044566707</v>
      </c>
      <c r="G417" s="180">
        <v>0.08354044851803891</v>
      </c>
      <c r="H417" s="180">
        <v>0.231400881995335</v>
      </c>
      <c r="I417" s="180">
        <v>0.314941330513374</v>
      </c>
      <c r="J417" s="180">
        <v>1.4919938822405</v>
      </c>
      <c r="K417" s="180">
        <v>0.00418596189240545</v>
      </c>
      <c r="L417" s="180">
        <v>0.022830212375934</v>
      </c>
      <c r="M417" s="180">
        <v>0.000387651122838201</v>
      </c>
      <c r="N417" s="180">
        <v>0.00150221994660466</v>
      </c>
      <c r="O417" s="180">
        <v>1.48685646298724</v>
      </c>
      <c r="P417" s="180">
        <v>1.40289085171355</v>
      </c>
      <c r="Q417" s="180">
        <v>-0.0418277097034379</v>
      </c>
      <c r="R417" s="180">
        <v>0.755438345594827</v>
      </c>
      <c r="S417" s="180"/>
      <c r="T417" s="180">
        <v>0</v>
      </c>
      <c r="U417" s="180">
        <v>0</v>
      </c>
      <c r="V417" s="180">
        <v>0</v>
      </c>
      <c r="W417" s="180"/>
      <c r="X417" s="68"/>
      <c r="Y417" s="179"/>
      <c r="Z417" s="179"/>
      <c r="AA417" s="179"/>
      <c r="AB417" s="179"/>
      <c r="AC417" s="179"/>
      <c r="AD417" s="181"/>
      <c r="AE417" s="180"/>
    </row>
    <row r="418" ht="21.25" customHeight="1">
      <c r="A418" t="s" s="8">
        <v>731</v>
      </c>
      <c r="B418" t="s" s="177">
        <v>954</v>
      </c>
      <c r="C418" s="178">
        <v>24</v>
      </c>
      <c r="D418" t="s" s="177">
        <v>926</v>
      </c>
      <c r="E418" s="68">
        <v>68.31</v>
      </c>
      <c r="F418" s="179">
        <v>11.274184679878</v>
      </c>
      <c r="G418" s="180">
        <v>0.120766209492344</v>
      </c>
      <c r="H418" s="180">
        <v>0.19346348282523</v>
      </c>
      <c r="I418" s="180">
        <v>0.314229692317574</v>
      </c>
      <c r="J418" s="180">
        <v>1.40353107484895</v>
      </c>
      <c r="K418" s="180">
        <v>0.0133896696466466</v>
      </c>
      <c r="L418" s="180">
        <v>0.0272908663929173</v>
      </c>
      <c r="M418" s="180">
        <v>0</v>
      </c>
      <c r="N418" s="180">
        <v>0</v>
      </c>
      <c r="O418" s="180">
        <v>0.34787128771119</v>
      </c>
      <c r="P418" s="180">
        <v>0.706568122023093</v>
      </c>
      <c r="Q418" s="180">
        <v>-0.0616538905976794</v>
      </c>
      <c r="R418" s="180">
        <v>0.153592212569577</v>
      </c>
      <c r="S418" s="180">
        <v>0.0129409308450724</v>
      </c>
      <c r="T418" s="180">
        <v>0.09593674319007151</v>
      </c>
      <c r="U418" s="180">
        <v>0.152843222714302</v>
      </c>
      <c r="V418" s="180">
        <v>0.385628894357786</v>
      </c>
      <c r="W418" s="180"/>
      <c r="X418" s="68"/>
      <c r="Y418" s="179"/>
      <c r="Z418" s="179"/>
      <c r="AA418" s="179"/>
      <c r="AB418" s="179"/>
      <c r="AC418" s="179"/>
      <c r="AD418" s="181"/>
      <c r="AE418" s="180"/>
    </row>
    <row r="419" ht="21.25" customHeight="1">
      <c r="A419" t="s" s="8">
        <v>407</v>
      </c>
      <c r="B419" t="s" s="177">
        <v>971</v>
      </c>
      <c r="C419" s="178">
        <v>28</v>
      </c>
      <c r="D419" t="s" s="177">
        <v>927</v>
      </c>
      <c r="E419" s="68">
        <v>78.455</v>
      </c>
      <c r="F419" s="179">
        <v>20.7729202971418</v>
      </c>
      <c r="G419" s="180">
        <v>0.0599551848008563</v>
      </c>
      <c r="H419" s="180">
        <v>0.253973873088635</v>
      </c>
      <c r="I419" s="180">
        <v>0.313929057889491</v>
      </c>
      <c r="J419" s="180">
        <v>1.66230609923413</v>
      </c>
      <c r="K419" s="180">
        <v>0.00921548471609448</v>
      </c>
      <c r="L419" s="180">
        <v>0.0408937562742398</v>
      </c>
      <c r="M419" s="180">
        <v>0.000408142177064266</v>
      </c>
      <c r="N419" s="180">
        <v>0.00518435424460039</v>
      </c>
      <c r="O419" s="180">
        <v>1.7164461024587</v>
      </c>
      <c r="P419" s="180">
        <v>1.65730670980171</v>
      </c>
      <c r="Q419" s="180">
        <v>0.0137983693486923</v>
      </c>
      <c r="R419" s="180">
        <v>0.183928469622482</v>
      </c>
      <c r="S419" s="180">
        <v>0.009264386512746451</v>
      </c>
      <c r="T419" s="180">
        <v>0</v>
      </c>
      <c r="U419" s="180">
        <v>0</v>
      </c>
      <c r="V419" s="180">
        <v>0</v>
      </c>
      <c r="W419" s="180"/>
      <c r="X419" s="68"/>
      <c r="Y419" s="179"/>
      <c r="Z419" s="179"/>
      <c r="AA419" s="179"/>
      <c r="AB419" s="179"/>
      <c r="AC419" s="179"/>
      <c r="AD419" s="181"/>
      <c r="AE419" s="180"/>
    </row>
    <row r="420" ht="21.25" customHeight="1">
      <c r="A420" t="s" s="8">
        <v>754</v>
      </c>
      <c r="B420" t="s" s="177">
        <v>952</v>
      </c>
      <c r="C420" s="178">
        <v>22</v>
      </c>
      <c r="D420" t="s" s="177">
        <v>926</v>
      </c>
      <c r="E420" s="68">
        <v>65.785</v>
      </c>
      <c r="F420" s="179">
        <v>12.5426561495525</v>
      </c>
      <c r="G420" s="180">
        <v>0.156661804142293</v>
      </c>
      <c r="H420" s="180">
        <v>0.156601003789787</v>
      </c>
      <c r="I420" s="180">
        <v>0.313262807932079</v>
      </c>
      <c r="J420" s="180">
        <v>1.28906459628565</v>
      </c>
      <c r="K420" s="180">
        <v>0.0117135633509176</v>
      </c>
      <c r="L420" s="180">
        <v>0.0233784338851957</v>
      </c>
      <c r="M420" s="180">
        <v>0.000105906727816551</v>
      </c>
      <c r="N420" s="180">
        <v>0.000195170545770744</v>
      </c>
      <c r="O420" s="180">
        <v>0.410364115644894</v>
      </c>
      <c r="P420" s="180">
        <v>1.2641200380588</v>
      </c>
      <c r="Q420" s="180">
        <v>0.0037695597944742</v>
      </c>
      <c r="R420" s="180">
        <v>0.300132916517474</v>
      </c>
      <c r="S420" s="180">
        <v>0.0221769899988818</v>
      </c>
      <c r="T420" s="180">
        <v>0.15918739323237</v>
      </c>
      <c r="U420" s="180">
        <v>0.213709277073674</v>
      </c>
      <c r="V420" s="180">
        <v>0.426894112789266</v>
      </c>
      <c r="W420" s="180"/>
      <c r="X420" s="68"/>
      <c r="Y420" s="179"/>
      <c r="Z420" s="179"/>
      <c r="AA420" s="179"/>
      <c r="AB420" s="179"/>
      <c r="AC420" s="179"/>
      <c r="AD420" s="181"/>
      <c r="AE420" s="180"/>
    </row>
    <row r="421" ht="21.25" customHeight="1">
      <c r="A421" t="s" s="8">
        <v>782</v>
      </c>
      <c r="B421" t="s" s="177">
        <v>957</v>
      </c>
      <c r="C421" s="178">
        <v>27</v>
      </c>
      <c r="D421" t="s" s="177">
        <v>925</v>
      </c>
      <c r="E421" s="68">
        <v>61.64</v>
      </c>
      <c r="F421" s="179">
        <v>11.9937783126748</v>
      </c>
      <c r="G421" s="180">
        <v>0.163465346343616</v>
      </c>
      <c r="H421" s="180">
        <v>0.149431576354502</v>
      </c>
      <c r="I421" s="180">
        <v>0.312896922698118</v>
      </c>
      <c r="J421" s="180">
        <v>1.48235030310351</v>
      </c>
      <c r="K421" s="180">
        <v>0.00374477301272251</v>
      </c>
      <c r="L421" s="180">
        <v>0.009492452286873371</v>
      </c>
      <c r="M421" s="180">
        <v>2.0333244034724e-05</v>
      </c>
      <c r="N421" s="180">
        <v>3.723270511964e-05</v>
      </c>
      <c r="O421" s="180">
        <v>0.317174620535999</v>
      </c>
      <c r="P421" s="180">
        <v>1.43082310526693</v>
      </c>
      <c r="Q421" s="180">
        <v>-0.0275641323147605</v>
      </c>
      <c r="R421" s="180">
        <v>0.366100459797082</v>
      </c>
      <c r="S421" s="180">
        <v>0.0206287705822588</v>
      </c>
      <c r="T421" s="180">
        <v>0</v>
      </c>
      <c r="U421" s="180">
        <v>0.103496041558884</v>
      </c>
      <c r="V421" s="180">
        <v>0</v>
      </c>
      <c r="W421" s="180"/>
      <c r="X421" s="68"/>
      <c r="Y421" s="179"/>
      <c r="Z421" s="179"/>
      <c r="AA421" s="179"/>
      <c r="AB421" s="179"/>
      <c r="AC421" s="179"/>
      <c r="AD421" s="181"/>
      <c r="AE421" s="180"/>
    </row>
    <row r="422" ht="21.25" customHeight="1">
      <c r="A422" t="s" s="8">
        <v>480</v>
      </c>
      <c r="B422" t="s" s="177">
        <v>954</v>
      </c>
      <c r="C422" s="182">
        <v>19</v>
      </c>
      <c r="D422" t="s" s="177">
        <v>927</v>
      </c>
      <c r="E422" s="68">
        <v>72</v>
      </c>
      <c r="F422" s="179">
        <v>16</v>
      </c>
      <c r="G422" s="180">
        <v>0.0581680809290365</v>
      </c>
      <c r="H422" s="180">
        <v>0.254411754898545</v>
      </c>
      <c r="I422" s="180">
        <v>0.31257983582758</v>
      </c>
      <c r="J422" s="180">
        <v>1.38130355574337</v>
      </c>
      <c r="K422" s="180">
        <v>0.00738147355086629</v>
      </c>
      <c r="L422" s="180">
        <v>0.0396660806724956</v>
      </c>
      <c r="M422" s="180">
        <v>0</v>
      </c>
      <c r="N422" s="180">
        <v>0</v>
      </c>
      <c r="O422" s="180">
        <v>1.10243902439024</v>
      </c>
      <c r="P422" s="180">
        <v>1.23034065217306</v>
      </c>
      <c r="Q422" s="180">
        <v>0.00207317073170732</v>
      </c>
      <c r="R422" s="180">
        <v>0.408431476290862</v>
      </c>
      <c r="S422" s="180">
        <v>0.00623311036967639</v>
      </c>
      <c r="T422" s="180">
        <v>0</v>
      </c>
      <c r="U422" s="180">
        <v>0</v>
      </c>
      <c r="V422" s="180">
        <v>0</v>
      </c>
      <c r="W422" s="180"/>
      <c r="X422" s="68"/>
      <c r="Y422" s="180"/>
      <c r="Z422" s="180"/>
      <c r="AA422" s="180"/>
      <c r="AB422" s="180"/>
      <c r="AC422" s="179"/>
      <c r="AD422" s="181"/>
      <c r="AE422" s="180"/>
    </row>
    <row r="423" ht="21.25" customHeight="1">
      <c r="A423" t="s" s="8">
        <v>701</v>
      </c>
      <c r="B423" t="s" s="177">
        <v>941</v>
      </c>
      <c r="C423" s="178">
        <v>27</v>
      </c>
      <c r="D423" t="s" s="177">
        <v>926</v>
      </c>
      <c r="E423" s="68">
        <v>76.9139285714286</v>
      </c>
      <c r="F423" s="179">
        <v>13.8369740966699</v>
      </c>
      <c r="G423" s="180">
        <v>0.113651639637238</v>
      </c>
      <c r="H423" s="180">
        <v>0.198841421184367</v>
      </c>
      <c r="I423" s="180">
        <v>0.312493060821605</v>
      </c>
      <c r="J423" s="180">
        <v>1.36114771812965</v>
      </c>
      <c r="K423" s="180">
        <v>0.000777293634020582</v>
      </c>
      <c r="L423" s="180">
        <v>0.00198621314858918</v>
      </c>
      <c r="M423" s="180">
        <v>0.0176049126239741</v>
      </c>
      <c r="N423" s="180">
        <v>0.0362080960926251</v>
      </c>
      <c r="O423" s="180">
        <v>0.620107687569327</v>
      </c>
      <c r="P423" s="180">
        <v>1.34282535343359</v>
      </c>
      <c r="Q423" s="180">
        <v>0.05354002348286</v>
      </c>
      <c r="R423" s="180">
        <v>0.42442421698293</v>
      </c>
      <c r="S423" s="180">
        <v>0.0179814017503029</v>
      </c>
      <c r="T423" s="180">
        <v>0.0353762612536243</v>
      </c>
      <c r="U423" s="180">
        <v>0.130720095962213</v>
      </c>
      <c r="V423" s="180">
        <v>0.212986376381836</v>
      </c>
      <c r="W423" s="180"/>
      <c r="X423" s="68"/>
      <c r="Y423" s="179"/>
      <c r="Z423" s="179"/>
      <c r="AA423" s="179"/>
      <c r="AB423" s="179"/>
      <c r="AC423" s="179"/>
      <c r="AD423" s="181"/>
      <c r="AE423" s="180"/>
    </row>
    <row r="424" ht="21.25" customHeight="1">
      <c r="A424" t="s" s="8">
        <v>583</v>
      </c>
      <c r="B424" t="s" s="177">
        <v>955</v>
      </c>
      <c r="C424" s="178">
        <v>29</v>
      </c>
      <c r="D424" t="s" s="177">
        <v>927</v>
      </c>
      <c r="E424" s="68">
        <v>62.17</v>
      </c>
      <c r="F424" s="179">
        <v>15.495330844450</v>
      </c>
      <c r="G424" s="180">
        <v>0.108496279824103</v>
      </c>
      <c r="H424" s="180">
        <v>0.203433237292471</v>
      </c>
      <c r="I424" s="180">
        <v>0.311929517116573</v>
      </c>
      <c r="J424" s="180">
        <v>1.19086206694936</v>
      </c>
      <c r="K424" s="180">
        <v>0.000261205550411118</v>
      </c>
      <c r="L424" s="180">
        <v>0.00177635497392391</v>
      </c>
      <c r="M424" s="180">
        <v>0.000561442531157971</v>
      </c>
      <c r="N424" s="180">
        <v>0.00208682820155596</v>
      </c>
      <c r="O424" s="180">
        <v>1.094656493432</v>
      </c>
      <c r="P424" s="180">
        <v>0.70005051196718</v>
      </c>
      <c r="Q424" s="180">
        <v>-0.0259424925202989</v>
      </c>
      <c r="R424" s="180">
        <v>0.256418912905865</v>
      </c>
      <c r="S424" s="180">
        <v>0.0124849632947482</v>
      </c>
      <c r="T424" s="180">
        <v>0</v>
      </c>
      <c r="U424" s="180">
        <v>0</v>
      </c>
      <c r="V424" s="180">
        <v>0</v>
      </c>
      <c r="W424" s="180"/>
      <c r="X424" s="68"/>
      <c r="Y424" s="179"/>
      <c r="Z424" s="179"/>
      <c r="AA424" s="179"/>
      <c r="AB424" s="179"/>
      <c r="AC424" s="179"/>
      <c r="AD424" s="181"/>
      <c r="AE424" s="180"/>
    </row>
    <row r="425" ht="21.25" customHeight="1">
      <c r="A425" t="s" s="8">
        <v>775</v>
      </c>
      <c r="B425" t="s" s="177">
        <v>956</v>
      </c>
      <c r="C425" s="178">
        <v>24</v>
      </c>
      <c r="D425" t="s" s="177">
        <v>924</v>
      </c>
      <c r="E425" s="68">
        <v>64.86964285714291</v>
      </c>
      <c r="F425" s="179">
        <v>12.8830622816856</v>
      </c>
      <c r="G425" s="180">
        <v>0.124904933611466</v>
      </c>
      <c r="H425" s="180">
        <v>0.186875090698533</v>
      </c>
      <c r="I425" s="180">
        <v>0.311780024309999</v>
      </c>
      <c r="J425" s="180">
        <v>1.52525060086988</v>
      </c>
      <c r="K425" s="180">
        <v>0.000811057548012132</v>
      </c>
      <c r="L425" s="180">
        <v>0.00204167989436312</v>
      </c>
      <c r="M425" s="180">
        <v>0.00199022967614163</v>
      </c>
      <c r="N425" s="180">
        <v>0.0223986122521989</v>
      </c>
      <c r="O425" s="180">
        <v>0.557821921796946</v>
      </c>
      <c r="P425" s="180">
        <v>1.66150968089085</v>
      </c>
      <c r="Q425" s="180">
        <v>0.01567754572944</v>
      </c>
      <c r="R425" s="180">
        <v>0.390843156808595</v>
      </c>
      <c r="S425" s="180">
        <v>0.0194855877229366</v>
      </c>
      <c r="T425" s="180">
        <v>0.266658992209777</v>
      </c>
      <c r="U425" s="180">
        <v>0.300843434238074</v>
      </c>
      <c r="V425" s="180">
        <v>0.469881677650026</v>
      </c>
      <c r="W425" s="180"/>
      <c r="X425" s="68"/>
      <c r="Y425" s="179"/>
      <c r="Z425" s="179"/>
      <c r="AA425" s="179"/>
      <c r="AB425" s="179"/>
      <c r="AC425" s="179"/>
      <c r="AD425" s="181"/>
      <c r="AE425" s="180"/>
    </row>
    <row r="426" ht="21.25" customHeight="1">
      <c r="A426" t="s" s="8">
        <v>711</v>
      </c>
      <c r="B426" t="s" s="177">
        <v>957</v>
      </c>
      <c r="C426" s="178">
        <v>31</v>
      </c>
      <c r="D426" t="s" s="177">
        <v>924</v>
      </c>
      <c r="E426" s="68">
        <v>76.1253571428571</v>
      </c>
      <c r="F426" s="179">
        <v>14.4269870293751</v>
      </c>
      <c r="G426" s="180">
        <v>0.160648009058724</v>
      </c>
      <c r="H426" s="180">
        <v>0.151040447732976</v>
      </c>
      <c r="I426" s="180">
        <v>0.3116884567917</v>
      </c>
      <c r="J426" s="180">
        <v>1.69197022687087</v>
      </c>
      <c r="K426" s="180">
        <v>0.00470859515459816</v>
      </c>
      <c r="L426" s="180">
        <v>0.00814988138647898</v>
      </c>
      <c r="M426" s="180">
        <v>0.011753484730433</v>
      </c>
      <c r="N426" s="180">
        <v>0.0135108587780376</v>
      </c>
      <c r="O426" s="180">
        <v>0.501550356024104</v>
      </c>
      <c r="P426" s="180">
        <v>1.88093988063965</v>
      </c>
      <c r="Q426" s="180">
        <v>-0.0240316230999017</v>
      </c>
      <c r="R426" s="180">
        <v>0.410398426047457</v>
      </c>
      <c r="S426" s="180">
        <v>0.0202732322017833</v>
      </c>
      <c r="T426" s="180">
        <v>5.80914731691637</v>
      </c>
      <c r="U426" s="180">
        <v>5.95815681161487</v>
      </c>
      <c r="V426" s="180">
        <v>0.493668494794096</v>
      </c>
      <c r="W426" s="180"/>
      <c r="X426" s="68"/>
      <c r="Y426" s="179"/>
      <c r="Z426" s="179"/>
      <c r="AA426" s="179"/>
      <c r="AB426" s="179"/>
      <c r="AC426" s="179"/>
      <c r="AD426" s="181"/>
      <c r="AE426" s="180"/>
    </row>
    <row r="427" ht="21.25" customHeight="1">
      <c r="A427" t="s" s="8">
        <v>727</v>
      </c>
      <c r="B427" t="s" s="177">
        <v>945</v>
      </c>
      <c r="C427" s="178">
        <v>28</v>
      </c>
      <c r="D427" t="s" s="177">
        <v>924</v>
      </c>
      <c r="E427" s="68">
        <v>82.03</v>
      </c>
      <c r="F427" s="179">
        <v>14.8813293600464</v>
      </c>
      <c r="G427" s="180">
        <v>0.09638912838324599</v>
      </c>
      <c r="H427" s="180">
        <v>0.214561733168982</v>
      </c>
      <c r="I427" s="180">
        <v>0.310950861552228</v>
      </c>
      <c r="J427" s="180">
        <v>1.26934939136207</v>
      </c>
      <c r="K427" s="180">
        <v>0.000679968277615756</v>
      </c>
      <c r="L427" s="180">
        <v>0.00177431245931235</v>
      </c>
      <c r="M427" s="180">
        <v>0.00775740065071871</v>
      </c>
      <c r="N427" s="180">
        <v>0.0286032565275078</v>
      </c>
      <c r="O427" s="180">
        <v>0.354934805093863</v>
      </c>
      <c r="P427" s="180">
        <v>0.917005497434672</v>
      </c>
      <c r="Q427" s="180">
        <v>0.0419277168338562</v>
      </c>
      <c r="R427" s="180">
        <v>0.224336625901882</v>
      </c>
      <c r="S427" s="180">
        <v>0.0154848878549265</v>
      </c>
      <c r="T427" s="180">
        <v>7.14993231363691</v>
      </c>
      <c r="U427" s="180">
        <v>6.53507580737524</v>
      </c>
      <c r="V427" s="180">
        <v>0.522464601439206</v>
      </c>
      <c r="W427" s="180"/>
      <c r="X427" s="68"/>
      <c r="Y427" s="179"/>
      <c r="Z427" s="179"/>
      <c r="AA427" s="179"/>
      <c r="AB427" s="179"/>
      <c r="AC427" s="179"/>
      <c r="AD427" s="181"/>
      <c r="AE427" s="180"/>
    </row>
    <row r="428" ht="21.25" customHeight="1">
      <c r="A428" t="s" s="8">
        <v>801</v>
      </c>
      <c r="B428" t="s" s="177">
        <v>950</v>
      </c>
      <c r="C428" s="178">
        <v>31</v>
      </c>
      <c r="D428" t="s" s="177">
        <v>926</v>
      </c>
      <c r="E428" s="68">
        <v>53</v>
      </c>
      <c r="F428" s="179">
        <v>12.2179199110123</v>
      </c>
      <c r="G428" s="180">
        <v>0.12892861916354</v>
      </c>
      <c r="H428" s="180">
        <v>0.180391457221535</v>
      </c>
      <c r="I428" s="180">
        <v>0.309320076385076</v>
      </c>
      <c r="J428" s="180">
        <v>1.30574304109302</v>
      </c>
      <c r="K428" s="180">
        <v>0.00319303654603644</v>
      </c>
      <c r="L428" s="180">
        <v>0.00828186032915699</v>
      </c>
      <c r="M428" s="180">
        <v>0.00323954169050824</v>
      </c>
      <c r="N428" s="180">
        <v>0.00606977481483363</v>
      </c>
      <c r="O428" s="180">
        <v>0.619187721820013</v>
      </c>
      <c r="P428" s="180">
        <v>1.22587090736905</v>
      </c>
      <c r="Q428" s="180">
        <v>-0.000511003597005538</v>
      </c>
      <c r="R428" s="180">
        <v>0.355956210672089</v>
      </c>
      <c r="S428" s="180">
        <v>0.0219691959475844</v>
      </c>
      <c r="T428" s="180">
        <v>3.00106463721591</v>
      </c>
      <c r="U428" s="180">
        <v>3.30957902239311</v>
      </c>
      <c r="V428" s="180">
        <v>0.475556028685962</v>
      </c>
      <c r="W428" s="180"/>
      <c r="X428" s="68"/>
      <c r="Y428" s="179"/>
      <c r="Z428" s="179"/>
      <c r="AA428" s="179"/>
      <c r="AB428" s="179"/>
      <c r="AC428" s="179"/>
      <c r="AD428" s="181"/>
      <c r="AE428" s="180"/>
    </row>
    <row r="429" ht="21.25" customHeight="1">
      <c r="A429" t="s" s="8">
        <v>785</v>
      </c>
      <c r="B429" t="s" s="177">
        <v>957</v>
      </c>
      <c r="C429" s="178">
        <v>29</v>
      </c>
      <c r="D429" t="s" s="177">
        <v>924</v>
      </c>
      <c r="E429" s="68">
        <v>72.40000000000001</v>
      </c>
      <c r="F429" s="179">
        <v>12.9131321669377</v>
      </c>
      <c r="G429" s="180">
        <v>0.144618901018891</v>
      </c>
      <c r="H429" s="180">
        <v>0.16342003628081</v>
      </c>
      <c r="I429" s="180">
        <v>0.308038937299701</v>
      </c>
      <c r="J429" s="180">
        <v>0.914640276129016</v>
      </c>
      <c r="K429" s="180">
        <v>0.00953538182441937</v>
      </c>
      <c r="L429" s="180">
        <v>0.0326858295023712</v>
      </c>
      <c r="M429" s="180">
        <v>0.00130140182884623</v>
      </c>
      <c r="N429" s="180">
        <v>0.00239638007643171</v>
      </c>
      <c r="O429" s="180">
        <v>0.582442726057848</v>
      </c>
      <c r="P429" s="180">
        <v>0.599842093985641</v>
      </c>
      <c r="Q429" s="180">
        <v>-0.0651609932539549</v>
      </c>
      <c r="R429" s="180">
        <v>0.279518869516888</v>
      </c>
      <c r="S429" s="180">
        <v>0.0182504132998683</v>
      </c>
      <c r="T429" s="180">
        <v>4.68054494498895</v>
      </c>
      <c r="U429" s="180">
        <v>5.84236467001856</v>
      </c>
      <c r="V429" s="180">
        <v>0.444795699690671</v>
      </c>
      <c r="W429" s="180"/>
      <c r="X429" s="68"/>
      <c r="Y429" s="179"/>
      <c r="Z429" s="179"/>
      <c r="AA429" s="179"/>
      <c r="AB429" s="179"/>
      <c r="AC429" s="179"/>
      <c r="AD429" s="181"/>
      <c r="AE429" s="180"/>
    </row>
    <row r="430" ht="21.25" customHeight="1">
      <c r="A430" t="s" s="8">
        <v>710</v>
      </c>
      <c r="B430" t="s" s="177">
        <v>974</v>
      </c>
      <c r="C430" s="178">
        <v>27</v>
      </c>
      <c r="D430" t="s" s="177">
        <v>925</v>
      </c>
      <c r="E430" s="68">
        <v>77.1725</v>
      </c>
      <c r="F430" s="179">
        <v>12.0108789345748</v>
      </c>
      <c r="G430" s="180">
        <v>0.159077440770763</v>
      </c>
      <c r="H430" s="180">
        <v>0.148731455622324</v>
      </c>
      <c r="I430" s="180">
        <v>0.307808896393088</v>
      </c>
      <c r="J430" s="180">
        <v>1.43296733869151</v>
      </c>
      <c r="K430" s="180">
        <v>0.0165656306794072</v>
      </c>
      <c r="L430" s="180">
        <v>0.0402733711596571</v>
      </c>
      <c r="M430" s="180">
        <v>0</v>
      </c>
      <c r="N430" s="180">
        <v>0</v>
      </c>
      <c r="O430" s="180">
        <v>0.411056057375911</v>
      </c>
      <c r="P430" s="180">
        <v>2.51116307157989</v>
      </c>
      <c r="Q430" s="180">
        <v>-0.0152396091759906</v>
      </c>
      <c r="R430" s="180">
        <v>0.556406808126363</v>
      </c>
      <c r="S430" s="180"/>
      <c r="T430" s="180">
        <v>0.009774360300517881</v>
      </c>
      <c r="U430" s="180">
        <v>0.113589747829753</v>
      </c>
      <c r="V430" s="180">
        <v>0.07923179965923551</v>
      </c>
      <c r="W430" s="180"/>
      <c r="X430" s="68"/>
      <c r="Y430" s="179"/>
      <c r="Z430" s="179"/>
      <c r="AA430" s="179"/>
      <c r="AB430" s="179"/>
      <c r="AC430" s="179"/>
      <c r="AD430" s="181"/>
      <c r="AE430" s="180"/>
    </row>
    <row r="431" ht="21.25" customHeight="1">
      <c r="A431" t="s" s="8">
        <v>825</v>
      </c>
      <c r="B431" t="s" s="177">
        <v>953</v>
      </c>
      <c r="C431" s="178">
        <v>28</v>
      </c>
      <c r="D431" t="s" s="177">
        <v>925</v>
      </c>
      <c r="E431" s="68">
        <v>50</v>
      </c>
      <c r="F431" s="179">
        <v>11.7556413628423</v>
      </c>
      <c r="G431" s="180">
        <v>0.109743584888608</v>
      </c>
      <c r="H431" s="180">
        <v>0.197942524173513</v>
      </c>
      <c r="I431" s="180">
        <v>0.307686109062122</v>
      </c>
      <c r="J431" s="180">
        <v>1.25149866833285</v>
      </c>
      <c r="K431" s="180">
        <v>0.0138582744067552</v>
      </c>
      <c r="L431" s="180">
        <v>0.0251993403307839</v>
      </c>
      <c r="M431" s="180">
        <v>4.18539130314049e-05</v>
      </c>
      <c r="N431" s="180">
        <v>7.76838535254411e-05</v>
      </c>
      <c r="O431" s="180">
        <v>0.313325164712429</v>
      </c>
      <c r="P431" s="180">
        <v>0.9138978063726489</v>
      </c>
      <c r="Q431" s="180">
        <v>0.026389716116824</v>
      </c>
      <c r="R431" s="180">
        <v>0.312870889424185</v>
      </c>
      <c r="S431" s="180">
        <v>0.0176160428175372</v>
      </c>
      <c r="T431" s="180">
        <v>0.162735987415322</v>
      </c>
      <c r="U431" s="180">
        <v>0.3188416365183</v>
      </c>
      <c r="V431" s="180">
        <v>0.337922651152398</v>
      </c>
      <c r="W431" s="180"/>
      <c r="X431" s="68"/>
      <c r="Y431" s="179"/>
      <c r="Z431" s="179"/>
      <c r="AA431" s="179"/>
      <c r="AB431" s="179"/>
      <c r="AC431" s="179"/>
      <c r="AD431" s="181"/>
      <c r="AE431" s="180"/>
    </row>
    <row r="432" ht="21.25" customHeight="1">
      <c r="A432" t="s" s="8">
        <v>553</v>
      </c>
      <c r="B432" t="s" s="177">
        <v>971</v>
      </c>
      <c r="C432" s="178">
        <v>27</v>
      </c>
      <c r="D432" t="s" s="177">
        <v>927</v>
      </c>
      <c r="E432" s="68">
        <v>65.9917857142857</v>
      </c>
      <c r="F432" s="179">
        <v>16.6452773348151</v>
      </c>
      <c r="G432" s="180">
        <v>0.0667641288210117</v>
      </c>
      <c r="H432" s="180">
        <v>0.240865226880741</v>
      </c>
      <c r="I432" s="180">
        <v>0.307629355701754</v>
      </c>
      <c r="J432" s="180">
        <v>1.19047163772885</v>
      </c>
      <c r="K432" s="180">
        <v>0.0013735614439765</v>
      </c>
      <c r="L432" s="180">
        <v>0.0249903311606787</v>
      </c>
      <c r="M432" s="180">
        <v>0.000370247157729868</v>
      </c>
      <c r="N432" s="180">
        <v>0.00138282507809476</v>
      </c>
      <c r="O432" s="180">
        <v>1.06075726952003</v>
      </c>
      <c r="P432" s="180">
        <v>0.808700403044479</v>
      </c>
      <c r="Q432" s="180">
        <v>0.014402435661168</v>
      </c>
      <c r="R432" s="180">
        <v>0.336491187742784</v>
      </c>
      <c r="S432" s="180">
        <v>0.0103165171892826</v>
      </c>
      <c r="T432" s="180">
        <v>0</v>
      </c>
      <c r="U432" s="180">
        <v>0</v>
      </c>
      <c r="V432" s="180">
        <v>0</v>
      </c>
      <c r="W432" s="180"/>
      <c r="X432" s="68"/>
      <c r="Y432" s="179"/>
      <c r="Z432" s="179"/>
      <c r="AA432" s="179"/>
      <c r="AB432" s="179"/>
      <c r="AC432" s="179"/>
      <c r="AD432" s="181"/>
      <c r="AE432" s="180"/>
    </row>
    <row r="433" ht="21.25" customHeight="1">
      <c r="A433" t="s" s="8">
        <v>736</v>
      </c>
      <c r="B433" t="s" s="177">
        <v>943</v>
      </c>
      <c r="C433" s="178">
        <v>30</v>
      </c>
      <c r="D433" t="s" s="177">
        <v>924</v>
      </c>
      <c r="E433" s="68">
        <v>78.9867857142857</v>
      </c>
      <c r="F433" s="179">
        <v>11.3859451406717</v>
      </c>
      <c r="G433" s="180">
        <v>0.103175554987808</v>
      </c>
      <c r="H433" s="180">
        <v>0.201714506330738</v>
      </c>
      <c r="I433" s="180">
        <v>0.304890061318545</v>
      </c>
      <c r="J433" s="180">
        <v>1.31521239807459</v>
      </c>
      <c r="K433" s="180">
        <v>0.00078711678353026</v>
      </c>
      <c r="L433" s="180">
        <v>0.00175128117208934</v>
      </c>
      <c r="M433" s="180">
        <v>0.000149541060649485</v>
      </c>
      <c r="N433" s="180">
        <v>0.000281176295054883</v>
      </c>
      <c r="O433" s="180">
        <v>0.450595863946722</v>
      </c>
      <c r="P433" s="180">
        <v>1.12359495136249</v>
      </c>
      <c r="Q433" s="180">
        <v>0.0258892573315362</v>
      </c>
      <c r="R433" s="180">
        <v>0.430828437855513</v>
      </c>
      <c r="S433" s="180">
        <v>0.0148007687046633</v>
      </c>
      <c r="T433" s="180">
        <v>0.760844621480315</v>
      </c>
      <c r="U433" s="180">
        <v>0.786159145960965</v>
      </c>
      <c r="V433" s="180">
        <v>0.491818208522362</v>
      </c>
      <c r="W433" s="180"/>
      <c r="X433" s="68"/>
      <c r="Y433" s="179"/>
      <c r="Z433" s="179"/>
      <c r="AA433" s="179"/>
      <c r="AB433" s="179"/>
      <c r="AC433" s="179"/>
      <c r="AD433" s="181"/>
      <c r="AE433" s="180"/>
    </row>
    <row r="434" ht="21.25" customHeight="1">
      <c r="A434" t="s" s="8">
        <v>831</v>
      </c>
      <c r="B434" t="s" s="177">
        <v>953</v>
      </c>
      <c r="C434" s="178">
        <v>29</v>
      </c>
      <c r="D434" t="s" s="177">
        <v>924</v>
      </c>
      <c r="E434" s="68">
        <v>55</v>
      </c>
      <c r="F434" s="179">
        <v>11.0089701779689</v>
      </c>
      <c r="G434" s="180">
        <v>0.113653292404609</v>
      </c>
      <c r="H434" s="180">
        <v>0.190648796118252</v>
      </c>
      <c r="I434" s="180">
        <v>0.304302088522862</v>
      </c>
      <c r="J434" s="180">
        <v>1.21218519489705</v>
      </c>
      <c r="K434" s="180">
        <v>0.00101422813053278</v>
      </c>
      <c r="L434" s="180">
        <v>0.00202937227431791</v>
      </c>
      <c r="M434" s="180">
        <v>0.0011437722381753</v>
      </c>
      <c r="N434" s="180">
        <v>0.00764531969836337</v>
      </c>
      <c r="O434" s="180">
        <v>0.254087110166898</v>
      </c>
      <c r="P434" s="180">
        <v>0.567372702810705</v>
      </c>
      <c r="Q434" s="180">
        <v>0.00881416872910167</v>
      </c>
      <c r="R434" s="180">
        <v>0.273567800921789</v>
      </c>
      <c r="S434" s="180">
        <v>0.0182436291596074</v>
      </c>
      <c r="T434" s="180">
        <v>0.0906582081138656</v>
      </c>
      <c r="U434" s="180">
        <v>0.177183440664648</v>
      </c>
      <c r="V434" s="180">
        <v>0.338476889338572</v>
      </c>
      <c r="W434" s="180"/>
      <c r="X434" s="68"/>
      <c r="Y434" s="179"/>
      <c r="Z434" s="179"/>
      <c r="AA434" s="179"/>
      <c r="AB434" s="179"/>
      <c r="AC434" s="179"/>
      <c r="AD434" s="181"/>
      <c r="AE434" s="180"/>
    </row>
    <row r="435" ht="21.25" customHeight="1">
      <c r="A435" t="s" s="8">
        <v>755</v>
      </c>
      <c r="B435" t="s" s="177">
        <v>952</v>
      </c>
      <c r="C435" s="178">
        <v>29</v>
      </c>
      <c r="D435" t="s" s="177">
        <v>924</v>
      </c>
      <c r="E435" s="68">
        <v>74.4164285714286</v>
      </c>
      <c r="F435" s="179">
        <v>12.9686443299337</v>
      </c>
      <c r="G435" s="180">
        <v>0.0921729959563633</v>
      </c>
      <c r="H435" s="180">
        <v>0.209029702468361</v>
      </c>
      <c r="I435" s="180">
        <v>0.301202698424724</v>
      </c>
      <c r="J435" s="180">
        <v>1.28337416670861</v>
      </c>
      <c r="K435" s="180">
        <v>0.000707827738653724</v>
      </c>
      <c r="L435" s="180">
        <v>0.00185573241851335</v>
      </c>
      <c r="M435" s="180">
        <v>0.0127778324607756</v>
      </c>
      <c r="N435" s="180">
        <v>0.0264028313135237</v>
      </c>
      <c r="O435" s="180">
        <v>0.6283417349952199</v>
      </c>
      <c r="P435" s="180">
        <v>1.20413212043175</v>
      </c>
      <c r="Q435" s="180">
        <v>-0.00655524492344316</v>
      </c>
      <c r="R435" s="180">
        <v>0.215193920383795</v>
      </c>
      <c r="S435" s="180">
        <v>0.0130479769506204</v>
      </c>
      <c r="T435" s="180">
        <v>4.68639441977867</v>
      </c>
      <c r="U435" s="180">
        <v>4.36191903531483</v>
      </c>
      <c r="V435" s="180">
        <v>0.517930158259559</v>
      </c>
      <c r="W435" s="180"/>
      <c r="X435" s="68"/>
      <c r="Y435" s="179"/>
      <c r="Z435" s="179"/>
      <c r="AA435" s="179"/>
      <c r="AB435" s="179"/>
      <c r="AC435" s="179"/>
      <c r="AD435" s="181"/>
      <c r="AE435" s="180"/>
    </row>
    <row r="436" ht="21.25" customHeight="1">
      <c r="A436" t="s" s="8">
        <v>753</v>
      </c>
      <c r="B436" t="s" s="177">
        <v>955</v>
      </c>
      <c r="C436" s="178">
        <v>21</v>
      </c>
      <c r="D436" t="s" s="177">
        <v>925</v>
      </c>
      <c r="E436" s="68">
        <v>70.77</v>
      </c>
      <c r="F436" s="179">
        <v>12.1848979404717</v>
      </c>
      <c r="G436" s="180">
        <v>0.15088816901752</v>
      </c>
      <c r="H436" s="180">
        <v>0.149060562651446</v>
      </c>
      <c r="I436" s="180">
        <v>0.299948731668966</v>
      </c>
      <c r="J436" s="180">
        <v>1.25958546527587</v>
      </c>
      <c r="K436" s="180">
        <v>0.0160742287381515</v>
      </c>
      <c r="L436" s="180">
        <v>0.0368389449288794</v>
      </c>
      <c r="M436" s="180">
        <v>0.000874895342847477</v>
      </c>
      <c r="N436" s="180">
        <v>0.00161539595830012</v>
      </c>
      <c r="O436" s="180">
        <v>0.455680701803207</v>
      </c>
      <c r="P436" s="180">
        <v>1.40329169329241</v>
      </c>
      <c r="Q436" s="180">
        <v>-0.0765597103757802</v>
      </c>
      <c r="R436" s="180">
        <v>0.417927995477272</v>
      </c>
      <c r="S436" s="180">
        <v>0.0173631137846349</v>
      </c>
      <c r="T436" s="180">
        <v>0.157892396066527</v>
      </c>
      <c r="U436" s="180">
        <v>0.275426163941382</v>
      </c>
      <c r="V436" s="180">
        <v>0.364379490376883</v>
      </c>
      <c r="W436" s="180"/>
      <c r="X436" s="68"/>
      <c r="Y436" s="179"/>
      <c r="Z436" s="179"/>
      <c r="AA436" s="179"/>
      <c r="AB436" s="179"/>
      <c r="AC436" s="179"/>
      <c r="AD436" s="181"/>
      <c r="AE436" s="180"/>
    </row>
    <row r="437" ht="21.25" customHeight="1">
      <c r="A437" t="s" s="8">
        <v>718</v>
      </c>
      <c r="B437" t="s" s="177">
        <v>974</v>
      </c>
      <c r="C437" s="182">
        <v>25</v>
      </c>
      <c r="D437" t="s" s="177">
        <v>924</v>
      </c>
      <c r="E437" s="68">
        <v>71.1728571428571</v>
      </c>
      <c r="F437" s="179">
        <v>12.192987920429</v>
      </c>
      <c r="G437" s="180">
        <v>0.149208319641107</v>
      </c>
      <c r="H437" s="180">
        <v>0.14932048811891</v>
      </c>
      <c r="I437" s="180">
        <v>0.298528807760017</v>
      </c>
      <c r="J437" s="180">
        <v>1.93206121233073</v>
      </c>
      <c r="K437" s="180">
        <v>0.00118310351233004</v>
      </c>
      <c r="L437" s="180">
        <v>0.00512068555119317</v>
      </c>
      <c r="M437" s="180">
        <v>0</v>
      </c>
      <c r="N437" s="180">
        <v>0</v>
      </c>
      <c r="O437" s="180">
        <v>0.584116266708691</v>
      </c>
      <c r="P437" s="180">
        <v>1.58415595611893</v>
      </c>
      <c r="Q437" s="180">
        <v>-0.012930365841002</v>
      </c>
      <c r="R437" s="180">
        <v>0.377989877323072</v>
      </c>
      <c r="S437" s="180"/>
      <c r="T437" s="180">
        <v>0.17231591823869</v>
      </c>
      <c r="U437" s="180">
        <v>0.366144978220961</v>
      </c>
      <c r="V437" s="180">
        <v>0.320015658280216</v>
      </c>
      <c r="W437" s="180"/>
      <c r="X437" s="68"/>
      <c r="Y437" s="179"/>
      <c r="Z437" s="179"/>
      <c r="AA437" s="179"/>
      <c r="AB437" s="179"/>
      <c r="AC437" s="179"/>
      <c r="AD437" s="181"/>
      <c r="AE437" s="180"/>
    </row>
    <row r="438" ht="21.25" customHeight="1">
      <c r="A438" t="s" s="8">
        <v>786</v>
      </c>
      <c r="B438" t="s" s="177">
        <v>961</v>
      </c>
      <c r="C438" s="182">
        <v>22</v>
      </c>
      <c r="D438" t="s" s="177">
        <v>924</v>
      </c>
      <c r="E438" s="68">
        <v>67.4325</v>
      </c>
      <c r="F438" s="179">
        <v>11.7348036727292</v>
      </c>
      <c r="G438" s="180">
        <v>0.103170764890508</v>
      </c>
      <c r="H438" s="180">
        <v>0.194617969196411</v>
      </c>
      <c r="I438" s="180">
        <v>0.29778873408692</v>
      </c>
      <c r="J438" s="180">
        <v>1.36014096070972</v>
      </c>
      <c r="K438" s="180">
        <v>0.000662550297652124</v>
      </c>
      <c r="L438" s="180">
        <v>0.00201300872994548</v>
      </c>
      <c r="M438" s="180">
        <v>0.00271901448940289</v>
      </c>
      <c r="N438" s="180">
        <v>0.00483686679482933</v>
      </c>
      <c r="O438" s="180">
        <v>0.328748378166357</v>
      </c>
      <c r="P438" s="180">
        <v>0.791455180164179</v>
      </c>
      <c r="Q438" s="180">
        <v>-0.029654698017002</v>
      </c>
      <c r="R438" s="180">
        <v>0.202927166386105</v>
      </c>
      <c r="S438" s="180">
        <v>0.0126906114160912</v>
      </c>
      <c r="T438" s="180">
        <v>0.516783152240582</v>
      </c>
      <c r="U438" s="180">
        <v>0.890312879461868</v>
      </c>
      <c r="V438" s="180">
        <v>0.367269284112275</v>
      </c>
      <c r="W438" s="180"/>
      <c r="X438" s="68"/>
      <c r="Y438" s="179"/>
      <c r="Z438" s="179"/>
      <c r="AA438" s="179"/>
      <c r="AB438" s="179"/>
      <c r="AC438" s="179"/>
      <c r="AD438" s="181"/>
      <c r="AE438" s="180"/>
    </row>
    <row r="439" ht="21.25" customHeight="1">
      <c r="A439" t="s" s="8">
        <v>690</v>
      </c>
      <c r="B439" t="s" s="177">
        <v>951</v>
      </c>
      <c r="C439" s="178">
        <v>35</v>
      </c>
      <c r="D439" t="s" s="177">
        <v>926</v>
      </c>
      <c r="E439" s="68">
        <v>76.6125</v>
      </c>
      <c r="F439" s="179">
        <v>12.672771507114</v>
      </c>
      <c r="G439" s="180">
        <v>0.120190944089349</v>
      </c>
      <c r="H439" s="180">
        <v>0.177272031036946</v>
      </c>
      <c r="I439" s="180">
        <v>0.297462975126295</v>
      </c>
      <c r="J439" s="180">
        <v>1.65089473257906</v>
      </c>
      <c r="K439" s="180">
        <v>0.00617714534841383</v>
      </c>
      <c r="L439" s="180">
        <v>0.0155284583042777</v>
      </c>
      <c r="M439" s="180">
        <v>0.0144857923217217</v>
      </c>
      <c r="N439" s="180">
        <v>0.0179073320107835</v>
      </c>
      <c r="O439" s="180">
        <v>0.302909055587339</v>
      </c>
      <c r="P439" s="180">
        <v>0.900262163148559</v>
      </c>
      <c r="Q439" s="180">
        <v>-0.0285427747090549</v>
      </c>
      <c r="R439" s="180">
        <v>0.36228225811638</v>
      </c>
      <c r="S439" s="180">
        <v>0.015386731263042</v>
      </c>
      <c r="T439" s="180">
        <v>1.69560632389252</v>
      </c>
      <c r="U439" s="180">
        <v>1.76858479304255</v>
      </c>
      <c r="V439" s="180">
        <v>0.489466737445104</v>
      </c>
      <c r="W439" s="180"/>
      <c r="X439" s="68"/>
      <c r="Y439" s="179"/>
      <c r="Z439" s="179"/>
      <c r="AA439" s="179"/>
      <c r="AB439" s="179"/>
      <c r="AC439" s="179"/>
      <c r="AD439" s="181"/>
      <c r="AE439" s="180"/>
    </row>
    <row r="440" ht="21.25" customHeight="1">
      <c r="A440" t="s" s="8">
        <v>559</v>
      </c>
      <c r="B440" t="s" s="177">
        <v>960</v>
      </c>
      <c r="C440" s="178">
        <v>22</v>
      </c>
      <c r="D440" t="s" s="177">
        <v>927</v>
      </c>
      <c r="E440" s="68">
        <v>61.64</v>
      </c>
      <c r="F440" s="179">
        <v>20.7996756658322</v>
      </c>
      <c r="G440" s="180">
        <v>0.07176421322614621</v>
      </c>
      <c r="H440" s="180">
        <v>0.225686451044422</v>
      </c>
      <c r="I440" s="180">
        <v>0.297450664270568</v>
      </c>
      <c r="J440" s="180">
        <v>1.25914088960371</v>
      </c>
      <c r="K440" s="180">
        <v>0.000379780619171076</v>
      </c>
      <c r="L440" s="180">
        <v>0.00255500814144902</v>
      </c>
      <c r="M440" s="180">
        <v>0.00164612378999605</v>
      </c>
      <c r="N440" s="180">
        <v>0.0086302318274702</v>
      </c>
      <c r="O440" s="180">
        <v>1.71833746539833</v>
      </c>
      <c r="P440" s="180">
        <v>1.48321287943396</v>
      </c>
      <c r="Q440" s="180">
        <v>-0.071570658939417</v>
      </c>
      <c r="R440" s="180">
        <v>0.388646618941184</v>
      </c>
      <c r="S440" s="180">
        <v>0.008409441880453261</v>
      </c>
      <c r="T440" s="180">
        <v>0</v>
      </c>
      <c r="U440" s="180">
        <v>0</v>
      </c>
      <c r="V440" s="180">
        <v>0</v>
      </c>
      <c r="W440" s="180"/>
      <c r="X440" s="68"/>
      <c r="Y440" s="179"/>
      <c r="Z440" s="179"/>
      <c r="AA440" s="179"/>
      <c r="AB440" s="179"/>
      <c r="AC440" s="179"/>
      <c r="AD440" s="181"/>
      <c r="AE440" s="180"/>
    </row>
    <row r="441" ht="21.25" customHeight="1">
      <c r="A441" t="s" s="8">
        <v>760</v>
      </c>
      <c r="B441" t="s" s="177">
        <v>961</v>
      </c>
      <c r="C441" s="178">
        <v>33</v>
      </c>
      <c r="D441" t="s" s="177">
        <v>924</v>
      </c>
      <c r="E441" s="68">
        <v>76.53749999999999</v>
      </c>
      <c r="F441" s="179">
        <v>13.3773149622479</v>
      </c>
      <c r="G441" s="180">
        <v>0.144931352703826</v>
      </c>
      <c r="H441" s="180">
        <v>0.152375416057643</v>
      </c>
      <c r="I441" s="180">
        <v>0.297306768761468</v>
      </c>
      <c r="J441" s="180">
        <v>1.08266042607401</v>
      </c>
      <c r="K441" s="180">
        <v>0.00031866073154379</v>
      </c>
      <c r="L441" s="180">
        <v>0.00100147139257892</v>
      </c>
      <c r="M441" s="180">
        <v>0.0051566384801303</v>
      </c>
      <c r="N441" s="180">
        <v>0.0135988018292943</v>
      </c>
      <c r="O441" s="180">
        <v>0.84715328315199</v>
      </c>
      <c r="P441" s="180">
        <v>1.9878542476436</v>
      </c>
      <c r="Q441" s="180">
        <v>-0.0289078396523946</v>
      </c>
      <c r="R441" s="180">
        <v>0.47109857396781</v>
      </c>
      <c r="S441" s="180">
        <v>0.0178274095488646</v>
      </c>
      <c r="T441" s="180">
        <v>6.99907525762868</v>
      </c>
      <c r="U441" s="180">
        <v>6.18936447500573</v>
      </c>
      <c r="V441" s="180">
        <v>0.5306977473847549</v>
      </c>
      <c r="W441" s="180"/>
      <c r="X441" s="68"/>
      <c r="Y441" s="179"/>
      <c r="Z441" s="179"/>
      <c r="AA441" s="179"/>
      <c r="AB441" s="179"/>
      <c r="AC441" s="179"/>
      <c r="AD441" s="181"/>
      <c r="AE441" s="180"/>
    </row>
    <row r="442" ht="21.25" customHeight="1">
      <c r="A442" t="s" s="8">
        <v>768</v>
      </c>
      <c r="B442" t="s" s="177">
        <v>947</v>
      </c>
      <c r="C442" s="178">
        <v>25</v>
      </c>
      <c r="D442" t="s" s="177">
        <v>924</v>
      </c>
      <c r="E442" s="68">
        <v>78</v>
      </c>
      <c r="F442" s="179">
        <v>12.2412363922256</v>
      </c>
      <c r="G442" s="180">
        <v>0.0814515151438711</v>
      </c>
      <c r="H442" s="180">
        <v>0.214608155732887</v>
      </c>
      <c r="I442" s="180">
        <v>0.296059670876757</v>
      </c>
      <c r="J442" s="180">
        <v>1.08310632908961</v>
      </c>
      <c r="K442" s="180">
        <v>0.000649059886708426</v>
      </c>
      <c r="L442" s="180">
        <v>0.00162115874351682</v>
      </c>
      <c r="M442" s="180">
        <v>0.00110976986921858</v>
      </c>
      <c r="N442" s="180">
        <v>0.0101659638444811</v>
      </c>
      <c r="O442" s="180">
        <v>0.5475358214117571</v>
      </c>
      <c r="P442" s="180">
        <v>1.65308133207978</v>
      </c>
      <c r="Q442" s="180">
        <v>-0.007886641548978821</v>
      </c>
      <c r="R442" s="180">
        <v>0.495258216079187</v>
      </c>
      <c r="S442" s="180">
        <v>0.011971579244926</v>
      </c>
      <c r="T442" s="180">
        <v>6.93165474145793</v>
      </c>
      <c r="U442" s="180">
        <v>5.09263259758265</v>
      </c>
      <c r="V442" s="180">
        <v>0.57647114926738</v>
      </c>
      <c r="W442" s="180"/>
      <c r="X442" s="68"/>
      <c r="Y442" s="179"/>
      <c r="Z442" s="179"/>
      <c r="AA442" s="179"/>
      <c r="AB442" s="179"/>
      <c r="AC442" s="179"/>
      <c r="AD442" s="181"/>
      <c r="AE442" s="180"/>
    </row>
    <row r="443" ht="21.25" customHeight="1">
      <c r="A443" t="s" s="8">
        <v>435</v>
      </c>
      <c r="B443" t="s" s="177">
        <v>970</v>
      </c>
      <c r="C443" s="178">
        <v>28</v>
      </c>
      <c r="D443" t="s" s="177">
        <v>927</v>
      </c>
      <c r="E443" s="68">
        <v>77.38500000000001</v>
      </c>
      <c r="F443" s="179">
        <v>20.7472433895228</v>
      </c>
      <c r="G443" s="180">
        <v>0.0509582390723985</v>
      </c>
      <c r="H443" s="180">
        <v>0.244121438946317</v>
      </c>
      <c r="I443" s="180">
        <v>0.295079678018716</v>
      </c>
      <c r="J443" s="180">
        <v>1.35206547271352</v>
      </c>
      <c r="K443" s="180">
        <v>0.008450296929932891</v>
      </c>
      <c r="L443" s="180">
        <v>0.0537600921760691</v>
      </c>
      <c r="M443" s="180">
        <v>0.00618081194457602</v>
      </c>
      <c r="N443" s="180">
        <v>0.0192384185601546</v>
      </c>
      <c r="O443" s="180">
        <v>1.87594362086422</v>
      </c>
      <c r="P443" s="180">
        <v>2.464861431984</v>
      </c>
      <c r="Q443" s="180">
        <v>-0.0748216549754657</v>
      </c>
      <c r="R443" s="180">
        <v>0.541197470596504</v>
      </c>
      <c r="S443" s="180">
        <v>0.00598991894747821</v>
      </c>
      <c r="T443" s="180">
        <v>0</v>
      </c>
      <c r="U443" s="180">
        <v>0</v>
      </c>
      <c r="V443" s="180">
        <v>0</v>
      </c>
      <c r="W443" s="180"/>
      <c r="X443" s="68"/>
      <c r="Y443" s="179"/>
      <c r="Z443" s="179"/>
      <c r="AA443" s="179"/>
      <c r="AB443" s="179"/>
      <c r="AC443" s="179"/>
      <c r="AD443" s="181"/>
      <c r="AE443" s="180"/>
    </row>
    <row r="444" ht="21.25" customHeight="1">
      <c r="A444" t="s" s="8">
        <v>502</v>
      </c>
      <c r="B444" t="s" s="177">
        <v>954</v>
      </c>
      <c r="C444" s="182">
        <v>25</v>
      </c>
      <c r="D444" t="s" s="177">
        <v>927</v>
      </c>
      <c r="E444" s="68">
        <v>74.3</v>
      </c>
      <c r="F444" s="179">
        <v>17.7037000463034</v>
      </c>
      <c r="G444" s="180">
        <v>0.0647054669091611</v>
      </c>
      <c r="H444" s="180">
        <v>0.230202464889765</v>
      </c>
      <c r="I444" s="180">
        <v>0.294907931798926</v>
      </c>
      <c r="J444" s="180">
        <v>1.2134501310667</v>
      </c>
      <c r="K444" s="180">
        <v>0.00342828681747554</v>
      </c>
      <c r="L444" s="180">
        <v>0.0178573874944961</v>
      </c>
      <c r="M444" s="180">
        <v>0.000395886964820332</v>
      </c>
      <c r="N444" s="180">
        <v>0.0048849093241874</v>
      </c>
      <c r="O444" s="180">
        <v>1.20381266946161</v>
      </c>
      <c r="P444" s="180">
        <v>0.994997533992954</v>
      </c>
      <c r="Q444" s="180">
        <v>-0.0703306906229812</v>
      </c>
      <c r="R444" s="180">
        <v>0.371601392855762</v>
      </c>
      <c r="S444" s="180">
        <v>0.00693363628857345</v>
      </c>
      <c r="T444" s="180">
        <v>0</v>
      </c>
      <c r="U444" s="180">
        <v>0</v>
      </c>
      <c r="V444" s="180">
        <v>0</v>
      </c>
      <c r="W444" s="180"/>
      <c r="X444" s="68"/>
      <c r="Y444" s="179"/>
      <c r="Z444" s="179"/>
      <c r="AA444" s="179"/>
      <c r="AB444" s="179"/>
      <c r="AC444" s="179"/>
      <c r="AD444" s="181"/>
      <c r="AE444" s="180"/>
    </row>
    <row r="445" ht="21.25" customHeight="1">
      <c r="A445" t="s" s="8">
        <v>471</v>
      </c>
      <c r="B445" t="s" s="177">
        <v>942</v>
      </c>
      <c r="C445" s="178">
        <v>26</v>
      </c>
      <c r="D445" t="s" s="177">
        <v>927</v>
      </c>
      <c r="E445" s="68">
        <v>75.3</v>
      </c>
      <c r="F445" s="179">
        <v>20.100372894527</v>
      </c>
      <c r="G445" s="180">
        <v>0.050246719254048</v>
      </c>
      <c r="H445" s="180">
        <v>0.244360922533166</v>
      </c>
      <c r="I445" s="180">
        <v>0.294607641787213</v>
      </c>
      <c r="J445" s="180">
        <v>1.44136681601532</v>
      </c>
      <c r="K445" s="180">
        <v>0.000281870680121846</v>
      </c>
      <c r="L445" s="180">
        <v>0.00190470508359337</v>
      </c>
      <c r="M445" s="180">
        <v>0.000370834007563587</v>
      </c>
      <c r="N445" s="180">
        <v>0.00929960690240785</v>
      </c>
      <c r="O445" s="180">
        <v>1.51081799529524</v>
      </c>
      <c r="P445" s="180">
        <v>2.71608745919773</v>
      </c>
      <c r="Q445" s="180">
        <v>0.000861336369226188</v>
      </c>
      <c r="R445" s="180">
        <v>0.707298908914135</v>
      </c>
      <c r="S445" s="180">
        <v>0.00786362981541068</v>
      </c>
      <c r="T445" s="180">
        <v>0</v>
      </c>
      <c r="U445" s="180">
        <v>0</v>
      </c>
      <c r="V445" s="180">
        <v>0</v>
      </c>
      <c r="W445" s="180"/>
      <c r="X445" s="68"/>
      <c r="Y445" s="179"/>
      <c r="Z445" s="179"/>
      <c r="AA445" s="179"/>
      <c r="AB445" s="179"/>
      <c r="AC445" s="179"/>
      <c r="AD445" s="181"/>
      <c r="AE445" s="180"/>
    </row>
    <row r="446" ht="21.25" customHeight="1">
      <c r="A446" t="s" s="8">
        <v>523</v>
      </c>
      <c r="B446" t="s" s="177">
        <v>953</v>
      </c>
      <c r="C446" s="178">
        <v>24</v>
      </c>
      <c r="D446" t="s" s="177">
        <v>927</v>
      </c>
      <c r="E446" s="68">
        <v>68.3303571428571</v>
      </c>
      <c r="F446" s="179">
        <v>16.9015231577038</v>
      </c>
      <c r="G446" s="180">
        <v>0.0653522836341018</v>
      </c>
      <c r="H446" s="180">
        <v>0.229080425315409</v>
      </c>
      <c r="I446" s="180">
        <v>0.294432708949511</v>
      </c>
      <c r="J446" s="180">
        <v>1.50022464824857</v>
      </c>
      <c r="K446" s="180">
        <v>0.00643689508703821</v>
      </c>
      <c r="L446" s="180">
        <v>0.0251000416819435</v>
      </c>
      <c r="M446" s="180">
        <v>0.000156936497878749</v>
      </c>
      <c r="N446" s="180">
        <v>0.000582843027930026</v>
      </c>
      <c r="O446" s="180">
        <v>0.758030907154627</v>
      </c>
      <c r="P446" s="180">
        <v>1.31458687077344</v>
      </c>
      <c r="Q446" s="180">
        <v>0.0438945369338528</v>
      </c>
      <c r="R446" s="180">
        <v>0.557568020200238</v>
      </c>
      <c r="S446" s="180">
        <v>0.0104903501001057</v>
      </c>
      <c r="T446" s="180">
        <v>0</v>
      </c>
      <c r="U446" s="180">
        <v>0</v>
      </c>
      <c r="V446" s="180">
        <v>0</v>
      </c>
      <c r="W446" s="180"/>
      <c r="X446" s="68"/>
      <c r="Y446" s="179"/>
      <c r="Z446" s="179"/>
      <c r="AA446" s="179"/>
      <c r="AB446" s="179"/>
      <c r="AC446" s="179"/>
      <c r="AD446" s="181"/>
      <c r="AE446" s="180"/>
    </row>
    <row r="447" ht="21.25" customHeight="1">
      <c r="A447" t="s" s="8">
        <v>735</v>
      </c>
      <c r="B447" t="s" s="177">
        <v>974</v>
      </c>
      <c r="C447" s="178">
        <v>28</v>
      </c>
      <c r="D447" t="s" s="177">
        <v>925</v>
      </c>
      <c r="E447" s="68">
        <v>76.2839285714286</v>
      </c>
      <c r="F447" s="179">
        <v>10.2182777321764</v>
      </c>
      <c r="G447" s="180">
        <v>0.127509820303371</v>
      </c>
      <c r="H447" s="180">
        <v>0.166523183704759</v>
      </c>
      <c r="I447" s="180">
        <v>0.294033004008129</v>
      </c>
      <c r="J447" s="180">
        <v>1.34627205390159</v>
      </c>
      <c r="K447" s="180">
        <v>0.00574153432984807</v>
      </c>
      <c r="L447" s="180">
        <v>0.0102170033622436</v>
      </c>
      <c r="M447" s="180">
        <v>0</v>
      </c>
      <c r="N447" s="180">
        <v>0</v>
      </c>
      <c r="O447" s="180">
        <v>0.394546683200628</v>
      </c>
      <c r="P447" s="180">
        <v>1.08035454409805</v>
      </c>
      <c r="Q447" s="180">
        <v>0.00559168635883179</v>
      </c>
      <c r="R447" s="180">
        <v>0.165365147212833</v>
      </c>
      <c r="S447" s="180"/>
      <c r="T447" s="180">
        <v>0.0128217212055557</v>
      </c>
      <c r="U447" s="180">
        <v>0.05932770505763</v>
      </c>
      <c r="V447" s="180">
        <v>0.177710646773335</v>
      </c>
      <c r="W447" s="180"/>
      <c r="X447" s="68"/>
      <c r="Y447" s="179"/>
      <c r="Z447" s="179"/>
      <c r="AA447" s="179"/>
      <c r="AB447" s="179"/>
      <c r="AC447" s="179"/>
      <c r="AD447" s="181"/>
      <c r="AE447" s="180"/>
    </row>
    <row r="448" ht="21.25" customHeight="1">
      <c r="A448" t="s" s="8">
        <v>821</v>
      </c>
      <c r="B448" t="s" s="177">
        <v>949</v>
      </c>
      <c r="C448" s="178">
        <v>23</v>
      </c>
      <c r="D448" t="s" s="177">
        <v>924</v>
      </c>
      <c r="E448" s="68">
        <v>61</v>
      </c>
      <c r="F448" s="179">
        <v>10.4881712267675</v>
      </c>
      <c r="G448" s="180">
        <v>0.146793794098876</v>
      </c>
      <c r="H448" s="180">
        <v>0.14681725646194</v>
      </c>
      <c r="I448" s="180">
        <v>0.293611050560816</v>
      </c>
      <c r="J448" s="180">
        <v>1.01733504571834</v>
      </c>
      <c r="K448" s="180">
        <v>0.000191692238532584</v>
      </c>
      <c r="L448" s="180">
        <v>0.000487986505780843</v>
      </c>
      <c r="M448" s="180">
        <v>0.00170455241299818</v>
      </c>
      <c r="N448" s="180">
        <v>0.00313457479231371</v>
      </c>
      <c r="O448" s="180">
        <v>0.384890259458415</v>
      </c>
      <c r="P448" s="180">
        <v>2.01139600093779</v>
      </c>
      <c r="Q448" s="180">
        <v>0.0372438349143348</v>
      </c>
      <c r="R448" s="180">
        <v>0.345535925874148</v>
      </c>
      <c r="S448" s="180">
        <v>0.0246437892182863</v>
      </c>
      <c r="T448" s="180">
        <v>0</v>
      </c>
      <c r="U448" s="180">
        <v>0.20582193448987</v>
      </c>
      <c r="V448" s="180">
        <v>0</v>
      </c>
      <c r="W448" s="180"/>
      <c r="X448" s="68"/>
      <c r="Y448" s="179"/>
      <c r="Z448" s="179"/>
      <c r="AA448" s="179"/>
      <c r="AB448" s="179"/>
      <c r="AC448" s="179"/>
      <c r="AD448" s="181"/>
      <c r="AE448" s="180"/>
    </row>
    <row r="449" ht="21.25" customHeight="1">
      <c r="A449" t="s" s="8">
        <v>481</v>
      </c>
      <c r="B449" t="s" s="177">
        <v>947</v>
      </c>
      <c r="C449" s="178">
        <v>26</v>
      </c>
      <c r="D449" t="s" s="177">
        <v>927</v>
      </c>
      <c r="E449" s="68">
        <v>78.1117857142857</v>
      </c>
      <c r="F449" s="179">
        <v>21.1003710226372</v>
      </c>
      <c r="G449" s="180">
        <v>0.0451116924924099</v>
      </c>
      <c r="H449" s="180">
        <v>0.247812984255393</v>
      </c>
      <c r="I449" s="180">
        <v>0.292924676747802</v>
      </c>
      <c r="J449" s="180">
        <v>1.18733455286277</v>
      </c>
      <c r="K449" s="180">
        <v>0.0011837096519767</v>
      </c>
      <c r="L449" s="180">
        <v>0.00825351695386529</v>
      </c>
      <c r="M449" s="180">
        <v>0.000356557310295485</v>
      </c>
      <c r="N449" s="180">
        <v>0.0201624147198862</v>
      </c>
      <c r="O449" s="180">
        <v>1.37178362766579</v>
      </c>
      <c r="P449" s="180">
        <v>0.893837062694345</v>
      </c>
      <c r="Q449" s="180">
        <v>-0.00353601621620173</v>
      </c>
      <c r="R449" s="180">
        <v>0.312059008663604</v>
      </c>
      <c r="S449" s="180">
        <v>0.00663042548185495</v>
      </c>
      <c r="T449" s="180">
        <v>0</v>
      </c>
      <c r="U449" s="180">
        <v>0</v>
      </c>
      <c r="V449" s="180">
        <v>0</v>
      </c>
      <c r="W449" s="180"/>
      <c r="X449" s="68"/>
      <c r="Y449" s="179"/>
      <c r="Z449" s="179"/>
      <c r="AA449" s="179"/>
      <c r="AB449" s="179"/>
      <c r="AC449" s="179"/>
      <c r="AD449" s="181"/>
      <c r="AE449" s="180"/>
    </row>
    <row r="450" ht="21.25" customHeight="1">
      <c r="A450" t="s" s="8">
        <v>756</v>
      </c>
      <c r="B450" t="s" s="177">
        <v>951</v>
      </c>
      <c r="C450" s="178">
        <v>25</v>
      </c>
      <c r="D450" t="s" s="177">
        <v>924</v>
      </c>
      <c r="E450" s="68">
        <v>78.2</v>
      </c>
      <c r="F450" s="179">
        <v>11.7994350472961</v>
      </c>
      <c r="G450" s="180">
        <v>0.10260308052039</v>
      </c>
      <c r="H450" s="180">
        <v>0.189890979421705</v>
      </c>
      <c r="I450" s="180">
        <v>0.292494059942095</v>
      </c>
      <c r="J450" s="180">
        <v>1.25985864247345</v>
      </c>
      <c r="K450" s="180">
        <v>0.000574167267746791</v>
      </c>
      <c r="L450" s="180">
        <v>0.00144751649625173</v>
      </c>
      <c r="M450" s="180">
        <v>0.000888392451363939</v>
      </c>
      <c r="N450" s="180">
        <v>0.00401655893130532</v>
      </c>
      <c r="O450" s="180">
        <v>0.41161814998137</v>
      </c>
      <c r="P450" s="180">
        <v>0.883672840513624</v>
      </c>
      <c r="Q450" s="180">
        <v>-0.0312743366054246</v>
      </c>
      <c r="R450" s="180">
        <v>0.38101206135206</v>
      </c>
      <c r="S450" s="180">
        <v>0.0131351495629645</v>
      </c>
      <c r="T450" s="180">
        <v>2.25561700149257</v>
      </c>
      <c r="U450" s="180">
        <v>3.24517286974544</v>
      </c>
      <c r="V450" s="180">
        <v>0.410053293125505</v>
      </c>
      <c r="W450" s="180"/>
      <c r="X450" s="68"/>
      <c r="Y450" s="179"/>
      <c r="Z450" s="179"/>
      <c r="AA450" s="179"/>
      <c r="AB450" s="179"/>
      <c r="AC450" s="179"/>
      <c r="AD450" s="181"/>
      <c r="AE450" s="180"/>
    </row>
    <row r="451" ht="21.25" customHeight="1">
      <c r="A451" t="s" s="8">
        <v>792</v>
      </c>
      <c r="B451" t="s" s="177">
        <v>948</v>
      </c>
      <c r="C451" s="178">
        <v>25</v>
      </c>
      <c r="D451" t="s" s="177">
        <v>924</v>
      </c>
      <c r="E451" s="68">
        <v>75.03749999999999</v>
      </c>
      <c r="F451" s="179">
        <v>11.7777591183489</v>
      </c>
      <c r="G451" s="180">
        <v>0.116910712006407</v>
      </c>
      <c r="H451" s="180">
        <v>0.175423298246663</v>
      </c>
      <c r="I451" s="180">
        <v>0.29233401025307</v>
      </c>
      <c r="J451" s="180">
        <v>1.00660903415667</v>
      </c>
      <c r="K451" s="180">
        <v>0.000654199657243635</v>
      </c>
      <c r="L451" s="180">
        <v>0.00484991151938643</v>
      </c>
      <c r="M451" s="180">
        <v>0.0100057742483737</v>
      </c>
      <c r="N451" s="180">
        <v>0.0115205235251424</v>
      </c>
      <c r="O451" s="180">
        <v>0.281956341329062</v>
      </c>
      <c r="P451" s="180">
        <v>0.74064267639285</v>
      </c>
      <c r="Q451" s="180">
        <v>0.0514109818275638</v>
      </c>
      <c r="R451" s="180">
        <v>0.228410096431462</v>
      </c>
      <c r="S451" s="180">
        <v>0.0187048851346209</v>
      </c>
      <c r="T451" s="180">
        <v>3.72615517739829</v>
      </c>
      <c r="U451" s="180">
        <v>3.78645516383279</v>
      </c>
      <c r="V451" s="180">
        <v>0.495986748700145</v>
      </c>
      <c r="W451" s="180"/>
      <c r="X451" s="68"/>
      <c r="Y451" s="179"/>
      <c r="Z451" s="179"/>
      <c r="AA451" s="179"/>
      <c r="AB451" s="179"/>
      <c r="AC451" s="179"/>
      <c r="AD451" s="181"/>
      <c r="AE451" s="180"/>
    </row>
    <row r="452" ht="21.25" customHeight="1">
      <c r="A452" t="s" s="8">
        <v>742</v>
      </c>
      <c r="B452" t="s" s="177">
        <v>956</v>
      </c>
      <c r="C452" s="182">
        <v>30</v>
      </c>
      <c r="D452" t="s" s="177">
        <v>924</v>
      </c>
      <c r="E452" s="68">
        <v>79.7407142857143</v>
      </c>
      <c r="F452" s="179">
        <v>11.9358102439024</v>
      </c>
      <c r="G452" s="180">
        <v>0.121494591942865</v>
      </c>
      <c r="H452" s="180">
        <v>0.168893976856695</v>
      </c>
      <c r="I452" s="180">
        <v>0.29038856879956</v>
      </c>
      <c r="J452" s="180">
        <v>1.28004908650874</v>
      </c>
      <c r="K452" s="180">
        <v>0.00313680177656538</v>
      </c>
      <c r="L452" s="180">
        <v>0.016557932232596</v>
      </c>
      <c r="M452" s="180">
        <v>0.00175780745593688</v>
      </c>
      <c r="N452" s="180">
        <v>0.00350938968815316</v>
      </c>
      <c r="O452" s="180">
        <v>0.463088975255506</v>
      </c>
      <c r="P452" s="180">
        <v>1.24193736017128</v>
      </c>
      <c r="Q452" s="180">
        <v>0.0273264433194023</v>
      </c>
      <c r="R452" s="180">
        <v>0.412681178138385</v>
      </c>
      <c r="S452" s="180">
        <v>0.0189535630076005</v>
      </c>
      <c r="T452" s="180">
        <v>1.02380559023754</v>
      </c>
      <c r="U452" s="180">
        <v>1.47530508924691</v>
      </c>
      <c r="V452" s="180">
        <v>0.409667966545901</v>
      </c>
      <c r="W452" s="180"/>
      <c r="X452" s="68"/>
      <c r="Y452" s="179"/>
      <c r="Z452" s="179"/>
      <c r="AA452" s="179"/>
      <c r="AB452" s="179"/>
      <c r="AC452" s="179"/>
      <c r="AD452" s="181"/>
      <c r="AE452" s="180"/>
    </row>
    <row r="453" ht="21.25" customHeight="1">
      <c r="A453" t="s" s="8">
        <v>534</v>
      </c>
      <c r="B453" t="s" s="177">
        <v>968</v>
      </c>
      <c r="C453" s="178">
        <v>26</v>
      </c>
      <c r="D453" t="s" s="177">
        <v>927</v>
      </c>
      <c r="E453" s="68">
        <v>69.0021428571429</v>
      </c>
      <c r="F453" s="179">
        <v>18.313071734465</v>
      </c>
      <c r="G453" s="180">
        <v>0.0439781845982337</v>
      </c>
      <c r="H453" s="180">
        <v>0.244468695441982</v>
      </c>
      <c r="I453" s="180">
        <v>0.288446880040216</v>
      </c>
      <c r="J453" s="180">
        <v>1.18145154230556</v>
      </c>
      <c r="K453" s="180">
        <v>0.00410359344669922</v>
      </c>
      <c r="L453" s="180">
        <v>0.0199936038593689</v>
      </c>
      <c r="M453" s="180">
        <v>0.00036634077702546</v>
      </c>
      <c r="N453" s="180">
        <v>0.00460661149616328</v>
      </c>
      <c r="O453" s="180">
        <v>1.43385665181467</v>
      </c>
      <c r="P453" s="180">
        <v>1.31347309769065</v>
      </c>
      <c r="Q453" s="180">
        <v>-0.0104814201343595</v>
      </c>
      <c r="R453" s="180">
        <v>0.5617520516346109</v>
      </c>
      <c r="S453" s="180">
        <v>0.00642196516018212</v>
      </c>
      <c r="T453" s="180">
        <v>0</v>
      </c>
      <c r="U453" s="180">
        <v>0.00319511466759649</v>
      </c>
      <c r="V453" s="180">
        <v>0</v>
      </c>
      <c r="W453" s="180"/>
      <c r="X453" s="68"/>
      <c r="Y453" s="179"/>
      <c r="Z453" s="179"/>
      <c r="AA453" s="179"/>
      <c r="AB453" s="179"/>
      <c r="AC453" s="179"/>
      <c r="AD453" s="181"/>
      <c r="AE453" s="180"/>
    </row>
    <row r="454" ht="21.25" customHeight="1">
      <c r="A454" t="s" s="8">
        <v>828</v>
      </c>
      <c r="B454" t="s" s="177">
        <v>945</v>
      </c>
      <c r="C454" s="178">
        <v>24</v>
      </c>
      <c r="D454" t="s" s="177">
        <v>926</v>
      </c>
      <c r="E454" s="68">
        <v>54.5675</v>
      </c>
      <c r="F454" s="179">
        <v>10.1232863745262</v>
      </c>
      <c r="G454" s="180">
        <v>0.108721063151931</v>
      </c>
      <c r="H454" s="180">
        <v>0.179385958022491</v>
      </c>
      <c r="I454" s="180">
        <v>0.288107021174422</v>
      </c>
      <c r="J454" s="180">
        <v>0.8218457022139301</v>
      </c>
      <c r="K454" s="180">
        <v>0.0013644934852733</v>
      </c>
      <c r="L454" s="180">
        <v>0.00238380658258671</v>
      </c>
      <c r="M454" s="180">
        <v>0.00168322919708027</v>
      </c>
      <c r="N454" s="180">
        <v>0.00305697774502861</v>
      </c>
      <c r="O454" s="180">
        <v>0.457504999669863</v>
      </c>
      <c r="P454" s="180">
        <v>0.966280322272873</v>
      </c>
      <c r="Q454" s="180">
        <v>0.0516504072505895</v>
      </c>
      <c r="R454" s="180">
        <v>0.344407638010167</v>
      </c>
      <c r="S454" s="180">
        <v>0.0174660098977371</v>
      </c>
      <c r="T454" s="180">
        <v>2.44200356089263</v>
      </c>
      <c r="U454" s="180">
        <v>3.30852095346744</v>
      </c>
      <c r="V454" s="180">
        <v>0.424657534246575</v>
      </c>
      <c r="W454" s="180"/>
      <c r="X454" s="68"/>
      <c r="Y454" s="179"/>
      <c r="Z454" s="179"/>
      <c r="AA454" s="179"/>
      <c r="AB454" s="179"/>
      <c r="AC454" s="179"/>
      <c r="AD454" s="181"/>
      <c r="AE454" s="180"/>
    </row>
    <row r="455" ht="21.25" customHeight="1">
      <c r="A455" t="s" s="8">
        <v>780</v>
      </c>
      <c r="B455" t="s" s="177">
        <v>957</v>
      </c>
      <c r="C455" s="182">
        <v>28</v>
      </c>
      <c r="D455" t="s" s="177">
        <v>925</v>
      </c>
      <c r="E455" s="68">
        <v>62</v>
      </c>
      <c r="F455" s="179">
        <v>13.5060416666667</v>
      </c>
      <c r="G455" s="180">
        <v>0.136872132233294</v>
      </c>
      <c r="H455" s="180">
        <v>0.150002153181907</v>
      </c>
      <c r="I455" s="180">
        <v>0.286874285415201</v>
      </c>
      <c r="J455" s="180">
        <v>1.32374512214068</v>
      </c>
      <c r="K455" s="180">
        <v>0.0257294905397756</v>
      </c>
      <c r="L455" s="180">
        <v>0.053884332926227</v>
      </c>
      <c r="M455" s="180">
        <v>0.000676338601222184</v>
      </c>
      <c r="N455" s="180">
        <v>0.00236599151639788</v>
      </c>
      <c r="O455" s="180">
        <v>0.810700181599637</v>
      </c>
      <c r="P455" s="180">
        <v>1.63467115442852</v>
      </c>
      <c r="Q455" s="180">
        <v>-0.00663873674937865</v>
      </c>
      <c r="R455" s="180">
        <v>0.452889095183678</v>
      </c>
      <c r="S455" s="180">
        <v>0.0172727974344483</v>
      </c>
      <c r="T455" s="180">
        <v>0.18779897188307</v>
      </c>
      <c r="U455" s="180">
        <v>0.509433188442062</v>
      </c>
      <c r="V455" s="180">
        <v>0.269349267818478</v>
      </c>
      <c r="W455" s="180"/>
      <c r="X455" s="68"/>
      <c r="Y455" s="179"/>
      <c r="Z455" s="179"/>
      <c r="AA455" s="179"/>
      <c r="AB455" s="179"/>
      <c r="AC455" s="179"/>
      <c r="AD455" s="181"/>
      <c r="AE455" s="180"/>
    </row>
    <row r="456" ht="21.25" customHeight="1">
      <c r="A456" t="s" s="8">
        <v>743</v>
      </c>
      <c r="B456" t="s" s="177">
        <v>951</v>
      </c>
      <c r="C456" s="178">
        <v>26</v>
      </c>
      <c r="D456" t="s" s="177">
        <v>925</v>
      </c>
      <c r="E456" s="68">
        <v>75.73</v>
      </c>
      <c r="F456" s="179">
        <v>11.5148429454089</v>
      </c>
      <c r="G456" s="180">
        <v>0.10640392714505</v>
      </c>
      <c r="H456" s="180">
        <v>0.179843190946602</v>
      </c>
      <c r="I456" s="180">
        <v>0.286247118091652</v>
      </c>
      <c r="J456" s="180">
        <v>1.37072303810352</v>
      </c>
      <c r="K456" s="180">
        <v>0.00128090871144051</v>
      </c>
      <c r="L456" s="180">
        <v>0.00329291937118506</v>
      </c>
      <c r="M456" s="180">
        <v>0.000344504833658743</v>
      </c>
      <c r="N456" s="180">
        <v>0.000630955420010429</v>
      </c>
      <c r="O456" s="180">
        <v>0.484198639995715</v>
      </c>
      <c r="P456" s="180">
        <v>1.67020325222018</v>
      </c>
      <c r="Q456" s="180">
        <v>-0.0151744058756256</v>
      </c>
      <c r="R456" s="180">
        <v>0.5414558409049131</v>
      </c>
      <c r="S456" s="180">
        <v>0.0136217303617826</v>
      </c>
      <c r="T456" s="180">
        <v>0.0906204323652843</v>
      </c>
      <c r="U456" s="180">
        <v>0.204428220831073</v>
      </c>
      <c r="V456" s="180">
        <v>0.307137251377235</v>
      </c>
      <c r="W456" s="180"/>
      <c r="X456" s="68"/>
      <c r="Y456" s="179"/>
      <c r="Z456" s="179"/>
      <c r="AA456" s="179"/>
      <c r="AB456" s="179"/>
      <c r="AC456" s="179"/>
      <c r="AD456" s="181"/>
      <c r="AE456" s="180"/>
    </row>
    <row r="457" ht="21.25" customHeight="1">
      <c r="A457" t="s" s="8">
        <v>661</v>
      </c>
      <c r="B457" t="s" s="177">
        <v>967</v>
      </c>
      <c r="C457" s="178">
        <v>32</v>
      </c>
      <c r="D457" t="s" s="177">
        <v>926</v>
      </c>
      <c r="E457" s="68">
        <v>75.59999999999999</v>
      </c>
      <c r="F457" s="179">
        <v>14.8617858682673</v>
      </c>
      <c r="G457" s="180">
        <v>0.0991227948226739</v>
      </c>
      <c r="H457" s="180">
        <v>0.186816444414488</v>
      </c>
      <c r="I457" s="180">
        <v>0.285939239237162</v>
      </c>
      <c r="J457" s="180">
        <v>1.70292305031334</v>
      </c>
      <c r="K457" s="180">
        <v>0.0252368883175337</v>
      </c>
      <c r="L457" s="180">
        <v>0.0615844949095554</v>
      </c>
      <c r="M457" s="180">
        <v>0.0031899180340616</v>
      </c>
      <c r="N457" s="180">
        <v>0.00445672317782821</v>
      </c>
      <c r="O457" s="180">
        <v>0.6158653443308409</v>
      </c>
      <c r="P457" s="180">
        <v>0.39304669477951</v>
      </c>
      <c r="Q457" s="180">
        <v>-0.119950118032459</v>
      </c>
      <c r="R457" s="180">
        <v>0.406463367704266</v>
      </c>
      <c r="S457" s="180">
        <v>0.009502211024374299</v>
      </c>
      <c r="T457" s="180">
        <v>0.204949970962568</v>
      </c>
      <c r="U457" s="180">
        <v>0.373549672569246</v>
      </c>
      <c r="V457" s="180">
        <v>0.354278474073592</v>
      </c>
      <c r="W457" s="180"/>
      <c r="X457" s="68"/>
      <c r="Y457" s="179"/>
      <c r="Z457" s="179"/>
      <c r="AA457" s="179"/>
      <c r="AB457" s="179"/>
      <c r="AC457" s="179"/>
      <c r="AD457" s="181"/>
      <c r="AE457" s="180"/>
    </row>
    <row r="458" ht="21.25" customHeight="1">
      <c r="A458" t="s" s="8">
        <v>748</v>
      </c>
      <c r="B458" t="s" s="177">
        <v>961</v>
      </c>
      <c r="C458" s="178">
        <v>27</v>
      </c>
      <c r="D458" t="s" s="177">
        <v>926</v>
      </c>
      <c r="E458" s="68">
        <v>74.90392857142859</v>
      </c>
      <c r="F458" s="179">
        <v>11.6591043865379</v>
      </c>
      <c r="G458" s="180">
        <v>0.112945820860842</v>
      </c>
      <c r="H458" s="180">
        <v>0.17292503190826</v>
      </c>
      <c r="I458" s="180">
        <v>0.285870852769102</v>
      </c>
      <c r="J458" s="180">
        <v>1.28269651447779</v>
      </c>
      <c r="K458" s="180">
        <v>0.000311776591788049</v>
      </c>
      <c r="L458" s="180">
        <v>0.000794332977431065</v>
      </c>
      <c r="M458" s="180">
        <v>0.00248858499820462</v>
      </c>
      <c r="N458" s="180">
        <v>0.00458011686867933</v>
      </c>
      <c r="O458" s="180">
        <v>0.265189303956396</v>
      </c>
      <c r="P458" s="180">
        <v>2.03964039980516</v>
      </c>
      <c r="Q458" s="180">
        <v>-0.0293859550783317</v>
      </c>
      <c r="R458" s="180">
        <v>0.659707732410561</v>
      </c>
      <c r="S458" s="180">
        <v>0.0138930008431901</v>
      </c>
      <c r="T458" s="180">
        <v>0.0869853383403812</v>
      </c>
      <c r="U458" s="180">
        <v>0.145786801114232</v>
      </c>
      <c r="V458" s="180">
        <v>0.373693082618</v>
      </c>
      <c r="W458" s="180"/>
      <c r="X458" s="68"/>
      <c r="Y458" s="179"/>
      <c r="Z458" s="179"/>
      <c r="AA458" s="179"/>
      <c r="AB458" s="179"/>
      <c r="AC458" s="179"/>
      <c r="AD458" s="181"/>
      <c r="AE458" s="180"/>
    </row>
    <row r="459" ht="21.25" customHeight="1">
      <c r="A459" t="s" s="8">
        <v>456</v>
      </c>
      <c r="B459" t="s" s="177">
        <v>956</v>
      </c>
      <c r="C459" s="178">
        <v>32</v>
      </c>
      <c r="D459" t="s" s="177">
        <v>927</v>
      </c>
      <c r="E459" s="68">
        <v>79.0971428571429</v>
      </c>
      <c r="F459" s="179">
        <v>17.7943389967472</v>
      </c>
      <c r="G459" s="180">
        <v>0.06611573510343111</v>
      </c>
      <c r="H459" s="180">
        <v>0.218857532423513</v>
      </c>
      <c r="I459" s="180">
        <v>0.284973267526945</v>
      </c>
      <c r="J459" s="180">
        <v>1.34398937817143</v>
      </c>
      <c r="K459" s="180">
        <v>0.0141478733256418</v>
      </c>
      <c r="L459" s="180">
        <v>0.0655465416917895</v>
      </c>
      <c r="M459" s="180">
        <v>0.0002283500147409</v>
      </c>
      <c r="N459" s="180">
        <v>0.00287959695552317</v>
      </c>
      <c r="O459" s="180">
        <v>1.17735451936771</v>
      </c>
      <c r="P459" s="180">
        <v>0.735166074745301</v>
      </c>
      <c r="Q459" s="180">
        <v>0.0249758652659352</v>
      </c>
      <c r="R459" s="180">
        <v>0.155173311930955</v>
      </c>
      <c r="S459" s="180">
        <v>0.010314275977535</v>
      </c>
      <c r="T459" s="180">
        <v>0</v>
      </c>
      <c r="U459" s="180">
        <v>0</v>
      </c>
      <c r="V459" s="180">
        <v>0</v>
      </c>
      <c r="W459" s="180"/>
      <c r="X459" s="68"/>
      <c r="Y459" s="179"/>
      <c r="Z459" s="179"/>
      <c r="AA459" s="179"/>
      <c r="AB459" s="179"/>
      <c r="AC459" s="179"/>
      <c r="AD459" s="181"/>
      <c r="AE459" s="180"/>
    </row>
    <row r="460" ht="21.25" customHeight="1">
      <c r="A460" t="s" s="8">
        <v>685</v>
      </c>
      <c r="B460" t="s" s="177">
        <v>960</v>
      </c>
      <c r="C460" s="182">
        <v>38</v>
      </c>
      <c r="D460" t="s" s="177">
        <v>926</v>
      </c>
      <c r="E460" s="68">
        <v>80.8275</v>
      </c>
      <c r="F460" s="179">
        <v>11.9615654222525</v>
      </c>
      <c r="G460" s="180">
        <v>0.126827621679813</v>
      </c>
      <c r="H460" s="180">
        <v>0.156743156976205</v>
      </c>
      <c r="I460" s="180">
        <v>0.283570778656018</v>
      </c>
      <c r="J460" s="180">
        <v>1.406915680665</v>
      </c>
      <c r="K460" s="180">
        <v>0.0268607683276928</v>
      </c>
      <c r="L460" s="180">
        <v>0.056116193971805</v>
      </c>
      <c r="M460" s="180">
        <v>1.6963052008809e-05</v>
      </c>
      <c r="N460" s="180">
        <v>3.1358007948402e-05</v>
      </c>
      <c r="O460" s="180">
        <v>0.34735102635806</v>
      </c>
      <c r="P460" s="180">
        <v>0.86646972365915</v>
      </c>
      <c r="Q460" s="180">
        <v>-0.07024344928849351</v>
      </c>
      <c r="R460" s="180">
        <v>0.651991482307149</v>
      </c>
      <c r="S460" s="180">
        <v>0.0148618575388202</v>
      </c>
      <c r="T460" s="180">
        <v>0.0038566044411045</v>
      </c>
      <c r="U460" s="180">
        <v>0.0150403159128495</v>
      </c>
      <c r="V460" s="180">
        <v>0.204086399734311</v>
      </c>
      <c r="W460" s="180"/>
      <c r="X460" s="68"/>
      <c r="Y460" s="179"/>
      <c r="Z460" s="179"/>
      <c r="AA460" s="179"/>
      <c r="AB460" s="179"/>
      <c r="AC460" s="179"/>
      <c r="AD460" s="181"/>
      <c r="AE460" s="180"/>
    </row>
    <row r="461" ht="21.25" customHeight="1">
      <c r="A461" t="s" s="8">
        <v>432</v>
      </c>
      <c r="B461" t="s" s="177">
        <v>948</v>
      </c>
      <c r="C461" s="178">
        <v>29</v>
      </c>
      <c r="D461" t="s" s="177">
        <v>927</v>
      </c>
      <c r="E461" s="68">
        <v>81.205</v>
      </c>
      <c r="F461" s="179">
        <v>20.8378387801105</v>
      </c>
      <c r="G461" s="180">
        <v>0.0727875304807777</v>
      </c>
      <c r="H461" s="180">
        <v>0.208824941253521</v>
      </c>
      <c r="I461" s="180">
        <v>0.281612471734299</v>
      </c>
      <c r="J461" s="180">
        <v>1.51374763121071</v>
      </c>
      <c r="K461" s="180">
        <v>0.000111744474222522</v>
      </c>
      <c r="L461" s="180">
        <v>0.00193244287540798</v>
      </c>
      <c r="M461" s="180">
        <v>0.00629143886195909</v>
      </c>
      <c r="N461" s="180">
        <v>0.0286161082615394</v>
      </c>
      <c r="O461" s="180">
        <v>1.86814723474126</v>
      </c>
      <c r="P461" s="180">
        <v>1.29880184498727</v>
      </c>
      <c r="Q461" s="180">
        <v>0.06334609272842399</v>
      </c>
      <c r="R461" s="180">
        <v>0.21957176432604</v>
      </c>
      <c r="S461" s="180">
        <v>0.011645488882157</v>
      </c>
      <c r="T461" s="180">
        <v>0</v>
      </c>
      <c r="U461" s="180">
        <v>0.00191093924844835</v>
      </c>
      <c r="V461" s="180">
        <v>0</v>
      </c>
      <c r="W461" s="180"/>
      <c r="X461" s="68"/>
      <c r="Y461" s="179"/>
      <c r="Z461" s="179"/>
      <c r="AA461" s="179"/>
      <c r="AB461" s="179"/>
      <c r="AC461" s="179"/>
      <c r="AD461" s="181"/>
      <c r="AE461" s="180"/>
    </row>
    <row r="462" ht="21.25" customHeight="1">
      <c r="A462" t="s" s="8">
        <v>427</v>
      </c>
      <c r="B462" t="s" s="177">
        <v>969</v>
      </c>
      <c r="C462" s="178">
        <v>27</v>
      </c>
      <c r="D462" t="s" s="177">
        <v>927</v>
      </c>
      <c r="E462" s="68">
        <v>69.7092857142857</v>
      </c>
      <c r="F462" s="179">
        <v>20.133092868455</v>
      </c>
      <c r="G462" s="180">
        <v>0.1071303778463</v>
      </c>
      <c r="H462" s="180">
        <v>0.174267788345193</v>
      </c>
      <c r="I462" s="180">
        <v>0.281398166191493</v>
      </c>
      <c r="J462" s="180">
        <v>2.15682236440904</v>
      </c>
      <c r="K462" s="180">
        <v>0.00110967736277916</v>
      </c>
      <c r="L462" s="180">
        <v>0.0176404279365595</v>
      </c>
      <c r="M462" s="180">
        <v>0.00059457867027752</v>
      </c>
      <c r="N462" s="180">
        <v>0.00229505232321204</v>
      </c>
      <c r="O462" s="180">
        <v>1.84486864601715</v>
      </c>
      <c r="P462" s="180">
        <v>1.08848064628044</v>
      </c>
      <c r="Q462" s="180">
        <v>-0.0124326510755862</v>
      </c>
      <c r="R462" s="180">
        <v>0.567249294674172</v>
      </c>
      <c r="S462" s="180">
        <v>0.0141771906616582</v>
      </c>
      <c r="T462" s="180">
        <v>0</v>
      </c>
      <c r="U462" s="180">
        <v>0</v>
      </c>
      <c r="V462" s="180">
        <v>0</v>
      </c>
      <c r="W462" s="180"/>
      <c r="X462" s="68"/>
      <c r="Y462" s="179"/>
      <c r="Z462" s="179"/>
      <c r="AA462" s="179"/>
      <c r="AB462" s="179"/>
      <c r="AC462" s="179"/>
      <c r="AD462" s="181"/>
      <c r="AE462" s="180"/>
    </row>
    <row r="463" ht="21.25" customHeight="1">
      <c r="A463" t="s" s="8">
        <v>757</v>
      </c>
      <c r="B463" t="s" s="177">
        <v>966</v>
      </c>
      <c r="C463" s="178">
        <v>26</v>
      </c>
      <c r="D463" t="s" s="177">
        <v>926</v>
      </c>
      <c r="E463" s="68">
        <v>78.1653571428571</v>
      </c>
      <c r="F463" s="179">
        <v>11.4904814081791</v>
      </c>
      <c r="G463" s="180">
        <v>0.099089376046805</v>
      </c>
      <c r="H463" s="180">
        <v>0.182049082685976</v>
      </c>
      <c r="I463" s="180">
        <v>0.28113845873278</v>
      </c>
      <c r="J463" s="180">
        <v>0.97938799303479</v>
      </c>
      <c r="K463" s="180">
        <v>0.000532788884826117</v>
      </c>
      <c r="L463" s="180">
        <v>0.0010495219359556</v>
      </c>
      <c r="M463" s="180">
        <v>0.00128876041038001</v>
      </c>
      <c r="N463" s="180">
        <v>0.0015871078386351</v>
      </c>
      <c r="O463" s="180">
        <v>0.453381603755261</v>
      </c>
      <c r="P463" s="180">
        <v>3.21232555874591</v>
      </c>
      <c r="Q463" s="180">
        <v>0.0562735048841528</v>
      </c>
      <c r="R463" s="180">
        <v>0.676789362740251</v>
      </c>
      <c r="S463" s="180">
        <v>0.0161939076756854</v>
      </c>
      <c r="T463" s="180">
        <v>0.3476272888038</v>
      </c>
      <c r="U463" s="180">
        <v>0.567742189505422</v>
      </c>
      <c r="V463" s="180">
        <v>0.379767183679646</v>
      </c>
      <c r="W463" s="180"/>
      <c r="X463" s="68"/>
      <c r="Y463" s="179"/>
      <c r="Z463" s="179"/>
      <c r="AA463" s="179"/>
      <c r="AB463" s="179"/>
      <c r="AC463" s="179"/>
      <c r="AD463" s="181"/>
      <c r="AE463" s="180"/>
    </row>
    <row r="464" ht="21.25" customHeight="1">
      <c r="A464" t="s" s="8">
        <v>478</v>
      </c>
      <c r="B464" t="s" s="177">
        <v>952</v>
      </c>
      <c r="C464" s="182">
        <v>29</v>
      </c>
      <c r="D464" t="s" s="177">
        <v>927</v>
      </c>
      <c r="E464" s="68">
        <v>77.96642857142859</v>
      </c>
      <c r="F464" s="179">
        <v>18.8042336423473</v>
      </c>
      <c r="G464" s="180">
        <v>0.0768208192138826</v>
      </c>
      <c r="H464" s="180">
        <v>0.204081838992165</v>
      </c>
      <c r="I464" s="180">
        <v>0.280902658206048</v>
      </c>
      <c r="J464" s="180">
        <v>1.29185491286183</v>
      </c>
      <c r="K464" s="180">
        <v>0.000508870737718935</v>
      </c>
      <c r="L464" s="180">
        <v>0.00585681329298206</v>
      </c>
      <c r="M464" s="180">
        <v>0.00535425965706424</v>
      </c>
      <c r="N464" s="180">
        <v>0.012344359992065</v>
      </c>
      <c r="O464" s="180">
        <v>1.43124306825951</v>
      </c>
      <c r="P464" s="180">
        <v>1.91869714908228</v>
      </c>
      <c r="Q464" s="180">
        <v>0.0188601041394271</v>
      </c>
      <c r="R464" s="180">
        <v>0.826272133460173</v>
      </c>
      <c r="S464" s="180">
        <v>0.0108747282002752</v>
      </c>
      <c r="T464" s="180">
        <v>0</v>
      </c>
      <c r="U464" s="180">
        <v>0</v>
      </c>
      <c r="V464" s="180">
        <v>0</v>
      </c>
      <c r="W464" s="180"/>
      <c r="X464" s="68"/>
      <c r="Y464" s="179"/>
      <c r="Z464" s="179"/>
      <c r="AA464" s="179"/>
      <c r="AB464" s="179"/>
      <c r="AC464" s="179"/>
      <c r="AD464" s="181"/>
      <c r="AE464" s="180"/>
    </row>
    <row r="465" ht="21.25" customHeight="1">
      <c r="A465" t="s" s="8">
        <v>490</v>
      </c>
      <c r="B465" t="s" s="177">
        <v>945</v>
      </c>
      <c r="C465" s="178">
        <v>29</v>
      </c>
      <c r="D465" t="s" s="177">
        <v>927</v>
      </c>
      <c r="E465" s="68">
        <v>73.70607142857141</v>
      </c>
      <c r="F465" s="179">
        <v>19.3274571443278</v>
      </c>
      <c r="G465" s="180">
        <v>0.0450818468868561</v>
      </c>
      <c r="H465" s="180">
        <v>0.235685408207288</v>
      </c>
      <c r="I465" s="180">
        <v>0.280767255094144</v>
      </c>
      <c r="J465" s="180">
        <v>1.18021722666178</v>
      </c>
      <c r="K465" s="180">
        <v>0.000264110443942224</v>
      </c>
      <c r="L465" s="180">
        <v>0.00184896372148578</v>
      </c>
      <c r="M465" s="180">
        <v>0.000408397280005501</v>
      </c>
      <c r="N465" s="180">
        <v>0.00222805617393596</v>
      </c>
      <c r="O465" s="180">
        <v>1.9747642640743</v>
      </c>
      <c r="P465" s="180">
        <v>1.98215761550624</v>
      </c>
      <c r="Q465" s="180">
        <v>0.07235583481761119</v>
      </c>
      <c r="R465" s="180">
        <v>0.524863664364601</v>
      </c>
      <c r="S465" s="180">
        <v>0.00724238671980017</v>
      </c>
      <c r="T465" s="180">
        <v>0</v>
      </c>
      <c r="U465" s="180">
        <v>0</v>
      </c>
      <c r="V465" s="180">
        <v>0</v>
      </c>
      <c r="W465" s="180"/>
      <c r="X465" s="68"/>
      <c r="Y465" s="179"/>
      <c r="Z465" s="179"/>
      <c r="AA465" s="179"/>
      <c r="AB465" s="179"/>
      <c r="AC465" s="179"/>
      <c r="AD465" s="181"/>
      <c r="AE465" s="180"/>
    </row>
    <row r="466" ht="21.25" customHeight="1">
      <c r="A466" t="s" s="8">
        <v>744</v>
      </c>
      <c r="B466" t="s" s="177">
        <v>962</v>
      </c>
      <c r="C466" s="178">
        <v>25</v>
      </c>
      <c r="D466" t="s" s="177">
        <v>926</v>
      </c>
      <c r="E466" s="68">
        <v>72.4246428571429</v>
      </c>
      <c r="F466" s="179">
        <v>10.693561218536</v>
      </c>
      <c r="G466" s="180">
        <v>0.15925851461273</v>
      </c>
      <c r="H466" s="180">
        <v>0.120116917902568</v>
      </c>
      <c r="I466" s="180">
        <v>0.279375432515299</v>
      </c>
      <c r="J466" s="180">
        <v>1.4088288592889</v>
      </c>
      <c r="K466" s="180">
        <v>0.00115394441923335</v>
      </c>
      <c r="L466" s="180">
        <v>0.00245764116543857</v>
      </c>
      <c r="M466" s="180">
        <v>0.00196239879883859</v>
      </c>
      <c r="N466" s="180">
        <v>0.00361627329593924</v>
      </c>
      <c r="O466" s="180">
        <v>0.345164186516918</v>
      </c>
      <c r="P466" s="180">
        <v>2.27129813120048</v>
      </c>
      <c r="Q466" s="180">
        <v>0.00106317005496561</v>
      </c>
      <c r="R466" s="180">
        <v>0.321220134282865</v>
      </c>
      <c r="S466" s="180">
        <v>0.0235799838041059</v>
      </c>
      <c r="T466" s="180">
        <v>0.0713335059272856</v>
      </c>
      <c r="U466" s="180">
        <v>0.108235016865454</v>
      </c>
      <c r="V466" s="180">
        <v>0.397249500178936</v>
      </c>
      <c r="W466" s="180"/>
      <c r="X466" s="68"/>
      <c r="Y466" s="179"/>
      <c r="Z466" s="179"/>
      <c r="AA466" s="179"/>
      <c r="AB466" s="179"/>
      <c r="AC466" s="179"/>
      <c r="AD466" s="181"/>
      <c r="AE466" s="180"/>
    </row>
    <row r="467" ht="21.25" customHeight="1">
      <c r="A467" t="s" s="8">
        <v>454</v>
      </c>
      <c r="B467" t="s" s="177">
        <v>971</v>
      </c>
      <c r="C467" s="178">
        <v>30</v>
      </c>
      <c r="D467" t="s" s="177">
        <v>927</v>
      </c>
      <c r="E467" s="68">
        <v>79.1425</v>
      </c>
      <c r="F467" s="179">
        <v>20.1785387060396</v>
      </c>
      <c r="G467" s="180">
        <v>0.0552753626550467</v>
      </c>
      <c r="H467" s="180">
        <v>0.223901942048056</v>
      </c>
      <c r="I467" s="180">
        <v>0.279177304703102</v>
      </c>
      <c r="J467" s="180">
        <v>1.37209354674641</v>
      </c>
      <c r="K467" s="180">
        <v>0.000240678469819177</v>
      </c>
      <c r="L467" s="180">
        <v>0.0016750065928522</v>
      </c>
      <c r="M467" s="180">
        <v>0.000336497075913507</v>
      </c>
      <c r="N467" s="180">
        <v>0.00574840224641378</v>
      </c>
      <c r="O467" s="180">
        <v>1.93335816762668</v>
      </c>
      <c r="P467" s="180">
        <v>1.31567572357461</v>
      </c>
      <c r="Q467" s="180">
        <v>0.00290469324095909</v>
      </c>
      <c r="R467" s="180">
        <v>0.671154399954132</v>
      </c>
      <c r="S467" s="180">
        <v>0.008541251702742961</v>
      </c>
      <c r="T467" s="180">
        <v>0</v>
      </c>
      <c r="U467" s="180">
        <v>0</v>
      </c>
      <c r="V467" s="180">
        <v>0</v>
      </c>
      <c r="W467" s="180"/>
      <c r="X467" s="68"/>
      <c r="Y467" s="179"/>
      <c r="Z467" s="179"/>
      <c r="AA467" s="179"/>
      <c r="AB467" s="179"/>
      <c r="AC467" s="179"/>
      <c r="AD467" s="181"/>
      <c r="AE467" s="180"/>
    </row>
    <row r="468" ht="21.25" customHeight="1">
      <c r="A468" t="s" s="8">
        <v>470</v>
      </c>
      <c r="B468" t="s" s="177">
        <v>968</v>
      </c>
      <c r="C468" s="182">
        <v>34</v>
      </c>
      <c r="D468" t="s" s="177">
        <v>927</v>
      </c>
      <c r="E468" s="68">
        <v>77.68642857142861</v>
      </c>
      <c r="F468" s="179">
        <v>21.1934341240124</v>
      </c>
      <c r="G468" s="180">
        <v>0.0439779112984056</v>
      </c>
      <c r="H468" s="180">
        <v>0.234953390682477</v>
      </c>
      <c r="I468" s="180">
        <v>0.278931301980883</v>
      </c>
      <c r="J468" s="180">
        <v>1.20235430538687</v>
      </c>
      <c r="K468" s="180">
        <v>0.000155856210702404</v>
      </c>
      <c r="L468" s="180">
        <v>0.00155424110956604</v>
      </c>
      <c r="M468" s="180">
        <v>0.0002592778933658</v>
      </c>
      <c r="N468" s="180">
        <v>0.0015047429245461</v>
      </c>
      <c r="O468" s="180">
        <v>2.07091165492148</v>
      </c>
      <c r="P468" s="180">
        <v>1.14908767942379</v>
      </c>
      <c r="Q468" s="180">
        <v>-0.00578916639556945</v>
      </c>
      <c r="R468" s="180">
        <v>0.305163570133585</v>
      </c>
      <c r="S468" s="180">
        <v>0.00642192525125932</v>
      </c>
      <c r="T468" s="180">
        <v>0</v>
      </c>
      <c r="U468" s="180">
        <v>0.00209685940578682</v>
      </c>
      <c r="V468" s="180">
        <v>0</v>
      </c>
      <c r="W468" s="180"/>
      <c r="X468" s="68"/>
      <c r="Y468" s="179"/>
      <c r="Z468" s="179"/>
      <c r="AA468" s="179"/>
      <c r="AB468" s="179"/>
      <c r="AC468" s="179"/>
      <c r="AD468" s="181"/>
      <c r="AE468" s="180"/>
    </row>
    <row r="469" ht="21.25" customHeight="1">
      <c r="A469" t="s" s="8">
        <v>835</v>
      </c>
      <c r="B469" t="s" s="177">
        <v>952</v>
      </c>
      <c r="C469" s="178">
        <v>23</v>
      </c>
      <c r="D469" t="s" s="177">
        <v>924</v>
      </c>
      <c r="E469" s="68">
        <v>60.07</v>
      </c>
      <c r="F469" s="179">
        <v>12.4245766449964</v>
      </c>
      <c r="G469" s="180">
        <v>0.0914321536984159</v>
      </c>
      <c r="H469" s="180">
        <v>0.187025814156285</v>
      </c>
      <c r="I469" s="180">
        <v>0.278457967854701</v>
      </c>
      <c r="J469" s="180">
        <v>0.836496300077454</v>
      </c>
      <c r="K469" s="180">
        <v>0.0008903676469576291</v>
      </c>
      <c r="L469" s="180">
        <v>0.00218858916160445</v>
      </c>
      <c r="M469" s="180">
        <v>0.00202584748272188</v>
      </c>
      <c r="N469" s="180">
        <v>0.0222629931034762</v>
      </c>
      <c r="O469" s="180">
        <v>0.5540434421525821</v>
      </c>
      <c r="P469" s="180">
        <v>0.779799371027402</v>
      </c>
      <c r="Q469" s="180">
        <v>-0.0196898227739344</v>
      </c>
      <c r="R469" s="180">
        <v>0.280388266639865</v>
      </c>
      <c r="S469" s="180">
        <v>0.0129431035806551</v>
      </c>
      <c r="T469" s="180">
        <v>2.6035871175043</v>
      </c>
      <c r="U469" s="180">
        <v>4.21464654933018</v>
      </c>
      <c r="V469" s="180">
        <v>0.381856540084388</v>
      </c>
      <c r="W469" s="180"/>
      <c r="X469" s="68"/>
      <c r="Y469" s="179"/>
      <c r="Z469" s="179"/>
      <c r="AA469" s="179"/>
      <c r="AB469" s="179"/>
      <c r="AC469" s="179"/>
      <c r="AD469" s="181"/>
      <c r="AE469" s="180"/>
    </row>
    <row r="470" ht="21.25" customHeight="1">
      <c r="A470" t="s" s="8">
        <v>741</v>
      </c>
      <c r="B470" t="s" s="177">
        <v>947</v>
      </c>
      <c r="C470" s="178">
        <v>25</v>
      </c>
      <c r="D470" t="s" s="177">
        <v>926</v>
      </c>
      <c r="E470" s="68">
        <v>72</v>
      </c>
      <c r="F470" s="179">
        <v>11.973523432279</v>
      </c>
      <c r="G470" s="180">
        <v>0.131063730012815</v>
      </c>
      <c r="H470" s="180">
        <v>0.146912633364885</v>
      </c>
      <c r="I470" s="180">
        <v>0.2779763633777</v>
      </c>
      <c r="J470" s="180">
        <v>1.26982559764855</v>
      </c>
      <c r="K470" s="180">
        <v>0.00628366642677279</v>
      </c>
      <c r="L470" s="180">
        <v>0.0112024478207054</v>
      </c>
      <c r="M470" s="180">
        <v>0.00266351923146723</v>
      </c>
      <c r="N470" s="180">
        <v>0.00489591420254193</v>
      </c>
      <c r="O470" s="180">
        <v>0.735556227580677</v>
      </c>
      <c r="P470" s="180">
        <v>2.3706185079243</v>
      </c>
      <c r="Q470" s="180">
        <v>0.00757203121514617</v>
      </c>
      <c r="R470" s="180">
        <v>0.534341785455026</v>
      </c>
      <c r="S470" s="180">
        <v>0.019263482419112</v>
      </c>
      <c r="T470" s="180">
        <v>0.309439206284949</v>
      </c>
      <c r="U470" s="180">
        <v>0.476461320208234</v>
      </c>
      <c r="V470" s="180">
        <v>0.393738387815717</v>
      </c>
      <c r="W470" s="180"/>
      <c r="X470" s="68"/>
      <c r="Y470" s="179"/>
      <c r="Z470" s="179"/>
      <c r="AA470" s="179"/>
      <c r="AB470" s="179"/>
      <c r="AC470" s="179"/>
      <c r="AD470" s="181"/>
      <c r="AE470" s="180"/>
    </row>
    <row r="471" ht="21.25" customHeight="1">
      <c r="A471" t="s" s="8">
        <v>774</v>
      </c>
      <c r="B471" t="s" s="177">
        <v>953</v>
      </c>
      <c r="C471" s="178">
        <v>31</v>
      </c>
      <c r="D471" t="s" s="177">
        <v>924</v>
      </c>
      <c r="E471" s="68">
        <v>70.42107142857139</v>
      </c>
      <c r="F471" s="179">
        <v>13.7087008661034</v>
      </c>
      <c r="G471" s="180">
        <v>0.137607573671506</v>
      </c>
      <c r="H471" s="180">
        <v>0.138929425215062</v>
      </c>
      <c r="I471" s="180">
        <v>0.276536998886568</v>
      </c>
      <c r="J471" s="180">
        <v>1.29094574768185</v>
      </c>
      <c r="K471" s="180">
        <v>0.000839325136601751</v>
      </c>
      <c r="L471" s="180">
        <v>0.00202155232795561</v>
      </c>
      <c r="M471" s="180">
        <v>0.00135985929843037</v>
      </c>
      <c r="N471" s="180">
        <v>0.0242027631315518</v>
      </c>
      <c r="O471" s="180">
        <v>0.965625238390556</v>
      </c>
      <c r="P471" s="180">
        <v>2.64548578098507</v>
      </c>
      <c r="Q471" s="180">
        <v>0.0146822465380348</v>
      </c>
      <c r="R471" s="180">
        <v>0.300652368230009</v>
      </c>
      <c r="S471" s="180">
        <v>0.0220887709498023</v>
      </c>
      <c r="T471" s="180">
        <v>4.36016634564017</v>
      </c>
      <c r="U471" s="180">
        <v>3.84593582729674</v>
      </c>
      <c r="V471" s="180">
        <v>0.531332203006156</v>
      </c>
      <c r="W471" s="180"/>
      <c r="X471" s="68"/>
      <c r="Y471" s="179"/>
      <c r="Z471" s="179"/>
      <c r="AA471" s="179"/>
      <c r="AB471" s="179"/>
      <c r="AC471" s="179"/>
      <c r="AD471" s="181"/>
      <c r="AE471" s="180"/>
    </row>
    <row r="472" ht="21.25" customHeight="1">
      <c r="A472" t="s" s="8">
        <v>443</v>
      </c>
      <c r="B472" t="s" s="177">
        <v>962</v>
      </c>
      <c r="C472" s="178">
        <v>28</v>
      </c>
      <c r="D472" t="s" s="177">
        <v>927</v>
      </c>
      <c r="E472" s="68">
        <v>78.21035714285711</v>
      </c>
      <c r="F472" s="179">
        <v>18.7554428913872</v>
      </c>
      <c r="G472" s="180">
        <v>0.0660559594429984</v>
      </c>
      <c r="H472" s="180">
        <v>0.208713459875678</v>
      </c>
      <c r="I472" s="180">
        <v>0.274769419318677</v>
      </c>
      <c r="J472" s="180">
        <v>1.66089277392524</v>
      </c>
      <c r="K472" s="180">
        <v>0.000165754273545557</v>
      </c>
      <c r="L472" s="180">
        <v>0.00219709706884509</v>
      </c>
      <c r="M472" s="180">
        <v>0.00623136117122794</v>
      </c>
      <c r="N472" s="180">
        <v>0.0222961544284979</v>
      </c>
      <c r="O472" s="180">
        <v>1.66496180668016</v>
      </c>
      <c r="P472" s="180">
        <v>1.50864164357298</v>
      </c>
      <c r="Q472" s="180">
        <v>0.00672456322542167</v>
      </c>
      <c r="R472" s="180">
        <v>0.316996415535455</v>
      </c>
      <c r="S472" s="180">
        <v>0.009780315090958801</v>
      </c>
      <c r="T472" s="180">
        <v>0</v>
      </c>
      <c r="U472" s="180">
        <v>0</v>
      </c>
      <c r="V472" s="180">
        <v>0</v>
      </c>
      <c r="W472" s="180"/>
      <c r="X472" s="68"/>
      <c r="Y472" s="179"/>
      <c r="Z472" s="179"/>
      <c r="AA472" s="179"/>
      <c r="AB472" s="179"/>
      <c r="AC472" s="179"/>
      <c r="AD472" s="181"/>
      <c r="AE472" s="180"/>
    </row>
    <row r="473" ht="21.25" customHeight="1">
      <c r="A473" t="s" s="8">
        <v>733</v>
      </c>
      <c r="B473" t="s" s="177">
        <v>953</v>
      </c>
      <c r="C473" s="178">
        <v>34</v>
      </c>
      <c r="D473" t="s" s="177">
        <v>924</v>
      </c>
      <c r="E473" s="68">
        <v>79.2528571428571</v>
      </c>
      <c r="F473" s="179">
        <v>14.0217364908505</v>
      </c>
      <c r="G473" s="180">
        <v>0.116701264800712</v>
      </c>
      <c r="H473" s="180">
        <v>0.157672963492623</v>
      </c>
      <c r="I473" s="180">
        <v>0.274374228293335</v>
      </c>
      <c r="J473" s="180">
        <v>1.50756133738385</v>
      </c>
      <c r="K473" s="180">
        <v>0.000337904716928326</v>
      </c>
      <c r="L473" s="180">
        <v>0.00178657091606379</v>
      </c>
      <c r="M473" s="180">
        <v>0.00718548013820668</v>
      </c>
      <c r="N473" s="180">
        <v>0.008460651685015979</v>
      </c>
      <c r="O473" s="180">
        <v>0.48081324972965</v>
      </c>
      <c r="P473" s="180">
        <v>1.1103260544684</v>
      </c>
      <c r="Q473" s="180">
        <v>0.0174500642898799</v>
      </c>
      <c r="R473" s="180">
        <v>0.464144267595848</v>
      </c>
      <c r="S473" s="180">
        <v>0.0187328897600418</v>
      </c>
      <c r="T473" s="180">
        <v>6.08679267814768</v>
      </c>
      <c r="U473" s="180">
        <v>5.70965967259906</v>
      </c>
      <c r="V473" s="180">
        <v>0.515985017967065</v>
      </c>
      <c r="W473" s="180"/>
      <c r="X473" s="68"/>
      <c r="Y473" s="179"/>
      <c r="Z473" s="179"/>
      <c r="AA473" s="179"/>
      <c r="AB473" s="179"/>
      <c r="AC473" s="179"/>
      <c r="AD473" s="181"/>
      <c r="AE473" s="180"/>
    </row>
    <row r="474" ht="21.25" customHeight="1">
      <c r="A474" t="s" s="8">
        <v>759</v>
      </c>
      <c r="B474" t="s" s="177">
        <v>969</v>
      </c>
      <c r="C474" s="178">
        <v>26</v>
      </c>
      <c r="D474" t="s" s="177">
        <v>926</v>
      </c>
      <c r="E474" s="68">
        <v>70</v>
      </c>
      <c r="F474" s="179">
        <v>12.5239868422081</v>
      </c>
      <c r="G474" s="180">
        <v>0.123463741711051</v>
      </c>
      <c r="H474" s="180">
        <v>0.150848099015891</v>
      </c>
      <c r="I474" s="180">
        <v>0.274311840726943</v>
      </c>
      <c r="J474" s="180">
        <v>1.33056363780911</v>
      </c>
      <c r="K474" s="180">
        <v>0.00137991810546294</v>
      </c>
      <c r="L474" s="180">
        <v>0.00394758940564652</v>
      </c>
      <c r="M474" s="180">
        <v>0.00453237929887134</v>
      </c>
      <c r="N474" s="180">
        <v>0.00524503650593723</v>
      </c>
      <c r="O474" s="180">
        <v>0.399066627242707</v>
      </c>
      <c r="P474" s="180">
        <v>1.51643214706272</v>
      </c>
      <c r="Q474" s="180">
        <v>-0.0395813232978495</v>
      </c>
      <c r="R474" s="180">
        <v>0.226734050820635</v>
      </c>
      <c r="S474" s="180">
        <v>0.0163386804119234</v>
      </c>
      <c r="T474" s="180">
        <v>0.241234991996521</v>
      </c>
      <c r="U474" s="180">
        <v>0.611199309232462</v>
      </c>
      <c r="V474" s="180">
        <v>0.282995406975909</v>
      </c>
      <c r="W474" s="180"/>
      <c r="X474" s="68"/>
      <c r="Y474" s="179"/>
      <c r="Z474" s="179"/>
      <c r="AA474" s="179"/>
      <c r="AB474" s="179"/>
      <c r="AC474" s="179"/>
      <c r="AD474" s="181"/>
      <c r="AE474" s="180"/>
    </row>
    <row r="475" ht="21.25" customHeight="1">
      <c r="A475" t="s" s="8">
        <v>789</v>
      </c>
      <c r="B475" t="s" s="177">
        <v>967</v>
      </c>
      <c r="C475" s="178">
        <v>25</v>
      </c>
      <c r="D475" t="s" s="177">
        <v>925</v>
      </c>
      <c r="E475" s="68">
        <v>65.3</v>
      </c>
      <c r="F475" s="179">
        <v>11.6205540656557</v>
      </c>
      <c r="G475" s="180">
        <v>0.126995264387339</v>
      </c>
      <c r="H475" s="180">
        <v>0.145885227507444</v>
      </c>
      <c r="I475" s="180">
        <v>0.272880491894783</v>
      </c>
      <c r="J475" s="180">
        <v>1.39504430600762</v>
      </c>
      <c r="K475" s="180">
        <v>0.0062605291511725</v>
      </c>
      <c r="L475" s="180">
        <v>0.0119139820429261</v>
      </c>
      <c r="M475" s="180">
        <v>0.000453366382000859</v>
      </c>
      <c r="N475" s="180">
        <v>0.00083165255250255</v>
      </c>
      <c r="O475" s="180">
        <v>0.268497792608509</v>
      </c>
      <c r="P475" s="180">
        <v>1.43367926522661</v>
      </c>
      <c r="Q475" s="180">
        <v>-0.117366994185276</v>
      </c>
      <c r="R475" s="180">
        <v>0.67157336725721</v>
      </c>
      <c r="S475" s="180">
        <v>0.0121741502896836</v>
      </c>
      <c r="T475" s="180">
        <v>0.131268968351349</v>
      </c>
      <c r="U475" s="180">
        <v>0.148755937831265</v>
      </c>
      <c r="V475" s="180">
        <v>0.468776046176922</v>
      </c>
      <c r="W475" s="180"/>
      <c r="X475" s="68"/>
      <c r="Y475" s="179"/>
      <c r="Z475" s="179"/>
      <c r="AA475" s="179"/>
      <c r="AB475" s="179"/>
      <c r="AC475" s="179"/>
      <c r="AD475" s="181"/>
      <c r="AE475" s="180"/>
    </row>
    <row r="476" ht="21.25" customHeight="1">
      <c r="A476" t="s" s="8">
        <v>813</v>
      </c>
      <c r="B476" t="s" s="177">
        <v>952</v>
      </c>
      <c r="C476" s="178">
        <v>27</v>
      </c>
      <c r="D476" t="s" s="177">
        <v>924</v>
      </c>
      <c r="E476" s="68">
        <v>67.9046428571429</v>
      </c>
      <c r="F476" s="179">
        <v>11.2480436828014</v>
      </c>
      <c r="G476" s="180">
        <v>0.120243081338783</v>
      </c>
      <c r="H476" s="180">
        <v>0.152134887822417</v>
      </c>
      <c r="I476" s="180">
        <v>0.2723779691612</v>
      </c>
      <c r="J476" s="180">
        <v>0.955884541281049</v>
      </c>
      <c r="K476" s="180">
        <v>0.0029735274705366</v>
      </c>
      <c r="L476" s="180">
        <v>0.00526599547577129</v>
      </c>
      <c r="M476" s="180">
        <v>0.00793803895476817</v>
      </c>
      <c r="N476" s="180">
        <v>0.0092019956979357</v>
      </c>
      <c r="O476" s="180">
        <v>0.38988279679121</v>
      </c>
      <c r="P476" s="180">
        <v>2.59947805434968</v>
      </c>
      <c r="Q476" s="180">
        <v>-0.00473611477089949</v>
      </c>
      <c r="R476" s="180">
        <v>0.523085167916618</v>
      </c>
      <c r="S476" s="180">
        <v>0.0170215683834643</v>
      </c>
      <c r="T476" s="180">
        <v>0.439195324745226</v>
      </c>
      <c r="U476" s="180">
        <v>0.378798646150366</v>
      </c>
      <c r="V476" s="180">
        <v>0.536917557307136</v>
      </c>
      <c r="W476" s="180"/>
      <c r="X476" s="68"/>
      <c r="Y476" s="179"/>
      <c r="Z476" s="179"/>
      <c r="AA476" s="179"/>
      <c r="AB476" s="179"/>
      <c r="AC476" s="179"/>
      <c r="AD476" s="181"/>
      <c r="AE476" s="180"/>
    </row>
    <row r="477" ht="21.25" customHeight="1">
      <c r="A477" t="s" s="8">
        <v>518</v>
      </c>
      <c r="B477" t="s" s="177">
        <v>951</v>
      </c>
      <c r="C477" s="178">
        <v>23</v>
      </c>
      <c r="D477" t="s" s="177">
        <v>927</v>
      </c>
      <c r="E477" s="68">
        <v>68.4375</v>
      </c>
      <c r="F477" s="179">
        <v>22.196301809174</v>
      </c>
      <c r="G477" s="180">
        <v>0.0439665121074851</v>
      </c>
      <c r="H477" s="180">
        <v>0.227465948549067</v>
      </c>
      <c r="I477" s="180">
        <v>0.271432460656552</v>
      </c>
      <c r="J477" s="180">
        <v>1.39828325507721</v>
      </c>
      <c r="K477" s="180">
        <v>0.000350007472648526</v>
      </c>
      <c r="L477" s="180">
        <v>0.00233129199377867</v>
      </c>
      <c r="M477" s="180">
        <v>0.000559221895315748</v>
      </c>
      <c r="N477" s="180">
        <v>0.0138232678004741</v>
      </c>
      <c r="O477" s="180">
        <v>1.66154308282543</v>
      </c>
      <c r="P477" s="180">
        <v>1.8527050081901</v>
      </c>
      <c r="Q477" s="180">
        <v>-0.0225908832125254</v>
      </c>
      <c r="R477" s="180">
        <v>0.424236567608096</v>
      </c>
      <c r="S477" s="180">
        <v>0.00562855139791772</v>
      </c>
      <c r="T477" s="180">
        <v>0</v>
      </c>
      <c r="U477" s="180">
        <v>0</v>
      </c>
      <c r="V477" s="180">
        <v>0</v>
      </c>
      <c r="W477" s="180"/>
      <c r="X477" s="68"/>
      <c r="Y477" s="179"/>
      <c r="Z477" s="179"/>
      <c r="AA477" s="179"/>
      <c r="AB477" s="179"/>
      <c r="AC477" s="179"/>
      <c r="AD477" s="181"/>
      <c r="AE477" s="180"/>
    </row>
    <row r="478" ht="21.25" customHeight="1">
      <c r="A478" t="s" s="8">
        <v>747</v>
      </c>
      <c r="B478" t="s" s="177">
        <v>948</v>
      </c>
      <c r="C478" s="178">
        <v>33</v>
      </c>
      <c r="D478" t="s" s="177">
        <v>924</v>
      </c>
      <c r="E478" s="68">
        <v>77.4421428571429</v>
      </c>
      <c r="F478" s="179">
        <v>10.7256716758765</v>
      </c>
      <c r="G478" s="180">
        <v>0.132941476701624</v>
      </c>
      <c r="H478" s="180">
        <v>0.134212501707691</v>
      </c>
      <c r="I478" s="180">
        <v>0.267153978409316</v>
      </c>
      <c r="J478" s="180">
        <v>1.59397155225513</v>
      </c>
      <c r="K478" s="180">
        <v>0.000620186691839067</v>
      </c>
      <c r="L478" s="180">
        <v>0.00207371394408076</v>
      </c>
      <c r="M478" s="180">
        <v>1.59783628453739e-05</v>
      </c>
      <c r="N478" s="180">
        <v>2.93015360153091e-05</v>
      </c>
      <c r="O478" s="180">
        <v>0.326189637977171</v>
      </c>
      <c r="P478" s="180">
        <v>0.980885015198261</v>
      </c>
      <c r="Q478" s="180">
        <v>0.0613528825154034</v>
      </c>
      <c r="R478" s="180">
        <v>0.278006183043944</v>
      </c>
      <c r="S478" s="180">
        <v>0.0212696938428918</v>
      </c>
      <c r="T478" s="180">
        <v>0.050892707746122</v>
      </c>
      <c r="U478" s="180">
        <v>0.108809736567118</v>
      </c>
      <c r="V478" s="180">
        <v>0.318672065195828</v>
      </c>
      <c r="W478" s="180"/>
      <c r="X478" s="68"/>
      <c r="Y478" s="179"/>
      <c r="Z478" s="179"/>
      <c r="AA478" s="179"/>
      <c r="AB478" s="179"/>
      <c r="AC478" s="179"/>
      <c r="AD478" s="181"/>
      <c r="AE478" s="180"/>
    </row>
    <row r="479" ht="21.25" customHeight="1">
      <c r="A479" t="s" s="8">
        <v>849</v>
      </c>
      <c r="B479" t="s" s="177">
        <v>946</v>
      </c>
      <c r="C479" s="178">
        <v>21</v>
      </c>
      <c r="D479" t="s" s="177">
        <v>924</v>
      </c>
      <c r="E479" s="68">
        <v>51.6475</v>
      </c>
      <c r="F479" s="179">
        <v>12.886467260524</v>
      </c>
      <c r="G479" s="180">
        <v>0.1051824948617</v>
      </c>
      <c r="H479" s="180">
        <v>0.161865394394984</v>
      </c>
      <c r="I479" s="180">
        <v>0.267047889256684</v>
      </c>
      <c r="J479" s="180">
        <v>1.08216231654774</v>
      </c>
      <c r="K479" s="180">
        <v>0.0134317116819271</v>
      </c>
      <c r="L479" s="180">
        <v>0.0332618994312093</v>
      </c>
      <c r="M479" s="180">
        <v>0.00115190808050934</v>
      </c>
      <c r="N479" s="180">
        <v>0.00206062281167316</v>
      </c>
      <c r="O479" s="180">
        <v>0.447915120394716</v>
      </c>
      <c r="P479" s="180">
        <v>0.8243999586938771</v>
      </c>
      <c r="Q479" s="180">
        <v>0.00347825358904929</v>
      </c>
      <c r="R479" s="180">
        <v>0.393372883966716</v>
      </c>
      <c r="S479" s="180">
        <v>0.0168898280018824</v>
      </c>
      <c r="T479" s="180">
        <v>3.63139969085206</v>
      </c>
      <c r="U479" s="180">
        <v>4.30662437254168</v>
      </c>
      <c r="V479" s="180">
        <v>0.45746896984078</v>
      </c>
      <c r="W479" s="180"/>
      <c r="X479" s="68"/>
      <c r="Y479" s="179"/>
      <c r="Z479" s="179"/>
      <c r="AA479" s="179"/>
      <c r="AB479" s="179"/>
      <c r="AC479" s="179"/>
      <c r="AD479" s="181"/>
      <c r="AE479" s="180"/>
    </row>
    <row r="480" ht="21.25" customHeight="1">
      <c r="A480" t="s" s="8">
        <v>475</v>
      </c>
      <c r="B480" t="s" s="177">
        <v>961</v>
      </c>
      <c r="C480" s="178">
        <v>23</v>
      </c>
      <c r="D480" t="s" s="177">
        <v>927</v>
      </c>
      <c r="E480" s="68">
        <v>77.455</v>
      </c>
      <c r="F480" s="179">
        <v>20.2711294522433</v>
      </c>
      <c r="G480" s="180">
        <v>0.09539948424398099</v>
      </c>
      <c r="H480" s="180">
        <v>0.170446480634016</v>
      </c>
      <c r="I480" s="180">
        <v>0.265845964877996</v>
      </c>
      <c r="J480" s="180">
        <v>1.34450166227062</v>
      </c>
      <c r="K480" s="180">
        <v>0.000317670997389378</v>
      </c>
      <c r="L480" s="180">
        <v>0.00220036497967871</v>
      </c>
      <c r="M480" s="180">
        <v>0.00504000957410251</v>
      </c>
      <c r="N480" s="180">
        <v>0.0113287724086165</v>
      </c>
      <c r="O480" s="180">
        <v>1.78600757776032</v>
      </c>
      <c r="P480" s="180">
        <v>2.88247631200416</v>
      </c>
      <c r="Q480" s="180">
        <v>-0.0582162103159894</v>
      </c>
      <c r="R480" s="180">
        <v>0.428741217265217</v>
      </c>
      <c r="S480" s="180">
        <v>0.0117346981494296</v>
      </c>
      <c r="T480" s="180">
        <v>0</v>
      </c>
      <c r="U480" s="180">
        <v>0</v>
      </c>
      <c r="V480" s="180">
        <v>0</v>
      </c>
      <c r="W480" s="180"/>
      <c r="X480" s="68"/>
      <c r="Y480" s="179"/>
      <c r="Z480" s="179"/>
      <c r="AA480" s="179"/>
      <c r="AB480" s="179"/>
      <c r="AC480" s="179"/>
      <c r="AD480" s="181"/>
      <c r="AE480" s="180"/>
    </row>
    <row r="481" ht="21.25" customHeight="1">
      <c r="A481" t="s" s="8">
        <v>795</v>
      </c>
      <c r="B481" t="s" s="177">
        <v>970</v>
      </c>
      <c r="C481" s="178">
        <v>24</v>
      </c>
      <c r="D481" t="s" s="177">
        <v>924</v>
      </c>
      <c r="E481" s="68">
        <v>70.545</v>
      </c>
      <c r="F481" s="179">
        <v>11.0340297600811</v>
      </c>
      <c r="G481" s="180">
        <v>0.126942610269805</v>
      </c>
      <c r="H481" s="180">
        <v>0.137894951778041</v>
      </c>
      <c r="I481" s="180">
        <v>0.264837562047846</v>
      </c>
      <c r="J481" s="180">
        <v>1.18978292341502</v>
      </c>
      <c r="K481" s="180">
        <v>0.00121396634925367</v>
      </c>
      <c r="L481" s="180">
        <v>0.00208458400897172</v>
      </c>
      <c r="M481" s="180">
        <v>0.0241083318159565</v>
      </c>
      <c r="N481" s="180">
        <v>0.0371336225013506</v>
      </c>
      <c r="O481" s="180">
        <v>0.6232608807073839</v>
      </c>
      <c r="P481" s="180">
        <v>1.04363213293681</v>
      </c>
      <c r="Q481" s="180">
        <v>-0.07405023356362229</v>
      </c>
      <c r="R481" s="180">
        <v>0.173051566916861</v>
      </c>
      <c r="S481" s="180">
        <v>0.0149215506724467</v>
      </c>
      <c r="T481" s="180">
        <v>3.37261367914007</v>
      </c>
      <c r="U481" s="180">
        <v>3.9886944562405</v>
      </c>
      <c r="V481" s="180">
        <v>0.45815412384795</v>
      </c>
      <c r="W481" s="180"/>
      <c r="X481" s="68"/>
      <c r="Y481" s="179"/>
      <c r="Z481" s="179"/>
      <c r="AA481" s="179"/>
      <c r="AB481" s="179"/>
      <c r="AC481" s="179"/>
      <c r="AD481" s="181"/>
      <c r="AE481" s="180"/>
    </row>
    <row r="482" ht="21.25" customHeight="1">
      <c r="A482" t="s" s="8">
        <v>528</v>
      </c>
      <c r="B482" t="s" s="177">
        <v>958</v>
      </c>
      <c r="C482" s="178">
        <v>23</v>
      </c>
      <c r="D482" t="s" s="177">
        <v>927</v>
      </c>
      <c r="E482" s="68">
        <v>72.8153571428571</v>
      </c>
      <c r="F482" s="179">
        <v>17.5260482396793</v>
      </c>
      <c r="G482" s="180">
        <v>0.0322299634688822</v>
      </c>
      <c r="H482" s="180">
        <v>0.231512544468778</v>
      </c>
      <c r="I482" s="180">
        <v>0.26374250793766</v>
      </c>
      <c r="J482" s="180">
        <v>1.23063073955682</v>
      </c>
      <c r="K482" s="180">
        <v>0.00143379500487882</v>
      </c>
      <c r="L482" s="180">
        <v>0.014878116157612</v>
      </c>
      <c r="M482" s="180">
        <v>0.000481907750075307</v>
      </c>
      <c r="N482" s="180">
        <v>0.00172026442245435</v>
      </c>
      <c r="O482" s="180">
        <v>1.36614929871868</v>
      </c>
      <c r="P482" s="180">
        <v>0.906536581367841</v>
      </c>
      <c r="Q482" s="180">
        <v>0.0190748001144376</v>
      </c>
      <c r="R482" s="180">
        <v>0.5543292604492071</v>
      </c>
      <c r="S482" s="180">
        <v>0.00484693232550689</v>
      </c>
      <c r="T482" s="180">
        <v>0</v>
      </c>
      <c r="U482" s="180">
        <v>0</v>
      </c>
      <c r="V482" s="180">
        <v>0</v>
      </c>
      <c r="W482" s="180"/>
      <c r="X482" s="68"/>
      <c r="Y482" s="179"/>
      <c r="Z482" s="179"/>
      <c r="AA482" s="179"/>
      <c r="AB482" s="179"/>
      <c r="AC482" s="179"/>
      <c r="AD482" s="181"/>
      <c r="AE482" s="180"/>
    </row>
    <row r="483" ht="21.25" customHeight="1">
      <c r="A483" t="s" s="8">
        <v>517</v>
      </c>
      <c r="B483" t="s" s="177">
        <v>945</v>
      </c>
      <c r="C483" s="178">
        <v>33</v>
      </c>
      <c r="D483" t="s" s="177">
        <v>927</v>
      </c>
      <c r="E483" s="68">
        <v>77.77</v>
      </c>
      <c r="F483" s="179">
        <v>21.2969455052395</v>
      </c>
      <c r="G483" s="180">
        <v>0.035817853830212</v>
      </c>
      <c r="H483" s="180">
        <v>0.225817686783032</v>
      </c>
      <c r="I483" s="180">
        <v>0.261635540613244</v>
      </c>
      <c r="J483" s="180">
        <v>0.990379752200835</v>
      </c>
      <c r="K483" s="180">
        <v>0.000161518419245632</v>
      </c>
      <c r="L483" s="180">
        <v>0.00255818955929927</v>
      </c>
      <c r="M483" s="180">
        <v>0.000339688981784941</v>
      </c>
      <c r="N483" s="180">
        <v>0.0181463783827149</v>
      </c>
      <c r="O483" s="180">
        <v>1.73033931778634</v>
      </c>
      <c r="P483" s="180">
        <v>0.950372977815117</v>
      </c>
      <c r="Q483" s="180">
        <v>0.08001850908333651</v>
      </c>
      <c r="R483" s="180">
        <v>0.349563417379783</v>
      </c>
      <c r="S483" s="180">
        <v>0.00575412869758232</v>
      </c>
      <c r="T483" s="180">
        <v>0</v>
      </c>
      <c r="U483" s="180">
        <v>0</v>
      </c>
      <c r="V483" s="180">
        <v>0</v>
      </c>
      <c r="W483" s="180"/>
      <c r="X483" s="68"/>
      <c r="Y483" s="179"/>
      <c r="Z483" s="179"/>
      <c r="AA483" s="179"/>
      <c r="AB483" s="179"/>
      <c r="AC483" s="179"/>
      <c r="AD483" s="181"/>
      <c r="AE483" s="180"/>
    </row>
    <row r="484" ht="21.25" customHeight="1">
      <c r="A484" t="s" s="8">
        <v>529</v>
      </c>
      <c r="B484" t="s" s="177">
        <v>950</v>
      </c>
      <c r="C484" s="182">
        <v>25</v>
      </c>
      <c r="D484" t="s" s="177">
        <v>927</v>
      </c>
      <c r="E484" s="68">
        <v>75.23</v>
      </c>
      <c r="F484" s="179">
        <v>18.9516721971109</v>
      </c>
      <c r="G484" s="180">
        <v>0.035376826488185</v>
      </c>
      <c r="H484" s="180">
        <v>0.225676857874977</v>
      </c>
      <c r="I484" s="180">
        <v>0.261053684363162</v>
      </c>
      <c r="J484" s="180">
        <v>1.11817087780481</v>
      </c>
      <c r="K484" s="180">
        <v>0.000181382431716967</v>
      </c>
      <c r="L484" s="180">
        <v>0.0012147121946145</v>
      </c>
      <c r="M484" s="180">
        <v>0.000340199560187377</v>
      </c>
      <c r="N484" s="180">
        <v>0.00845510720144488</v>
      </c>
      <c r="O484" s="180">
        <v>1.51838073062237</v>
      </c>
      <c r="P484" s="180">
        <v>1.33300393855948</v>
      </c>
      <c r="Q484" s="180">
        <v>0.08875170645618979</v>
      </c>
      <c r="R484" s="180">
        <v>0.62308131200561</v>
      </c>
      <c r="S484" s="180">
        <v>0.00602814517183951</v>
      </c>
      <c r="T484" s="180">
        <v>0</v>
      </c>
      <c r="U484" s="180">
        <v>0</v>
      </c>
      <c r="V484" s="180">
        <v>0</v>
      </c>
      <c r="W484" s="180"/>
      <c r="X484" s="68"/>
      <c r="Y484" s="179"/>
      <c r="Z484" s="179"/>
      <c r="AA484" s="179"/>
      <c r="AB484" s="179"/>
      <c r="AC484" s="179"/>
      <c r="AD484" s="181"/>
      <c r="AE484" s="180"/>
    </row>
    <row r="485" ht="21.25" customHeight="1">
      <c r="A485" t="s" s="8">
        <v>505</v>
      </c>
      <c r="B485" t="s" s="177">
        <v>956</v>
      </c>
      <c r="C485" s="178">
        <v>30</v>
      </c>
      <c r="D485" t="s" s="177">
        <v>927</v>
      </c>
      <c r="E485" s="68">
        <v>78.59999999999999</v>
      </c>
      <c r="F485" s="179">
        <v>19.3800172713415</v>
      </c>
      <c r="G485" s="180">
        <v>0.0352385836299506</v>
      </c>
      <c r="H485" s="180">
        <v>0.225708212981826</v>
      </c>
      <c r="I485" s="180">
        <v>0.260946796611777</v>
      </c>
      <c r="J485" s="180">
        <v>1.18266364441814</v>
      </c>
      <c r="K485" s="180">
        <v>0.000281683819995154</v>
      </c>
      <c r="L485" s="180">
        <v>0.00202961464571087</v>
      </c>
      <c r="M485" s="180">
        <v>0.008740933153377961</v>
      </c>
      <c r="N485" s="180">
        <v>0.0274099864750902</v>
      </c>
      <c r="O485" s="180">
        <v>1.41228580381065</v>
      </c>
      <c r="P485" s="180">
        <v>1.57653860629932</v>
      </c>
      <c r="Q485" s="180">
        <v>0.0342401900092221</v>
      </c>
      <c r="R485" s="180">
        <v>0.523184006204218</v>
      </c>
      <c r="S485" s="180">
        <v>0.00549733699622579</v>
      </c>
      <c r="T485" s="180">
        <v>0</v>
      </c>
      <c r="U485" s="180">
        <v>0</v>
      </c>
      <c r="V485" s="180">
        <v>0</v>
      </c>
      <c r="W485" s="180"/>
      <c r="X485" s="68"/>
      <c r="Y485" s="179"/>
      <c r="Z485" s="179"/>
      <c r="AA485" s="179"/>
      <c r="AB485" s="179"/>
      <c r="AC485" s="179"/>
      <c r="AD485" s="181"/>
      <c r="AE485" s="180"/>
    </row>
    <row r="486" ht="21.25" customHeight="1">
      <c r="A486" t="s" s="8">
        <v>752</v>
      </c>
      <c r="B486" t="s" s="177">
        <v>974</v>
      </c>
      <c r="C486" s="178">
        <v>28</v>
      </c>
      <c r="D486" t="s" s="177">
        <v>925</v>
      </c>
      <c r="E486" s="68">
        <v>70.4942857142857</v>
      </c>
      <c r="F486" s="179">
        <v>10.853233615277</v>
      </c>
      <c r="G486" s="180">
        <v>0.111156713461461</v>
      </c>
      <c r="H486" s="180">
        <v>0.149567599998091</v>
      </c>
      <c r="I486" s="180">
        <v>0.260724313459552</v>
      </c>
      <c r="J486" s="180">
        <v>1.53882596525368</v>
      </c>
      <c r="K486" s="180">
        <v>0.0006092433056710959</v>
      </c>
      <c r="L486" s="180">
        <v>0.00155782783391741</v>
      </c>
      <c r="M486" s="180">
        <v>0</v>
      </c>
      <c r="N486" s="180">
        <v>0</v>
      </c>
      <c r="O486" s="180">
        <v>0.737294889305189</v>
      </c>
      <c r="P486" s="180">
        <v>1.89575001933957</v>
      </c>
      <c r="Q486" s="180">
        <v>-0.00117079871026568</v>
      </c>
      <c r="R486" s="180">
        <v>0.222974774733739</v>
      </c>
      <c r="S486" s="180"/>
      <c r="T486" s="180">
        <v>0.308382440067212</v>
      </c>
      <c r="U486" s="180">
        <v>0.34442801111648</v>
      </c>
      <c r="V486" s="180">
        <v>0.472392008289765</v>
      </c>
      <c r="W486" s="180"/>
      <c r="X486" s="68"/>
      <c r="Y486" s="179"/>
      <c r="Z486" s="179"/>
      <c r="AA486" s="179"/>
      <c r="AB486" s="179"/>
      <c r="AC486" s="179"/>
      <c r="AD486" s="181"/>
      <c r="AE486" s="180"/>
    </row>
    <row r="487" ht="21.25" customHeight="1">
      <c r="A487" t="s" s="8">
        <v>761</v>
      </c>
      <c r="B487" t="s" s="177">
        <v>954</v>
      </c>
      <c r="C487" s="178">
        <v>30</v>
      </c>
      <c r="D487" t="s" s="177">
        <v>924</v>
      </c>
      <c r="E487" s="68">
        <v>78.07214285714289</v>
      </c>
      <c r="F487" s="179">
        <v>13.5901760926185</v>
      </c>
      <c r="G487" s="180">
        <v>0.12362391300778</v>
      </c>
      <c r="H487" s="180">
        <v>0.136630983027145</v>
      </c>
      <c r="I487" s="180">
        <v>0.260254896034926</v>
      </c>
      <c r="J487" s="180">
        <v>1.33910289678023</v>
      </c>
      <c r="K487" s="180">
        <v>0.00115753344744092</v>
      </c>
      <c r="L487" s="180">
        <v>0.00205706684578232</v>
      </c>
      <c r="M487" s="180">
        <v>0.00721714131174204</v>
      </c>
      <c r="N487" s="180">
        <v>0.011994161451861</v>
      </c>
      <c r="O487" s="180">
        <v>0.56985859804886</v>
      </c>
      <c r="P487" s="180">
        <v>2.27570827438833</v>
      </c>
      <c r="Q487" s="180">
        <v>-0.0884035833974382</v>
      </c>
      <c r="R487" s="180">
        <v>0.5191483733437799</v>
      </c>
      <c r="S487" s="180">
        <v>0.0132471534525754</v>
      </c>
      <c r="T487" s="180">
        <v>7.03435038544224</v>
      </c>
      <c r="U487" s="180">
        <v>6.81704374557917</v>
      </c>
      <c r="V487" s="180">
        <v>0.507844215456132</v>
      </c>
      <c r="W487" s="180"/>
      <c r="X487" s="68"/>
      <c r="Y487" s="179"/>
      <c r="Z487" s="179"/>
      <c r="AA487" s="179"/>
      <c r="AB487" s="179"/>
      <c r="AC487" s="179"/>
      <c r="AD487" s="181"/>
      <c r="AE487" s="180"/>
    </row>
    <row r="488" ht="21.25" customHeight="1">
      <c r="A488" t="s" s="8">
        <v>500</v>
      </c>
      <c r="B488" t="s" s="177">
        <v>962</v>
      </c>
      <c r="C488" s="178">
        <v>24</v>
      </c>
      <c r="D488" t="s" s="177">
        <v>927</v>
      </c>
      <c r="E488" s="68">
        <v>77.4121428571429</v>
      </c>
      <c r="F488" s="179">
        <v>21.5779769816702</v>
      </c>
      <c r="G488" s="180">
        <v>0.0544356825843248</v>
      </c>
      <c r="H488" s="180">
        <v>0.205192756826095</v>
      </c>
      <c r="I488" s="180">
        <v>0.25962843941042</v>
      </c>
      <c r="J488" s="180">
        <v>1.19345849933042</v>
      </c>
      <c r="K488" s="180">
        <v>0.00119005591445994</v>
      </c>
      <c r="L488" s="180">
        <v>0.00279781070044054</v>
      </c>
      <c r="M488" s="180">
        <v>0.00035804839448593</v>
      </c>
      <c r="N488" s="180">
        <v>0.0139874183017389</v>
      </c>
      <c r="O488" s="180">
        <v>1.59719894696096</v>
      </c>
      <c r="P488" s="180">
        <v>1.93289760681076</v>
      </c>
      <c r="Q488" s="180">
        <v>0.0063851738145052</v>
      </c>
      <c r="R488" s="180">
        <v>0.39065756605532</v>
      </c>
      <c r="S488" s="180">
        <v>0.00805980463164018</v>
      </c>
      <c r="T488" s="180">
        <v>0</v>
      </c>
      <c r="U488" s="180">
        <v>0</v>
      </c>
      <c r="V488" s="180">
        <v>0</v>
      </c>
      <c r="W488" s="180"/>
      <c r="X488" s="68"/>
      <c r="Y488" s="179"/>
      <c r="Z488" s="179"/>
      <c r="AA488" s="179"/>
      <c r="AB488" s="179"/>
      <c r="AC488" s="179"/>
      <c r="AD488" s="181"/>
      <c r="AE488" s="180"/>
    </row>
    <row r="489" ht="21.25" customHeight="1">
      <c r="A489" t="s" s="8">
        <v>563</v>
      </c>
      <c r="B489" t="s" s="177">
        <v>958</v>
      </c>
      <c r="C489" s="178">
        <v>27</v>
      </c>
      <c r="D489" t="s" s="177">
        <v>927</v>
      </c>
      <c r="E489" s="68">
        <v>75.4271428571429</v>
      </c>
      <c r="F489" s="179">
        <v>19.1066687682261</v>
      </c>
      <c r="G489" s="180">
        <v>0.0659367854668035</v>
      </c>
      <c r="H489" s="180">
        <v>0.193561909767588</v>
      </c>
      <c r="I489" s="180">
        <v>0.259498695234391</v>
      </c>
      <c r="J489" s="180">
        <v>0.935691315017213</v>
      </c>
      <c r="K489" s="180">
        <v>0.000258688304044898</v>
      </c>
      <c r="L489" s="180">
        <v>0.00176826064552606</v>
      </c>
      <c r="M489" s="180">
        <v>0.000350580499466648</v>
      </c>
      <c r="N489" s="180">
        <v>0.00130975865289073</v>
      </c>
      <c r="O489" s="180">
        <v>1.3397472780149</v>
      </c>
      <c r="P489" s="180">
        <v>1.9637793206953</v>
      </c>
      <c r="Q489" s="180">
        <v>0.0221750437369118</v>
      </c>
      <c r="R489" s="180">
        <v>0.633433132089032</v>
      </c>
      <c r="S489" s="180">
        <v>0.009915963362093961</v>
      </c>
      <c r="T489" s="180">
        <v>0</v>
      </c>
      <c r="U489" s="180">
        <v>0</v>
      </c>
      <c r="V489" s="180">
        <v>0</v>
      </c>
      <c r="W489" s="180"/>
      <c r="X489" s="68"/>
      <c r="Y489" s="179"/>
      <c r="Z489" s="179"/>
      <c r="AA489" s="179"/>
      <c r="AB489" s="179"/>
      <c r="AC489" s="179"/>
      <c r="AD489" s="181"/>
      <c r="AE489" s="180"/>
    </row>
    <row r="490" ht="21.25" customHeight="1">
      <c r="A490" t="s" s="8">
        <v>508</v>
      </c>
      <c r="B490" t="s" s="177">
        <v>943</v>
      </c>
      <c r="C490" s="178">
        <v>32</v>
      </c>
      <c r="D490" t="s" s="177">
        <v>927</v>
      </c>
      <c r="E490" s="68">
        <v>75.1832142857143</v>
      </c>
      <c r="F490" s="179">
        <v>17.101886266570</v>
      </c>
      <c r="G490" s="180">
        <v>0.0315728206729149</v>
      </c>
      <c r="H490" s="180">
        <v>0.227573186627415</v>
      </c>
      <c r="I490" s="180">
        <v>0.259146007300329</v>
      </c>
      <c r="J490" s="180">
        <v>1.41783188834129</v>
      </c>
      <c r="K490" s="180">
        <v>0.00559181132436229</v>
      </c>
      <c r="L490" s="180">
        <v>0.0367503910452515</v>
      </c>
      <c r="M490" s="180">
        <v>0.000194681425989248</v>
      </c>
      <c r="N490" s="180">
        <v>0.00402019655732604</v>
      </c>
      <c r="O490" s="180">
        <v>0.829661919607121</v>
      </c>
      <c r="P490" s="180">
        <v>1.10297301262089</v>
      </c>
      <c r="Q490" s="180">
        <v>2.33979173274055e-05</v>
      </c>
      <c r="R490" s="180">
        <v>0.453229113063122</v>
      </c>
      <c r="S490" s="180">
        <v>0.0045291931425893</v>
      </c>
      <c r="T490" s="180">
        <v>0</v>
      </c>
      <c r="U490" s="180">
        <v>0</v>
      </c>
      <c r="V490" s="180">
        <v>0</v>
      </c>
      <c r="W490" s="180"/>
      <c r="X490" s="68"/>
      <c r="Y490" s="179"/>
      <c r="Z490" s="179"/>
      <c r="AA490" s="179"/>
      <c r="AB490" s="179"/>
      <c r="AC490" s="179"/>
      <c r="AD490" s="181"/>
      <c r="AE490" s="180"/>
    </row>
    <row r="491" ht="21.25" customHeight="1">
      <c r="A491" t="s" s="8">
        <v>767</v>
      </c>
      <c r="B491" t="s" s="177">
        <v>967</v>
      </c>
      <c r="C491" s="178">
        <v>29</v>
      </c>
      <c r="D491" t="s" s="177">
        <v>925</v>
      </c>
      <c r="E491" s="68">
        <v>74.7</v>
      </c>
      <c r="F491" s="179">
        <v>13.2202528699822</v>
      </c>
      <c r="G491" s="180">
        <v>0.149170187644418</v>
      </c>
      <c r="H491" s="180">
        <v>0.109929756234564</v>
      </c>
      <c r="I491" s="180">
        <v>0.259099943878982</v>
      </c>
      <c r="J491" s="180">
        <v>1.2783193475988</v>
      </c>
      <c r="K491" s="180">
        <v>0.00022055455877978</v>
      </c>
      <c r="L491" s="180">
        <v>0.000558169008480941</v>
      </c>
      <c r="M491" s="180">
        <v>0.0195574584680446</v>
      </c>
      <c r="N491" s="180">
        <v>0.0209372997841771</v>
      </c>
      <c r="O491" s="180">
        <v>0.611278378416511</v>
      </c>
      <c r="P491" s="180">
        <v>1.22098616099466</v>
      </c>
      <c r="Q491" s="180">
        <v>-0.103898800493019</v>
      </c>
      <c r="R491" s="180">
        <v>0.252229521347448</v>
      </c>
      <c r="S491" s="180">
        <v>0.0142999055270639</v>
      </c>
      <c r="T491" s="180">
        <v>0.0809093946674533</v>
      </c>
      <c r="U491" s="180">
        <v>0.185100714459034</v>
      </c>
      <c r="V491" s="180">
        <v>0.304159097310775</v>
      </c>
      <c r="W491" s="180"/>
      <c r="X491" s="68"/>
      <c r="Y491" s="179"/>
      <c r="Z491" s="179"/>
      <c r="AA491" s="179"/>
      <c r="AB491" s="179"/>
      <c r="AC491" s="179"/>
      <c r="AD491" s="181"/>
      <c r="AE491" s="180"/>
    </row>
    <row r="492" ht="21.25" customHeight="1">
      <c r="A492" t="s" s="8">
        <v>489</v>
      </c>
      <c r="B492" t="s" s="177">
        <v>951</v>
      </c>
      <c r="C492" s="178">
        <v>28</v>
      </c>
      <c r="D492" t="s" s="177">
        <v>927</v>
      </c>
      <c r="E492" s="68">
        <v>77.48</v>
      </c>
      <c r="F492" s="179">
        <v>18.658760376882</v>
      </c>
      <c r="G492" s="180">
        <v>0.0536045398465938</v>
      </c>
      <c r="H492" s="180">
        <v>0.2054588853929</v>
      </c>
      <c r="I492" s="180">
        <v>0.259063425239494</v>
      </c>
      <c r="J492" s="180">
        <v>1.32662167916059</v>
      </c>
      <c r="K492" s="180">
        <v>0.000285903928191567</v>
      </c>
      <c r="L492" s="180">
        <v>0.00196040241025474</v>
      </c>
      <c r="M492" s="180">
        <v>0.00547403004214543</v>
      </c>
      <c r="N492" s="180">
        <v>0.00832187694340138</v>
      </c>
      <c r="O492" s="180">
        <v>1.50569300357504</v>
      </c>
      <c r="P492" s="180">
        <v>2.49667425161965</v>
      </c>
      <c r="Q492" s="180">
        <v>-0.0186469126012796</v>
      </c>
      <c r="R492" s="180">
        <v>0.714965376621577</v>
      </c>
      <c r="S492" s="180">
        <v>0.00686240261566974</v>
      </c>
      <c r="T492" s="180">
        <v>0</v>
      </c>
      <c r="U492" s="180">
        <v>0</v>
      </c>
      <c r="V492" s="180">
        <v>0</v>
      </c>
      <c r="W492" s="180"/>
      <c r="X492" s="68"/>
      <c r="Y492" s="179"/>
      <c r="Z492" s="179"/>
      <c r="AA492" s="179"/>
      <c r="AB492" s="179"/>
      <c r="AC492" s="179"/>
      <c r="AD492" s="181"/>
      <c r="AE492" s="180"/>
    </row>
    <row r="493" ht="21.25" customHeight="1">
      <c r="A493" t="s" s="8">
        <v>751</v>
      </c>
      <c r="B493" t="s" s="177">
        <v>973</v>
      </c>
      <c r="C493" s="178">
        <v>30</v>
      </c>
      <c r="D493" t="s" s="177">
        <v>926</v>
      </c>
      <c r="E493" s="68">
        <v>69.8860714285714</v>
      </c>
      <c r="F493" s="179">
        <v>13.1914524512245</v>
      </c>
      <c r="G493" s="180">
        <v>0.120831082023905</v>
      </c>
      <c r="H493" s="180">
        <v>0.136336529843774</v>
      </c>
      <c r="I493" s="180">
        <v>0.257167611867679</v>
      </c>
      <c r="J493" s="180">
        <v>1.46306634421761</v>
      </c>
      <c r="K493" s="180">
        <v>0.00316444318441417</v>
      </c>
      <c r="L493" s="180">
        <v>0.009378003946548769</v>
      </c>
      <c r="M493" s="180">
        <v>0.0166085145281699</v>
      </c>
      <c r="N493" s="180">
        <v>0.0209627804733787</v>
      </c>
      <c r="O493" s="180">
        <v>0.495079556007389</v>
      </c>
      <c r="P493" s="180">
        <v>1.19025676136432</v>
      </c>
      <c r="Q493" s="180">
        <v>-0.09898083999749779</v>
      </c>
      <c r="R493" s="180">
        <v>0.319686432081441</v>
      </c>
      <c r="S493" s="180">
        <v>0.0123781915499234</v>
      </c>
      <c r="T493" s="180">
        <v>0.0616089541066071</v>
      </c>
      <c r="U493" s="180">
        <v>0.178312159809076</v>
      </c>
      <c r="V493" s="180">
        <v>0.256788379734928</v>
      </c>
      <c r="W493" s="180"/>
      <c r="X493" s="68"/>
      <c r="Y493" s="179"/>
      <c r="Z493" s="179"/>
      <c r="AA493" s="179"/>
      <c r="AB493" s="179"/>
      <c r="AC493" s="179"/>
      <c r="AD493" s="181"/>
      <c r="AE493" s="180"/>
    </row>
    <row r="494" ht="21.25" customHeight="1">
      <c r="A494" t="s" s="8">
        <v>507</v>
      </c>
      <c r="B494" t="s" s="177">
        <v>972</v>
      </c>
      <c r="C494" s="178">
        <v>30</v>
      </c>
      <c r="D494" t="s" s="177">
        <v>927</v>
      </c>
      <c r="E494" s="68">
        <v>79.41249999999999</v>
      </c>
      <c r="F494" s="179">
        <v>19.1786486699695</v>
      </c>
      <c r="G494" s="180">
        <v>0.0669064624501393</v>
      </c>
      <c r="H494" s="180">
        <v>0.189443425550221</v>
      </c>
      <c r="I494" s="180">
        <v>0.25634988800036</v>
      </c>
      <c r="J494" s="180">
        <v>1.13358916790433</v>
      </c>
      <c r="K494" s="180">
        <v>0.000249319220302848</v>
      </c>
      <c r="L494" s="180">
        <v>0.00171895810644988</v>
      </c>
      <c r="M494" s="180">
        <v>0.000355002313353346</v>
      </c>
      <c r="N494" s="180">
        <v>0.00600796359174046</v>
      </c>
      <c r="O494" s="180">
        <v>1.4859342752203</v>
      </c>
      <c r="P494" s="180">
        <v>1.83924727030862</v>
      </c>
      <c r="Q494" s="180">
        <v>0.000320388437029302</v>
      </c>
      <c r="R494" s="180">
        <v>0.669299969185906</v>
      </c>
      <c r="S494" s="180">
        <v>0.009404437673881679</v>
      </c>
      <c r="T494" s="180">
        <v>0</v>
      </c>
      <c r="U494" s="180">
        <v>0</v>
      </c>
      <c r="V494" s="180">
        <v>0</v>
      </c>
      <c r="W494" s="180"/>
      <c r="X494" s="68"/>
      <c r="Y494" s="179"/>
      <c r="Z494" s="179"/>
      <c r="AA494" s="179"/>
      <c r="AB494" s="179"/>
      <c r="AC494" s="179"/>
      <c r="AD494" s="181"/>
      <c r="AE494" s="180"/>
    </row>
    <row r="495" ht="21.25" customHeight="1">
      <c r="A495" t="s" s="8">
        <v>497</v>
      </c>
      <c r="B495" t="s" s="177">
        <v>939</v>
      </c>
      <c r="C495" s="178">
        <v>29</v>
      </c>
      <c r="D495" t="s" s="177">
        <v>927</v>
      </c>
      <c r="E495" s="68">
        <v>80.6857142857143</v>
      </c>
      <c r="F495" s="179">
        <v>18.929549623939</v>
      </c>
      <c r="G495" s="180">
        <v>0.0417310673400904</v>
      </c>
      <c r="H495" s="180">
        <v>0.214075920703634</v>
      </c>
      <c r="I495" s="180">
        <v>0.255806988043724</v>
      </c>
      <c r="J495" s="180">
        <v>1.172345302836</v>
      </c>
      <c r="K495" s="180">
        <v>0.000251667715550371</v>
      </c>
      <c r="L495" s="180">
        <v>0.00179646772023359</v>
      </c>
      <c r="M495" s="180">
        <v>0.000252809732839105</v>
      </c>
      <c r="N495" s="180">
        <v>0.0104763845254671</v>
      </c>
      <c r="O495" s="180">
        <v>1.44577743419021</v>
      </c>
      <c r="P495" s="180">
        <v>1.60678262360404</v>
      </c>
      <c r="Q495" s="180">
        <v>0.055772525953254</v>
      </c>
      <c r="R495" s="180">
        <v>0.266591855757878</v>
      </c>
      <c r="S495" s="180">
        <v>0.00660557995093244</v>
      </c>
      <c r="T495" s="180">
        <v>0</v>
      </c>
      <c r="U495" s="180">
        <v>0</v>
      </c>
      <c r="V495" s="180">
        <v>0</v>
      </c>
      <c r="W495" s="180"/>
      <c r="X495" s="68"/>
      <c r="Y495" s="179"/>
      <c r="Z495" s="179"/>
      <c r="AA495" s="179"/>
      <c r="AB495" s="179"/>
      <c r="AC495" s="179"/>
      <c r="AD495" s="181"/>
      <c r="AE495" s="180"/>
    </row>
    <row r="496" ht="21.25" customHeight="1">
      <c r="A496" t="s" s="8">
        <v>728</v>
      </c>
      <c r="B496" t="s" s="177">
        <v>970</v>
      </c>
      <c r="C496" s="178">
        <v>31</v>
      </c>
      <c r="D496" t="s" s="177">
        <v>926</v>
      </c>
      <c r="E496" s="68">
        <v>81.56</v>
      </c>
      <c r="F496" s="179">
        <v>11.7869071393692</v>
      </c>
      <c r="G496" s="180">
        <v>0.129325636713741</v>
      </c>
      <c r="H496" s="180">
        <v>0.123904230591162</v>
      </c>
      <c r="I496" s="180">
        <v>0.253229867304904</v>
      </c>
      <c r="J496" s="180">
        <v>1.13311471322832</v>
      </c>
      <c r="K496" s="180">
        <v>0.000111270696959561</v>
      </c>
      <c r="L496" s="180">
        <v>0.000282622300921595</v>
      </c>
      <c r="M496" s="180">
        <v>0.00124583746898045</v>
      </c>
      <c r="N496" s="180">
        <v>0.0136630156778009</v>
      </c>
      <c r="O496" s="180">
        <v>0.847113384779838</v>
      </c>
      <c r="P496" s="180">
        <v>2.86382722338283</v>
      </c>
      <c r="Q496" s="180">
        <v>-0.056020216220195</v>
      </c>
      <c r="R496" s="180">
        <v>0.61925593557545</v>
      </c>
      <c r="S496" s="180">
        <v>0.015201665046662</v>
      </c>
      <c r="T496" s="180">
        <v>0.06495530075216729</v>
      </c>
      <c r="U496" s="180">
        <v>0.143206432279617</v>
      </c>
      <c r="V496" s="180">
        <v>0.312042467201449</v>
      </c>
      <c r="W496" s="180"/>
      <c r="X496" s="68"/>
      <c r="Y496" s="179"/>
      <c r="Z496" s="179"/>
      <c r="AA496" s="179"/>
      <c r="AB496" s="179"/>
      <c r="AC496" s="179"/>
      <c r="AD496" s="181"/>
      <c r="AE496" s="180"/>
    </row>
    <row r="497" ht="21.25" customHeight="1">
      <c r="A497" t="s" s="8">
        <v>492</v>
      </c>
      <c r="B497" t="s" s="177">
        <v>966</v>
      </c>
      <c r="C497" s="178">
        <v>24</v>
      </c>
      <c r="D497" t="s" s="177">
        <v>927</v>
      </c>
      <c r="E497" s="68">
        <v>77.1417857142857</v>
      </c>
      <c r="F497" s="179">
        <v>17.2500533962327</v>
      </c>
      <c r="G497" s="180">
        <v>0.057840965068761</v>
      </c>
      <c r="H497" s="180">
        <v>0.195126660548189</v>
      </c>
      <c r="I497" s="180">
        <v>0.25296762561695</v>
      </c>
      <c r="J497" s="180">
        <v>1.36947811266317</v>
      </c>
      <c r="K497" s="180">
        <v>0.000209558216537044</v>
      </c>
      <c r="L497" s="180">
        <v>0.0014271080130343</v>
      </c>
      <c r="M497" s="180">
        <v>0.000324179200893424</v>
      </c>
      <c r="N497" s="180">
        <v>0.00120662225567946</v>
      </c>
      <c r="O497" s="180">
        <v>1.46180647304674</v>
      </c>
      <c r="P497" s="180">
        <v>1.34893424667054</v>
      </c>
      <c r="Q497" s="180">
        <v>0.0529532012027076</v>
      </c>
      <c r="R497" s="180">
        <v>0.487072429300378</v>
      </c>
      <c r="S497" s="180">
        <v>0.00945279186896502</v>
      </c>
      <c r="T497" s="180">
        <v>0</v>
      </c>
      <c r="U497" s="180">
        <v>0</v>
      </c>
      <c r="V497" s="180">
        <v>0</v>
      </c>
      <c r="W497" s="180"/>
      <c r="X497" s="68"/>
      <c r="Y497" s="179"/>
      <c r="Z497" s="179"/>
      <c r="AA497" s="179"/>
      <c r="AB497" s="179"/>
      <c r="AC497" s="179"/>
      <c r="AD497" s="181"/>
      <c r="AE497" s="180"/>
    </row>
    <row r="498" ht="21.25" customHeight="1">
      <c r="A498" t="s" s="8">
        <v>551</v>
      </c>
      <c r="B498" t="s" s="177">
        <v>969</v>
      </c>
      <c r="C498" s="178">
        <v>31</v>
      </c>
      <c r="D498" t="s" s="177">
        <v>927</v>
      </c>
      <c r="E498" s="68">
        <v>79.7410714285714</v>
      </c>
      <c r="F498" s="179">
        <v>18.5892971277499</v>
      </c>
      <c r="G498" s="180">
        <v>0.0298302022586727</v>
      </c>
      <c r="H498" s="180">
        <v>0.223044267984263</v>
      </c>
      <c r="I498" s="180">
        <v>0.252874470242937</v>
      </c>
      <c r="J498" s="180">
        <v>0.825500156048705</v>
      </c>
      <c r="K498" s="180">
        <v>0.00025148472179075</v>
      </c>
      <c r="L498" s="180">
        <v>0.00187149706946185</v>
      </c>
      <c r="M498" s="180">
        <v>0.00268916218389461</v>
      </c>
      <c r="N498" s="180">
        <v>0.0111128333537886</v>
      </c>
      <c r="O498" s="180">
        <v>1.50065403851283</v>
      </c>
      <c r="P498" s="180">
        <v>1.66520708037965</v>
      </c>
      <c r="Q498" s="180">
        <v>-0.0210454425506234</v>
      </c>
      <c r="R498" s="180">
        <v>0.468482224719815</v>
      </c>
      <c r="S498" s="180">
        <v>0.00394760546353882</v>
      </c>
      <c r="T498" s="180">
        <v>0</v>
      </c>
      <c r="U498" s="180">
        <v>0</v>
      </c>
      <c r="V498" s="180">
        <v>0</v>
      </c>
      <c r="W498" s="180"/>
      <c r="X498" s="68"/>
      <c r="Y498" s="179"/>
      <c r="Z498" s="179"/>
      <c r="AA498" s="179"/>
      <c r="AB498" s="179"/>
      <c r="AC498" s="179"/>
      <c r="AD498" s="181"/>
      <c r="AE498" s="180"/>
    </row>
    <row r="499" ht="21.25" customHeight="1">
      <c r="A499" t="s" s="8">
        <v>783</v>
      </c>
      <c r="B499" t="s" s="177">
        <v>960</v>
      </c>
      <c r="C499" s="178">
        <v>35</v>
      </c>
      <c r="D499" t="s" s="177">
        <v>925</v>
      </c>
      <c r="E499" s="68">
        <v>74.625</v>
      </c>
      <c r="F499" s="179">
        <v>11.9267202667683</v>
      </c>
      <c r="G499" s="180">
        <v>0.0780738142705356</v>
      </c>
      <c r="H499" s="180">
        <v>0.174308664684857</v>
      </c>
      <c r="I499" s="180">
        <v>0.252382478955393</v>
      </c>
      <c r="J499" s="180">
        <v>1.15417602732046</v>
      </c>
      <c r="K499" s="180">
        <v>0.0018292987352274</v>
      </c>
      <c r="L499" s="180">
        <v>0.00524417234682134</v>
      </c>
      <c r="M499" s="180">
        <v>0.00202783554298145</v>
      </c>
      <c r="N499" s="180">
        <v>0.0148809123739644</v>
      </c>
      <c r="O499" s="180">
        <v>0.526016407667255</v>
      </c>
      <c r="P499" s="180">
        <v>2.31113262373109</v>
      </c>
      <c r="Q499" s="180">
        <v>-0.0692081144501432</v>
      </c>
      <c r="R499" s="180">
        <v>0.609625778392723</v>
      </c>
      <c r="S499" s="180">
        <v>0.0091488107230327</v>
      </c>
      <c r="T499" s="180">
        <v>0.7788719876726951</v>
      </c>
      <c r="U499" s="180">
        <v>0.6911810003715541</v>
      </c>
      <c r="V499" s="180">
        <v>0.5298257913198779</v>
      </c>
      <c r="W499" s="180"/>
      <c r="X499" s="68"/>
      <c r="Y499" s="179"/>
      <c r="Z499" s="179"/>
      <c r="AA499" s="179"/>
      <c r="AB499" s="179"/>
      <c r="AC499" s="179"/>
      <c r="AD499" s="181"/>
      <c r="AE499" s="180"/>
    </row>
    <row r="500" ht="21.25" customHeight="1">
      <c r="A500" t="s" s="8">
        <v>510</v>
      </c>
      <c r="B500" t="s" s="177">
        <v>964</v>
      </c>
      <c r="C500" s="178">
        <v>33</v>
      </c>
      <c r="D500" t="s" s="177">
        <v>927</v>
      </c>
      <c r="E500" s="68">
        <v>74.90000000000001</v>
      </c>
      <c r="F500" s="179">
        <v>19.8791305522983</v>
      </c>
      <c r="G500" s="180">
        <v>0.0421489327477982</v>
      </c>
      <c r="H500" s="180">
        <v>0.209947421086634</v>
      </c>
      <c r="I500" s="180">
        <v>0.252096353834433</v>
      </c>
      <c r="J500" s="180">
        <v>1.15183162933756</v>
      </c>
      <c r="K500" s="180">
        <v>0.000833058429403301</v>
      </c>
      <c r="L500" s="180">
        <v>0.00908582766533261</v>
      </c>
      <c r="M500" s="180">
        <v>0.000256685130101512</v>
      </c>
      <c r="N500" s="180">
        <v>0.00146207825431502</v>
      </c>
      <c r="O500" s="180">
        <v>1.864763045610</v>
      </c>
      <c r="P500" s="180">
        <v>0.895678657290528</v>
      </c>
      <c r="Q500" s="180">
        <v>0.0554724792376672</v>
      </c>
      <c r="R500" s="180">
        <v>0.296370487940243</v>
      </c>
      <c r="S500" s="180">
        <v>0.00704301290408026</v>
      </c>
      <c r="T500" s="180">
        <v>0</v>
      </c>
      <c r="U500" s="180">
        <v>0</v>
      </c>
      <c r="V500" s="180">
        <v>0</v>
      </c>
      <c r="W500" s="180"/>
      <c r="X500" s="68"/>
      <c r="Y500" s="179"/>
      <c r="Z500" s="179"/>
      <c r="AA500" s="179"/>
      <c r="AB500" s="179"/>
      <c r="AC500" s="179"/>
      <c r="AD500" s="181"/>
      <c r="AE500" s="180"/>
    </row>
    <row r="501" ht="21.25" customHeight="1">
      <c r="A501" t="s" s="8">
        <v>777</v>
      </c>
      <c r="B501" t="s" s="177">
        <v>955</v>
      </c>
      <c r="C501" s="178">
        <v>24</v>
      </c>
      <c r="D501" t="s" s="177">
        <v>926</v>
      </c>
      <c r="E501" s="68">
        <v>68.9975</v>
      </c>
      <c r="F501" s="179">
        <v>11.8647816137548</v>
      </c>
      <c r="G501" s="180">
        <v>0.130990252245143</v>
      </c>
      <c r="H501" s="180">
        <v>0.120776978706269</v>
      </c>
      <c r="I501" s="180">
        <v>0.251767230951412</v>
      </c>
      <c r="J501" s="180">
        <v>1.26243081486526</v>
      </c>
      <c r="K501" s="180">
        <v>0.000794442969169159</v>
      </c>
      <c r="L501" s="180">
        <v>0.00203303861621176</v>
      </c>
      <c r="M501" s="180">
        <v>0.011158755697153</v>
      </c>
      <c r="N501" s="180">
        <v>0.0129889625634248</v>
      </c>
      <c r="O501" s="180">
        <v>0.632686290403326</v>
      </c>
      <c r="P501" s="180">
        <v>1.83316693748383</v>
      </c>
      <c r="Q501" s="180">
        <v>-0.04996339878166</v>
      </c>
      <c r="R501" s="180">
        <v>0.272392774889004</v>
      </c>
      <c r="S501" s="180">
        <v>0.0150734061472133</v>
      </c>
      <c r="T501" s="180">
        <v>0.0307481634756984</v>
      </c>
      <c r="U501" s="180">
        <v>0.08348358979387351</v>
      </c>
      <c r="V501" s="180">
        <v>0.269173523084573</v>
      </c>
      <c r="W501" s="180"/>
      <c r="X501" s="68"/>
      <c r="Y501" s="179"/>
      <c r="Z501" s="179"/>
      <c r="AA501" s="179"/>
      <c r="AB501" s="179"/>
      <c r="AC501" s="179"/>
      <c r="AD501" s="181"/>
      <c r="AE501" s="180"/>
    </row>
    <row r="502" ht="21.25" customHeight="1">
      <c r="A502" t="s" s="8">
        <v>766</v>
      </c>
      <c r="B502" t="s" s="177">
        <v>943</v>
      </c>
      <c r="C502" s="178">
        <v>28</v>
      </c>
      <c r="D502" t="s" s="177">
        <v>925</v>
      </c>
      <c r="E502" s="68">
        <v>72</v>
      </c>
      <c r="F502" s="179">
        <v>11.2058985095275</v>
      </c>
      <c r="G502" s="180">
        <v>0.134990301719879</v>
      </c>
      <c r="H502" s="180">
        <v>0.116688012592814</v>
      </c>
      <c r="I502" s="180">
        <v>0.251678314312693</v>
      </c>
      <c r="J502" s="180">
        <v>1.5760852064502</v>
      </c>
      <c r="K502" s="180">
        <v>0.000723846100767089</v>
      </c>
      <c r="L502" s="180">
        <v>0.00183884460155821</v>
      </c>
      <c r="M502" s="180">
        <v>0.000681779802163898</v>
      </c>
      <c r="N502" s="180">
        <v>0.00310604049309145</v>
      </c>
      <c r="O502" s="180">
        <v>0.272364427675154</v>
      </c>
      <c r="P502" s="180">
        <v>1.88196849611898</v>
      </c>
      <c r="Q502" s="180">
        <v>0.0359629166033011</v>
      </c>
      <c r="R502" s="180">
        <v>0.773610412819968</v>
      </c>
      <c r="S502" s="180">
        <v>0.0193646666922678</v>
      </c>
      <c r="T502" s="180">
        <v>0.103336134642152</v>
      </c>
      <c r="U502" s="180">
        <v>0.212035843207689</v>
      </c>
      <c r="V502" s="180">
        <v>0.327664288205574</v>
      </c>
      <c r="W502" s="180"/>
      <c r="X502" s="68"/>
      <c r="Y502" s="179"/>
      <c r="Z502" s="179"/>
      <c r="AA502" s="179"/>
      <c r="AB502" s="179"/>
      <c r="AC502" s="179"/>
      <c r="AD502" s="181"/>
      <c r="AE502" s="180"/>
    </row>
    <row r="503" ht="21.25" customHeight="1">
      <c r="A503" t="s" s="8">
        <v>530</v>
      </c>
      <c r="B503" t="s" s="177">
        <v>966</v>
      </c>
      <c r="C503" s="178">
        <v>26</v>
      </c>
      <c r="D503" t="s" s="177">
        <v>927</v>
      </c>
      <c r="E503" s="68">
        <v>74.05285714285711</v>
      </c>
      <c r="F503" s="179">
        <v>17.3673324608154</v>
      </c>
      <c r="G503" s="180">
        <v>0.082456983160796</v>
      </c>
      <c r="H503" s="180">
        <v>0.169017139932537</v>
      </c>
      <c r="I503" s="180">
        <v>0.251474123093333</v>
      </c>
      <c r="J503" s="180">
        <v>1.19415785115527</v>
      </c>
      <c r="K503" s="180">
        <v>0.000101596227841063</v>
      </c>
      <c r="L503" s="180">
        <v>0.000697460580119615</v>
      </c>
      <c r="M503" s="180">
        <v>0.00447195449488241</v>
      </c>
      <c r="N503" s="180">
        <v>0.00587649190149591</v>
      </c>
      <c r="O503" s="180">
        <v>1.60326451856739</v>
      </c>
      <c r="P503" s="180">
        <v>1.5061419257504</v>
      </c>
      <c r="Q503" s="180">
        <v>0.0640307801406802</v>
      </c>
      <c r="R503" s="180">
        <v>0.440736369358566</v>
      </c>
      <c r="S503" s="180">
        <v>0.013475720867298</v>
      </c>
      <c r="T503" s="180">
        <v>0</v>
      </c>
      <c r="U503" s="180">
        <v>0</v>
      </c>
      <c r="V503" s="180">
        <v>0</v>
      </c>
      <c r="W503" s="180"/>
      <c r="X503" s="68"/>
      <c r="Y503" s="179"/>
      <c r="Z503" s="179"/>
      <c r="AA503" s="179"/>
      <c r="AB503" s="179"/>
      <c r="AC503" s="179"/>
      <c r="AD503" s="181"/>
      <c r="AE503" s="180"/>
    </row>
    <row r="504" ht="21.25" customHeight="1">
      <c r="A504" t="s" s="8">
        <v>799</v>
      </c>
      <c r="B504" t="s" s="177">
        <v>960</v>
      </c>
      <c r="C504" s="178">
        <v>25</v>
      </c>
      <c r="D504" t="s" s="177">
        <v>925</v>
      </c>
      <c r="E504" s="68">
        <v>72.2075</v>
      </c>
      <c r="F504" s="179">
        <v>12.2772769974769</v>
      </c>
      <c r="G504" s="180">
        <v>0.0904528891919021</v>
      </c>
      <c r="H504" s="180">
        <v>0.159933083924104</v>
      </c>
      <c r="I504" s="180">
        <v>0.250385973116006</v>
      </c>
      <c r="J504" s="180">
        <v>1.11438001534236</v>
      </c>
      <c r="K504" s="180">
        <v>0.0028677485184592</v>
      </c>
      <c r="L504" s="180">
        <v>0.00724402898399054</v>
      </c>
      <c r="M504" s="180">
        <v>0.00289582954269668</v>
      </c>
      <c r="N504" s="180">
        <v>0.0189938297134174</v>
      </c>
      <c r="O504" s="180">
        <v>0.356089064419051</v>
      </c>
      <c r="P504" s="180">
        <v>1.79151000601193</v>
      </c>
      <c r="Q504" s="180">
        <v>-0.0900527163003278</v>
      </c>
      <c r="R504" s="180">
        <v>0.400166158124387</v>
      </c>
      <c r="S504" s="180">
        <v>0.0105994099340484</v>
      </c>
      <c r="T504" s="180">
        <v>0.0759833254264841</v>
      </c>
      <c r="U504" s="180">
        <v>0.206585905980149</v>
      </c>
      <c r="V504" s="180">
        <v>0.268901624738965</v>
      </c>
      <c r="W504" s="180"/>
      <c r="X504" s="68"/>
      <c r="Y504" s="179"/>
      <c r="Z504" s="179"/>
      <c r="AA504" s="179"/>
      <c r="AB504" s="179"/>
      <c r="AC504" s="179"/>
      <c r="AD504" s="181"/>
      <c r="AE504" s="180"/>
    </row>
    <row r="505" ht="21.25" customHeight="1">
      <c r="A505" t="s" s="8">
        <v>572</v>
      </c>
      <c r="B505" t="s" s="177">
        <v>941</v>
      </c>
      <c r="C505" s="182">
        <v>31</v>
      </c>
      <c r="D505" t="s" s="177">
        <v>927</v>
      </c>
      <c r="E505" s="68">
        <v>67.6803571428571</v>
      </c>
      <c r="F505" s="179">
        <v>17.4882093944543</v>
      </c>
      <c r="G505" s="180">
        <v>0.06492295640155429</v>
      </c>
      <c r="H505" s="180">
        <v>0.185440177274715</v>
      </c>
      <c r="I505" s="180">
        <v>0.25036313367627</v>
      </c>
      <c r="J505" s="180">
        <v>1.30113757355755</v>
      </c>
      <c r="K505" s="180">
        <v>0.000119455993638628</v>
      </c>
      <c r="L505" s="180">
        <v>0.000824786415285243</v>
      </c>
      <c r="M505" s="180">
        <v>0.00053903667736769</v>
      </c>
      <c r="N505" s="180">
        <v>0.00209965138628948</v>
      </c>
      <c r="O505" s="180">
        <v>1.27447914886188</v>
      </c>
      <c r="P505" s="180">
        <v>2.0456578367541</v>
      </c>
      <c r="Q505" s="180">
        <v>0.0508051068049538</v>
      </c>
      <c r="R505" s="180">
        <v>0.972092381118299</v>
      </c>
      <c r="S505" s="180">
        <v>0.0102717898800226</v>
      </c>
      <c r="T505" s="180">
        <v>0</v>
      </c>
      <c r="U505" s="180">
        <v>0</v>
      </c>
      <c r="V505" s="180">
        <v>0</v>
      </c>
      <c r="W505" s="180"/>
      <c r="X505" s="68"/>
      <c r="Y505" s="179"/>
      <c r="Z505" s="179"/>
      <c r="AA505" s="179"/>
      <c r="AB505" s="179"/>
      <c r="AC505" s="179"/>
      <c r="AD505" s="181"/>
      <c r="AE505" s="180"/>
    </row>
    <row r="506" ht="21.25" customHeight="1">
      <c r="A506" t="s" s="8">
        <v>486</v>
      </c>
      <c r="B506" t="s" s="177">
        <v>964</v>
      </c>
      <c r="C506" s="178">
        <v>28</v>
      </c>
      <c r="D506" t="s" s="177">
        <v>927</v>
      </c>
      <c r="E506" s="68">
        <v>80.78357142857141</v>
      </c>
      <c r="F506" s="179">
        <v>18.4715989786585</v>
      </c>
      <c r="G506" s="180">
        <v>0.0891019210273913</v>
      </c>
      <c r="H506" s="180">
        <v>0.159503922808299</v>
      </c>
      <c r="I506" s="180">
        <v>0.24860584383569</v>
      </c>
      <c r="J506" s="180">
        <v>1.4493156265911</v>
      </c>
      <c r="K506" s="180">
        <v>0.000427057855082252</v>
      </c>
      <c r="L506" s="180">
        <v>0.00435842336479498</v>
      </c>
      <c r="M506" s="180">
        <v>0.000338843690243921</v>
      </c>
      <c r="N506" s="180">
        <v>0.00180602175696676</v>
      </c>
      <c r="O506" s="180">
        <v>1.02069644711829</v>
      </c>
      <c r="P506" s="180">
        <v>2.11275880144818</v>
      </c>
      <c r="Q506" s="180">
        <v>0.0346349208591971</v>
      </c>
      <c r="R506" s="180">
        <v>0.785441429609737</v>
      </c>
      <c r="S506" s="180">
        <v>0.0148887750807176</v>
      </c>
      <c r="T506" s="180">
        <v>0</v>
      </c>
      <c r="U506" s="180">
        <v>0</v>
      </c>
      <c r="V506" s="180">
        <v>0</v>
      </c>
      <c r="W506" s="180"/>
      <c r="X506" s="68"/>
      <c r="Y506" s="179"/>
      <c r="Z506" s="179"/>
      <c r="AA506" s="179"/>
      <c r="AB506" s="179"/>
      <c r="AC506" s="179"/>
      <c r="AD506" s="181"/>
      <c r="AE506" s="180"/>
    </row>
    <row r="507" ht="21.25" customHeight="1">
      <c r="A507" t="s" s="8">
        <v>538</v>
      </c>
      <c r="B507" t="s" s="177">
        <v>970</v>
      </c>
      <c r="C507" s="178">
        <v>28</v>
      </c>
      <c r="D507" t="s" s="177">
        <v>927</v>
      </c>
      <c r="E507" s="68">
        <v>68.1321428571429</v>
      </c>
      <c r="F507" s="179">
        <v>16.2295943765264</v>
      </c>
      <c r="G507" s="180">
        <v>0.060344532450895</v>
      </c>
      <c r="H507" s="180">
        <v>0.1879622911394</v>
      </c>
      <c r="I507" s="180">
        <v>0.248306823590295</v>
      </c>
      <c r="J507" s="180">
        <v>1.51620144366511</v>
      </c>
      <c r="K507" s="180">
        <v>0.000281444539058333</v>
      </c>
      <c r="L507" s="180">
        <v>0.00402517910313344</v>
      </c>
      <c r="M507" s="180">
        <v>0.000207231904406932</v>
      </c>
      <c r="N507" s="180">
        <v>0.000777747886586866</v>
      </c>
      <c r="O507" s="180">
        <v>1.4165141322754</v>
      </c>
      <c r="P507" s="180">
        <v>1.20617078160655</v>
      </c>
      <c r="Q507" s="180">
        <v>-0.06980414233793179</v>
      </c>
      <c r="R507" s="180">
        <v>0.47387670211357</v>
      </c>
      <c r="S507" s="180">
        <v>0.00709323683243429</v>
      </c>
      <c r="T507" s="180">
        <v>0</v>
      </c>
      <c r="U507" s="180">
        <v>0</v>
      </c>
      <c r="V507" s="180">
        <v>0</v>
      </c>
      <c r="W507" s="180"/>
      <c r="X507" s="68"/>
      <c r="Y507" s="179"/>
      <c r="Z507" s="179"/>
      <c r="AA507" s="179"/>
      <c r="AB507" s="179"/>
      <c r="AC507" s="179"/>
      <c r="AD507" s="181"/>
      <c r="AE507" s="180"/>
    </row>
    <row r="508" ht="21.25" customHeight="1">
      <c r="A508" t="s" s="8">
        <v>533</v>
      </c>
      <c r="B508" t="s" s="177">
        <v>956</v>
      </c>
      <c r="C508" s="178">
        <v>32</v>
      </c>
      <c r="D508" t="s" s="177">
        <v>927</v>
      </c>
      <c r="E508" s="68">
        <v>81.61750000000001</v>
      </c>
      <c r="F508" s="179">
        <v>18.5546709654024</v>
      </c>
      <c r="G508" s="180">
        <v>0.0286258830134916</v>
      </c>
      <c r="H508" s="180">
        <v>0.219566819863779</v>
      </c>
      <c r="I508" s="180">
        <v>0.248192702877271</v>
      </c>
      <c r="J508" s="180">
        <v>0.988574502150004</v>
      </c>
      <c r="K508" s="180">
        <v>0.000238546736263111</v>
      </c>
      <c r="L508" s="180">
        <v>0.00227965844719693</v>
      </c>
      <c r="M508" s="180">
        <v>0.000270116452691027</v>
      </c>
      <c r="N508" s="180">
        <v>0.00975221076317912</v>
      </c>
      <c r="O508" s="180">
        <v>1.32645072069594</v>
      </c>
      <c r="P508" s="180">
        <v>2.1963754184952</v>
      </c>
      <c r="Q508" s="180">
        <v>0.015656562738751</v>
      </c>
      <c r="R508" s="180">
        <v>0.762500023102587</v>
      </c>
      <c r="S508" s="180">
        <v>0.00446573356614559</v>
      </c>
      <c r="T508" s="180">
        <v>0</v>
      </c>
      <c r="U508" s="180">
        <v>0</v>
      </c>
      <c r="V508" s="180">
        <v>0</v>
      </c>
      <c r="W508" s="180"/>
      <c r="X508" s="68"/>
      <c r="Y508" s="179"/>
      <c r="Z508" s="179"/>
      <c r="AA508" s="179"/>
      <c r="AB508" s="179"/>
      <c r="AC508" s="179"/>
      <c r="AD508" s="181"/>
      <c r="AE508" s="180"/>
    </row>
    <row r="509" ht="21.25" customHeight="1">
      <c r="A509" t="s" s="8">
        <v>570</v>
      </c>
      <c r="B509" t="s" s="177">
        <v>943</v>
      </c>
      <c r="C509" s="178">
        <v>30</v>
      </c>
      <c r="D509" t="s" s="177">
        <v>927</v>
      </c>
      <c r="E509" s="68">
        <v>67.45357142857139</v>
      </c>
      <c r="F509" s="179">
        <v>16.1528916506098</v>
      </c>
      <c r="G509" s="180">
        <v>0.0290004313360585</v>
      </c>
      <c r="H509" s="180">
        <v>0.218660510811137</v>
      </c>
      <c r="I509" s="180">
        <v>0.247660942147195</v>
      </c>
      <c r="J509" s="180">
        <v>1.42526169070018</v>
      </c>
      <c r="K509" s="180">
        <v>0.0009803343035181429</v>
      </c>
      <c r="L509" s="180">
        <v>0.0214618716153376</v>
      </c>
      <c r="M509" s="180">
        <v>0.00112696613245512</v>
      </c>
      <c r="N509" s="180">
        <v>0.00155234119571743</v>
      </c>
      <c r="O509" s="180">
        <v>0.891435216453405</v>
      </c>
      <c r="P509" s="180">
        <v>1.32493576383085</v>
      </c>
      <c r="Q509" s="180">
        <v>0.0377735543642828</v>
      </c>
      <c r="R509" s="180">
        <v>0.375145574815945</v>
      </c>
      <c r="S509" s="180">
        <v>0.00416017802464152</v>
      </c>
      <c r="T509" s="180">
        <v>0</v>
      </c>
      <c r="U509" s="180">
        <v>0</v>
      </c>
      <c r="V509" s="180">
        <v>0</v>
      </c>
      <c r="W509" s="180"/>
      <c r="X509" s="68"/>
      <c r="Y509" s="179"/>
      <c r="Z509" s="179"/>
      <c r="AA509" s="179"/>
      <c r="AB509" s="179"/>
      <c r="AC509" s="179"/>
      <c r="AD509" s="181"/>
      <c r="AE509" s="180"/>
    </row>
    <row r="510" ht="21.25" customHeight="1">
      <c r="A510" t="s" s="8">
        <v>778</v>
      </c>
      <c r="B510" t="s" s="177">
        <v>965</v>
      </c>
      <c r="C510" s="178">
        <v>27</v>
      </c>
      <c r="D510" t="s" s="177">
        <v>925</v>
      </c>
      <c r="E510" s="68">
        <v>79.14142857142861</v>
      </c>
      <c r="F510" s="179">
        <v>11.2311320841553</v>
      </c>
      <c r="G510" s="180">
        <v>0.113200984904195</v>
      </c>
      <c r="H510" s="180">
        <v>0.134407441284538</v>
      </c>
      <c r="I510" s="180">
        <v>0.247608426188733</v>
      </c>
      <c r="J510" s="180">
        <v>1.15288566651563</v>
      </c>
      <c r="K510" s="180">
        <v>0.0011432880981203</v>
      </c>
      <c r="L510" s="180">
        <v>0.00479113902308074</v>
      </c>
      <c r="M510" s="180">
        <v>0.000721703329447983</v>
      </c>
      <c r="N510" s="180">
        <v>0.00132982331491009</v>
      </c>
      <c r="O510" s="180">
        <v>0.416358114829976</v>
      </c>
      <c r="P510" s="180">
        <v>1.04125988954379</v>
      </c>
      <c r="Q510" s="180">
        <v>-0.012376252389637</v>
      </c>
      <c r="R510" s="180">
        <v>0.238925146404398</v>
      </c>
      <c r="S510" s="180">
        <v>0.0140545536822482</v>
      </c>
      <c r="T510" s="180">
        <v>0.109442365495227</v>
      </c>
      <c r="U510" s="180">
        <v>0.134199425815167</v>
      </c>
      <c r="V510" s="180">
        <v>0.449193731939855</v>
      </c>
      <c r="W510" s="180"/>
      <c r="X510" s="68"/>
      <c r="Y510" s="179"/>
      <c r="Z510" s="179"/>
      <c r="AA510" s="179"/>
      <c r="AB510" s="179"/>
      <c r="AC510" s="179"/>
      <c r="AD510" s="181"/>
      <c r="AE510" s="180"/>
    </row>
    <row r="511" ht="21.25" customHeight="1">
      <c r="A511" t="s" s="8">
        <v>485</v>
      </c>
      <c r="B511" t="s" s="177">
        <v>966</v>
      </c>
      <c r="C511" s="178">
        <v>36</v>
      </c>
      <c r="D511" t="s" s="177">
        <v>927</v>
      </c>
      <c r="E511" s="68">
        <v>73.00321428571429</v>
      </c>
      <c r="F511" s="179">
        <v>19.5396674948032</v>
      </c>
      <c r="G511" s="180">
        <v>0.0611297841175851</v>
      </c>
      <c r="H511" s="180">
        <v>0.186438797938811</v>
      </c>
      <c r="I511" s="180">
        <v>0.247568582056396</v>
      </c>
      <c r="J511" s="180">
        <v>1.11385028338217</v>
      </c>
      <c r="K511" s="180">
        <v>0.00142047792166655</v>
      </c>
      <c r="L511" s="180">
        <v>0.00538840335464634</v>
      </c>
      <c r="M511" s="180">
        <v>0.00044890529060014</v>
      </c>
      <c r="N511" s="180">
        <v>0.00179062744196689</v>
      </c>
      <c r="O511" s="180">
        <v>2.76630583212794</v>
      </c>
      <c r="P511" s="180">
        <v>0.894012824303359</v>
      </c>
      <c r="Q511" s="180">
        <v>0.0796988093237463</v>
      </c>
      <c r="R511" s="180">
        <v>0.333520969966128</v>
      </c>
      <c r="S511" s="180">
        <v>0.009990274636174461</v>
      </c>
      <c r="T511" s="180">
        <v>0</v>
      </c>
      <c r="U511" s="180">
        <v>0</v>
      </c>
      <c r="V511" s="180">
        <v>0</v>
      </c>
      <c r="W511" s="180"/>
      <c r="X511" s="68"/>
      <c r="Y511" s="179"/>
      <c r="Z511" s="179"/>
      <c r="AA511" s="179"/>
      <c r="AB511" s="179"/>
      <c r="AC511" s="179"/>
      <c r="AD511" s="181"/>
      <c r="AE511" s="180"/>
    </row>
    <row r="512" ht="21.25" customHeight="1">
      <c r="A512" t="s" s="8">
        <v>847</v>
      </c>
      <c r="B512" t="s" s="177">
        <v>955</v>
      </c>
      <c r="C512" s="178">
        <v>22</v>
      </c>
      <c r="D512" t="s" s="177">
        <v>924</v>
      </c>
      <c r="E512" s="68">
        <v>59.62</v>
      </c>
      <c r="F512" s="179">
        <v>9.62535401827091</v>
      </c>
      <c r="G512" s="180">
        <v>0.107217295073873</v>
      </c>
      <c r="H512" s="180">
        <v>0.139953411356371</v>
      </c>
      <c r="I512" s="180">
        <v>0.247170706430244</v>
      </c>
      <c r="J512" s="180">
        <v>0.969859463214754</v>
      </c>
      <c r="K512" s="180">
        <v>0.000818349975269133</v>
      </c>
      <c r="L512" s="180">
        <v>0.00206596008256022</v>
      </c>
      <c r="M512" s="180">
        <v>0.000670018068611209</v>
      </c>
      <c r="N512" s="180">
        <v>0.00122189632971162</v>
      </c>
      <c r="O512" s="180">
        <v>0.424127850961829</v>
      </c>
      <c r="P512" s="180">
        <v>1.1975849297493</v>
      </c>
      <c r="Q512" s="180">
        <v>-0.0422897708545837</v>
      </c>
      <c r="R512" s="180">
        <v>0.255323866571065</v>
      </c>
      <c r="S512" s="180">
        <v>0.0123377870257826</v>
      </c>
      <c r="T512" s="180">
        <v>1.85662103929962</v>
      </c>
      <c r="U512" s="180">
        <v>3.39796680777479</v>
      </c>
      <c r="V512" s="180">
        <v>0.353333333333333</v>
      </c>
      <c r="W512" s="180"/>
      <c r="X512" s="68"/>
      <c r="Y512" s="179"/>
      <c r="Z512" s="179"/>
      <c r="AA512" s="179"/>
      <c r="AB512" s="179"/>
      <c r="AC512" s="179"/>
      <c r="AD512" s="181"/>
      <c r="AE512" s="180"/>
    </row>
    <row r="513" ht="21.25" customHeight="1">
      <c r="A513" t="s" s="8">
        <v>506</v>
      </c>
      <c r="B513" t="s" s="177">
        <v>945</v>
      </c>
      <c r="C513" s="178">
        <v>39</v>
      </c>
      <c r="D513" t="s" s="177">
        <v>927</v>
      </c>
      <c r="E513" s="68">
        <v>74</v>
      </c>
      <c r="F513" s="179">
        <v>17.4222828850632</v>
      </c>
      <c r="G513" s="180">
        <v>0.0576362193220151</v>
      </c>
      <c r="H513" s="180">
        <v>0.189157767805648</v>
      </c>
      <c r="I513" s="180">
        <v>0.246793987127662</v>
      </c>
      <c r="J513" s="180">
        <v>1.35110005097337</v>
      </c>
      <c r="K513" s="180">
        <v>0.000679128956376835</v>
      </c>
      <c r="L513" s="180">
        <v>0.00427153300919965</v>
      </c>
      <c r="M513" s="180">
        <v>0.0108703595344509</v>
      </c>
      <c r="N513" s="180">
        <v>0.0128582286485335</v>
      </c>
      <c r="O513" s="180">
        <v>1.67934476532915</v>
      </c>
      <c r="P513" s="180">
        <v>0.901775214604582</v>
      </c>
      <c r="Q513" s="180">
        <v>0.0775436302871802</v>
      </c>
      <c r="R513" s="180">
        <v>0.485754174020691</v>
      </c>
      <c r="S513" s="180">
        <v>0.00925924331460685</v>
      </c>
      <c r="T513" s="180">
        <v>0</v>
      </c>
      <c r="U513" s="180">
        <v>0</v>
      </c>
      <c r="V513" s="180">
        <v>0</v>
      </c>
      <c r="W513" s="180"/>
      <c r="X513" s="68"/>
      <c r="Y513" s="179"/>
      <c r="Z513" s="179"/>
      <c r="AA513" s="179"/>
      <c r="AB513" s="179"/>
      <c r="AC513" s="179"/>
      <c r="AD513" s="181"/>
      <c r="AE513" s="180"/>
    </row>
    <row r="514" ht="21.25" customHeight="1">
      <c r="A514" t="s" s="8">
        <v>495</v>
      </c>
      <c r="B514" t="s" s="177">
        <v>947</v>
      </c>
      <c r="C514" s="178">
        <v>26</v>
      </c>
      <c r="D514" t="s" s="177">
        <v>927</v>
      </c>
      <c r="E514" s="68">
        <v>78.825</v>
      </c>
      <c r="F514" s="179">
        <v>20.4845571646341</v>
      </c>
      <c r="G514" s="180">
        <v>0.0378450509135054</v>
      </c>
      <c r="H514" s="180">
        <v>0.208552116014934</v>
      </c>
      <c r="I514" s="180">
        <v>0.246397166928439</v>
      </c>
      <c r="J514" s="180">
        <v>1.16307455788795</v>
      </c>
      <c r="K514" s="180">
        <v>0.00245005167142493</v>
      </c>
      <c r="L514" s="180">
        <v>0.00571002649685111</v>
      </c>
      <c r="M514" s="180">
        <v>0.000387156309261017</v>
      </c>
      <c r="N514" s="180">
        <v>0.00640551767104021</v>
      </c>
      <c r="O514" s="180">
        <v>1.8038312846251</v>
      </c>
      <c r="P514" s="180">
        <v>1.3734618469105</v>
      </c>
      <c r="Q514" s="180">
        <v>0.00907757063175898</v>
      </c>
      <c r="R514" s="180">
        <v>0.555577729530667</v>
      </c>
      <c r="S514" s="180">
        <v>0.00556238917396467</v>
      </c>
      <c r="T514" s="180">
        <v>0</v>
      </c>
      <c r="U514" s="180">
        <v>0</v>
      </c>
      <c r="V514" s="180">
        <v>0</v>
      </c>
      <c r="W514" s="180"/>
      <c r="X514" s="68"/>
      <c r="Y514" s="179"/>
      <c r="Z514" s="179"/>
      <c r="AA514" s="179"/>
      <c r="AB514" s="179"/>
      <c r="AC514" s="179"/>
      <c r="AD514" s="181"/>
      <c r="AE514" s="180"/>
    </row>
    <row r="515" ht="21.25" customHeight="1">
      <c r="A515" t="s" s="8">
        <v>448</v>
      </c>
      <c r="B515" t="s" s="177">
        <v>967</v>
      </c>
      <c r="C515" s="178">
        <v>33</v>
      </c>
      <c r="D515" t="s" s="177">
        <v>927</v>
      </c>
      <c r="E515" s="68">
        <v>79.27464285714289</v>
      </c>
      <c r="F515" s="179">
        <v>20.0055053013603</v>
      </c>
      <c r="G515" s="180">
        <v>0.0375508547504599</v>
      </c>
      <c r="H515" s="180">
        <v>0.208217749531399</v>
      </c>
      <c r="I515" s="180">
        <v>0.245768604281859</v>
      </c>
      <c r="J515" s="180">
        <v>1.6526691517227</v>
      </c>
      <c r="K515" s="180">
        <v>0.00064611993806107</v>
      </c>
      <c r="L515" s="180">
        <v>0.00479498879405668</v>
      </c>
      <c r="M515" s="180">
        <v>0.00321790421299439</v>
      </c>
      <c r="N515" s="180">
        <v>0.00477113579370224</v>
      </c>
      <c r="O515" s="180">
        <v>1.84128974248438</v>
      </c>
      <c r="P515" s="180">
        <v>4.2296056486732</v>
      </c>
      <c r="Q515" s="180">
        <v>-0.0551268208339167</v>
      </c>
      <c r="R515" s="180">
        <v>1.10072282307526</v>
      </c>
      <c r="S515" s="180">
        <v>0.00359973855280034</v>
      </c>
      <c r="T515" s="180">
        <v>0</v>
      </c>
      <c r="U515" s="180">
        <v>0</v>
      </c>
      <c r="V515" s="180">
        <v>0</v>
      </c>
      <c r="W515" s="180"/>
      <c r="X515" s="68"/>
      <c r="Y515" s="179"/>
      <c r="Z515" s="179"/>
      <c r="AA515" s="179"/>
      <c r="AB515" s="179"/>
      <c r="AC515" s="179"/>
      <c r="AD515" s="181"/>
      <c r="AE515" s="180"/>
    </row>
    <row r="516" ht="21.25" customHeight="1">
      <c r="A516" t="s" s="8">
        <v>823</v>
      </c>
      <c r="B516" t="s" s="177">
        <v>963</v>
      </c>
      <c r="C516" s="178">
        <v>23</v>
      </c>
      <c r="D516" t="s" s="177">
        <v>924</v>
      </c>
      <c r="E516" s="68">
        <v>55.02</v>
      </c>
      <c r="F516" s="179">
        <v>10.3706214754433</v>
      </c>
      <c r="G516" s="180">
        <v>0.101853330931448</v>
      </c>
      <c r="H516" s="180">
        <v>0.143700083438872</v>
      </c>
      <c r="I516" s="180">
        <v>0.245553414370321</v>
      </c>
      <c r="J516" s="180">
        <v>1.53897534990484</v>
      </c>
      <c r="K516" s="180">
        <v>0.00477026603687901</v>
      </c>
      <c r="L516" s="180">
        <v>0.0169427208214715</v>
      </c>
      <c r="M516" s="180">
        <v>0.00134271723866134</v>
      </c>
      <c r="N516" s="180">
        <v>0.00244478916619029</v>
      </c>
      <c r="O516" s="180">
        <v>0.414810037647556</v>
      </c>
      <c r="P516" s="180">
        <v>0.761242911737868</v>
      </c>
      <c r="Q516" s="180">
        <v>0.08354767424734789</v>
      </c>
      <c r="R516" s="180">
        <v>0.309156317434368</v>
      </c>
      <c r="S516" s="180">
        <v>0.018274768237654</v>
      </c>
      <c r="T516" s="180">
        <v>1.76189209705055</v>
      </c>
      <c r="U516" s="180">
        <v>1.45309802567996</v>
      </c>
      <c r="V516" s="180">
        <v>0.5480241088747601</v>
      </c>
      <c r="W516" s="180"/>
      <c r="X516" s="68"/>
      <c r="Y516" s="179"/>
      <c r="Z516" s="179"/>
      <c r="AA516" s="179"/>
      <c r="AB516" s="179"/>
      <c r="AC516" s="179"/>
      <c r="AD516" s="181"/>
      <c r="AE516" s="180"/>
    </row>
    <row r="517" ht="21.25" customHeight="1">
      <c r="A517" t="s" s="8">
        <v>548</v>
      </c>
      <c r="B517" t="s" s="177">
        <v>973</v>
      </c>
      <c r="C517" s="178">
        <v>23</v>
      </c>
      <c r="D517" t="s" s="177">
        <v>927</v>
      </c>
      <c r="E517" s="68">
        <v>74.97499999999999</v>
      </c>
      <c r="F517" s="179">
        <v>17.2095682109073</v>
      </c>
      <c r="G517" s="180">
        <v>0.0626984148503251</v>
      </c>
      <c r="H517" s="180">
        <v>0.181611346111723</v>
      </c>
      <c r="I517" s="180">
        <v>0.244309760962049</v>
      </c>
      <c r="J517" s="180">
        <v>1.12639716022528</v>
      </c>
      <c r="K517" s="180">
        <v>0.000286869834391035</v>
      </c>
      <c r="L517" s="180">
        <v>0.00294261181067828</v>
      </c>
      <c r="M517" s="180">
        <v>0.000336105071188013</v>
      </c>
      <c r="N517" s="180">
        <v>0.00126280875553696</v>
      </c>
      <c r="O517" s="180">
        <v>1.41549660944341</v>
      </c>
      <c r="P517" s="180">
        <v>0.990959556989462</v>
      </c>
      <c r="Q517" s="180">
        <v>-0.0825381678424246</v>
      </c>
      <c r="R517" s="180">
        <v>0.418075501166351</v>
      </c>
      <c r="S517" s="180">
        <v>0.00642295819829161</v>
      </c>
      <c r="T517" s="180">
        <v>0</v>
      </c>
      <c r="U517" s="180">
        <v>0</v>
      </c>
      <c r="V517" s="180">
        <v>0</v>
      </c>
      <c r="W517" s="180"/>
      <c r="X517" s="68"/>
      <c r="Y517" s="179"/>
      <c r="Z517" s="179"/>
      <c r="AA517" s="179"/>
      <c r="AB517" s="179"/>
      <c r="AC517" s="179"/>
      <c r="AD517" s="181"/>
      <c r="AE517" s="180"/>
    </row>
    <row r="518" ht="21.25" customHeight="1">
      <c r="A518" t="s" s="8">
        <v>540</v>
      </c>
      <c r="B518" t="s" s="177">
        <v>947</v>
      </c>
      <c r="C518" s="178">
        <v>30</v>
      </c>
      <c r="D518" t="s" s="177">
        <v>927</v>
      </c>
      <c r="E518" s="68">
        <v>78.6760714285714</v>
      </c>
      <c r="F518" s="179">
        <v>16.7621423012504</v>
      </c>
      <c r="G518" s="180">
        <v>0.05787297730688</v>
      </c>
      <c r="H518" s="180">
        <v>0.185466903648022</v>
      </c>
      <c r="I518" s="180">
        <v>0.243339880954902</v>
      </c>
      <c r="J518" s="180">
        <v>1.21183297693617</v>
      </c>
      <c r="K518" s="180">
        <v>0.00203324087083248</v>
      </c>
      <c r="L518" s="180">
        <v>0.008223654893313181</v>
      </c>
      <c r="M518" s="180">
        <v>0.000230953650457532</v>
      </c>
      <c r="N518" s="180">
        <v>0.000872828653589961</v>
      </c>
      <c r="O518" s="180">
        <v>0.977645544284829</v>
      </c>
      <c r="P518" s="180">
        <v>1.35821424389074</v>
      </c>
      <c r="Q518" s="180">
        <v>0.009265977758460799</v>
      </c>
      <c r="R518" s="180">
        <v>0.472720140195799</v>
      </c>
      <c r="S518" s="180">
        <v>0.00850605335880299</v>
      </c>
      <c r="T518" s="180">
        <v>0</v>
      </c>
      <c r="U518" s="180">
        <v>0</v>
      </c>
      <c r="V518" s="180">
        <v>0</v>
      </c>
      <c r="W518" s="180"/>
      <c r="X518" s="68"/>
      <c r="Y518" s="179"/>
      <c r="Z518" s="179"/>
      <c r="AA518" s="179"/>
      <c r="AB518" s="179"/>
      <c r="AC518" s="179"/>
      <c r="AD518" s="181"/>
      <c r="AE518" s="180"/>
    </row>
    <row r="519" ht="21.25" customHeight="1">
      <c r="A519" t="s" s="8">
        <v>546</v>
      </c>
      <c r="B519" t="s" s="177">
        <v>968</v>
      </c>
      <c r="C519" s="178">
        <v>33</v>
      </c>
      <c r="D519" t="s" s="177">
        <v>927</v>
      </c>
      <c r="E519" s="68">
        <v>75.0642857142857</v>
      </c>
      <c r="F519" s="179">
        <v>16.6432457148302</v>
      </c>
      <c r="G519" s="180">
        <v>0.0563663667803601</v>
      </c>
      <c r="H519" s="180">
        <v>0.186669815082093</v>
      </c>
      <c r="I519" s="180">
        <v>0.243036181862452</v>
      </c>
      <c r="J519" s="180">
        <v>1.1737404805257</v>
      </c>
      <c r="K519" s="180">
        <v>0.00027862735362063</v>
      </c>
      <c r="L519" s="180">
        <v>0.00195335130316665</v>
      </c>
      <c r="M519" s="180">
        <v>0.000443537212911965</v>
      </c>
      <c r="N519" s="180">
        <v>0.00175421165412026</v>
      </c>
      <c r="O519" s="180">
        <v>1.38693113788929</v>
      </c>
      <c r="P519" s="180">
        <v>3.60145622223082</v>
      </c>
      <c r="Q519" s="180">
        <v>-0.0105600543260097</v>
      </c>
      <c r="R519" s="180">
        <v>0.956514661025172</v>
      </c>
      <c r="S519" s="180">
        <v>0.00823096376024712</v>
      </c>
      <c r="T519" s="180">
        <v>0</v>
      </c>
      <c r="U519" s="180">
        <v>0</v>
      </c>
      <c r="V519" s="180">
        <v>0</v>
      </c>
      <c r="W519" s="180"/>
      <c r="X519" s="68"/>
      <c r="Y519" s="179"/>
      <c r="Z519" s="179"/>
      <c r="AA519" s="179"/>
      <c r="AB519" s="179"/>
      <c r="AC519" s="179"/>
      <c r="AD519" s="181"/>
      <c r="AE519" s="180"/>
    </row>
    <row r="520" ht="21.25" customHeight="1">
      <c r="A520" t="s" s="8">
        <v>819</v>
      </c>
      <c r="B520" t="s" s="177">
        <v>958</v>
      </c>
      <c r="C520" s="178">
        <v>27</v>
      </c>
      <c r="D520" t="s" s="177">
        <v>924</v>
      </c>
      <c r="E520" s="68">
        <v>60.83</v>
      </c>
      <c r="F520" s="179">
        <v>10.75</v>
      </c>
      <c r="G520" s="180">
        <v>0.103178196339282</v>
      </c>
      <c r="H520" s="180">
        <v>0.139824257192776</v>
      </c>
      <c r="I520" s="180">
        <v>0.243002453532057</v>
      </c>
      <c r="J520" s="180">
        <v>1.12812749935425</v>
      </c>
      <c r="K520" s="180">
        <v>0.0274515030477639</v>
      </c>
      <c r="L520" s="180">
        <v>0.054462684810477</v>
      </c>
      <c r="M520" s="180">
        <v>0</v>
      </c>
      <c r="N520" s="180">
        <v>0</v>
      </c>
      <c r="O520" s="180">
        <v>0.485892473485896</v>
      </c>
      <c r="P520" s="180">
        <v>1.13283517998731</v>
      </c>
      <c r="Q520" s="180">
        <v>-0.000172429486504848</v>
      </c>
      <c r="R520" s="180">
        <v>0.241222716628562</v>
      </c>
      <c r="S520" s="180">
        <v>0.0155165467564741</v>
      </c>
      <c r="T520" s="180">
        <v>0.06742615961852449</v>
      </c>
      <c r="U520" s="180">
        <v>0.096978824733629</v>
      </c>
      <c r="V520" s="180">
        <v>0.410122356595336</v>
      </c>
      <c r="W520" s="180"/>
      <c r="X520" s="68"/>
      <c r="Y520" s="179"/>
      <c r="Z520" s="179"/>
      <c r="AA520" s="179"/>
      <c r="AB520" s="179"/>
      <c r="AC520" s="179"/>
      <c r="AD520" s="181"/>
      <c r="AE520" s="180"/>
    </row>
    <row r="521" ht="21.25" customHeight="1">
      <c r="A521" t="s" s="8">
        <v>657</v>
      </c>
      <c r="B521" t="s" s="177">
        <v>960</v>
      </c>
      <c r="C521" s="178">
        <v>24</v>
      </c>
      <c r="D521" t="s" s="177">
        <v>927</v>
      </c>
      <c r="E521" s="68">
        <v>51.0175</v>
      </c>
      <c r="F521" s="179">
        <v>16.1951733321377</v>
      </c>
      <c r="G521" s="180">
        <v>0.0582308495397812</v>
      </c>
      <c r="H521" s="180">
        <v>0.184442757757398</v>
      </c>
      <c r="I521" s="180">
        <v>0.242673607297179</v>
      </c>
      <c r="J521" s="180">
        <v>1.1497181419969</v>
      </c>
      <c r="K521" s="180">
        <v>0.00402251232255574</v>
      </c>
      <c r="L521" s="180">
        <v>0.0275006577486041</v>
      </c>
      <c r="M521" s="180">
        <v>0.000480866822920068</v>
      </c>
      <c r="N521" s="180">
        <v>0.00179681988583348</v>
      </c>
      <c r="O521" s="180">
        <v>1.14937891672596</v>
      </c>
      <c r="P521" s="180">
        <v>1.13199797207208</v>
      </c>
      <c r="Q521" s="180">
        <v>-0.0725103173068055</v>
      </c>
      <c r="R521" s="180">
        <v>0.351260150168226</v>
      </c>
      <c r="S521" s="180">
        <v>0.00682358132055432</v>
      </c>
      <c r="T521" s="180">
        <v>0</v>
      </c>
      <c r="U521" s="180">
        <v>0</v>
      </c>
      <c r="V521" s="180">
        <v>0</v>
      </c>
      <c r="W521" s="180"/>
      <c r="X521" s="68"/>
      <c r="Y521" s="179"/>
      <c r="Z521" s="179"/>
      <c r="AA521" s="179"/>
      <c r="AB521" s="179"/>
      <c r="AC521" s="179"/>
      <c r="AD521" s="181"/>
      <c r="AE521" s="180"/>
    </row>
    <row r="522" ht="21.25" customHeight="1">
      <c r="A522" t="s" s="8">
        <v>832</v>
      </c>
      <c r="B522" t="s" s="177">
        <v>962</v>
      </c>
      <c r="C522" s="182">
        <v>23</v>
      </c>
      <c r="D522" t="s" s="177">
        <v>924</v>
      </c>
      <c r="E522" s="68">
        <v>62.1060714285714</v>
      </c>
      <c r="F522" s="179">
        <v>10.404411525343</v>
      </c>
      <c r="G522" s="180">
        <v>0.132559924945256</v>
      </c>
      <c r="H522" s="180">
        <v>0.10985636699725</v>
      </c>
      <c r="I522" s="180">
        <v>0.242416291942506</v>
      </c>
      <c r="J522" s="180">
        <v>1.07494772251816</v>
      </c>
      <c r="K522" s="180">
        <v>0.00241751102857856</v>
      </c>
      <c r="L522" s="180">
        <v>0.0070946873161332</v>
      </c>
      <c r="M522" s="180">
        <v>0.000716699805861635</v>
      </c>
      <c r="N522" s="180">
        <v>0.00132888834053187</v>
      </c>
      <c r="O522" s="180">
        <v>0.544446451324599</v>
      </c>
      <c r="P522" s="180">
        <v>1.38734287495963</v>
      </c>
      <c r="Q522" s="180">
        <v>-0.0104821796646211</v>
      </c>
      <c r="R522" s="180">
        <v>0.168879957892682</v>
      </c>
      <c r="S522" s="180">
        <v>0.0196269624320152</v>
      </c>
      <c r="T522" s="180">
        <v>0.969970327716251</v>
      </c>
      <c r="U522" s="180">
        <v>0.833081022753951</v>
      </c>
      <c r="V522" s="180">
        <v>0.537960456568972</v>
      </c>
      <c r="W522" s="180"/>
      <c r="X522" s="68"/>
      <c r="Y522" s="179"/>
      <c r="Z522" s="179"/>
      <c r="AA522" s="179"/>
      <c r="AB522" s="179"/>
      <c r="AC522" s="179"/>
      <c r="AD522" s="181"/>
      <c r="AE522" s="180"/>
    </row>
    <row r="523" ht="21.25" customHeight="1">
      <c r="A523" t="s" s="8">
        <v>586</v>
      </c>
      <c r="B523" t="s" s="177">
        <v>950</v>
      </c>
      <c r="C523" s="178">
        <v>21</v>
      </c>
      <c r="D523" t="s" s="177">
        <v>927</v>
      </c>
      <c r="E523" s="68">
        <v>72.29000000000001</v>
      </c>
      <c r="F523" s="179">
        <v>15.7607254043516</v>
      </c>
      <c r="G523" s="180">
        <v>0.0592146264550602</v>
      </c>
      <c r="H523" s="180">
        <v>0.182866621178565</v>
      </c>
      <c r="I523" s="180">
        <v>0.242081247633624</v>
      </c>
      <c r="J523" s="180">
        <v>0.934856862284809</v>
      </c>
      <c r="K523" s="180">
        <v>0.000321489605512545</v>
      </c>
      <c r="L523" s="180">
        <v>0.00293562764504337</v>
      </c>
      <c r="M523" s="180">
        <v>0.000400771261135956</v>
      </c>
      <c r="N523" s="180">
        <v>0.00149371141102665</v>
      </c>
      <c r="O523" s="180">
        <v>1.44028782195313</v>
      </c>
      <c r="P523" s="180">
        <v>1.61984471200643</v>
      </c>
      <c r="Q523" s="180">
        <v>0.0442942670361451</v>
      </c>
      <c r="R523" s="180">
        <v>0.272894269524257</v>
      </c>
      <c r="S523" s="180">
        <v>0.0100900617721198</v>
      </c>
      <c r="T523" s="180">
        <v>0</v>
      </c>
      <c r="U523" s="180">
        <v>0</v>
      </c>
      <c r="V523" s="180">
        <v>0</v>
      </c>
      <c r="W523" s="180"/>
      <c r="X523" s="68"/>
      <c r="Y523" s="179"/>
      <c r="Z523" s="179"/>
      <c r="AA523" s="179"/>
      <c r="AB523" s="179"/>
      <c r="AC523" s="179"/>
      <c r="AD523" s="181"/>
      <c r="AE523" s="180"/>
    </row>
    <row r="524" ht="21.25" customHeight="1">
      <c r="A524" t="s" s="8">
        <v>624</v>
      </c>
      <c r="B524" t="s" s="177">
        <v>974</v>
      </c>
      <c r="C524" s="178">
        <v>26</v>
      </c>
      <c r="D524" t="s" s="177">
        <v>927</v>
      </c>
      <c r="E524" s="68">
        <v>60</v>
      </c>
      <c r="F524" s="179">
        <v>15.8323894422616</v>
      </c>
      <c r="G524" s="180">
        <v>0.0612848009242935</v>
      </c>
      <c r="H524" s="180">
        <v>0.179650933928616</v>
      </c>
      <c r="I524" s="180">
        <v>0.24093573485291</v>
      </c>
      <c r="J524" s="180">
        <v>1.2385422637261</v>
      </c>
      <c r="K524" s="180">
        <v>0.000180581474227724</v>
      </c>
      <c r="L524" s="180">
        <v>0.00165469952164977</v>
      </c>
      <c r="M524" s="180">
        <v>0</v>
      </c>
      <c r="N524" s="180">
        <v>0</v>
      </c>
      <c r="O524" s="180">
        <v>0.988005190116807</v>
      </c>
      <c r="P524" s="180">
        <v>0.84142259833433</v>
      </c>
      <c r="Q524" s="180">
        <v>0.00567597324141394</v>
      </c>
      <c r="R524" s="180">
        <v>0.358585156841201</v>
      </c>
      <c r="S524" s="180"/>
      <c r="T524" s="180">
        <v>0</v>
      </c>
      <c r="U524" s="180">
        <v>0</v>
      </c>
      <c r="V524" s="180">
        <v>0</v>
      </c>
      <c r="W524" s="180"/>
      <c r="X524" s="68"/>
      <c r="Y524" s="179"/>
      <c r="Z524" s="179"/>
      <c r="AA524" s="179"/>
      <c r="AB524" s="179"/>
      <c r="AC524" s="179"/>
      <c r="AD524" s="181"/>
      <c r="AE524" s="180"/>
    </row>
    <row r="525" ht="21.25" customHeight="1">
      <c r="A525" t="s" s="8">
        <v>807</v>
      </c>
      <c r="B525" t="s" s="177">
        <v>947</v>
      </c>
      <c r="C525" s="178">
        <v>30</v>
      </c>
      <c r="D525" t="s" s="177">
        <v>925</v>
      </c>
      <c r="E525" s="68">
        <v>70</v>
      </c>
      <c r="F525" s="179">
        <v>12.5534848484849</v>
      </c>
      <c r="G525" s="180">
        <v>0.0832337892073315</v>
      </c>
      <c r="H525" s="180">
        <v>0.156942102484482</v>
      </c>
      <c r="I525" s="180">
        <v>0.240175891691813</v>
      </c>
      <c r="J525" s="180">
        <v>1.09794276430171</v>
      </c>
      <c r="K525" s="180">
        <v>0.00048035067206972</v>
      </c>
      <c r="L525" s="180">
        <v>0.00144608475309834</v>
      </c>
      <c r="M525" s="180">
        <v>0.008920179066761911</v>
      </c>
      <c r="N525" s="180">
        <v>0.0152816698671383</v>
      </c>
      <c r="O525" s="180">
        <v>0.471625239367426</v>
      </c>
      <c r="P525" s="180">
        <v>1.14155189647714</v>
      </c>
      <c r="Q525" s="180">
        <v>-0.00278662945157459</v>
      </c>
      <c r="R525" s="180">
        <v>0.424309687588574</v>
      </c>
      <c r="S525" s="180">
        <v>0.0122335342883552</v>
      </c>
      <c r="T525" s="180">
        <v>5.02014231717177</v>
      </c>
      <c r="U525" s="180">
        <v>3.96538941413837</v>
      </c>
      <c r="V525" s="180">
        <v>0.558691735479499</v>
      </c>
      <c r="W525" s="180"/>
      <c r="X525" s="68"/>
      <c r="Y525" s="179"/>
      <c r="Z525" s="179"/>
      <c r="AA525" s="179"/>
      <c r="AB525" s="179"/>
      <c r="AC525" s="179"/>
      <c r="AD525" s="181"/>
      <c r="AE525" s="180"/>
    </row>
    <row r="526" ht="21.25" customHeight="1">
      <c r="A526" t="s" s="8">
        <v>509</v>
      </c>
      <c r="B526" t="s" s="177">
        <v>968</v>
      </c>
      <c r="C526" s="178">
        <v>25</v>
      </c>
      <c r="D526" t="s" s="177">
        <v>927</v>
      </c>
      <c r="E526" s="68">
        <v>76.9546428571429</v>
      </c>
      <c r="F526" s="179">
        <v>17.8321984042791</v>
      </c>
      <c r="G526" s="180">
        <v>0.0385214563123995</v>
      </c>
      <c r="H526" s="180">
        <v>0.200975405448122</v>
      </c>
      <c r="I526" s="180">
        <v>0.239496861760522</v>
      </c>
      <c r="J526" s="180">
        <v>1.29798717524846</v>
      </c>
      <c r="K526" s="180">
        <v>0.00158985160063929</v>
      </c>
      <c r="L526" s="180">
        <v>0.00694269167752438</v>
      </c>
      <c r="M526" s="180">
        <v>0.00035326858291692</v>
      </c>
      <c r="N526" s="180">
        <v>0.00130295430215666</v>
      </c>
      <c r="O526" s="180">
        <v>1.51713252584078</v>
      </c>
      <c r="P526" s="180">
        <v>1.34381139118928</v>
      </c>
      <c r="Q526" s="180">
        <v>-0.013112127340824</v>
      </c>
      <c r="R526" s="180">
        <v>0.51325169619747</v>
      </c>
      <c r="S526" s="180">
        <v>0.00562514011475688</v>
      </c>
      <c r="T526" s="180">
        <v>0</v>
      </c>
      <c r="U526" s="180">
        <v>0</v>
      </c>
      <c r="V526" s="180">
        <v>0</v>
      </c>
      <c r="W526" s="180"/>
      <c r="X526" s="68"/>
      <c r="Y526" s="179"/>
      <c r="Z526" s="179"/>
      <c r="AA526" s="179"/>
      <c r="AB526" s="179"/>
      <c r="AC526" s="179"/>
      <c r="AD526" s="181"/>
      <c r="AE526" s="180"/>
    </row>
    <row r="527" ht="21.25" customHeight="1">
      <c r="A527" t="s" s="8">
        <v>771</v>
      </c>
      <c r="B527" t="s" s="177">
        <v>953</v>
      </c>
      <c r="C527" s="178">
        <v>30</v>
      </c>
      <c r="D527" t="s" s="177">
        <v>925</v>
      </c>
      <c r="E527" s="68">
        <v>76.10250000000001</v>
      </c>
      <c r="F527" s="179">
        <v>13.102413782124</v>
      </c>
      <c r="G527" s="180">
        <v>0.110187572560392</v>
      </c>
      <c r="H527" s="180">
        <v>0.12904876862222</v>
      </c>
      <c r="I527" s="180">
        <v>0.239236341182611</v>
      </c>
      <c r="J527" s="180">
        <v>1.3121965399745</v>
      </c>
      <c r="K527" s="180">
        <v>0.00256923283606412</v>
      </c>
      <c r="L527" s="180">
        <v>0.00929939425429391</v>
      </c>
      <c r="M527" s="180">
        <v>0.0010342855753759</v>
      </c>
      <c r="N527" s="180">
        <v>0.00215445279096385</v>
      </c>
      <c r="O527" s="180">
        <v>0.463265527276577</v>
      </c>
      <c r="P527" s="180">
        <v>0.842956474089782</v>
      </c>
      <c r="Q527" s="180">
        <v>0.00989811667532893</v>
      </c>
      <c r="R527" s="180">
        <v>0.231537161185979</v>
      </c>
      <c r="S527" s="180">
        <v>0.0176873117290141</v>
      </c>
      <c r="T527" s="180">
        <v>0.07825142862528239</v>
      </c>
      <c r="U527" s="180">
        <v>0.131111314072338</v>
      </c>
      <c r="V527" s="180">
        <v>0.373760047356181</v>
      </c>
      <c r="W527" s="180"/>
      <c r="X527" s="68"/>
      <c r="Y527" s="179"/>
      <c r="Z527" s="179"/>
      <c r="AA527" s="179"/>
      <c r="AB527" s="179"/>
      <c r="AC527" s="179"/>
      <c r="AD527" s="181"/>
      <c r="AE527" s="180"/>
    </row>
    <row r="528" ht="21.25" customHeight="1">
      <c r="A528" t="s" s="8">
        <v>520</v>
      </c>
      <c r="B528" t="s" s="177">
        <v>961</v>
      </c>
      <c r="C528" s="178">
        <v>32</v>
      </c>
      <c r="D528" t="s" s="177">
        <v>927</v>
      </c>
      <c r="E528" s="68">
        <v>74.14107142857139</v>
      </c>
      <c r="F528" s="179">
        <v>18.1165576739898</v>
      </c>
      <c r="G528" s="180">
        <v>0.0486002675965995</v>
      </c>
      <c r="H528" s="180">
        <v>0.19019087992461</v>
      </c>
      <c r="I528" s="180">
        <v>0.23879114752121</v>
      </c>
      <c r="J528" s="180">
        <v>1.18684262876621</v>
      </c>
      <c r="K528" s="180">
        <v>0.000547228464104323</v>
      </c>
      <c r="L528" s="180">
        <v>0.0067675084398277</v>
      </c>
      <c r="M528" s="180">
        <v>0.000318572625632921</v>
      </c>
      <c r="N528" s="180">
        <v>0.00554594869478489</v>
      </c>
      <c r="O528" s="180">
        <v>1.8698187737463</v>
      </c>
      <c r="P528" s="180">
        <v>0.5617686904874341</v>
      </c>
      <c r="Q528" s="180">
        <v>-0.0247346868982265</v>
      </c>
      <c r="R528" s="180">
        <v>0.303857623196061</v>
      </c>
      <c r="S528" s="180">
        <v>0.00597811900920818</v>
      </c>
      <c r="T528" s="180">
        <v>0</v>
      </c>
      <c r="U528" s="180">
        <v>0</v>
      </c>
      <c r="V528" s="180">
        <v>0</v>
      </c>
      <c r="W528" s="180"/>
      <c r="X528" s="68"/>
      <c r="Y528" s="179"/>
      <c r="Z528" s="179"/>
      <c r="AA528" s="179"/>
      <c r="AB528" s="179"/>
      <c r="AC528" s="179"/>
      <c r="AD528" s="181"/>
      <c r="AE528" s="180"/>
    </row>
    <row r="529" ht="21.25" customHeight="1">
      <c r="A529" t="s" s="8">
        <v>631</v>
      </c>
      <c r="B529" t="s" s="177">
        <v>971</v>
      </c>
      <c r="C529" s="178">
        <v>22</v>
      </c>
      <c r="D529" t="s" s="177">
        <v>927</v>
      </c>
      <c r="E529" s="68">
        <v>55.055</v>
      </c>
      <c r="F529" s="179">
        <v>14.4955031132376</v>
      </c>
      <c r="G529" s="180">
        <v>0.07491316511267331</v>
      </c>
      <c r="H529" s="180">
        <v>0.163154349678335</v>
      </c>
      <c r="I529" s="180">
        <v>0.238067514791009</v>
      </c>
      <c r="J529" s="180">
        <v>1.13012109730353</v>
      </c>
      <c r="K529" s="180">
        <v>0.0128839617085483</v>
      </c>
      <c r="L529" s="180">
        <v>0.0703058944553499</v>
      </c>
      <c r="M529" s="180">
        <v>3.08586434308327e-05</v>
      </c>
      <c r="N529" s="180">
        <v>0.000115900441177398</v>
      </c>
      <c r="O529" s="180">
        <v>0.970078266032157</v>
      </c>
      <c r="P529" s="180">
        <v>1.36532998679652</v>
      </c>
      <c r="Q529" s="180">
        <v>0.00940456032319587</v>
      </c>
      <c r="R529" s="180">
        <v>0.29036499500925</v>
      </c>
      <c r="S529" s="180">
        <v>0.0115757214126223</v>
      </c>
      <c r="T529" s="180">
        <v>0</v>
      </c>
      <c r="U529" s="180">
        <v>0</v>
      </c>
      <c r="V529" s="180">
        <v>0</v>
      </c>
      <c r="W529" s="180"/>
      <c r="X529" s="68"/>
      <c r="Y529" s="179"/>
      <c r="Z529" s="179"/>
      <c r="AA529" s="179"/>
      <c r="AB529" s="179"/>
      <c r="AC529" s="179"/>
      <c r="AD529" s="181"/>
      <c r="AE529" s="180"/>
    </row>
    <row r="530" ht="21.25" customHeight="1">
      <c r="A530" t="s" s="8">
        <v>865</v>
      </c>
      <c r="B530" t="s" s="177">
        <v>947</v>
      </c>
      <c r="C530" s="178">
        <v>22</v>
      </c>
      <c r="D530" t="s" s="177">
        <v>925</v>
      </c>
      <c r="E530" s="68">
        <v>50</v>
      </c>
      <c r="F530" s="179">
        <v>8.3803449690663</v>
      </c>
      <c r="G530" s="180">
        <v>0.13277099219213</v>
      </c>
      <c r="H530" s="180">
        <v>0.104780584099878</v>
      </c>
      <c r="I530" s="180">
        <v>0.237551576292009</v>
      </c>
      <c r="J530" s="180">
        <v>0.878701160752178</v>
      </c>
      <c r="K530" s="180">
        <v>7.349518782775229e-05</v>
      </c>
      <c r="L530" s="180">
        <v>0.00018855783143966</v>
      </c>
      <c r="M530" s="180">
        <v>0</v>
      </c>
      <c r="N530" s="180">
        <v>0</v>
      </c>
      <c r="O530" s="180">
        <v>0.337637186496285</v>
      </c>
      <c r="P530" s="180">
        <v>1.18465149637206</v>
      </c>
      <c r="Q530" s="180">
        <v>0.00649560331643551</v>
      </c>
      <c r="R530" s="180">
        <v>0.17162745708579</v>
      </c>
      <c r="S530" s="180">
        <v>0.0195144123672589</v>
      </c>
      <c r="T530" s="180">
        <v>0</v>
      </c>
      <c r="U530" s="180">
        <v>0.3616099840854</v>
      </c>
      <c r="V530" s="180">
        <v>0</v>
      </c>
      <c r="W530" s="180"/>
      <c r="X530" s="68"/>
      <c r="Y530" s="179"/>
      <c r="Z530" s="179"/>
      <c r="AA530" s="179"/>
      <c r="AB530" s="179"/>
      <c r="AC530" s="179"/>
      <c r="AD530" s="181"/>
      <c r="AE530" s="180"/>
    </row>
    <row r="531" ht="21.25" customHeight="1">
      <c r="A531" t="s" s="8">
        <v>639</v>
      </c>
      <c r="B531" t="s" s="177">
        <v>957</v>
      </c>
      <c r="C531" s="178">
        <v>22</v>
      </c>
      <c r="D531" t="s" s="177">
        <v>927</v>
      </c>
      <c r="E531" s="68">
        <v>56.1107142857143</v>
      </c>
      <c r="F531" s="179">
        <v>16.5161842348652</v>
      </c>
      <c r="G531" s="180">
        <v>0.0333293464089018</v>
      </c>
      <c r="H531" s="180">
        <v>0.20396873955555</v>
      </c>
      <c r="I531" s="180">
        <v>0.237298085964452</v>
      </c>
      <c r="J531" s="180">
        <v>1.07255632698403</v>
      </c>
      <c r="K531" s="180">
        <v>0.00155716152641523</v>
      </c>
      <c r="L531" s="180">
        <v>0.0253605072902355</v>
      </c>
      <c r="M531" s="180">
        <v>0.000240986308357454</v>
      </c>
      <c r="N531" s="180">
        <v>0.000866180169117674</v>
      </c>
      <c r="O531" s="180">
        <v>1.26659237580387</v>
      </c>
      <c r="P531" s="180">
        <v>0.990172066980983</v>
      </c>
      <c r="Q531" s="180">
        <v>-0.0449625171539383</v>
      </c>
      <c r="R531" s="180">
        <v>0.551920609515548</v>
      </c>
      <c r="S531" s="180">
        <v>0.00420605012686054</v>
      </c>
      <c r="T531" s="180">
        <v>0</v>
      </c>
      <c r="U531" s="180">
        <v>0</v>
      </c>
      <c r="V531" s="180">
        <v>0</v>
      </c>
      <c r="W531" s="180"/>
      <c r="X531" s="68"/>
      <c r="Y531" s="179"/>
      <c r="Z531" s="179"/>
      <c r="AA531" s="179"/>
      <c r="AB531" s="179"/>
      <c r="AC531" s="179"/>
      <c r="AD531" s="181"/>
      <c r="AE531" s="180"/>
    </row>
    <row r="532" ht="21.25" customHeight="1">
      <c r="A532" t="s" s="8">
        <v>602</v>
      </c>
      <c r="B532" t="s" s="177">
        <v>943</v>
      </c>
      <c r="C532" s="178">
        <v>25</v>
      </c>
      <c r="D532" t="s" s="177">
        <v>927</v>
      </c>
      <c r="E532" s="68">
        <v>69.6835714285714</v>
      </c>
      <c r="F532" s="179">
        <v>15.8757315118324</v>
      </c>
      <c r="G532" s="180">
        <v>0.06286123276577101</v>
      </c>
      <c r="H532" s="180">
        <v>0.173256801322829</v>
      </c>
      <c r="I532" s="180">
        <v>0.2361180340886</v>
      </c>
      <c r="J532" s="180">
        <v>1.09989385960089</v>
      </c>
      <c r="K532" s="180">
        <v>0.000270398762883679</v>
      </c>
      <c r="L532" s="180">
        <v>0.0018515295850927</v>
      </c>
      <c r="M532" s="180">
        <v>0.000248343472217102</v>
      </c>
      <c r="N532" s="180">
        <v>0.000929421549174509</v>
      </c>
      <c r="O532" s="180">
        <v>1.07427615989959</v>
      </c>
      <c r="P532" s="180">
        <v>1.41196879766649</v>
      </c>
      <c r="Q532" s="180">
        <v>0.0536641386377739</v>
      </c>
      <c r="R532" s="180">
        <v>0.380377731533885</v>
      </c>
      <c r="S532" s="180">
        <v>0.009017587225638109</v>
      </c>
      <c r="T532" s="180">
        <v>0</v>
      </c>
      <c r="U532" s="180">
        <v>0</v>
      </c>
      <c r="V532" s="180">
        <v>0</v>
      </c>
      <c r="W532" s="180"/>
      <c r="X532" s="68"/>
      <c r="Y532" s="179"/>
      <c r="Z532" s="179"/>
      <c r="AA532" s="179"/>
      <c r="AB532" s="179"/>
      <c r="AC532" s="179"/>
      <c r="AD532" s="181"/>
      <c r="AE532" s="180"/>
    </row>
    <row r="533" ht="21.25" customHeight="1">
      <c r="A533" t="s" s="8">
        <v>576</v>
      </c>
      <c r="B533" t="s" s="177">
        <v>955</v>
      </c>
      <c r="C533" s="178">
        <v>32</v>
      </c>
      <c r="D533" t="s" s="177">
        <v>927</v>
      </c>
      <c r="E533" s="68">
        <v>80.3575</v>
      </c>
      <c r="F533" s="179">
        <v>17.6698172436275</v>
      </c>
      <c r="G533" s="180">
        <v>0.0248666749453367</v>
      </c>
      <c r="H533" s="180">
        <v>0.211246105821168</v>
      </c>
      <c r="I533" s="180">
        <v>0.236112780766505</v>
      </c>
      <c r="J533" s="180">
        <v>0.865409234652411</v>
      </c>
      <c r="K533" s="180">
        <v>0.000712456348257562</v>
      </c>
      <c r="L533" s="180">
        <v>0.0118979816701242</v>
      </c>
      <c r="M533" s="180">
        <v>0.0004081456813169</v>
      </c>
      <c r="N533" s="180">
        <v>0.00178602804583978</v>
      </c>
      <c r="O533" s="180">
        <v>1.0590984899149</v>
      </c>
      <c r="P533" s="180">
        <v>0.670084968804229</v>
      </c>
      <c r="Q533" s="180">
        <v>-0.0639838168818616</v>
      </c>
      <c r="R533" s="180">
        <v>0.245828469420141</v>
      </c>
      <c r="S533" s="180">
        <v>0.00286147621336223</v>
      </c>
      <c r="T533" s="180">
        <v>0</v>
      </c>
      <c r="U533" s="180">
        <v>0</v>
      </c>
      <c r="V533" s="180">
        <v>0</v>
      </c>
      <c r="W533" s="180"/>
      <c r="X533" s="68"/>
      <c r="Y533" s="179"/>
      <c r="Z533" s="179"/>
      <c r="AA533" s="179"/>
      <c r="AB533" s="179"/>
      <c r="AC533" s="179"/>
      <c r="AD533" s="181"/>
      <c r="AE533" s="180"/>
    </row>
    <row r="534" ht="21.25" customHeight="1">
      <c r="A534" t="s" s="8">
        <v>522</v>
      </c>
      <c r="B534" t="s" s="177">
        <v>939</v>
      </c>
      <c r="C534" s="178">
        <v>29</v>
      </c>
      <c r="D534" t="s" s="177">
        <v>927</v>
      </c>
      <c r="E534" s="68">
        <v>79.4657142857143</v>
      </c>
      <c r="F534" s="179">
        <v>16.731350464939</v>
      </c>
      <c r="G534" s="180">
        <v>0.0472442571936546</v>
      </c>
      <c r="H534" s="180">
        <v>0.188841180566574</v>
      </c>
      <c r="I534" s="180">
        <v>0.236085437760229</v>
      </c>
      <c r="J534" s="180">
        <v>1.28586891962728</v>
      </c>
      <c r="K534" s="180">
        <v>0.00024654980583942</v>
      </c>
      <c r="L534" s="180">
        <v>0.0017111111539846</v>
      </c>
      <c r="M534" s="180">
        <v>0.000266315399833328</v>
      </c>
      <c r="N534" s="180">
        <v>0.0115387202241279</v>
      </c>
      <c r="O534" s="180">
        <v>1.13582948168616</v>
      </c>
      <c r="P534" s="180">
        <v>1.25958605932137</v>
      </c>
      <c r="Q534" s="180">
        <v>0.0630454522137605</v>
      </c>
      <c r="R534" s="180">
        <v>0.492088514571496</v>
      </c>
      <c r="S534" s="180">
        <v>0.0074782587172242</v>
      </c>
      <c r="T534" s="180">
        <v>0</v>
      </c>
      <c r="U534" s="180">
        <v>0</v>
      </c>
      <c r="V534" s="180">
        <v>0</v>
      </c>
      <c r="W534" s="180"/>
      <c r="X534" s="68"/>
      <c r="Y534" s="179"/>
      <c r="Z534" s="179"/>
      <c r="AA534" s="179"/>
      <c r="AB534" s="179"/>
      <c r="AC534" s="179"/>
      <c r="AD534" s="181"/>
      <c r="AE534" s="180"/>
    </row>
    <row r="535" ht="21.25" customHeight="1">
      <c r="A535" t="s" s="8">
        <v>482</v>
      </c>
      <c r="B535" t="s" s="177">
        <v>966</v>
      </c>
      <c r="C535" s="178">
        <v>32</v>
      </c>
      <c r="D535" t="s" s="177">
        <v>927</v>
      </c>
      <c r="E535" s="68">
        <v>78.04607142857139</v>
      </c>
      <c r="F535" s="179">
        <v>20.0973199542683</v>
      </c>
      <c r="G535" s="180">
        <v>0.0324326895502768</v>
      </c>
      <c r="H535" s="180">
        <v>0.203647878767327</v>
      </c>
      <c r="I535" s="180">
        <v>0.236080568317604</v>
      </c>
      <c r="J535" s="180">
        <v>1.17866531804597</v>
      </c>
      <c r="K535" s="180">
        <v>0.000250296060499211</v>
      </c>
      <c r="L535" s="180">
        <v>0.00186579687580788</v>
      </c>
      <c r="M535" s="180">
        <v>0.000261894557729573</v>
      </c>
      <c r="N535" s="180">
        <v>0.0129688092615593</v>
      </c>
      <c r="O535" s="180">
        <v>2.31421068193767</v>
      </c>
      <c r="P535" s="180">
        <v>2.25006982143793</v>
      </c>
      <c r="Q535" s="180">
        <v>0.0673785767272651</v>
      </c>
      <c r="R535" s="180">
        <v>0.524836616719905</v>
      </c>
      <c r="S535" s="180">
        <v>0.00530038639059816</v>
      </c>
      <c r="T535" s="180">
        <v>0</v>
      </c>
      <c r="U535" s="180">
        <v>0</v>
      </c>
      <c r="V535" s="180">
        <v>0</v>
      </c>
      <c r="W535" s="180"/>
      <c r="X535" s="68"/>
      <c r="Y535" s="179"/>
      <c r="Z535" s="179"/>
      <c r="AA535" s="179"/>
      <c r="AB535" s="179"/>
      <c r="AC535" s="179"/>
      <c r="AD535" s="181"/>
      <c r="AE535" s="180"/>
    </row>
    <row r="536" ht="21.25" customHeight="1">
      <c r="A536" t="s" s="8">
        <v>816</v>
      </c>
      <c r="B536" t="s" s="177">
        <v>968</v>
      </c>
      <c r="C536" s="178">
        <v>27</v>
      </c>
      <c r="D536" t="s" s="177">
        <v>925</v>
      </c>
      <c r="E536" s="68">
        <v>69.1725</v>
      </c>
      <c r="F536" s="179">
        <v>12.2373452416932</v>
      </c>
      <c r="G536" s="180">
        <v>0.0701243730858787</v>
      </c>
      <c r="H536" s="180">
        <v>0.165724555606907</v>
      </c>
      <c r="I536" s="180">
        <v>0.235848928692787</v>
      </c>
      <c r="J536" s="180">
        <v>0.948541405145065</v>
      </c>
      <c r="K536" s="180">
        <v>0.000772394375987617</v>
      </c>
      <c r="L536" s="180">
        <v>0.00199283304104013</v>
      </c>
      <c r="M536" s="180">
        <v>0.00222062202468261</v>
      </c>
      <c r="N536" s="180">
        <v>0.0217645857385932</v>
      </c>
      <c r="O536" s="180">
        <v>0.370220974906929</v>
      </c>
      <c r="P536" s="180">
        <v>2.5997638743318</v>
      </c>
      <c r="Q536" s="180">
        <v>-0.028378936604677</v>
      </c>
      <c r="R536" s="180">
        <v>0.608040693997984</v>
      </c>
      <c r="S536" s="180">
        <v>0.0102399925088134</v>
      </c>
      <c r="T536" s="180">
        <v>0</v>
      </c>
      <c r="U536" s="180">
        <v>0.071179906208527</v>
      </c>
      <c r="V536" s="180">
        <v>0</v>
      </c>
      <c r="W536" s="180"/>
      <c r="X536" s="68"/>
      <c r="Y536" s="179"/>
      <c r="Z536" s="179"/>
      <c r="AA536" s="179"/>
      <c r="AB536" s="179"/>
      <c r="AC536" s="179"/>
      <c r="AD536" s="181"/>
      <c r="AE536" s="180"/>
    </row>
    <row r="537" ht="21.25" customHeight="1">
      <c r="A537" t="s" s="8">
        <v>582</v>
      </c>
      <c r="B537" t="s" s="177">
        <v>948</v>
      </c>
      <c r="C537" s="178">
        <v>23</v>
      </c>
      <c r="D537" t="s" s="177">
        <v>927</v>
      </c>
      <c r="E537" s="68">
        <v>66.3875</v>
      </c>
      <c r="F537" s="179">
        <v>15.4451657787094</v>
      </c>
      <c r="G537" s="180">
        <v>0.0708074172311072</v>
      </c>
      <c r="H537" s="180">
        <v>0.164441923610079</v>
      </c>
      <c r="I537" s="180">
        <v>0.235249340841187</v>
      </c>
      <c r="J537" s="180">
        <v>1.35961780633641</v>
      </c>
      <c r="K537" s="180">
        <v>0.00710654639648222</v>
      </c>
      <c r="L537" s="180">
        <v>0.0233617448898624</v>
      </c>
      <c r="M537" s="180">
        <v>3.54202105674854e-05</v>
      </c>
      <c r="N537" s="180">
        <v>0.00013313822710114</v>
      </c>
      <c r="O537" s="180">
        <v>1.06352043984198</v>
      </c>
      <c r="P537" s="180">
        <v>0.942444733489374</v>
      </c>
      <c r="Q537" s="180">
        <v>0.0526188604243715</v>
      </c>
      <c r="R537" s="180">
        <v>0.346327311582737</v>
      </c>
      <c r="S537" s="180">
        <v>0.0113286847993403</v>
      </c>
      <c r="T537" s="180">
        <v>0</v>
      </c>
      <c r="U537" s="180">
        <v>0</v>
      </c>
      <c r="V537" s="180">
        <v>0</v>
      </c>
      <c r="W537" s="180"/>
      <c r="X537" s="68"/>
      <c r="Y537" s="179"/>
      <c r="Z537" s="179"/>
      <c r="AA537" s="179"/>
      <c r="AB537" s="179"/>
      <c r="AC537" s="179"/>
      <c r="AD537" s="181"/>
      <c r="AE537" s="180"/>
    </row>
    <row r="538" ht="21.25" customHeight="1">
      <c r="A538" t="s" s="8">
        <v>861</v>
      </c>
      <c r="B538" t="s" s="177">
        <v>942</v>
      </c>
      <c r="C538" s="178">
        <v>25</v>
      </c>
      <c r="D538" t="s" s="177">
        <v>924</v>
      </c>
      <c r="E538" s="68">
        <v>58.8339285714286</v>
      </c>
      <c r="F538" s="179">
        <v>9.800326570541159</v>
      </c>
      <c r="G538" s="180">
        <v>0.09125324516825289</v>
      </c>
      <c r="H538" s="180">
        <v>0.14277669618643</v>
      </c>
      <c r="I538" s="180">
        <v>0.234029941354683</v>
      </c>
      <c r="J538" s="180">
        <v>0.770649986941901</v>
      </c>
      <c r="K538" s="180">
        <v>0.00278582143625726</v>
      </c>
      <c r="L538" s="180">
        <v>0.00869659751669765</v>
      </c>
      <c r="M538" s="180">
        <v>6.04953500623311e-05</v>
      </c>
      <c r="N538" s="180">
        <v>0.000110571675340881</v>
      </c>
      <c r="O538" s="180">
        <v>0.298964590945384</v>
      </c>
      <c r="P538" s="180">
        <v>0.92163058507382</v>
      </c>
      <c r="Q538" s="180">
        <v>-0.00638198678614543</v>
      </c>
      <c r="R538" s="180">
        <v>0.244702945744226</v>
      </c>
      <c r="S538" s="180">
        <v>0.0142811660166299</v>
      </c>
      <c r="T538" s="180">
        <v>1.84515297288317</v>
      </c>
      <c r="U538" s="180">
        <v>3.19006585367405</v>
      </c>
      <c r="V538" s="180">
        <v>0.366449410927544</v>
      </c>
      <c r="W538" s="180"/>
      <c r="X538" s="68"/>
      <c r="Y538" s="179"/>
      <c r="Z538" s="179"/>
      <c r="AA538" s="179"/>
      <c r="AB538" s="179"/>
      <c r="AC538" s="179"/>
      <c r="AD538" s="181"/>
      <c r="AE538" s="180"/>
    </row>
    <row r="539" ht="21.25" customHeight="1">
      <c r="A539" t="s" s="8">
        <v>614</v>
      </c>
      <c r="B539" t="s" s="177">
        <v>972</v>
      </c>
      <c r="C539" s="178">
        <v>26</v>
      </c>
      <c r="D539" t="s" s="177">
        <v>927</v>
      </c>
      <c r="E539" s="68">
        <v>68.9692857142857</v>
      </c>
      <c r="F539" s="179">
        <v>16.2745127134147</v>
      </c>
      <c r="G539" s="180">
        <v>0.0434494803801854</v>
      </c>
      <c r="H539" s="180">
        <v>0.189248849597557</v>
      </c>
      <c r="I539" s="180">
        <v>0.232698329977743</v>
      </c>
      <c r="J539" s="180">
        <v>1.0094692512531</v>
      </c>
      <c r="K539" s="180">
        <v>0.000304872933451961</v>
      </c>
      <c r="L539" s="180">
        <v>0.00207995688939067</v>
      </c>
      <c r="M539" s="180">
        <v>0.000473559166380511</v>
      </c>
      <c r="N539" s="180">
        <v>0.00182265736028072</v>
      </c>
      <c r="O539" s="180">
        <v>1.12161420103938</v>
      </c>
      <c r="P539" s="180">
        <v>2.16919755637998</v>
      </c>
      <c r="Q539" s="180">
        <v>-0.00272165338306762</v>
      </c>
      <c r="R539" s="180">
        <v>0.569380494160137</v>
      </c>
      <c r="S539" s="180">
        <v>0.00610730137619387</v>
      </c>
      <c r="T539" s="180">
        <v>0</v>
      </c>
      <c r="U539" s="180">
        <v>0</v>
      </c>
      <c r="V539" s="180">
        <v>0</v>
      </c>
      <c r="W539" s="180"/>
      <c r="X539" s="68"/>
      <c r="Y539" s="179"/>
      <c r="Z539" s="179"/>
      <c r="AA539" s="179"/>
      <c r="AB539" s="179"/>
      <c r="AC539" s="179"/>
      <c r="AD539" s="181"/>
      <c r="AE539" s="180"/>
    </row>
    <row r="540" ht="21.25" customHeight="1">
      <c r="A540" t="s" s="8">
        <v>846</v>
      </c>
      <c r="B540" t="s" s="177">
        <v>943</v>
      </c>
      <c r="C540" s="178">
        <v>25</v>
      </c>
      <c r="D540" t="s" s="177">
        <v>924</v>
      </c>
      <c r="E540" s="68">
        <v>60</v>
      </c>
      <c r="F540" s="179">
        <v>10.8770651524042</v>
      </c>
      <c r="G540" s="180">
        <v>0.07719358655330701</v>
      </c>
      <c r="H540" s="180">
        <v>0.154933308204327</v>
      </c>
      <c r="I540" s="180">
        <v>0.232126894757634</v>
      </c>
      <c r="J540" s="180">
        <v>1.14708022109721</v>
      </c>
      <c r="K540" s="180">
        <v>0.00102307304356963</v>
      </c>
      <c r="L540" s="180">
        <v>0.00229166155852789</v>
      </c>
      <c r="M540" s="180">
        <v>0.013604573654762</v>
      </c>
      <c r="N540" s="180">
        <v>0.0149538002173549</v>
      </c>
      <c r="O540" s="180">
        <v>0.240265962862812</v>
      </c>
      <c r="P540" s="180">
        <v>0.630441229691044</v>
      </c>
      <c r="Q540" s="180">
        <v>0.0228097096000701</v>
      </c>
      <c r="R540" s="180">
        <v>0.130951980416828</v>
      </c>
      <c r="S540" s="180">
        <v>0.011073596068312</v>
      </c>
      <c r="T540" s="180">
        <v>0.394203902729384</v>
      </c>
      <c r="U540" s="180">
        <v>0.557347574076561</v>
      </c>
      <c r="V540" s="180">
        <v>0.414274910331284</v>
      </c>
      <c r="W540" s="180"/>
      <c r="X540" s="68"/>
      <c r="Y540" s="179"/>
      <c r="Z540" s="179"/>
      <c r="AA540" s="179"/>
      <c r="AB540" s="179"/>
      <c r="AC540" s="179"/>
      <c r="AD540" s="181"/>
      <c r="AE540" s="180"/>
    </row>
    <row r="541" ht="21.25" customHeight="1">
      <c r="A541" t="s" s="8">
        <v>558</v>
      </c>
      <c r="B541" t="s" s="177">
        <v>972</v>
      </c>
      <c r="C541" s="178">
        <v>31</v>
      </c>
      <c r="D541" t="s" s="177">
        <v>927</v>
      </c>
      <c r="E541" s="68">
        <v>79.0085714285714</v>
      </c>
      <c r="F541" s="179">
        <v>17.8515808305662</v>
      </c>
      <c r="G541" s="180">
        <v>0.0299411677821751</v>
      </c>
      <c r="H541" s="180">
        <v>0.201470476469284</v>
      </c>
      <c r="I541" s="180">
        <v>0.23141164425146</v>
      </c>
      <c r="J541" s="180">
        <v>0.946145562741005</v>
      </c>
      <c r="K541" s="180">
        <v>0.000243227346798007</v>
      </c>
      <c r="L541" s="180">
        <v>0.00178581568751287</v>
      </c>
      <c r="M541" s="180">
        <v>0.00020331008748067</v>
      </c>
      <c r="N541" s="180">
        <v>0.0114345954241394</v>
      </c>
      <c r="O541" s="180">
        <v>1.45079084946288</v>
      </c>
      <c r="P541" s="180">
        <v>1.24589524052373</v>
      </c>
      <c r="Q541" s="180">
        <v>-0.0216240953651274</v>
      </c>
      <c r="R541" s="180">
        <v>0.252828906307071</v>
      </c>
      <c r="S541" s="180">
        <v>0.00420855977104666</v>
      </c>
      <c r="T541" s="180">
        <v>0</v>
      </c>
      <c r="U541" s="180">
        <v>0</v>
      </c>
      <c r="V541" s="180">
        <v>0</v>
      </c>
      <c r="W541" s="180"/>
      <c r="X541" s="68"/>
      <c r="Y541" s="179"/>
      <c r="Z541" s="179"/>
      <c r="AA541" s="179"/>
      <c r="AB541" s="179"/>
      <c r="AC541" s="179"/>
      <c r="AD541" s="181"/>
      <c r="AE541" s="180"/>
    </row>
    <row r="542" ht="21.25" customHeight="1">
      <c r="A542" t="s" s="8">
        <v>812</v>
      </c>
      <c r="B542" t="s" s="177">
        <v>969</v>
      </c>
      <c r="C542" s="178">
        <v>23</v>
      </c>
      <c r="D542" t="s" s="177">
        <v>924</v>
      </c>
      <c r="E542" s="68">
        <v>72</v>
      </c>
      <c r="F542" s="179">
        <v>11.5508804716291</v>
      </c>
      <c r="G542" s="180">
        <v>0.11090960257417</v>
      </c>
      <c r="H542" s="180">
        <v>0.120494477782776</v>
      </c>
      <c r="I542" s="180">
        <v>0.231404080356945</v>
      </c>
      <c r="J542" s="180">
        <v>0.974741164254065</v>
      </c>
      <c r="K542" s="180">
        <v>0.00608513467419528</v>
      </c>
      <c r="L542" s="180">
        <v>0.0180989693374877</v>
      </c>
      <c r="M542" s="180">
        <v>0.00125869794771544</v>
      </c>
      <c r="N542" s="180">
        <v>0.00232089838882926</v>
      </c>
      <c r="O542" s="180">
        <v>0.455003664773261</v>
      </c>
      <c r="P542" s="180">
        <v>1.66987806503745</v>
      </c>
      <c r="Q542" s="180">
        <v>-0.0464150349195412</v>
      </c>
      <c r="R542" s="180">
        <v>0.317529190321974</v>
      </c>
      <c r="S542" s="180">
        <v>0.0146773176153513</v>
      </c>
      <c r="T542" s="180">
        <v>3.17647659146463</v>
      </c>
      <c r="U542" s="180">
        <v>3.89224688593432</v>
      </c>
      <c r="V542" s="180">
        <v>0.44937061148606</v>
      </c>
      <c r="W542" s="180"/>
      <c r="X542" s="68"/>
      <c r="Y542" s="179"/>
      <c r="Z542" s="179"/>
      <c r="AA542" s="179"/>
      <c r="AB542" s="179"/>
      <c r="AC542" s="179"/>
      <c r="AD542" s="181"/>
      <c r="AE542" s="180"/>
    </row>
    <row r="543" ht="21.25" customHeight="1">
      <c r="A543" t="s" s="8">
        <v>817</v>
      </c>
      <c r="B543" t="s" s="177">
        <v>946</v>
      </c>
      <c r="C543" s="178">
        <v>24</v>
      </c>
      <c r="D543" t="s" s="177">
        <v>924</v>
      </c>
      <c r="E543" s="68">
        <v>67.19</v>
      </c>
      <c r="F543" s="179">
        <v>10.9078559572921</v>
      </c>
      <c r="G543" s="180">
        <v>0.0892552123797854</v>
      </c>
      <c r="H543" s="180">
        <v>0.141985232305462</v>
      </c>
      <c r="I543" s="180">
        <v>0.231240444685248</v>
      </c>
      <c r="J543" s="180">
        <v>1.10995641584151</v>
      </c>
      <c r="K543" s="180">
        <v>0.000798982811254001</v>
      </c>
      <c r="L543" s="180">
        <v>0.00248233224936817</v>
      </c>
      <c r="M543" s="180">
        <v>0.0314204342669073</v>
      </c>
      <c r="N543" s="180">
        <v>0.0428551775139294</v>
      </c>
      <c r="O543" s="180">
        <v>0.5902985412025989</v>
      </c>
      <c r="P543" s="180">
        <v>1.50765878614228</v>
      </c>
      <c r="Q543" s="180">
        <v>0.00709797429504238</v>
      </c>
      <c r="R543" s="180">
        <v>0.35327590074823</v>
      </c>
      <c r="S543" s="180">
        <v>0.014332282071729</v>
      </c>
      <c r="T543" s="180">
        <v>2.69846133149196</v>
      </c>
      <c r="U543" s="180">
        <v>3.33272751732572</v>
      </c>
      <c r="V543" s="180">
        <v>0.44741781415466</v>
      </c>
      <c r="W543" s="180"/>
      <c r="X543" s="68"/>
      <c r="Y543" s="179"/>
      <c r="Z543" s="179"/>
      <c r="AA543" s="179"/>
      <c r="AB543" s="179"/>
      <c r="AC543" s="179"/>
      <c r="AD543" s="181"/>
      <c r="AE543" s="180"/>
    </row>
    <row r="544" ht="21.25" customHeight="1">
      <c r="A544" t="s" s="8">
        <v>803</v>
      </c>
      <c r="B544" t="s" s="177">
        <v>949</v>
      </c>
      <c r="C544" s="178">
        <v>26</v>
      </c>
      <c r="D544" t="s" s="177">
        <v>925</v>
      </c>
      <c r="E544" s="68">
        <v>66</v>
      </c>
      <c r="F544" s="179">
        <v>10.2532127375004</v>
      </c>
      <c r="G544" s="180">
        <v>0.0978638998665821</v>
      </c>
      <c r="H544" s="180">
        <v>0.132109679742516</v>
      </c>
      <c r="I544" s="180">
        <v>0.229973579609098</v>
      </c>
      <c r="J544" s="180">
        <v>1.360254502647</v>
      </c>
      <c r="K544" s="180">
        <v>0.000697666640750378</v>
      </c>
      <c r="L544" s="180">
        <v>0.00175768418011177</v>
      </c>
      <c r="M544" s="180">
        <v>0.000322526427671865</v>
      </c>
      <c r="N544" s="180">
        <v>0.0005869798406289</v>
      </c>
      <c r="O544" s="180">
        <v>0.483675873740011</v>
      </c>
      <c r="P544" s="180">
        <v>1.88515411832732</v>
      </c>
      <c r="Q544" s="180">
        <v>0.045562238924903</v>
      </c>
      <c r="R544" s="180">
        <v>0.73349221064667</v>
      </c>
      <c r="S544" s="180">
        <v>0.016429422886686</v>
      </c>
      <c r="T544" s="180">
        <v>0.0428841530538507</v>
      </c>
      <c r="U544" s="180">
        <v>0.021968737183944</v>
      </c>
      <c r="V544" s="180">
        <v>0.661252766015644</v>
      </c>
      <c r="W544" s="180"/>
      <c r="X544" s="68"/>
      <c r="Y544" s="179"/>
      <c r="Z544" s="179"/>
      <c r="AA544" s="179"/>
      <c r="AB544" s="179"/>
      <c r="AC544" s="179"/>
      <c r="AD544" s="181"/>
      <c r="AE544" s="180"/>
    </row>
    <row r="545" ht="21.25" customHeight="1">
      <c r="A545" t="s" s="8">
        <v>483</v>
      </c>
      <c r="B545" t="s" s="177">
        <v>969</v>
      </c>
      <c r="C545" s="178">
        <v>32</v>
      </c>
      <c r="D545" t="s" s="177">
        <v>927</v>
      </c>
      <c r="E545" s="68">
        <v>77.6685714285714</v>
      </c>
      <c r="F545" s="179">
        <v>19.1562996347</v>
      </c>
      <c r="G545" s="180">
        <v>0.0568883871605223</v>
      </c>
      <c r="H545" s="180">
        <v>0.171940026178337</v>
      </c>
      <c r="I545" s="180">
        <v>0.228828413338859</v>
      </c>
      <c r="J545" s="180">
        <v>1.43411498191235</v>
      </c>
      <c r="K545" s="180">
        <v>0.00158159529521059</v>
      </c>
      <c r="L545" s="180">
        <v>0.00344858878528472</v>
      </c>
      <c r="M545" s="180">
        <v>0.00025037312774292</v>
      </c>
      <c r="N545" s="180">
        <v>0.00136192936416766</v>
      </c>
      <c r="O545" s="180">
        <v>1.77599845313082</v>
      </c>
      <c r="P545" s="180">
        <v>1.75840374871495</v>
      </c>
      <c r="Q545" s="180">
        <v>-0.0695696951662001</v>
      </c>
      <c r="R545" s="180">
        <v>0.638828542792107</v>
      </c>
      <c r="S545" s="180">
        <v>0.00752837362681635</v>
      </c>
      <c r="T545" s="180">
        <v>0</v>
      </c>
      <c r="U545" s="180">
        <v>0</v>
      </c>
      <c r="V545" s="180">
        <v>0</v>
      </c>
      <c r="W545" s="180"/>
      <c r="X545" s="68"/>
      <c r="Y545" s="179"/>
      <c r="Z545" s="179"/>
      <c r="AA545" s="179"/>
      <c r="AB545" s="179"/>
      <c r="AC545" s="179"/>
      <c r="AD545" s="181"/>
      <c r="AE545" s="180"/>
    </row>
    <row r="546" ht="21.25" customHeight="1">
      <c r="A546" t="s" s="8">
        <v>770</v>
      </c>
      <c r="B546" t="s" s="177">
        <v>950</v>
      </c>
      <c r="C546" s="178">
        <v>30</v>
      </c>
      <c r="D546" t="s" s="177">
        <v>925</v>
      </c>
      <c r="E546" s="68">
        <v>79.0489285714286</v>
      </c>
      <c r="F546" s="179">
        <v>12.1992773307617</v>
      </c>
      <c r="G546" s="180">
        <v>0.103289094330838</v>
      </c>
      <c r="H546" s="180">
        <v>0.125524678310896</v>
      </c>
      <c r="I546" s="180">
        <v>0.228813772641734</v>
      </c>
      <c r="J546" s="180">
        <v>1.33810837369399</v>
      </c>
      <c r="K546" s="180">
        <v>0.000543039497946148</v>
      </c>
      <c r="L546" s="180">
        <v>0.00139651017050122</v>
      </c>
      <c r="M546" s="180">
        <v>0.010407582281704</v>
      </c>
      <c r="N546" s="180">
        <v>0.0130055637045521</v>
      </c>
      <c r="O546" s="180">
        <v>0.430201321624346</v>
      </c>
      <c r="P546" s="180">
        <v>1.17214753994206</v>
      </c>
      <c r="Q546" s="180">
        <v>0.0490841289175611</v>
      </c>
      <c r="R546" s="180">
        <v>0.216326187429152</v>
      </c>
      <c r="S546" s="180">
        <v>0.0176002687946604</v>
      </c>
      <c r="T546" s="180">
        <v>0.0709333108573984</v>
      </c>
      <c r="U546" s="180">
        <v>0.209831440343438</v>
      </c>
      <c r="V546" s="180">
        <v>0.2526432201835</v>
      </c>
      <c r="W546" s="180"/>
      <c r="X546" s="68"/>
      <c r="Y546" s="179"/>
      <c r="Z546" s="179"/>
      <c r="AA546" s="179"/>
      <c r="AB546" s="179"/>
      <c r="AC546" s="179"/>
      <c r="AD546" s="181"/>
      <c r="AE546" s="180"/>
    </row>
    <row r="547" ht="21.25" customHeight="1">
      <c r="A547" t="s" s="8">
        <v>504</v>
      </c>
      <c r="B547" t="s" s="177">
        <v>971</v>
      </c>
      <c r="C547" s="178">
        <v>23</v>
      </c>
      <c r="D547" t="s" s="177">
        <v>927</v>
      </c>
      <c r="E547" s="68">
        <v>80.25964285714289</v>
      </c>
      <c r="F547" s="179">
        <v>18.5202262886716</v>
      </c>
      <c r="G547" s="180">
        <v>0.0349391204621573</v>
      </c>
      <c r="H547" s="180">
        <v>0.192615025846051</v>
      </c>
      <c r="I547" s="180">
        <v>0.227554146308209</v>
      </c>
      <c r="J547" s="180">
        <v>1.25189562841221</v>
      </c>
      <c r="K547" s="180">
        <v>0.000147129977663768</v>
      </c>
      <c r="L547" s="180">
        <v>0.00121990948991087</v>
      </c>
      <c r="M547" s="180">
        <v>0.000325067492278413</v>
      </c>
      <c r="N547" s="180">
        <v>0.0016782252022721</v>
      </c>
      <c r="O547" s="180">
        <v>1.58653914668032</v>
      </c>
      <c r="P547" s="180">
        <v>2.30906120785695</v>
      </c>
      <c r="Q547" s="180">
        <v>-0.0080568109003524</v>
      </c>
      <c r="R547" s="180">
        <v>0.50661179486792</v>
      </c>
      <c r="S547" s="180">
        <v>0.00539885778772899</v>
      </c>
      <c r="T547" s="180">
        <v>0</v>
      </c>
      <c r="U547" s="180">
        <v>0</v>
      </c>
      <c r="V547" s="180">
        <v>0</v>
      </c>
      <c r="W547" s="180"/>
      <c r="X547" s="68"/>
      <c r="Y547" s="179"/>
      <c r="Z547" s="179"/>
      <c r="AA547" s="179"/>
      <c r="AB547" s="179"/>
      <c r="AC547" s="179"/>
      <c r="AD547" s="181"/>
      <c r="AE547" s="180"/>
    </row>
    <row r="548" ht="21.25" customHeight="1">
      <c r="A548" t="s" s="8">
        <v>815</v>
      </c>
      <c r="B548" t="s" s="177">
        <v>952</v>
      </c>
      <c r="C548" s="178">
        <v>29</v>
      </c>
      <c r="D548" t="s" s="177">
        <v>924</v>
      </c>
      <c r="E548" s="68">
        <v>61.1342857142857</v>
      </c>
      <c r="F548" s="179">
        <v>10.7086024399318</v>
      </c>
      <c r="G548" s="180">
        <v>0.120173603846609</v>
      </c>
      <c r="H548" s="180">
        <v>0.102054763700429</v>
      </c>
      <c r="I548" s="180">
        <v>0.222228367547038</v>
      </c>
      <c r="J548" s="180">
        <v>1.3309359325334</v>
      </c>
      <c r="K548" s="180">
        <v>0.026484059686233</v>
      </c>
      <c r="L548" s="180">
        <v>0.0386698471906137</v>
      </c>
      <c r="M548" s="180">
        <v>0.00507256083190029</v>
      </c>
      <c r="N548" s="180">
        <v>0.00585425802985648</v>
      </c>
      <c r="O548" s="180">
        <v>0.557746284533273</v>
      </c>
      <c r="P548" s="180">
        <v>1.33115850246187</v>
      </c>
      <c r="Q548" s="180">
        <v>-0.00495080848522971</v>
      </c>
      <c r="R548" s="180">
        <v>0.352559952892841</v>
      </c>
      <c r="S548" s="180">
        <v>0.0170117331740618</v>
      </c>
      <c r="T548" s="180">
        <v>3.18544004110161</v>
      </c>
      <c r="U548" s="180">
        <v>3.56281018972443</v>
      </c>
      <c r="V548" s="180">
        <v>0.472039407571241</v>
      </c>
      <c r="W548" s="180"/>
      <c r="X548" s="68"/>
      <c r="Y548" s="179"/>
      <c r="Z548" s="179"/>
      <c r="AA548" s="179"/>
      <c r="AB548" s="179"/>
      <c r="AC548" s="179"/>
      <c r="AD548" s="181"/>
      <c r="AE548" s="180"/>
    </row>
    <row r="549" ht="21.25" customHeight="1">
      <c r="A549" t="s" s="8">
        <v>597</v>
      </c>
      <c r="B549" t="s" s="177">
        <v>961</v>
      </c>
      <c r="C549" s="178">
        <v>30</v>
      </c>
      <c r="D549" t="s" s="177">
        <v>927</v>
      </c>
      <c r="E549" s="68">
        <v>62.4</v>
      </c>
      <c r="F549" s="179">
        <v>19.0666608982657</v>
      </c>
      <c r="G549" s="180">
        <v>0.0513647205633255</v>
      </c>
      <c r="H549" s="180">
        <v>0.170622429179985</v>
      </c>
      <c r="I549" s="180">
        <v>0.221987149743311</v>
      </c>
      <c r="J549" s="180">
        <v>1.17126897373239</v>
      </c>
      <c r="K549" s="180">
        <v>0.000260030672384617</v>
      </c>
      <c r="L549" s="180">
        <v>0.0018121752346499</v>
      </c>
      <c r="M549" s="180">
        <v>0.000398942891717421</v>
      </c>
      <c r="N549" s="180">
        <v>0.0103179529327193</v>
      </c>
      <c r="O549" s="180">
        <v>2.04142026625239</v>
      </c>
      <c r="P549" s="180">
        <v>1.76913390713223</v>
      </c>
      <c r="Q549" s="180">
        <v>-0.0775701018652865</v>
      </c>
      <c r="R549" s="180">
        <v>0.590906472399661</v>
      </c>
      <c r="S549" s="180">
        <v>0.00631816299759978</v>
      </c>
      <c r="T549" s="180">
        <v>0</v>
      </c>
      <c r="U549" s="180">
        <v>0</v>
      </c>
      <c r="V549" s="180">
        <v>0</v>
      </c>
      <c r="W549" s="180"/>
      <c r="X549" s="68"/>
      <c r="Y549" s="179"/>
      <c r="Z549" s="179"/>
      <c r="AA549" s="179"/>
      <c r="AB549" s="179"/>
      <c r="AC549" s="179"/>
      <c r="AD549" s="181"/>
      <c r="AE549" s="180"/>
    </row>
    <row r="550" ht="21.25" customHeight="1">
      <c r="A550" t="s" s="8">
        <v>797</v>
      </c>
      <c r="B550" t="s" s="177">
        <v>950</v>
      </c>
      <c r="C550" s="178">
        <v>35</v>
      </c>
      <c r="D550" t="s" s="177">
        <v>924</v>
      </c>
      <c r="E550" s="68">
        <v>72</v>
      </c>
      <c r="F550" s="179">
        <v>12.9197530240193</v>
      </c>
      <c r="G550" s="180">
        <v>0.120500881445897</v>
      </c>
      <c r="H550" s="180">
        <v>0.100912779667733</v>
      </c>
      <c r="I550" s="180">
        <v>0.22141366111363</v>
      </c>
      <c r="J550" s="180">
        <v>1.2100082114945</v>
      </c>
      <c r="K550" s="180">
        <v>0.00287782436994938</v>
      </c>
      <c r="L550" s="180">
        <v>0.00733227358221379</v>
      </c>
      <c r="M550" s="180">
        <v>0.00418535244721096</v>
      </c>
      <c r="N550" s="180">
        <v>0.00505281184498174</v>
      </c>
      <c r="O550" s="180">
        <v>1.01072422482432</v>
      </c>
      <c r="P550" s="180">
        <v>0.43996828855046</v>
      </c>
      <c r="Q550" s="180">
        <v>0.0480037796803174</v>
      </c>
      <c r="R550" s="180">
        <v>0.235315045737868</v>
      </c>
      <c r="S550" s="180">
        <v>0.0205331251782318</v>
      </c>
      <c r="T550" s="180">
        <v>3.5628468684826</v>
      </c>
      <c r="U550" s="180">
        <v>3.50266426836945</v>
      </c>
      <c r="V550" s="180">
        <v>0.5042588992464569</v>
      </c>
      <c r="W550" s="180"/>
      <c r="X550" s="68"/>
      <c r="Y550" s="179"/>
      <c r="Z550" s="179"/>
      <c r="AA550" s="179"/>
      <c r="AB550" s="179"/>
      <c r="AC550" s="179"/>
      <c r="AD550" s="181"/>
      <c r="AE550" s="180"/>
    </row>
    <row r="551" ht="21.25" customHeight="1">
      <c r="A551" t="s" s="8">
        <v>781</v>
      </c>
      <c r="B551" t="s" s="177">
        <v>971</v>
      </c>
      <c r="C551" s="178">
        <v>32</v>
      </c>
      <c r="D551" t="s" s="177">
        <v>924</v>
      </c>
      <c r="E551" s="68">
        <v>80.7525</v>
      </c>
      <c r="F551" s="179">
        <v>13.682718181534</v>
      </c>
      <c r="G551" s="180">
        <v>0.08710604256494681</v>
      </c>
      <c r="H551" s="180">
        <v>0.133509333014612</v>
      </c>
      <c r="I551" s="180">
        <v>0.220615375579559</v>
      </c>
      <c r="J551" s="180">
        <v>1.29245832794448</v>
      </c>
      <c r="K551" s="180">
        <v>0.000559306477287293</v>
      </c>
      <c r="L551" s="180">
        <v>0.00147395968798006</v>
      </c>
      <c r="M551" s="180">
        <v>0.00477617990031</v>
      </c>
      <c r="N551" s="180">
        <v>0.0121322241862802</v>
      </c>
      <c r="O551" s="180">
        <v>0.6359764163199521</v>
      </c>
      <c r="P551" s="180">
        <v>1.97809149076751</v>
      </c>
      <c r="Q551" s="180">
        <v>-0.0233336635027546</v>
      </c>
      <c r="R551" s="180">
        <v>0.508167741549078</v>
      </c>
      <c r="S551" s="180">
        <v>0.0134597874828982</v>
      </c>
      <c r="T551" s="180">
        <v>6.06995457388112</v>
      </c>
      <c r="U551" s="180">
        <v>5.15378704367705</v>
      </c>
      <c r="V551" s="180">
        <v>0.540813819554205</v>
      </c>
      <c r="W551" s="180"/>
      <c r="X551" s="68"/>
      <c r="Y551" s="179"/>
      <c r="Z551" s="179"/>
      <c r="AA551" s="179"/>
      <c r="AB551" s="179"/>
      <c r="AC551" s="179"/>
      <c r="AD551" s="181"/>
      <c r="AE551" s="180"/>
    </row>
    <row r="552" ht="21.25" customHeight="1">
      <c r="A552" t="s" s="8">
        <v>805</v>
      </c>
      <c r="B552" t="s" s="177">
        <v>949</v>
      </c>
      <c r="C552" s="178">
        <v>35</v>
      </c>
      <c r="D552" t="s" s="177">
        <v>925</v>
      </c>
      <c r="E552" s="68">
        <v>81.1425</v>
      </c>
      <c r="F552" s="179">
        <v>11.1225685322018</v>
      </c>
      <c r="G552" s="180">
        <v>0.0845688184485129</v>
      </c>
      <c r="H552" s="180">
        <v>0.13578287451005</v>
      </c>
      <c r="I552" s="180">
        <v>0.220351692958563</v>
      </c>
      <c r="J552" s="180">
        <v>0.940362571083882</v>
      </c>
      <c r="K552" s="180">
        <v>0.000826593381560849</v>
      </c>
      <c r="L552" s="180">
        <v>0.00150584765213478</v>
      </c>
      <c r="M552" s="180">
        <v>2.99444338509566e-05</v>
      </c>
      <c r="N552" s="180">
        <v>5.73238753334804e-05</v>
      </c>
      <c r="O552" s="180">
        <v>0.231475602915478</v>
      </c>
      <c r="P552" s="180">
        <v>2.06924481391399</v>
      </c>
      <c r="Q552" s="180">
        <v>0.00741548369561133</v>
      </c>
      <c r="R552" s="180">
        <v>0.55715939470666</v>
      </c>
      <c r="S552" s="180">
        <v>0.0141974403555568</v>
      </c>
      <c r="T552" s="180">
        <v>0.213859578257217</v>
      </c>
      <c r="U552" s="180">
        <v>0.261862590281871</v>
      </c>
      <c r="V552" s="180">
        <v>0.449547219785796</v>
      </c>
      <c r="W552" s="180"/>
      <c r="X552" s="68"/>
      <c r="Y552" s="179"/>
      <c r="Z552" s="179"/>
      <c r="AA552" s="179"/>
      <c r="AB552" s="179"/>
      <c r="AC552" s="179"/>
      <c r="AD552" s="181"/>
      <c r="AE552" s="180"/>
    </row>
    <row r="553" ht="21.25" customHeight="1">
      <c r="A553" t="s" s="8">
        <v>787</v>
      </c>
      <c r="B553" t="s" s="177">
        <v>946</v>
      </c>
      <c r="C553" s="178">
        <v>26</v>
      </c>
      <c r="D553" t="s" s="177">
        <v>926</v>
      </c>
      <c r="E553" s="68">
        <v>68.05249999999999</v>
      </c>
      <c r="F553" s="179">
        <v>10.7938116821131</v>
      </c>
      <c r="G553" s="180">
        <v>0.123543226705724</v>
      </c>
      <c r="H553" s="180">
        <v>0.0964290727348301</v>
      </c>
      <c r="I553" s="180">
        <v>0.219972299440555</v>
      </c>
      <c r="J553" s="180">
        <v>1.39024213377685</v>
      </c>
      <c r="K553" s="180">
        <v>0.000790478443635255</v>
      </c>
      <c r="L553" s="180">
        <v>0.00201844939761844</v>
      </c>
      <c r="M553" s="180">
        <v>0.0107418832322892</v>
      </c>
      <c r="N553" s="180">
        <v>0.0124762496292283</v>
      </c>
      <c r="O553" s="180">
        <v>0.33808965758313</v>
      </c>
      <c r="P553" s="180">
        <v>2.50552778949087</v>
      </c>
      <c r="Q553" s="180">
        <v>0.0221167582004633</v>
      </c>
      <c r="R553" s="180">
        <v>0.825752769249028</v>
      </c>
      <c r="S553" s="180">
        <v>0.0198381285079887</v>
      </c>
      <c r="T553" s="180">
        <v>0.0850246307574615</v>
      </c>
      <c r="U553" s="180">
        <v>0.212561576893654</v>
      </c>
      <c r="V553" s="180">
        <v>0.285714285714286</v>
      </c>
      <c r="W553" s="180"/>
      <c r="X553" s="68"/>
      <c r="Y553" s="179"/>
      <c r="Z553" s="179"/>
      <c r="AA553" s="179"/>
      <c r="AB553" s="179"/>
      <c r="AC553" s="179"/>
      <c r="AD553" s="181"/>
      <c r="AE553" s="180"/>
    </row>
    <row r="554" ht="21.25" customHeight="1">
      <c r="A554" t="s" s="8">
        <v>650</v>
      </c>
      <c r="B554" t="s" s="177">
        <v>952</v>
      </c>
      <c r="C554" s="178">
        <v>28</v>
      </c>
      <c r="D554" t="s" s="177">
        <v>927</v>
      </c>
      <c r="E554" s="68">
        <v>58.9382142857143</v>
      </c>
      <c r="F554" s="179">
        <v>15.3284470019055</v>
      </c>
      <c r="G554" s="180">
        <v>0.040375938458972</v>
      </c>
      <c r="H554" s="180">
        <v>0.179435003243404</v>
      </c>
      <c r="I554" s="180">
        <v>0.219810941702376</v>
      </c>
      <c r="J554" s="180">
        <v>1.03475508022711</v>
      </c>
      <c r="K554" s="180">
        <v>0.00206856941079316</v>
      </c>
      <c r="L554" s="180">
        <v>0.0213755674162078</v>
      </c>
      <c r="M554" s="180">
        <v>0.000111009083964625</v>
      </c>
      <c r="N554" s="180">
        <v>0.00042016560772043</v>
      </c>
      <c r="O554" s="180">
        <v>0.961324649899082</v>
      </c>
      <c r="P554" s="180">
        <v>0.876425128362504</v>
      </c>
      <c r="Q554" s="180">
        <v>0.00556838853430021</v>
      </c>
      <c r="R554" s="180">
        <v>0.354942781749424</v>
      </c>
      <c r="S554" s="180">
        <v>0.00571560367444001</v>
      </c>
      <c r="T554" s="180">
        <v>0</v>
      </c>
      <c r="U554" s="180">
        <v>0</v>
      </c>
      <c r="V554" s="180">
        <v>0</v>
      </c>
      <c r="W554" s="180"/>
      <c r="X554" s="68"/>
      <c r="Y554" s="179"/>
      <c r="Z554" s="179"/>
      <c r="AA554" s="179"/>
      <c r="AB554" s="179"/>
      <c r="AC554" s="179"/>
      <c r="AD554" s="181"/>
      <c r="AE554" s="180"/>
    </row>
    <row r="555" ht="21.25" customHeight="1">
      <c r="A555" t="s" s="8">
        <v>791</v>
      </c>
      <c r="B555" t="s" s="177">
        <v>948</v>
      </c>
      <c r="C555" s="178">
        <v>29</v>
      </c>
      <c r="D555" t="s" s="177">
        <v>924</v>
      </c>
      <c r="E555" s="68">
        <v>81.01857142857141</v>
      </c>
      <c r="F555" s="179">
        <v>13.1277981441385</v>
      </c>
      <c r="G555" s="180">
        <v>0.092357428101995</v>
      </c>
      <c r="H555" s="180">
        <v>0.127125747841223</v>
      </c>
      <c r="I555" s="180">
        <v>0.219483175943218</v>
      </c>
      <c r="J555" s="180">
        <v>1.06428036341195</v>
      </c>
      <c r="K555" s="180">
        <v>0.00078526390071235</v>
      </c>
      <c r="L555" s="180">
        <v>0.0015841807586247</v>
      </c>
      <c r="M555" s="180">
        <v>0.0130009759124663</v>
      </c>
      <c r="N555" s="180">
        <v>0.0245388464893315</v>
      </c>
      <c r="O555" s="180">
        <v>0.757348886577249</v>
      </c>
      <c r="P555" s="180">
        <v>1.1760371120758</v>
      </c>
      <c r="Q555" s="180">
        <v>0.0378697926078363</v>
      </c>
      <c r="R555" s="180">
        <v>0.457204972668651</v>
      </c>
      <c r="S555" s="180">
        <v>0.0147765337694817</v>
      </c>
      <c r="T555" s="180">
        <v>3.98844838046985</v>
      </c>
      <c r="U555" s="180">
        <v>3.18349772661828</v>
      </c>
      <c r="V555" s="180">
        <v>0.556118007708956</v>
      </c>
      <c r="W555" s="180"/>
      <c r="X555" s="68"/>
      <c r="Y555" s="179"/>
      <c r="Z555" s="179"/>
      <c r="AA555" s="179"/>
      <c r="AB555" s="179"/>
      <c r="AC555" s="179"/>
      <c r="AD555" s="181"/>
      <c r="AE555" s="180"/>
    </row>
    <row r="556" ht="21.25" customHeight="1">
      <c r="A556" t="s" s="8">
        <v>827</v>
      </c>
      <c r="B556" t="s" s="177">
        <v>939</v>
      </c>
      <c r="C556" s="178">
        <v>21</v>
      </c>
      <c r="D556" t="s" s="177">
        <v>925</v>
      </c>
      <c r="E556" s="68">
        <v>69.16500000000001</v>
      </c>
      <c r="F556" s="179">
        <v>9.39117533118873</v>
      </c>
      <c r="G556" s="180">
        <v>0.0845647330949937</v>
      </c>
      <c r="H556" s="180">
        <v>0.134287975702079</v>
      </c>
      <c r="I556" s="180">
        <v>0.218852708797073</v>
      </c>
      <c r="J556" s="180">
        <v>0.879482373154405</v>
      </c>
      <c r="K556" s="180">
        <v>0.00589240256117343</v>
      </c>
      <c r="L556" s="180">
        <v>0.0146672562385863</v>
      </c>
      <c r="M556" s="180">
        <v>4.26281497801338e-05</v>
      </c>
      <c r="N556" s="180">
        <v>7.66510213243104e-05</v>
      </c>
      <c r="O556" s="180">
        <v>0.323513511955971</v>
      </c>
      <c r="P556" s="180">
        <v>1.54232430510666</v>
      </c>
      <c r="Q556" s="180">
        <v>0.0608228627604252</v>
      </c>
      <c r="R556" s="180">
        <v>0.368767217898957</v>
      </c>
      <c r="S556" s="180">
        <v>0.0133856893938489</v>
      </c>
      <c r="T556" s="180">
        <v>0.422636508716684</v>
      </c>
      <c r="U556" s="180">
        <v>0.768430015848518</v>
      </c>
      <c r="V556" s="180">
        <v>0.354838709677419</v>
      </c>
      <c r="W556" s="180"/>
      <c r="X556" s="68"/>
      <c r="Y556" s="179"/>
      <c r="Z556" s="179"/>
      <c r="AA556" s="179"/>
      <c r="AB556" s="179"/>
      <c r="AC556" s="179"/>
      <c r="AD556" s="181"/>
      <c r="AE556" s="180"/>
    </row>
    <row r="557" ht="21.25" customHeight="1">
      <c r="A557" t="s" s="8">
        <v>814</v>
      </c>
      <c r="B557" t="s" s="177">
        <v>949</v>
      </c>
      <c r="C557" s="178">
        <v>31</v>
      </c>
      <c r="D557" t="s" s="177">
        <v>924</v>
      </c>
      <c r="E557" s="68">
        <v>68.2</v>
      </c>
      <c r="F557" s="179">
        <v>12.3193888098845</v>
      </c>
      <c r="G557" s="180">
        <v>0.0808848838724929</v>
      </c>
      <c r="H557" s="180">
        <v>0.137943189345907</v>
      </c>
      <c r="I557" s="180">
        <v>0.2188280732184</v>
      </c>
      <c r="J557" s="180">
        <v>1.13179137560815</v>
      </c>
      <c r="K557" s="180">
        <v>0.000702717138789527</v>
      </c>
      <c r="L557" s="180">
        <v>0.00185089887867673</v>
      </c>
      <c r="M557" s="180">
        <v>0.00758549005238527</v>
      </c>
      <c r="N557" s="180">
        <v>0.009087859063046121</v>
      </c>
      <c r="O557" s="180">
        <v>0.692107552328346</v>
      </c>
      <c r="P557" s="180">
        <v>2.54622849429509</v>
      </c>
      <c r="Q557" s="180">
        <v>0.0227475247722793</v>
      </c>
      <c r="R557" s="180">
        <v>0.422454244095387</v>
      </c>
      <c r="S557" s="180">
        <v>0.0135789802377929</v>
      </c>
      <c r="T557" s="180">
        <v>3.57831607778151</v>
      </c>
      <c r="U557" s="180">
        <v>2.91266491043513</v>
      </c>
      <c r="V557" s="180">
        <v>0.551275082191333</v>
      </c>
      <c r="W557" s="180"/>
      <c r="X557" s="68"/>
      <c r="Y557" s="179"/>
      <c r="Z557" s="179"/>
      <c r="AA557" s="179"/>
      <c r="AB557" s="179"/>
      <c r="AC557" s="179"/>
      <c r="AD557" s="181"/>
      <c r="AE557" s="180"/>
    </row>
    <row r="558" ht="21.25" customHeight="1">
      <c r="A558" t="s" s="8">
        <v>860</v>
      </c>
      <c r="B558" t="s" s="177">
        <v>943</v>
      </c>
      <c r="C558" s="178">
        <v>23</v>
      </c>
      <c r="D558" t="s" s="177">
        <v>925</v>
      </c>
      <c r="E558" s="68">
        <v>52.3575</v>
      </c>
      <c r="F558" s="179">
        <v>9.601175418360439</v>
      </c>
      <c r="G558" s="180">
        <v>0.06395589755159151</v>
      </c>
      <c r="H558" s="180">
        <v>0.154361389929127</v>
      </c>
      <c r="I558" s="180">
        <v>0.218317287480718</v>
      </c>
      <c r="J558" s="180">
        <v>0.925104969772504</v>
      </c>
      <c r="K558" s="180">
        <v>0.00176889886197399</v>
      </c>
      <c r="L558" s="180">
        <v>0.00431638265688921</v>
      </c>
      <c r="M558" s="180">
        <v>0</v>
      </c>
      <c r="N558" s="180">
        <v>0</v>
      </c>
      <c r="O558" s="180">
        <v>0.409481676406185</v>
      </c>
      <c r="P558" s="180">
        <v>1.2926179499382</v>
      </c>
      <c r="Q558" s="180">
        <v>0.019968423062607</v>
      </c>
      <c r="R558" s="180">
        <v>0.249695978752266</v>
      </c>
      <c r="S558" s="180">
        <v>0.009174619386075561</v>
      </c>
      <c r="T558" s="180">
        <v>0.00204045562270812</v>
      </c>
      <c r="U558" s="180">
        <v>0.0178841234925594</v>
      </c>
      <c r="V558" s="180">
        <v>0.102408969891093</v>
      </c>
      <c r="W558" s="180"/>
      <c r="X558" s="68"/>
      <c r="Y558" s="179"/>
      <c r="Z558" s="179"/>
      <c r="AA558" s="179"/>
      <c r="AB558" s="179"/>
      <c r="AC558" s="179"/>
      <c r="AD558" s="181"/>
      <c r="AE558" s="180"/>
    </row>
    <row r="559" ht="21.25" customHeight="1">
      <c r="A559" t="s" s="8">
        <v>808</v>
      </c>
      <c r="B559" t="s" s="177">
        <v>939</v>
      </c>
      <c r="C559" s="178">
        <v>36</v>
      </c>
      <c r="D559" t="s" s="177">
        <v>924</v>
      </c>
      <c r="E559" s="68">
        <v>78.80892857142859</v>
      </c>
      <c r="F559" s="179">
        <v>10.6621497980183</v>
      </c>
      <c r="G559" s="180">
        <v>0.1131815041742</v>
      </c>
      <c r="H559" s="180">
        <v>0.104975232732396</v>
      </c>
      <c r="I559" s="180">
        <v>0.218156736906595</v>
      </c>
      <c r="J559" s="180">
        <v>1.05387501895524</v>
      </c>
      <c r="K559" s="180">
        <v>0.000566235770256365</v>
      </c>
      <c r="L559" s="180">
        <v>0.00142592002715959</v>
      </c>
      <c r="M559" s="180">
        <v>0.00653473064340851</v>
      </c>
      <c r="N559" s="180">
        <v>0.011715085517671</v>
      </c>
      <c r="O559" s="180">
        <v>0.479894700186261</v>
      </c>
      <c r="P559" s="180">
        <v>0.747611256995098</v>
      </c>
      <c r="Q559" s="180">
        <v>0.07589499603401149</v>
      </c>
      <c r="R559" s="180">
        <v>0.257462664966251</v>
      </c>
      <c r="S559" s="180">
        <v>0.0179154170368232</v>
      </c>
      <c r="T559" s="180">
        <v>2.85846678877112</v>
      </c>
      <c r="U559" s="180">
        <v>2.58527774688815</v>
      </c>
      <c r="V559" s="180">
        <v>0.525092015256544</v>
      </c>
      <c r="W559" s="180"/>
      <c r="X559" s="68"/>
      <c r="Y559" s="179"/>
      <c r="Z559" s="179"/>
      <c r="AA559" s="179"/>
      <c r="AB559" s="179"/>
      <c r="AC559" s="179"/>
      <c r="AD559" s="181"/>
      <c r="AE559" s="180"/>
    </row>
    <row r="560" ht="21.25" customHeight="1">
      <c r="A560" t="s" s="8">
        <v>536</v>
      </c>
      <c r="B560" t="s" s="177">
        <v>973</v>
      </c>
      <c r="C560" s="178">
        <v>32</v>
      </c>
      <c r="D560" t="s" s="177">
        <v>927</v>
      </c>
      <c r="E560" s="68">
        <v>75.4371428571429</v>
      </c>
      <c r="F560" s="179">
        <v>18.7547611743025</v>
      </c>
      <c r="G560" s="180">
        <v>0.0345897419249567</v>
      </c>
      <c r="H560" s="180">
        <v>0.183128455003343</v>
      </c>
      <c r="I560" s="180">
        <v>0.2177181969283</v>
      </c>
      <c r="J560" s="180">
        <v>1.0372803579433</v>
      </c>
      <c r="K560" s="180">
        <v>0.000203348095163372</v>
      </c>
      <c r="L560" s="180">
        <v>0.00151644293856822</v>
      </c>
      <c r="M560" s="180">
        <v>0.000302990746981917</v>
      </c>
      <c r="N560" s="180">
        <v>0.0144691483541927</v>
      </c>
      <c r="O560" s="180">
        <v>2.26981311311027</v>
      </c>
      <c r="P560" s="180">
        <v>1.34304442724615</v>
      </c>
      <c r="Q560" s="180">
        <v>-0.127055981294074</v>
      </c>
      <c r="R560" s="180">
        <v>0.396760705345638</v>
      </c>
      <c r="S560" s="180">
        <v>0.00354344630568502</v>
      </c>
      <c r="T560" s="180">
        <v>0</v>
      </c>
      <c r="U560" s="180">
        <v>0</v>
      </c>
      <c r="V560" s="180">
        <v>0</v>
      </c>
      <c r="W560" s="180"/>
      <c r="X560" s="68"/>
      <c r="Y560" s="179"/>
      <c r="Z560" s="179"/>
      <c r="AA560" s="179"/>
      <c r="AB560" s="179"/>
      <c r="AC560" s="179"/>
      <c r="AD560" s="181"/>
      <c r="AE560" s="180"/>
    </row>
    <row r="561" ht="21.25" customHeight="1">
      <c r="A561" t="s" s="8">
        <v>844</v>
      </c>
      <c r="B561" t="s" s="177">
        <v>956</v>
      </c>
      <c r="C561" s="178">
        <v>23</v>
      </c>
      <c r="D561" t="s" s="177">
        <v>924</v>
      </c>
      <c r="E561" s="68">
        <v>68.5775</v>
      </c>
      <c r="F561" s="179">
        <v>10.0692785920177</v>
      </c>
      <c r="G561" s="180">
        <v>0.07032700552656961</v>
      </c>
      <c r="H561" s="180">
        <v>0.1471544229475</v>
      </c>
      <c r="I561" s="180">
        <v>0.21748142847407</v>
      </c>
      <c r="J561" s="180">
        <v>0.825820563358459</v>
      </c>
      <c r="K561" s="180">
        <v>0.0011167853288001</v>
      </c>
      <c r="L561" s="180">
        <v>0.0029477736924969</v>
      </c>
      <c r="M561" s="180">
        <v>0.00775780508135959</v>
      </c>
      <c r="N561" s="180">
        <v>0.0189852684574194</v>
      </c>
      <c r="O561" s="180">
        <v>0.444943515575379</v>
      </c>
      <c r="P561" s="180">
        <v>1.20013029712139</v>
      </c>
      <c r="Q561" s="180">
        <v>0.00658496584749588</v>
      </c>
      <c r="R561" s="180">
        <v>0.230674679360611</v>
      </c>
      <c r="S561" s="180">
        <v>0.0109712482594332</v>
      </c>
      <c r="T561" s="180">
        <v>2.91180625418798</v>
      </c>
      <c r="U561" s="180">
        <v>2.98161715841657</v>
      </c>
      <c r="V561" s="180">
        <v>0.494077219695492</v>
      </c>
      <c r="W561" s="180"/>
      <c r="X561" s="68"/>
      <c r="Y561" s="179"/>
      <c r="Z561" s="179"/>
      <c r="AA561" s="179"/>
      <c r="AB561" s="179"/>
      <c r="AC561" s="179"/>
      <c r="AD561" s="181"/>
      <c r="AE561" s="180"/>
    </row>
    <row r="562" ht="21.25" customHeight="1">
      <c r="A562" t="s" s="8">
        <v>802</v>
      </c>
      <c r="B562" t="s" s="177">
        <v>943</v>
      </c>
      <c r="C562" s="178">
        <v>27</v>
      </c>
      <c r="D562" t="s" s="177">
        <v>924</v>
      </c>
      <c r="E562" s="68">
        <v>75</v>
      </c>
      <c r="F562" s="179">
        <v>11.3088711356707</v>
      </c>
      <c r="G562" s="180">
        <v>0.105920852741365</v>
      </c>
      <c r="H562" s="180">
        <v>0.111534910842979</v>
      </c>
      <c r="I562" s="180">
        <v>0.217455763584344</v>
      </c>
      <c r="J562" s="180">
        <v>1.25177536125529</v>
      </c>
      <c r="K562" s="180">
        <v>0.00121471894261238</v>
      </c>
      <c r="L562" s="180">
        <v>0.00215557443050091</v>
      </c>
      <c r="M562" s="180">
        <v>0.008180644501283269</v>
      </c>
      <c r="N562" s="180">
        <v>0.0163612512883385</v>
      </c>
      <c r="O562" s="180">
        <v>0.468727018219273</v>
      </c>
      <c r="P562" s="180">
        <v>1.4877001540368</v>
      </c>
      <c r="Q562" s="180">
        <v>0.0205272901917229</v>
      </c>
      <c r="R562" s="180">
        <v>0.198764834508891</v>
      </c>
      <c r="S562" s="180">
        <v>0.0151945879293879</v>
      </c>
      <c r="T562" s="180">
        <v>2.85810186063337</v>
      </c>
      <c r="U562" s="180">
        <v>3.14570572799518</v>
      </c>
      <c r="V562" s="180">
        <v>0.476048210813205</v>
      </c>
      <c r="W562" s="180"/>
      <c r="X562" s="68"/>
      <c r="Y562" s="179"/>
      <c r="Z562" s="179"/>
      <c r="AA562" s="179"/>
      <c r="AB562" s="179"/>
      <c r="AC562" s="179"/>
      <c r="AD562" s="181"/>
      <c r="AE562" s="180"/>
    </row>
    <row r="563" ht="21.25" customHeight="1">
      <c r="A563" t="s" s="8">
        <v>577</v>
      </c>
      <c r="B563" t="s" s="177">
        <v>946</v>
      </c>
      <c r="C563" s="178">
        <v>38</v>
      </c>
      <c r="D563" t="s" s="177">
        <v>927</v>
      </c>
      <c r="E563" s="68">
        <v>74.265</v>
      </c>
      <c r="F563" s="179">
        <v>16.4964546078249</v>
      </c>
      <c r="G563" s="180">
        <v>0.0268254874231345</v>
      </c>
      <c r="H563" s="180">
        <v>0.190405511533993</v>
      </c>
      <c r="I563" s="180">
        <v>0.217230998957127</v>
      </c>
      <c r="J563" s="180">
        <v>1.11180128053977</v>
      </c>
      <c r="K563" s="180">
        <v>0.000342623589021034</v>
      </c>
      <c r="L563" s="180">
        <v>0.0133112572011352</v>
      </c>
      <c r="M563" s="180">
        <v>0.000233009670673589</v>
      </c>
      <c r="N563" s="180">
        <v>0.00107343751164524</v>
      </c>
      <c r="O563" s="180">
        <v>1.26973580196795</v>
      </c>
      <c r="P563" s="180">
        <v>0.885669614576566</v>
      </c>
      <c r="Q563" s="180">
        <v>0.0310253036667762</v>
      </c>
      <c r="R563" s="180">
        <v>0.344116139479777</v>
      </c>
      <c r="S563" s="180">
        <v>0.00430754061537651</v>
      </c>
      <c r="T563" s="180">
        <v>0</v>
      </c>
      <c r="U563" s="180">
        <v>0</v>
      </c>
      <c r="V563" s="180">
        <v>0</v>
      </c>
      <c r="W563" s="180"/>
      <c r="X563" s="68"/>
      <c r="Y563" s="179"/>
      <c r="Z563" s="179"/>
      <c r="AA563" s="179"/>
      <c r="AB563" s="179"/>
      <c r="AC563" s="179"/>
      <c r="AD563" s="181"/>
      <c r="AE563" s="180"/>
    </row>
    <row r="564" ht="21.25" customHeight="1">
      <c r="A564" t="s" s="8">
        <v>556</v>
      </c>
      <c r="B564" t="s" s="177">
        <v>943</v>
      </c>
      <c r="C564" s="178">
        <v>32</v>
      </c>
      <c r="D564" t="s" s="177">
        <v>927</v>
      </c>
      <c r="E564" s="68">
        <v>77.92107142857139</v>
      </c>
      <c r="F564" s="179">
        <v>18.2685886510595</v>
      </c>
      <c r="G564" s="180">
        <v>0.0476961204909944</v>
      </c>
      <c r="H564" s="180">
        <v>0.168839683896635</v>
      </c>
      <c r="I564" s="180">
        <v>0.216535804387629</v>
      </c>
      <c r="J564" s="180">
        <v>1.10213834697843</v>
      </c>
      <c r="K564" s="180">
        <v>0.000260144187417098</v>
      </c>
      <c r="L564" s="180">
        <v>0.00183851572678387</v>
      </c>
      <c r="M564" s="180">
        <v>0.000310817197678113</v>
      </c>
      <c r="N564" s="180">
        <v>0.00171182255192366</v>
      </c>
      <c r="O564" s="180">
        <v>1.43804529750223</v>
      </c>
      <c r="P564" s="180">
        <v>1.35855897146851</v>
      </c>
      <c r="Q564" s="180">
        <v>0.0171348346771484</v>
      </c>
      <c r="R564" s="180">
        <v>0.490178932940756</v>
      </c>
      <c r="S564" s="180">
        <v>0.00684211727846174</v>
      </c>
      <c r="T564" s="180">
        <v>0</v>
      </c>
      <c r="U564" s="180">
        <v>0</v>
      </c>
      <c r="V564" s="180">
        <v>0</v>
      </c>
      <c r="W564" s="180"/>
      <c r="X564" s="68"/>
      <c r="Y564" s="179"/>
      <c r="Z564" s="179"/>
      <c r="AA564" s="179"/>
      <c r="AB564" s="179"/>
      <c r="AC564" s="179"/>
      <c r="AD564" s="181"/>
      <c r="AE564" s="180"/>
    </row>
    <row r="565" ht="21.25" customHeight="1">
      <c r="A565" t="s" s="8">
        <v>542</v>
      </c>
      <c r="B565" t="s" s="177">
        <v>948</v>
      </c>
      <c r="C565" s="178">
        <v>38</v>
      </c>
      <c r="D565" t="s" s="177">
        <v>927</v>
      </c>
      <c r="E565" s="68">
        <v>82.03</v>
      </c>
      <c r="F565" s="179">
        <v>18.5306795831516</v>
      </c>
      <c r="G565" s="180">
        <v>0.0288414379011635</v>
      </c>
      <c r="H565" s="180">
        <v>0.187252203023716</v>
      </c>
      <c r="I565" s="180">
        <v>0.216093640924879</v>
      </c>
      <c r="J565" s="180">
        <v>1.05789045422502</v>
      </c>
      <c r="K565" s="180">
        <v>0.00409145493446659</v>
      </c>
      <c r="L565" s="180">
        <v>0.0258262997348326</v>
      </c>
      <c r="M565" s="180">
        <v>0.000249116726805238</v>
      </c>
      <c r="N565" s="180">
        <v>0.00589870107288133</v>
      </c>
      <c r="O565" s="180">
        <v>1.22248699114199</v>
      </c>
      <c r="P565" s="180">
        <v>0.915391922719629</v>
      </c>
      <c r="Q565" s="180">
        <v>0.0589489988513293</v>
      </c>
      <c r="R565" s="180">
        <v>0.329412194422196</v>
      </c>
      <c r="S565" s="180">
        <v>0.00461442560566223</v>
      </c>
      <c r="T565" s="180">
        <v>0</v>
      </c>
      <c r="U565" s="180">
        <v>0</v>
      </c>
      <c r="V565" s="180">
        <v>0</v>
      </c>
      <c r="W565" s="180"/>
      <c r="X565" s="68"/>
      <c r="Y565" s="179"/>
      <c r="Z565" s="179"/>
      <c r="AA565" s="179"/>
      <c r="AB565" s="179"/>
      <c r="AC565" s="179"/>
      <c r="AD565" s="181"/>
      <c r="AE565" s="180"/>
    </row>
    <row r="566" ht="21.25" customHeight="1">
      <c r="A566" t="s" s="8">
        <v>515</v>
      </c>
      <c r="B566" t="s" s="177">
        <v>952</v>
      </c>
      <c r="C566" s="178">
        <v>34</v>
      </c>
      <c r="D566" t="s" s="177">
        <v>927</v>
      </c>
      <c r="E566" s="68">
        <v>80.0646428571429</v>
      </c>
      <c r="F566" s="179">
        <v>18.9379444485557</v>
      </c>
      <c r="G566" s="180">
        <v>0.0286123833681627</v>
      </c>
      <c r="H566" s="180">
        <v>0.187083059428329</v>
      </c>
      <c r="I566" s="180">
        <v>0.215695442796491</v>
      </c>
      <c r="J566" s="180">
        <v>1.26357239659126</v>
      </c>
      <c r="K566" s="180">
        <v>0.000215694322319907</v>
      </c>
      <c r="L566" s="180">
        <v>0.00170051339559973</v>
      </c>
      <c r="M566" s="180">
        <v>0.000224600905663479</v>
      </c>
      <c r="N566" s="180">
        <v>0.00434649739647145</v>
      </c>
      <c r="O566" s="180">
        <v>1.5342960189725</v>
      </c>
      <c r="P566" s="180">
        <v>1.48606147571588</v>
      </c>
      <c r="Q566" s="180">
        <v>0.0133636336391366</v>
      </c>
      <c r="R566" s="180">
        <v>0.800630541710087</v>
      </c>
      <c r="S566" s="180">
        <v>0.00405035894533412</v>
      </c>
      <c r="T566" s="180">
        <v>0</v>
      </c>
      <c r="U566" s="180">
        <v>0</v>
      </c>
      <c r="V566" s="180">
        <v>0</v>
      </c>
      <c r="W566" s="180"/>
      <c r="X566" s="68"/>
      <c r="Y566" s="179"/>
      <c r="Z566" s="179"/>
      <c r="AA566" s="179"/>
      <c r="AB566" s="179"/>
      <c r="AC566" s="179"/>
      <c r="AD566" s="181"/>
      <c r="AE566" s="180"/>
    </row>
    <row r="567" ht="21.25" customHeight="1">
      <c r="A567" t="s" s="8">
        <v>692</v>
      </c>
      <c r="B567" t="s" s="177">
        <v>950</v>
      </c>
      <c r="C567" s="178">
        <v>22</v>
      </c>
      <c r="D567" t="s" s="177">
        <v>927</v>
      </c>
      <c r="E567" s="68">
        <v>52.2</v>
      </c>
      <c r="F567" s="179">
        <v>14.9489150752668</v>
      </c>
      <c r="G567" s="180">
        <v>0.0455837359503056</v>
      </c>
      <c r="H567" s="180">
        <v>0.168741505274146</v>
      </c>
      <c r="I567" s="180">
        <v>0.214325241224452</v>
      </c>
      <c r="J567" s="180">
        <v>0.94071075857172</v>
      </c>
      <c r="K567" s="180">
        <v>0.00115403590882466</v>
      </c>
      <c r="L567" s="180">
        <v>0.009800269367914149</v>
      </c>
      <c r="M567" s="180">
        <v>0.000102442124684186</v>
      </c>
      <c r="N567" s="180">
        <v>0.000379910308005466</v>
      </c>
      <c r="O567" s="180">
        <v>1.04117766564628</v>
      </c>
      <c r="P567" s="180">
        <v>0.886886087819811</v>
      </c>
      <c r="Q567" s="180">
        <v>0.0351123011442048</v>
      </c>
      <c r="R567" s="180">
        <v>0.280314129302246</v>
      </c>
      <c r="S567" s="180">
        <v>0.00776738348407293</v>
      </c>
      <c r="T567" s="180">
        <v>0</v>
      </c>
      <c r="U567" s="180">
        <v>0</v>
      </c>
      <c r="V567" s="180">
        <v>0</v>
      </c>
      <c r="W567" s="180"/>
      <c r="X567" s="68"/>
      <c r="Y567" s="179"/>
      <c r="Z567" s="179"/>
      <c r="AA567" s="179"/>
      <c r="AB567" s="179"/>
      <c r="AC567" s="179"/>
      <c r="AD567" s="181"/>
      <c r="AE567" s="180"/>
    </row>
    <row r="568" ht="21.25" customHeight="1">
      <c r="A568" t="s" s="8">
        <v>784</v>
      </c>
      <c r="B568" t="s" s="177">
        <v>951</v>
      </c>
      <c r="C568" s="178">
        <v>29</v>
      </c>
      <c r="D568" t="s" s="177">
        <v>925</v>
      </c>
      <c r="E568" s="68">
        <v>75.5</v>
      </c>
      <c r="F568" s="179">
        <v>12.5899806735441</v>
      </c>
      <c r="G568" s="180">
        <v>0.113424019379554</v>
      </c>
      <c r="H568" s="180">
        <v>0.09932275649236651</v>
      </c>
      <c r="I568" s="180">
        <v>0.212746775871921</v>
      </c>
      <c r="J568" s="180">
        <v>1.35612568355373</v>
      </c>
      <c r="K568" s="180">
        <v>0.00108975730002273</v>
      </c>
      <c r="L568" s="180">
        <v>0.00269161899321399</v>
      </c>
      <c r="M568" s="180">
        <v>0.00205599326987851</v>
      </c>
      <c r="N568" s="180">
        <v>0.00350745869195294</v>
      </c>
      <c r="O568" s="180">
        <v>0.555353501447021</v>
      </c>
      <c r="P568" s="180">
        <v>1.25941804413151</v>
      </c>
      <c r="Q568" s="180">
        <v>-0.0274124404611606</v>
      </c>
      <c r="R568" s="180">
        <v>0.231553414709356</v>
      </c>
      <c r="S568" s="180">
        <v>0.014520435946238</v>
      </c>
      <c r="T568" s="180">
        <v>1.30739867626534</v>
      </c>
      <c r="U568" s="180">
        <v>1.46434770828002</v>
      </c>
      <c r="V568" s="180">
        <v>0.471687699695434</v>
      </c>
      <c r="W568" s="180"/>
      <c r="X568" s="68"/>
      <c r="Y568" s="179"/>
      <c r="Z568" s="179"/>
      <c r="AA568" s="179"/>
      <c r="AB568" s="179"/>
      <c r="AC568" s="179"/>
      <c r="AD568" s="181"/>
      <c r="AE568" s="180"/>
    </row>
    <row r="569" ht="21.25" customHeight="1">
      <c r="A569" t="s" s="8">
        <v>555</v>
      </c>
      <c r="B569" t="s" s="177">
        <v>946</v>
      </c>
      <c r="C569" s="178">
        <v>27</v>
      </c>
      <c r="D569" t="s" s="177">
        <v>927</v>
      </c>
      <c r="E569" s="68">
        <v>75.69750000000001</v>
      </c>
      <c r="F569" s="179">
        <v>18.9596385290324</v>
      </c>
      <c r="G569" s="180">
        <v>0.0498837348944357</v>
      </c>
      <c r="H569" s="180">
        <v>0.162380260102613</v>
      </c>
      <c r="I569" s="180">
        <v>0.212263994997049</v>
      </c>
      <c r="J569" s="180">
        <v>1.05665949179019</v>
      </c>
      <c r="K569" s="180">
        <v>0.000258486424682037</v>
      </c>
      <c r="L569" s="180">
        <v>0.00238563785307223</v>
      </c>
      <c r="M569" s="180">
        <v>0.000463172557818605</v>
      </c>
      <c r="N569" s="180">
        <v>0.0131044530557535</v>
      </c>
      <c r="O569" s="180">
        <v>1.84084241653683</v>
      </c>
      <c r="P569" s="180">
        <v>1.53993654645402</v>
      </c>
      <c r="Q569" s="180">
        <v>0.0267442469291867</v>
      </c>
      <c r="R569" s="180">
        <v>0.810968832373004</v>
      </c>
      <c r="S569" s="180">
        <v>0.008010151342828739</v>
      </c>
      <c r="T569" s="180">
        <v>0</v>
      </c>
      <c r="U569" s="180">
        <v>0</v>
      </c>
      <c r="V569" s="180">
        <v>0</v>
      </c>
      <c r="W569" s="180"/>
      <c r="X569" s="68"/>
      <c r="Y569" s="179"/>
      <c r="Z569" s="179"/>
      <c r="AA569" s="179"/>
      <c r="AB569" s="179"/>
      <c r="AC569" s="179"/>
      <c r="AD569" s="181"/>
      <c r="AE569" s="180"/>
    </row>
    <row r="570" ht="21.25" customHeight="1">
      <c r="A570" t="s" s="8">
        <v>843</v>
      </c>
      <c r="B570" t="s" s="177">
        <v>955</v>
      </c>
      <c r="C570" s="178">
        <v>29</v>
      </c>
      <c r="D570" t="s" s="177">
        <v>925</v>
      </c>
      <c r="E570" s="68">
        <v>63.2364285714286</v>
      </c>
      <c r="F570" s="179">
        <v>10.2833493983395</v>
      </c>
      <c r="G570" s="180">
        <v>0.0874262604757341</v>
      </c>
      <c r="H570" s="180">
        <v>0.123536601215932</v>
      </c>
      <c r="I570" s="180">
        <v>0.210962861691666</v>
      </c>
      <c r="J570" s="180">
        <v>0.87873524980508</v>
      </c>
      <c r="K570" s="180">
        <v>0.0007223495166283239</v>
      </c>
      <c r="L570" s="180">
        <v>0.00186123034543412</v>
      </c>
      <c r="M570" s="180">
        <v>0.0018846412766123</v>
      </c>
      <c r="N570" s="180">
        <v>0.00350789374492216</v>
      </c>
      <c r="O570" s="180">
        <v>0.576629275016449</v>
      </c>
      <c r="P570" s="180">
        <v>1.49542904306866</v>
      </c>
      <c r="Q570" s="180">
        <v>-0.0482606212063965</v>
      </c>
      <c r="R570" s="180">
        <v>0.296374508741352</v>
      </c>
      <c r="S570" s="180">
        <v>0.0100603786121167</v>
      </c>
      <c r="T570" s="180">
        <v>1.31607294714185</v>
      </c>
      <c r="U570" s="180">
        <v>1.49121505272689</v>
      </c>
      <c r="V570" s="180">
        <v>0.468805818000644</v>
      </c>
      <c r="W570" s="180"/>
      <c r="X570" s="68"/>
      <c r="Y570" s="179"/>
      <c r="Z570" s="179"/>
      <c r="AA570" s="179"/>
      <c r="AB570" s="179"/>
      <c r="AC570" s="179"/>
      <c r="AD570" s="181"/>
      <c r="AE570" s="180"/>
    </row>
    <row r="571" ht="21.25" customHeight="1">
      <c r="A571" t="s" s="8">
        <v>592</v>
      </c>
      <c r="B571" t="s" s="177">
        <v>973</v>
      </c>
      <c r="C571" s="178">
        <v>26</v>
      </c>
      <c r="D571" t="s" s="177">
        <v>927</v>
      </c>
      <c r="E571" s="68">
        <v>71.405</v>
      </c>
      <c r="F571" s="179">
        <v>16.7468747104154</v>
      </c>
      <c r="G571" s="180">
        <v>0.0432553354977012</v>
      </c>
      <c r="H571" s="180">
        <v>0.167672865160118</v>
      </c>
      <c r="I571" s="180">
        <v>0.21092820065782</v>
      </c>
      <c r="J571" s="180">
        <v>1.20601079643417</v>
      </c>
      <c r="K571" s="180">
        <v>0.000349123239621204</v>
      </c>
      <c r="L571" s="180">
        <v>0.00239150963289943</v>
      </c>
      <c r="M571" s="180">
        <v>0.000477031319711079</v>
      </c>
      <c r="N571" s="180">
        <v>0.00184346795083356</v>
      </c>
      <c r="O571" s="180">
        <v>1.14385641401867</v>
      </c>
      <c r="P571" s="180">
        <v>1.23479581340487</v>
      </c>
      <c r="Q571" s="180">
        <v>-0.0802079730323504</v>
      </c>
      <c r="R571" s="180">
        <v>0.386286169054695</v>
      </c>
      <c r="S571" s="180">
        <v>0.00443116803539689</v>
      </c>
      <c r="T571" s="180">
        <v>0</v>
      </c>
      <c r="U571" s="180">
        <v>0</v>
      </c>
      <c r="V571" s="180">
        <v>0</v>
      </c>
      <c r="W571" s="180"/>
      <c r="X571" s="68"/>
      <c r="Y571" s="179"/>
      <c r="Z571" s="179"/>
      <c r="AA571" s="179"/>
      <c r="AB571" s="179"/>
      <c r="AC571" s="179"/>
      <c r="AD571" s="181"/>
      <c r="AE571" s="180"/>
    </row>
    <row r="572" ht="21.25" customHeight="1">
      <c r="A572" t="s" s="8">
        <v>617</v>
      </c>
      <c r="B572" t="s" s="177">
        <v>965</v>
      </c>
      <c r="C572" s="178">
        <v>28</v>
      </c>
      <c r="D572" t="s" s="177">
        <v>927</v>
      </c>
      <c r="E572" s="68">
        <v>63.0271428571429</v>
      </c>
      <c r="F572" s="179">
        <v>19.1182654321371</v>
      </c>
      <c r="G572" s="180">
        <v>0.051571112850674</v>
      </c>
      <c r="H572" s="180">
        <v>0.157370948671646</v>
      </c>
      <c r="I572" s="180">
        <v>0.208942061522321</v>
      </c>
      <c r="J572" s="180">
        <v>1.14130092287853</v>
      </c>
      <c r="K572" s="180">
        <v>0.00188219979596945</v>
      </c>
      <c r="L572" s="180">
        <v>0.0127632323242863</v>
      </c>
      <c r="M572" s="180">
        <v>0.000688673006931677</v>
      </c>
      <c r="N572" s="180">
        <v>0.00255236068571294</v>
      </c>
      <c r="O572" s="180">
        <v>1.64756535066717</v>
      </c>
      <c r="P572" s="180">
        <v>2.87404154349541</v>
      </c>
      <c r="Q572" s="180">
        <v>-0.00673473126584963</v>
      </c>
      <c r="R572" s="180">
        <v>1.13050234704764</v>
      </c>
      <c r="S572" s="180">
        <v>0.00640285042242785</v>
      </c>
      <c r="T572" s="180">
        <v>0</v>
      </c>
      <c r="U572" s="180">
        <v>0.0200058761449398</v>
      </c>
      <c r="V572" s="180">
        <v>0</v>
      </c>
      <c r="W572" s="180"/>
      <c r="X572" s="68"/>
      <c r="Y572" s="179"/>
      <c r="Z572" s="179"/>
      <c r="AA572" s="179"/>
      <c r="AB572" s="179"/>
      <c r="AC572" s="179"/>
      <c r="AD572" s="181"/>
      <c r="AE572" s="180"/>
    </row>
    <row r="573" ht="21.25" customHeight="1">
      <c r="A573" t="s" s="8">
        <v>822</v>
      </c>
      <c r="B573" t="s" s="177">
        <v>967</v>
      </c>
      <c r="C573" s="178">
        <v>24</v>
      </c>
      <c r="D573" t="s" s="177">
        <v>926</v>
      </c>
      <c r="E573" s="68">
        <v>62.535</v>
      </c>
      <c r="F573" s="179">
        <v>10.8540220796423</v>
      </c>
      <c r="G573" s="180">
        <v>0.11258408462489</v>
      </c>
      <c r="H573" s="180">
        <v>0.09616435407299</v>
      </c>
      <c r="I573" s="180">
        <v>0.20874843869788</v>
      </c>
      <c r="J573" s="180">
        <v>1.04177081937482</v>
      </c>
      <c r="K573" s="180">
        <v>0.000793945616480976</v>
      </c>
      <c r="L573" s="180">
        <v>0.00203949760138539</v>
      </c>
      <c r="M573" s="180">
        <v>0.000347778512206832</v>
      </c>
      <c r="N573" s="180">
        <v>0.00064535723337544</v>
      </c>
      <c r="O573" s="180">
        <v>0.3730026216285</v>
      </c>
      <c r="P573" s="180">
        <v>0.850973035717818</v>
      </c>
      <c r="Q573" s="180">
        <v>-0.126376982380129</v>
      </c>
      <c r="R573" s="180">
        <v>0.243789530825146</v>
      </c>
      <c r="S573" s="180">
        <v>0.0107926509942091</v>
      </c>
      <c r="T573" s="180">
        <v>0.0439216098129827</v>
      </c>
      <c r="U573" s="180">
        <v>0.08288890125524651</v>
      </c>
      <c r="V573" s="180">
        <v>0.346356224282947</v>
      </c>
      <c r="W573" s="180"/>
      <c r="X573" s="68"/>
      <c r="Y573" s="179"/>
      <c r="Z573" s="179"/>
      <c r="AA573" s="179"/>
      <c r="AB573" s="179"/>
      <c r="AC573" s="179"/>
      <c r="AD573" s="181"/>
      <c r="AE573" s="180"/>
    </row>
    <row r="574" ht="21.25" customHeight="1">
      <c r="A574" t="s" s="8">
        <v>544</v>
      </c>
      <c r="B574" t="s" s="177">
        <v>951</v>
      </c>
      <c r="C574" s="178">
        <v>35</v>
      </c>
      <c r="D574" t="s" s="177">
        <v>927</v>
      </c>
      <c r="E574" s="68">
        <v>70.3557142857143</v>
      </c>
      <c r="F574" s="179">
        <v>17.123563546869</v>
      </c>
      <c r="G574" s="180">
        <v>0.0452151618262787</v>
      </c>
      <c r="H574" s="180">
        <v>0.163177497795217</v>
      </c>
      <c r="I574" s="180">
        <v>0.208392659621496</v>
      </c>
      <c r="J574" s="180">
        <v>1.55231777914848</v>
      </c>
      <c r="K574" s="180">
        <v>0.000226303935476038</v>
      </c>
      <c r="L574" s="180">
        <v>0.00218757209878289</v>
      </c>
      <c r="M574" s="180">
        <v>0.00331351753199489</v>
      </c>
      <c r="N574" s="180">
        <v>0.013333906706153</v>
      </c>
      <c r="O574" s="180">
        <v>1.55293810592332</v>
      </c>
      <c r="P574" s="180">
        <v>1.81674070430612</v>
      </c>
      <c r="Q574" s="180">
        <v>-0.0125550529906356</v>
      </c>
      <c r="R574" s="180">
        <v>0.289446809492735</v>
      </c>
      <c r="S574" s="180">
        <v>0.00578840235682579</v>
      </c>
      <c r="T574" s="180">
        <v>0</v>
      </c>
      <c r="U574" s="180">
        <v>0</v>
      </c>
      <c r="V574" s="180">
        <v>0</v>
      </c>
      <c r="W574" s="180"/>
      <c r="X574" s="68"/>
      <c r="Y574" s="179"/>
      <c r="Z574" s="179"/>
      <c r="AA574" s="179"/>
      <c r="AB574" s="179"/>
      <c r="AC574" s="179"/>
      <c r="AD574" s="181"/>
      <c r="AE574" s="180"/>
    </row>
    <row r="575" ht="21.25" customHeight="1">
      <c r="A575" t="s" s="8">
        <v>511</v>
      </c>
      <c r="B575" t="s" s="177">
        <v>958</v>
      </c>
      <c r="C575" s="178">
        <v>33</v>
      </c>
      <c r="D575" t="s" s="177">
        <v>927</v>
      </c>
      <c r="E575" s="68">
        <v>72.7892857142857</v>
      </c>
      <c r="F575" s="179">
        <v>17.3739744120479</v>
      </c>
      <c r="G575" s="180">
        <v>0.0602359284699727</v>
      </c>
      <c r="H575" s="180">
        <v>0.147820945997513</v>
      </c>
      <c r="I575" s="180">
        <v>0.208056874467487</v>
      </c>
      <c r="J575" s="180">
        <v>1.5864001869435</v>
      </c>
      <c r="K575" s="180">
        <v>0.000299454422174774</v>
      </c>
      <c r="L575" s="180">
        <v>0.00307969278290249</v>
      </c>
      <c r="M575" s="180">
        <v>0.000363360490487471</v>
      </c>
      <c r="N575" s="180">
        <v>0.0166363498370629</v>
      </c>
      <c r="O575" s="180">
        <v>1.74591953424949</v>
      </c>
      <c r="P575" s="180">
        <v>1.42331936215284</v>
      </c>
      <c r="Q575" s="180">
        <v>-0.00721183352110902</v>
      </c>
      <c r="R575" s="180">
        <v>0.59852500129082</v>
      </c>
      <c r="S575" s="180">
        <v>0.00905863480546343</v>
      </c>
      <c r="T575" s="180">
        <v>0</v>
      </c>
      <c r="U575" s="180">
        <v>0.00209130384531212</v>
      </c>
      <c r="V575" s="180">
        <v>0</v>
      </c>
      <c r="W575" s="180"/>
      <c r="X575" s="68"/>
      <c r="Y575" s="179"/>
      <c r="Z575" s="179"/>
      <c r="AA575" s="179"/>
      <c r="AB575" s="179"/>
      <c r="AC575" s="179"/>
      <c r="AD575" s="181"/>
      <c r="AE575" s="180"/>
    </row>
    <row r="576" ht="21.25" customHeight="1">
      <c r="A576" t="s" s="8">
        <v>863</v>
      </c>
      <c r="B576" t="s" s="177">
        <v>946</v>
      </c>
      <c r="C576" s="178">
        <v>28</v>
      </c>
      <c r="D576" t="s" s="177">
        <v>924</v>
      </c>
      <c r="E576" s="68">
        <v>53.275</v>
      </c>
      <c r="F576" s="179">
        <v>10.9014661127914</v>
      </c>
      <c r="G576" s="180">
        <v>0.0753430964832862</v>
      </c>
      <c r="H576" s="180">
        <v>0.132446246834659</v>
      </c>
      <c r="I576" s="180">
        <v>0.207789343317945</v>
      </c>
      <c r="J576" s="180">
        <v>1.09684919458079</v>
      </c>
      <c r="K576" s="180">
        <v>0.00128235810598466</v>
      </c>
      <c r="L576" s="180">
        <v>0.00409541738105743</v>
      </c>
      <c r="M576" s="180">
        <v>0</v>
      </c>
      <c r="N576" s="180">
        <v>0</v>
      </c>
      <c r="O576" s="180">
        <v>0.393316781418432</v>
      </c>
      <c r="P576" s="180">
        <v>1.06130075794426</v>
      </c>
      <c r="Q576" s="180">
        <v>0.0177388040629062</v>
      </c>
      <c r="R576" s="180">
        <v>0.273411462084359</v>
      </c>
      <c r="S576" s="180">
        <v>0.0120983243685667</v>
      </c>
      <c r="T576" s="180">
        <v>0.220397436459076</v>
      </c>
      <c r="U576" s="180">
        <v>0.584440957798484</v>
      </c>
      <c r="V576" s="180">
        <v>0.27384060953303</v>
      </c>
      <c r="W576" s="180"/>
      <c r="X576" s="68"/>
      <c r="Y576" s="179"/>
      <c r="Z576" s="179"/>
      <c r="AA576" s="179"/>
      <c r="AB576" s="179"/>
      <c r="AC576" s="179"/>
      <c r="AD576" s="181"/>
      <c r="AE576" s="180"/>
    </row>
    <row r="577" ht="21.25" customHeight="1">
      <c r="A577" t="s" s="8">
        <v>677</v>
      </c>
      <c r="B577" t="s" s="177">
        <v>961</v>
      </c>
      <c r="C577" s="178">
        <v>23</v>
      </c>
      <c r="D577" t="s" s="177">
        <v>927</v>
      </c>
      <c r="E577" s="68">
        <v>53.8175</v>
      </c>
      <c r="F577" s="179">
        <v>16.5323771585366</v>
      </c>
      <c r="G577" s="180">
        <v>0.0281073194310961</v>
      </c>
      <c r="H577" s="180">
        <v>0.177602256210279</v>
      </c>
      <c r="I577" s="180">
        <v>0.205709575641376</v>
      </c>
      <c r="J577" s="180">
        <v>0.974779055216491</v>
      </c>
      <c r="K577" s="180">
        <v>0.000264389461230327</v>
      </c>
      <c r="L577" s="180">
        <v>0.00173932190358196</v>
      </c>
      <c r="M577" s="180">
        <v>0.000887301151613024</v>
      </c>
      <c r="N577" s="180">
        <v>0.00319036891079041</v>
      </c>
      <c r="O577" s="180">
        <v>1.357403687920</v>
      </c>
      <c r="P577" s="180">
        <v>1.19166913528179</v>
      </c>
      <c r="Q577" s="180">
        <v>-0.0445843346747117</v>
      </c>
      <c r="R577" s="180">
        <v>0.295520266782518</v>
      </c>
      <c r="S577" s="180">
        <v>0.00345736574916882</v>
      </c>
      <c r="T577" s="180">
        <v>0</v>
      </c>
      <c r="U577" s="180">
        <v>0</v>
      </c>
      <c r="V577" s="180">
        <v>0</v>
      </c>
      <c r="W577" s="180"/>
      <c r="X577" s="68"/>
      <c r="Y577" s="179"/>
      <c r="Z577" s="179"/>
      <c r="AA577" s="179"/>
      <c r="AB577" s="179"/>
      <c r="AC577" s="179"/>
      <c r="AD577" s="181"/>
      <c r="AE577" s="180"/>
    </row>
    <row r="578" ht="21.25" customHeight="1">
      <c r="A578" t="s" s="8">
        <v>601</v>
      </c>
      <c r="B578" t="s" s="177">
        <v>956</v>
      </c>
      <c r="C578" s="178">
        <v>24</v>
      </c>
      <c r="D578" t="s" s="177">
        <v>927</v>
      </c>
      <c r="E578" s="68">
        <v>74.145</v>
      </c>
      <c r="F578" s="179">
        <v>16.6680274090347</v>
      </c>
      <c r="G578" s="180">
        <v>0.0399080447616384</v>
      </c>
      <c r="H578" s="180">
        <v>0.164957698657559</v>
      </c>
      <c r="I578" s="180">
        <v>0.204865743419198</v>
      </c>
      <c r="J578" s="180">
        <v>0.955456514459027</v>
      </c>
      <c r="K578" s="180">
        <v>0.000361947151966209</v>
      </c>
      <c r="L578" s="180">
        <v>0.00245344334397017</v>
      </c>
      <c r="M578" s="180">
        <v>0.000620269251691743</v>
      </c>
      <c r="N578" s="180">
        <v>0.0118455986204969</v>
      </c>
      <c r="O578" s="180">
        <v>1.45945003428896</v>
      </c>
      <c r="P578" s="180">
        <v>1.52240119384539</v>
      </c>
      <c r="Q578" s="180">
        <v>0.0342890540018227</v>
      </c>
      <c r="R578" s="180">
        <v>0.421664827454312</v>
      </c>
      <c r="S578" s="180">
        <v>0.00622578856230544</v>
      </c>
      <c r="T578" s="180">
        <v>0</v>
      </c>
      <c r="U578" s="180">
        <v>0</v>
      </c>
      <c r="V578" s="180">
        <v>0</v>
      </c>
      <c r="W578" s="180"/>
      <c r="X578" s="68"/>
      <c r="Y578" s="179"/>
      <c r="Z578" s="179"/>
      <c r="AA578" s="179"/>
      <c r="AB578" s="179"/>
      <c r="AC578" s="179"/>
      <c r="AD578" s="181"/>
      <c r="AE578" s="180"/>
    </row>
    <row r="579" ht="21.25" customHeight="1">
      <c r="A579" t="s" s="8">
        <v>575</v>
      </c>
      <c r="B579" t="s" s="177">
        <v>953</v>
      </c>
      <c r="C579" s="178">
        <v>33</v>
      </c>
      <c r="D579" t="s" s="177">
        <v>927</v>
      </c>
      <c r="E579" s="68">
        <v>73.515</v>
      </c>
      <c r="F579" s="179">
        <v>17.5140883286932</v>
      </c>
      <c r="G579" s="180">
        <v>0.037038604397659</v>
      </c>
      <c r="H579" s="180">
        <v>0.166115362864193</v>
      </c>
      <c r="I579" s="180">
        <v>0.203153967261851</v>
      </c>
      <c r="J579" s="180">
        <v>1.27695466971784</v>
      </c>
      <c r="K579" s="180">
        <v>0.00012545053740739</v>
      </c>
      <c r="L579" s="180">
        <v>0.000918245747457777</v>
      </c>
      <c r="M579" s="180">
        <v>0.000377426451928901</v>
      </c>
      <c r="N579" s="180">
        <v>0.00587776842941327</v>
      </c>
      <c r="O579" s="180">
        <v>1.27994493220804</v>
      </c>
      <c r="P579" s="180">
        <v>1.39700473395657</v>
      </c>
      <c r="Q579" s="180">
        <v>0.004220027932986</v>
      </c>
      <c r="R579" s="180">
        <v>0.580183191066888</v>
      </c>
      <c r="S579" s="180">
        <v>0.0059454376457016</v>
      </c>
      <c r="T579" s="180">
        <v>0</v>
      </c>
      <c r="U579" s="180">
        <v>0</v>
      </c>
      <c r="V579" s="180">
        <v>0</v>
      </c>
      <c r="W579" s="180"/>
      <c r="X579" s="68"/>
      <c r="Y579" s="179"/>
      <c r="Z579" s="179"/>
      <c r="AA579" s="179"/>
      <c r="AB579" s="179"/>
      <c r="AC579" s="179"/>
      <c r="AD579" s="181"/>
      <c r="AE579" s="180"/>
    </row>
    <row r="580" ht="21.25" customHeight="1">
      <c r="A580" t="s" s="8">
        <v>625</v>
      </c>
      <c r="B580" t="s" s="177">
        <v>951</v>
      </c>
      <c r="C580" s="178">
        <v>24</v>
      </c>
      <c r="D580" t="s" s="177">
        <v>927</v>
      </c>
      <c r="E580" s="68">
        <v>70.2</v>
      </c>
      <c r="F580" s="179">
        <v>17.0340037185215</v>
      </c>
      <c r="G580" s="180">
        <v>0.0465245477327178</v>
      </c>
      <c r="H580" s="180">
        <v>0.155287929176262</v>
      </c>
      <c r="I580" s="180">
        <v>0.20181247690898</v>
      </c>
      <c r="J580" s="180">
        <v>1.03616932863526</v>
      </c>
      <c r="K580" s="180">
        <v>0.000155885309634013</v>
      </c>
      <c r="L580" s="180">
        <v>0.00250893975105487</v>
      </c>
      <c r="M580" s="180">
        <v>0.000500297058045995</v>
      </c>
      <c r="N580" s="180">
        <v>0.00192794020323651</v>
      </c>
      <c r="O580" s="180">
        <v>0.946628431816372</v>
      </c>
      <c r="P580" s="180">
        <v>0.988354495164167</v>
      </c>
      <c r="Q580" s="180">
        <v>-0.0431456527377855</v>
      </c>
      <c r="R580" s="180">
        <v>0.317718813895666</v>
      </c>
      <c r="S580" s="180">
        <v>0.00595602870517211</v>
      </c>
      <c r="T580" s="180">
        <v>0</v>
      </c>
      <c r="U580" s="180">
        <v>0</v>
      </c>
      <c r="V580" s="180">
        <v>0</v>
      </c>
      <c r="W580" s="180"/>
      <c r="X580" s="68"/>
      <c r="Y580" s="179"/>
      <c r="Z580" s="179"/>
      <c r="AA580" s="179"/>
      <c r="AB580" s="179"/>
      <c r="AC580" s="179"/>
      <c r="AD580" s="181"/>
      <c r="AE580" s="180"/>
    </row>
    <row r="581" ht="21.25" customHeight="1">
      <c r="A581" t="s" s="8">
        <v>615</v>
      </c>
      <c r="B581" t="s" s="177">
        <v>963</v>
      </c>
      <c r="C581" s="178">
        <v>25</v>
      </c>
      <c r="D581" t="s" s="177">
        <v>927</v>
      </c>
      <c r="E581" s="68">
        <v>63.3764285714286</v>
      </c>
      <c r="F581" s="179">
        <v>12.7205882352941</v>
      </c>
      <c r="G581" s="180">
        <v>0.0454916321663379</v>
      </c>
      <c r="H581" s="180">
        <v>0.155762083815474</v>
      </c>
      <c r="I581" s="180">
        <v>0.201253715981812</v>
      </c>
      <c r="J581" s="180">
        <v>1.39238877510937</v>
      </c>
      <c r="K581" s="180">
        <v>0.0163596555690167</v>
      </c>
      <c r="L581" s="180">
        <v>0.0471278739647127</v>
      </c>
      <c r="M581" s="180">
        <v>6.27395071746426e-05</v>
      </c>
      <c r="N581" s="180">
        <v>0.000233438471387432</v>
      </c>
      <c r="O581" s="180">
        <v>0.807916142838202</v>
      </c>
      <c r="P581" s="180">
        <v>0.997024550952091</v>
      </c>
      <c r="Q581" s="180">
        <v>-0.00101874710043783</v>
      </c>
      <c r="R581" s="180">
        <v>0.239348099662738</v>
      </c>
      <c r="S581" s="180">
        <v>0.008162217445318179</v>
      </c>
      <c r="T581" s="180">
        <v>0</v>
      </c>
      <c r="U581" s="180">
        <v>0.00558041280195334</v>
      </c>
      <c r="V581" s="180">
        <v>0</v>
      </c>
      <c r="W581" s="180"/>
      <c r="X581" s="68"/>
      <c r="Y581" s="179"/>
      <c r="Z581" s="179"/>
      <c r="AA581" s="179"/>
      <c r="AB581" s="179"/>
      <c r="AC581" s="179"/>
      <c r="AD581" s="181"/>
      <c r="AE581" s="180"/>
    </row>
    <row r="582" ht="21.25" customHeight="1">
      <c r="A582" t="s" s="8">
        <v>532</v>
      </c>
      <c r="B582" t="s" s="177">
        <v>960</v>
      </c>
      <c r="C582" s="178">
        <v>30</v>
      </c>
      <c r="D582" t="s" s="177">
        <v>927</v>
      </c>
      <c r="E582" s="68">
        <v>77.35892857142861</v>
      </c>
      <c r="F582" s="179">
        <v>19.7535084527439</v>
      </c>
      <c r="G582" s="180">
        <v>0.0705177665546384</v>
      </c>
      <c r="H582" s="180">
        <v>0.1305520575444</v>
      </c>
      <c r="I582" s="180">
        <v>0.201069824099039</v>
      </c>
      <c r="J582" s="180">
        <v>1.1563212023436</v>
      </c>
      <c r="K582" s="180">
        <v>0.000695537765660791</v>
      </c>
      <c r="L582" s="180">
        <v>0.0022014398866216</v>
      </c>
      <c r="M582" s="180">
        <v>0.0134183848315757</v>
      </c>
      <c r="N582" s="180">
        <v>0.0149978777129856</v>
      </c>
      <c r="O582" s="180">
        <v>2.04859430628968</v>
      </c>
      <c r="P582" s="180">
        <v>1.94632045738585</v>
      </c>
      <c r="Q582" s="180">
        <v>-0.09896486330387209</v>
      </c>
      <c r="R582" s="180">
        <v>0.680606435992773</v>
      </c>
      <c r="S582" s="180">
        <v>0.00826338132506059</v>
      </c>
      <c r="T582" s="180">
        <v>0</v>
      </c>
      <c r="U582" s="180">
        <v>0</v>
      </c>
      <c r="V582" s="180">
        <v>0</v>
      </c>
      <c r="W582" s="180"/>
      <c r="X582" s="68"/>
      <c r="Y582" s="179"/>
      <c r="Z582" s="179"/>
      <c r="AA582" s="179"/>
      <c r="AB582" s="179"/>
      <c r="AC582" s="179"/>
      <c r="AD582" s="181"/>
      <c r="AE582" s="180"/>
    </row>
    <row r="583" ht="21.25" customHeight="1">
      <c r="A583" t="s" s="8">
        <v>549</v>
      </c>
      <c r="B583" t="s" s="177">
        <v>949</v>
      </c>
      <c r="C583" s="178">
        <v>26</v>
      </c>
      <c r="D583" t="s" s="177">
        <v>927</v>
      </c>
      <c r="E583" s="68">
        <v>76.12857142857141</v>
      </c>
      <c r="F583" s="179">
        <v>18.5792555103912</v>
      </c>
      <c r="G583" s="180">
        <v>0.059822964125602</v>
      </c>
      <c r="H583" s="180">
        <v>0.140934570037174</v>
      </c>
      <c r="I583" s="180">
        <v>0.200757534162777</v>
      </c>
      <c r="J583" s="180">
        <v>1.31369365234023</v>
      </c>
      <c r="K583" s="180">
        <v>0.000127673644637324</v>
      </c>
      <c r="L583" s="180">
        <v>0.00117978808725044</v>
      </c>
      <c r="M583" s="180">
        <v>0.00412682999059272</v>
      </c>
      <c r="N583" s="180">
        <v>0.00568978166044446</v>
      </c>
      <c r="O583" s="180">
        <v>1.44904271636116</v>
      </c>
      <c r="P583" s="180">
        <v>1.63196963359384</v>
      </c>
      <c r="Q583" s="180">
        <v>0.0620822000588774</v>
      </c>
      <c r="R583" s="180">
        <v>0.446686975309201</v>
      </c>
      <c r="S583" s="180">
        <v>0.0100430983978207</v>
      </c>
      <c r="T583" s="180">
        <v>0</v>
      </c>
      <c r="U583" s="180">
        <v>0</v>
      </c>
      <c r="V583" s="180">
        <v>0</v>
      </c>
      <c r="W583" s="180"/>
      <c r="X583" s="68"/>
      <c r="Y583" s="179"/>
      <c r="Z583" s="179"/>
      <c r="AA583" s="179"/>
      <c r="AB583" s="179"/>
      <c r="AC583" s="179"/>
      <c r="AD583" s="181"/>
      <c r="AE583" s="180"/>
    </row>
    <row r="584" ht="21.25" customHeight="1">
      <c r="A584" t="s" s="8">
        <v>578</v>
      </c>
      <c r="B584" t="s" s="177">
        <v>957</v>
      </c>
      <c r="C584" s="178">
        <v>29</v>
      </c>
      <c r="D584" t="s" s="177">
        <v>927</v>
      </c>
      <c r="E584" s="68">
        <v>72.8078571428571</v>
      </c>
      <c r="F584" s="179">
        <v>18.2475032158777</v>
      </c>
      <c r="G584" s="180">
        <v>0.0463465357929954</v>
      </c>
      <c r="H584" s="180">
        <v>0.154271979262862</v>
      </c>
      <c r="I584" s="180">
        <v>0.200618515055857</v>
      </c>
      <c r="J584" s="180">
        <v>1.28085263594532</v>
      </c>
      <c r="K584" s="180">
        <v>0.00024787097355553</v>
      </c>
      <c r="L584" s="180">
        <v>0.00172301526225522</v>
      </c>
      <c r="M584" s="180">
        <v>0.00039021672782419</v>
      </c>
      <c r="N584" s="180">
        <v>0.00211382882144394</v>
      </c>
      <c r="O584" s="180">
        <v>1.32385043592199</v>
      </c>
      <c r="P584" s="180">
        <v>1.11674316763316</v>
      </c>
      <c r="Q584" s="180">
        <v>-0.0610794490460984</v>
      </c>
      <c r="R584" s="180">
        <v>0.5076100864584721</v>
      </c>
      <c r="S584" s="180">
        <v>0.00584877514128539</v>
      </c>
      <c r="T584" s="180">
        <v>0</v>
      </c>
      <c r="U584" s="180">
        <v>0</v>
      </c>
      <c r="V584" s="180">
        <v>0</v>
      </c>
      <c r="W584" s="180"/>
      <c r="X584" s="68"/>
      <c r="Y584" s="179"/>
      <c r="Z584" s="179"/>
      <c r="AA584" s="179"/>
      <c r="AB584" s="179"/>
      <c r="AC584" s="179"/>
      <c r="AD584" s="181"/>
      <c r="AE584" s="180"/>
    </row>
    <row r="585" ht="21.25" customHeight="1">
      <c r="A585" t="s" s="8">
        <v>856</v>
      </c>
      <c r="B585" t="s" s="177">
        <v>950</v>
      </c>
      <c r="C585" s="178">
        <v>31</v>
      </c>
      <c r="D585" t="s" s="177">
        <v>924</v>
      </c>
      <c r="E585" s="68">
        <v>62</v>
      </c>
      <c r="F585" s="179">
        <v>10.0809893441686</v>
      </c>
      <c r="G585" s="180">
        <v>0.0831145480160702</v>
      </c>
      <c r="H585" s="180">
        <v>0.116766968822516</v>
      </c>
      <c r="I585" s="180">
        <v>0.199881516838585</v>
      </c>
      <c r="J585" s="180">
        <v>0.913814940771624</v>
      </c>
      <c r="K585" s="180">
        <v>0.000487732318168494</v>
      </c>
      <c r="L585" s="180">
        <v>0.00144481388028184</v>
      </c>
      <c r="M585" s="180">
        <v>0.00124740076493059</v>
      </c>
      <c r="N585" s="180">
        <v>0.00168653139039159</v>
      </c>
      <c r="O585" s="180">
        <v>0.485861413605787</v>
      </c>
      <c r="P585" s="180">
        <v>1.6452377321022</v>
      </c>
      <c r="Q585" s="180">
        <v>0.043868338307197</v>
      </c>
      <c r="R585" s="180">
        <v>0.228386215677607</v>
      </c>
      <c r="S585" s="180">
        <v>0.0141625637760365</v>
      </c>
      <c r="T585" s="180">
        <v>0.0495433229839221</v>
      </c>
      <c r="U585" s="180">
        <v>0.0615196133864529</v>
      </c>
      <c r="V585" s="180">
        <v>0.446083316388322</v>
      </c>
      <c r="W585" s="180"/>
      <c r="X585" s="68"/>
      <c r="Y585" s="179"/>
      <c r="Z585" s="179"/>
      <c r="AA585" s="179"/>
      <c r="AB585" s="179"/>
      <c r="AC585" s="179"/>
      <c r="AD585" s="181"/>
      <c r="AE585" s="180"/>
    </row>
    <row r="586" ht="21.25" customHeight="1">
      <c r="A586" t="s" s="8">
        <v>613</v>
      </c>
      <c r="B586" t="s" s="177">
        <v>967</v>
      </c>
      <c r="C586" s="178">
        <v>28</v>
      </c>
      <c r="D586" t="s" s="177">
        <v>927</v>
      </c>
      <c r="E586" s="68">
        <v>68.5235714285714</v>
      </c>
      <c r="F586" s="179">
        <v>17.3519812676322</v>
      </c>
      <c r="G586" s="180">
        <v>0.0436922519454249</v>
      </c>
      <c r="H586" s="180">
        <v>0.155306581210561</v>
      </c>
      <c r="I586" s="180">
        <v>0.198998833155985</v>
      </c>
      <c r="J586" s="180">
        <v>1.1341780142129</v>
      </c>
      <c r="K586" s="180">
        <v>0.000191652873680357</v>
      </c>
      <c r="L586" s="180">
        <v>0.00132721597437905</v>
      </c>
      <c r="M586" s="180">
        <v>0.000308031143449032</v>
      </c>
      <c r="N586" s="180">
        <v>0.00116588288185554</v>
      </c>
      <c r="O586" s="180">
        <v>1.3956547868233</v>
      </c>
      <c r="P586" s="180">
        <v>2.40903675116384</v>
      </c>
      <c r="Q586" s="180">
        <v>-0.0887025757170639</v>
      </c>
      <c r="R586" s="180">
        <v>0.598850055504515</v>
      </c>
      <c r="S586" s="180">
        <v>0.00418847146973894</v>
      </c>
      <c r="T586" s="180">
        <v>0</v>
      </c>
      <c r="U586" s="180">
        <v>0</v>
      </c>
      <c r="V586" s="180">
        <v>0</v>
      </c>
      <c r="W586" s="180"/>
      <c r="X586" s="68"/>
      <c r="Y586" s="179"/>
      <c r="Z586" s="179"/>
      <c r="AA586" s="179"/>
      <c r="AB586" s="179"/>
      <c r="AC586" s="179"/>
      <c r="AD586" s="181"/>
      <c r="AE586" s="180"/>
    </row>
    <row r="587" ht="21.25" customHeight="1">
      <c r="A587" t="s" s="8">
        <v>810</v>
      </c>
      <c r="B587" t="s" s="177">
        <v>971</v>
      </c>
      <c r="C587" s="178">
        <v>35</v>
      </c>
      <c r="D587" t="s" s="177">
        <v>926</v>
      </c>
      <c r="E587" s="68">
        <v>72.1314285714286</v>
      </c>
      <c r="F587" s="179">
        <v>12.3202968464317</v>
      </c>
      <c r="G587" s="180">
        <v>0.0857930269954215</v>
      </c>
      <c r="H587" s="180">
        <v>0.112188885482879</v>
      </c>
      <c r="I587" s="180">
        <v>0.1979819124783</v>
      </c>
      <c r="J587" s="180">
        <v>0.9752075440672781</v>
      </c>
      <c r="K587" s="180">
        <v>0.000588829702694149</v>
      </c>
      <c r="L587" s="180">
        <v>0.0015355682927757</v>
      </c>
      <c r="M587" s="180">
        <v>0.008157094972123909</v>
      </c>
      <c r="N587" s="180">
        <v>0.009723875710200671</v>
      </c>
      <c r="O587" s="180">
        <v>0.541081589207195</v>
      </c>
      <c r="P587" s="180">
        <v>3.32722532365971</v>
      </c>
      <c r="Q587" s="180">
        <v>-0.0100039165456973</v>
      </c>
      <c r="R587" s="180">
        <v>0.270479648093411</v>
      </c>
      <c r="S587" s="180">
        <v>0.0132568978783754</v>
      </c>
      <c r="T587" s="180">
        <v>0.0417568896885159</v>
      </c>
      <c r="U587" s="180">
        <v>0.0708053907417585</v>
      </c>
      <c r="V587" s="180">
        <v>0.370966984045617</v>
      </c>
      <c r="W587" s="180"/>
      <c r="X587" s="68"/>
      <c r="Y587" s="179"/>
      <c r="Z587" s="179"/>
      <c r="AA587" s="179"/>
      <c r="AB587" s="179"/>
      <c r="AC587" s="179"/>
      <c r="AD587" s="181"/>
      <c r="AE587" s="180"/>
    </row>
    <row r="588" ht="21.25" customHeight="1">
      <c r="A588" t="s" s="8">
        <v>848</v>
      </c>
      <c r="B588" t="s" s="177">
        <v>967</v>
      </c>
      <c r="C588" s="178">
        <v>31</v>
      </c>
      <c r="D588" t="s" s="177">
        <v>924</v>
      </c>
      <c r="E588" s="68">
        <v>64.3</v>
      </c>
      <c r="F588" s="179">
        <v>10.5453497192044</v>
      </c>
      <c r="G588" s="180">
        <v>0.0951042711691657</v>
      </c>
      <c r="H588" s="180">
        <v>0.102450293963216</v>
      </c>
      <c r="I588" s="180">
        <v>0.197554565132382</v>
      </c>
      <c r="J588" s="180">
        <v>1.05029702824108</v>
      </c>
      <c r="K588" s="180">
        <v>0.0022365739623055</v>
      </c>
      <c r="L588" s="180">
        <v>0.00653380099694566</v>
      </c>
      <c r="M588" s="180">
        <v>0.00136459436305817</v>
      </c>
      <c r="N588" s="180">
        <v>0.00252178324208001</v>
      </c>
      <c r="O588" s="180">
        <v>0.403181762211928</v>
      </c>
      <c r="P588" s="180">
        <v>1.75000400508988</v>
      </c>
      <c r="Q588" s="180">
        <v>-0.113453067643713</v>
      </c>
      <c r="R588" s="180">
        <v>0.923995434877415</v>
      </c>
      <c r="S588" s="180">
        <v>0.0091169831882304</v>
      </c>
      <c r="T588" s="180">
        <v>3.32279488329271</v>
      </c>
      <c r="U588" s="180">
        <v>3.37667410593624</v>
      </c>
      <c r="V588" s="180">
        <v>0.49597884379119</v>
      </c>
      <c r="W588" s="180"/>
      <c r="X588" s="68"/>
      <c r="Y588" s="179"/>
      <c r="Z588" s="179"/>
      <c r="AA588" s="179"/>
      <c r="AB588" s="179"/>
      <c r="AC588" s="179"/>
      <c r="AD588" s="181"/>
      <c r="AE588" s="180"/>
    </row>
    <row r="589" ht="21.25" customHeight="1">
      <c r="A589" t="s" s="8">
        <v>646</v>
      </c>
      <c r="B589" t="s" s="177">
        <v>947</v>
      </c>
      <c r="C589" s="178">
        <v>23</v>
      </c>
      <c r="D589" t="s" s="177">
        <v>927</v>
      </c>
      <c r="E589" s="68">
        <v>72</v>
      </c>
      <c r="F589" s="179">
        <v>14.6392454892567</v>
      </c>
      <c r="G589" s="180">
        <v>0.044679692819138</v>
      </c>
      <c r="H589" s="180">
        <v>0.152537468229584</v>
      </c>
      <c r="I589" s="180">
        <v>0.197217161048722</v>
      </c>
      <c r="J589" s="180">
        <v>0.755878662148309</v>
      </c>
      <c r="K589" s="180">
        <v>0.000339585647956457</v>
      </c>
      <c r="L589" s="180">
        <v>0.00230848612648957</v>
      </c>
      <c r="M589" s="180">
        <v>0.000932787547413772</v>
      </c>
      <c r="N589" s="180">
        <v>0.00346572991035288</v>
      </c>
      <c r="O589" s="180">
        <v>1.03974922787974</v>
      </c>
      <c r="P589" s="180">
        <v>1.48348958939216</v>
      </c>
      <c r="Q589" s="180">
        <v>0.000185405165565615</v>
      </c>
      <c r="R589" s="180">
        <v>0.481180949649459</v>
      </c>
      <c r="S589" s="180">
        <v>0.00656693104208645</v>
      </c>
      <c r="T589" s="180">
        <v>0</v>
      </c>
      <c r="U589" s="180">
        <v>0</v>
      </c>
      <c r="V589" s="180">
        <v>0</v>
      </c>
      <c r="W589" s="180"/>
      <c r="X589" s="68"/>
      <c r="Y589" s="179"/>
      <c r="Z589" s="179"/>
      <c r="AA589" s="179"/>
      <c r="AB589" s="179"/>
      <c r="AC589" s="179"/>
      <c r="AD589" s="181"/>
      <c r="AE589" s="180"/>
    </row>
    <row r="590" ht="21.25" customHeight="1">
      <c r="A590" t="s" s="8">
        <v>585</v>
      </c>
      <c r="B590" t="s" s="177">
        <v>965</v>
      </c>
      <c r="C590" s="178">
        <v>36</v>
      </c>
      <c r="D590" t="s" s="177">
        <v>927</v>
      </c>
      <c r="E590" s="68">
        <v>78.8</v>
      </c>
      <c r="F590" s="179">
        <v>19.1200104540265</v>
      </c>
      <c r="G590" s="180">
        <v>0.0204350437434784</v>
      </c>
      <c r="H590" s="180">
        <v>0.175100644532498</v>
      </c>
      <c r="I590" s="180">
        <v>0.195535688275976</v>
      </c>
      <c r="J590" s="180">
        <v>0.952081830845898</v>
      </c>
      <c r="K590" s="180">
        <v>0.000528670523938395</v>
      </c>
      <c r="L590" s="180">
        <v>0.00220705684996173</v>
      </c>
      <c r="M590" s="180">
        <v>0.000245933791510339</v>
      </c>
      <c r="N590" s="180">
        <v>0.00172264203616817</v>
      </c>
      <c r="O590" s="180">
        <v>1.50537352163434</v>
      </c>
      <c r="P590" s="180">
        <v>0.855098688981379</v>
      </c>
      <c r="Q590" s="180">
        <v>-0.007931876568910199</v>
      </c>
      <c r="R590" s="180">
        <v>0.22091033080938</v>
      </c>
      <c r="S590" s="180">
        <v>0.002537128272646</v>
      </c>
      <c r="T590" s="180">
        <v>0</v>
      </c>
      <c r="U590" s="180">
        <v>0</v>
      </c>
      <c r="V590" s="180">
        <v>0</v>
      </c>
      <c r="W590" s="180"/>
      <c r="X590" s="68"/>
      <c r="Y590" s="179"/>
      <c r="Z590" s="179"/>
      <c r="AA590" s="179"/>
      <c r="AB590" s="179"/>
      <c r="AC590" s="179"/>
      <c r="AD590" s="181"/>
      <c r="AE590" s="180"/>
    </row>
    <row r="591" ht="21.25" customHeight="1">
      <c r="A591" t="s" s="8">
        <v>680</v>
      </c>
      <c r="B591" t="s" s="177">
        <v>967</v>
      </c>
      <c r="C591" s="178">
        <v>26</v>
      </c>
      <c r="D591" t="s" s="177">
        <v>927</v>
      </c>
      <c r="E591" s="68">
        <v>60.1703571428571</v>
      </c>
      <c r="F591" s="179">
        <v>16.5139484230831</v>
      </c>
      <c r="G591" s="180">
        <v>0.0214741217211646</v>
      </c>
      <c r="H591" s="180">
        <v>0.173563959922485</v>
      </c>
      <c r="I591" s="180">
        <v>0.19503808164365</v>
      </c>
      <c r="J591" s="180">
        <v>0.878614436646678</v>
      </c>
      <c r="K591" s="180">
        <v>0.000330806648098767</v>
      </c>
      <c r="L591" s="180">
        <v>0.00223749259445228</v>
      </c>
      <c r="M591" s="180">
        <v>0.00054033498751887</v>
      </c>
      <c r="N591" s="180">
        <v>0.00199748947913476</v>
      </c>
      <c r="O591" s="180">
        <v>0.986741486612265</v>
      </c>
      <c r="P591" s="180">
        <v>1.07571225278308</v>
      </c>
      <c r="Q591" s="180">
        <v>-0.110371170385016</v>
      </c>
      <c r="R591" s="180">
        <v>0.306393347892528</v>
      </c>
      <c r="S591" s="180">
        <v>0.00205857428175472</v>
      </c>
      <c r="T591" s="180">
        <v>0</v>
      </c>
      <c r="U591" s="180">
        <v>0</v>
      </c>
      <c r="V591" s="180">
        <v>0</v>
      </c>
      <c r="W591" s="180"/>
      <c r="X591" s="68"/>
      <c r="Y591" s="179"/>
      <c r="Z591" s="179"/>
      <c r="AA591" s="179"/>
      <c r="AB591" s="179"/>
      <c r="AC591" s="179"/>
      <c r="AD591" s="181"/>
      <c r="AE591" s="180"/>
    </row>
    <row r="592" ht="21.25" customHeight="1">
      <c r="A592" t="s" s="8">
        <v>850</v>
      </c>
      <c r="B592" t="s" s="177">
        <v>958</v>
      </c>
      <c r="C592" s="178">
        <v>24</v>
      </c>
      <c r="D592" t="s" s="177">
        <v>924</v>
      </c>
      <c r="E592" s="68">
        <v>63.3375</v>
      </c>
      <c r="F592" s="179">
        <v>8.747423338414629</v>
      </c>
      <c r="G592" s="180">
        <v>0.104838965777064</v>
      </c>
      <c r="H592" s="180">
        <v>0.0893799285607977</v>
      </c>
      <c r="I592" s="180">
        <v>0.194218894337862</v>
      </c>
      <c r="J592" s="180">
        <v>1.03444967949927</v>
      </c>
      <c r="K592" s="180">
        <v>0.000694669691360795</v>
      </c>
      <c r="L592" s="180">
        <v>0.00177893950520693</v>
      </c>
      <c r="M592" s="180">
        <v>0.00214167395298984</v>
      </c>
      <c r="N592" s="180">
        <v>0.003961878719548</v>
      </c>
      <c r="O592" s="180">
        <v>0.517443351544248</v>
      </c>
      <c r="P592" s="180">
        <v>2.08392245749684</v>
      </c>
      <c r="Q592" s="180">
        <v>0.009952303043097559</v>
      </c>
      <c r="R592" s="180">
        <v>0.60774511242893</v>
      </c>
      <c r="S592" s="180">
        <v>0.0157663030765821</v>
      </c>
      <c r="T592" s="180">
        <v>5.04703113619488</v>
      </c>
      <c r="U592" s="180">
        <v>3.78725655961557</v>
      </c>
      <c r="V592" s="180">
        <v>0.571300291543411</v>
      </c>
      <c r="W592" s="180"/>
      <c r="X592" s="68"/>
      <c r="Y592" s="179"/>
      <c r="Z592" s="179"/>
      <c r="AA592" s="179"/>
      <c r="AB592" s="179"/>
      <c r="AC592" s="179"/>
      <c r="AD592" s="181"/>
      <c r="AE592" s="180"/>
    </row>
    <row r="593" ht="21.25" customHeight="1">
      <c r="A593" t="s" s="8">
        <v>610</v>
      </c>
      <c r="B593" t="s" s="177">
        <v>949</v>
      </c>
      <c r="C593" s="178">
        <v>31</v>
      </c>
      <c r="D593" t="s" s="177">
        <v>927</v>
      </c>
      <c r="E593" s="68">
        <v>76.235</v>
      </c>
      <c r="F593" s="179">
        <v>17.565507904034</v>
      </c>
      <c r="G593" s="180">
        <v>0.0572680932464144</v>
      </c>
      <c r="H593" s="180">
        <v>0.136090621225385</v>
      </c>
      <c r="I593" s="180">
        <v>0.1933587144718</v>
      </c>
      <c r="J593" s="180">
        <v>0.842757462334055</v>
      </c>
      <c r="K593" s="180">
        <v>0.000218560267029546</v>
      </c>
      <c r="L593" s="180">
        <v>0.0015040614533647</v>
      </c>
      <c r="M593" s="180">
        <v>0.0135980115134522</v>
      </c>
      <c r="N593" s="180">
        <v>0.0192193161936372</v>
      </c>
      <c r="O593" s="180">
        <v>1.49925624570984</v>
      </c>
      <c r="P593" s="180">
        <v>1.70201094995076</v>
      </c>
      <c r="Q593" s="180">
        <v>0.0232047464796002</v>
      </c>
      <c r="R593" s="180">
        <v>0.444154862556378</v>
      </c>
      <c r="S593" s="180">
        <v>0.00961418585548102</v>
      </c>
      <c r="T593" s="180">
        <v>0</v>
      </c>
      <c r="U593" s="180">
        <v>0</v>
      </c>
      <c r="V593" s="180">
        <v>0</v>
      </c>
      <c r="W593" s="180"/>
      <c r="X593" s="68"/>
      <c r="Y593" s="179"/>
      <c r="Z593" s="179"/>
      <c r="AA593" s="179"/>
      <c r="AB593" s="179"/>
      <c r="AC593" s="179"/>
      <c r="AD593" s="181"/>
      <c r="AE593" s="180"/>
    </row>
    <row r="594" ht="21.25" customHeight="1">
      <c r="A594" t="s" s="8">
        <v>547</v>
      </c>
      <c r="B594" t="s" s="177">
        <v>952</v>
      </c>
      <c r="C594" s="178">
        <v>33</v>
      </c>
      <c r="D594" t="s" s="177">
        <v>927</v>
      </c>
      <c r="E594" s="68">
        <v>81.17357142857141</v>
      </c>
      <c r="F594" s="179">
        <v>17.543180197851</v>
      </c>
      <c r="G594" s="180">
        <v>0.0225227543520094</v>
      </c>
      <c r="H594" s="180">
        <v>0.169837848978846</v>
      </c>
      <c r="I594" s="180">
        <v>0.192360603330856</v>
      </c>
      <c r="J594" s="180">
        <v>1.18772245465731</v>
      </c>
      <c r="K594" s="180">
        <v>0.000467352896025306</v>
      </c>
      <c r="L594" s="180">
        <v>0.00781052290008473</v>
      </c>
      <c r="M594" s="180">
        <v>0.00130133668476077</v>
      </c>
      <c r="N594" s="180">
        <v>0.00596619348860288</v>
      </c>
      <c r="O594" s="180">
        <v>1.45237323609982</v>
      </c>
      <c r="P594" s="180">
        <v>1.17091385851905</v>
      </c>
      <c r="Q594" s="180">
        <v>-0.0256164189684554</v>
      </c>
      <c r="R594" s="180">
        <v>0.6277741679707221</v>
      </c>
      <c r="S594" s="180">
        <v>0.00318831319954743</v>
      </c>
      <c r="T594" s="180">
        <v>0</v>
      </c>
      <c r="U594" s="180">
        <v>0</v>
      </c>
      <c r="V594" s="180">
        <v>0</v>
      </c>
      <c r="W594" s="180"/>
      <c r="X594" s="68"/>
      <c r="Y594" s="180"/>
      <c r="Z594" s="180"/>
      <c r="AA594" s="180"/>
      <c r="AB594" s="180"/>
      <c r="AC594" s="179"/>
      <c r="AD594" s="181"/>
      <c r="AE594" s="180"/>
    </row>
    <row r="595" ht="21.25" customHeight="1">
      <c r="A595" t="s" s="8">
        <v>620</v>
      </c>
      <c r="B595" t="s" s="177">
        <v>969</v>
      </c>
      <c r="C595" s="178">
        <v>28</v>
      </c>
      <c r="D595" t="s" s="177">
        <v>927</v>
      </c>
      <c r="E595" s="68">
        <v>76.92357142857141</v>
      </c>
      <c r="F595" s="179">
        <v>15.7099611391567</v>
      </c>
      <c r="G595" s="180">
        <v>0.0395496656568073</v>
      </c>
      <c r="H595" s="180">
        <v>0.152687972545298</v>
      </c>
      <c r="I595" s="180">
        <v>0.192237638202105</v>
      </c>
      <c r="J595" s="180">
        <v>0.81071411126485</v>
      </c>
      <c r="K595" s="180">
        <v>0.000283176096243749</v>
      </c>
      <c r="L595" s="180">
        <v>0.00195959333903185</v>
      </c>
      <c r="M595" s="180">
        <v>0.000117728617872956</v>
      </c>
      <c r="N595" s="180">
        <v>0.000445272057800352</v>
      </c>
      <c r="O595" s="180">
        <v>1.22180271086424</v>
      </c>
      <c r="P595" s="180">
        <v>0.928809229016985</v>
      </c>
      <c r="Q595" s="180">
        <v>-0.0434674871692799</v>
      </c>
      <c r="R595" s="180">
        <v>0.185705581827638</v>
      </c>
      <c r="S595" s="180">
        <v>0.00523383900900485</v>
      </c>
      <c r="T595" s="180">
        <v>0</v>
      </c>
      <c r="U595" s="180">
        <v>0</v>
      </c>
      <c r="V595" s="180">
        <v>0</v>
      </c>
      <c r="W595" s="180"/>
      <c r="X595" s="68"/>
      <c r="Y595" s="180"/>
      <c r="Z595" s="180"/>
      <c r="AA595" s="180"/>
      <c r="AB595" s="180"/>
      <c r="AC595" s="179"/>
      <c r="AD595" s="181"/>
      <c r="AE595" s="180"/>
    </row>
    <row r="596" ht="21.25" customHeight="1">
      <c r="A596" t="s" s="8">
        <v>606</v>
      </c>
      <c r="B596" t="s" s="177">
        <v>973</v>
      </c>
      <c r="C596" s="178">
        <v>22</v>
      </c>
      <c r="D596" t="s" s="177">
        <v>927</v>
      </c>
      <c r="E596" s="68">
        <v>69.16500000000001</v>
      </c>
      <c r="F596" s="179">
        <v>14.5802203248371</v>
      </c>
      <c r="G596" s="180">
        <v>0.055774395762514</v>
      </c>
      <c r="H596" s="180">
        <v>0.136084709729141</v>
      </c>
      <c r="I596" s="180">
        <v>0.191859105491656</v>
      </c>
      <c r="J596" s="180">
        <v>1.29283527140596</v>
      </c>
      <c r="K596" s="180">
        <v>0.0122194345214901</v>
      </c>
      <c r="L596" s="180">
        <v>0.0290940001743641</v>
      </c>
      <c r="M596" s="180">
        <v>0.000184147791951857</v>
      </c>
      <c r="N596" s="180">
        <v>0.000738413657504415</v>
      </c>
      <c r="O596" s="180">
        <v>0.973902513145933</v>
      </c>
      <c r="P596" s="180">
        <v>2.3949750178784</v>
      </c>
      <c r="Q596" s="180">
        <v>-0.107328735401343</v>
      </c>
      <c r="R596" s="180">
        <v>1.05961147452628</v>
      </c>
      <c r="S596" s="180">
        <v>0.00571364704152074</v>
      </c>
      <c r="T596" s="180">
        <v>0</v>
      </c>
      <c r="U596" s="180">
        <v>0</v>
      </c>
      <c r="V596" s="180">
        <v>0</v>
      </c>
      <c r="W596" s="180"/>
      <c r="X596" s="68"/>
      <c r="Y596" s="180"/>
      <c r="Z596" s="180"/>
      <c r="AA596" s="180"/>
      <c r="AB596" s="180"/>
      <c r="AC596" s="179"/>
      <c r="AD596" s="181"/>
      <c r="AE596" s="180"/>
    </row>
    <row r="597" ht="21.25" customHeight="1">
      <c r="A597" t="s" s="8">
        <v>838</v>
      </c>
      <c r="B597" t="s" s="177">
        <v>954</v>
      </c>
      <c r="C597" s="178">
        <v>26</v>
      </c>
      <c r="D597" t="s" s="177">
        <v>926</v>
      </c>
      <c r="E597" s="68">
        <v>58.26</v>
      </c>
      <c r="F597" s="179">
        <v>9.99439249484651</v>
      </c>
      <c r="G597" s="180">
        <v>0.070254739606572</v>
      </c>
      <c r="H597" s="180">
        <v>0.121559288828788</v>
      </c>
      <c r="I597" s="180">
        <v>0.19181402843536</v>
      </c>
      <c r="J597" s="180">
        <v>0.948617145522345</v>
      </c>
      <c r="K597" s="180">
        <v>0.000270320954505555</v>
      </c>
      <c r="L597" s="180">
        <v>0.000579800142972879</v>
      </c>
      <c r="M597" s="180">
        <v>0.00172819573575738</v>
      </c>
      <c r="N597" s="180">
        <v>0.00318100145434748</v>
      </c>
      <c r="O597" s="180">
        <v>0.658468468415367</v>
      </c>
      <c r="P597" s="180">
        <v>2.08959404494644</v>
      </c>
      <c r="Q597" s="180">
        <v>-0.07284094374223871</v>
      </c>
      <c r="R597" s="180">
        <v>0.852623205563673</v>
      </c>
      <c r="S597" s="180">
        <v>0.00752827906588273</v>
      </c>
      <c r="T597" s="180">
        <v>0.0374555510967482</v>
      </c>
      <c r="U597" s="180">
        <v>0.159350208663768</v>
      </c>
      <c r="V597" s="180">
        <v>0.190317352207202</v>
      </c>
      <c r="W597" s="180"/>
      <c r="X597" s="68"/>
      <c r="Y597" s="180"/>
      <c r="Z597" s="180"/>
      <c r="AA597" s="180"/>
      <c r="AB597" s="180"/>
      <c r="AC597" s="179"/>
      <c r="AD597" s="181"/>
      <c r="AE597" s="180"/>
    </row>
    <row r="598" ht="21.25" customHeight="1">
      <c r="A598" t="s" s="8">
        <v>811</v>
      </c>
      <c r="B598" t="s" s="177">
        <v>974</v>
      </c>
      <c r="C598" s="178">
        <v>29</v>
      </c>
      <c r="D598" t="s" s="177">
        <v>924</v>
      </c>
      <c r="E598" s="68">
        <v>77.7442857142857</v>
      </c>
      <c r="F598" s="179">
        <v>10.0858707547514</v>
      </c>
      <c r="G598" s="180">
        <v>0.100978498686474</v>
      </c>
      <c r="H598" s="180">
        <v>0.0895807675100689</v>
      </c>
      <c r="I598" s="180">
        <v>0.190559266196543</v>
      </c>
      <c r="J598" s="180">
        <v>1.08936106773881</v>
      </c>
      <c r="K598" s="180">
        <v>0.000563791773407691</v>
      </c>
      <c r="L598" s="180">
        <v>0.00143349307943143</v>
      </c>
      <c r="M598" s="180">
        <v>0</v>
      </c>
      <c r="N598" s="180">
        <v>0</v>
      </c>
      <c r="O598" s="180">
        <v>0.466125826445402</v>
      </c>
      <c r="P598" s="180">
        <v>2.15034533557893</v>
      </c>
      <c r="Q598" s="180">
        <v>-0.00503828951300829</v>
      </c>
      <c r="R598" s="180">
        <v>0.282194724416741</v>
      </c>
      <c r="S598" s="180"/>
      <c r="T598" s="180">
        <v>0.0803309050798989</v>
      </c>
      <c r="U598" s="180">
        <v>0.0876437730294951</v>
      </c>
      <c r="V598" s="180">
        <v>0.478232231096065</v>
      </c>
      <c r="W598" s="180"/>
      <c r="X598" s="68"/>
      <c r="Y598" s="180"/>
      <c r="Z598" s="180"/>
      <c r="AA598" s="180"/>
      <c r="AB598" s="180"/>
      <c r="AC598" s="179"/>
      <c r="AD598" s="181"/>
      <c r="AE598" s="180"/>
    </row>
    <row r="599" ht="21.25" customHeight="1">
      <c r="A599" t="s" s="8">
        <v>824</v>
      </c>
      <c r="B599" t="s" s="177">
        <v>968</v>
      </c>
      <c r="C599" s="178">
        <v>28</v>
      </c>
      <c r="D599" t="s" s="177">
        <v>926</v>
      </c>
      <c r="E599" s="68">
        <v>61.5710714285714</v>
      </c>
      <c r="F599" s="179">
        <v>10.2932065625</v>
      </c>
      <c r="G599" s="180">
        <v>0.0920035437438752</v>
      </c>
      <c r="H599" s="180">
        <v>0.0985349237867882</v>
      </c>
      <c r="I599" s="180">
        <v>0.190538467530663</v>
      </c>
      <c r="J599" s="180">
        <v>1.10028559910798</v>
      </c>
      <c r="K599" s="180">
        <v>0.000751798551624357</v>
      </c>
      <c r="L599" s="180">
        <v>0.00237117213628562</v>
      </c>
      <c r="M599" s="180">
        <v>0.00752377926743452</v>
      </c>
      <c r="N599" s="180">
        <v>0.0191133760450968</v>
      </c>
      <c r="O599" s="180">
        <v>0.543855314995555</v>
      </c>
      <c r="P599" s="180">
        <v>2.0404020163238</v>
      </c>
      <c r="Q599" s="180">
        <v>-0.0112537153143503</v>
      </c>
      <c r="R599" s="180">
        <v>0.665623428061389</v>
      </c>
      <c r="S599" s="180">
        <v>0.0134349236544018</v>
      </c>
      <c r="T599" s="180">
        <v>2.35039838306873</v>
      </c>
      <c r="U599" s="180">
        <v>1.84914842366648</v>
      </c>
      <c r="V599" s="180">
        <v>0.559679053772939</v>
      </c>
      <c r="W599" s="180"/>
      <c r="X599" s="68"/>
      <c r="Y599" s="180"/>
      <c r="Z599" s="180"/>
      <c r="AA599" s="180"/>
      <c r="AB599" s="180"/>
      <c r="AC599" s="179"/>
      <c r="AD599" s="181"/>
      <c r="AE599" s="180"/>
    </row>
    <row r="600" ht="21.25" customHeight="1">
      <c r="A600" t="s" s="8">
        <v>809</v>
      </c>
      <c r="B600" t="s" s="177">
        <v>941</v>
      </c>
      <c r="C600" s="178">
        <v>36</v>
      </c>
      <c r="D600" t="s" s="177">
        <v>924</v>
      </c>
      <c r="E600" s="68">
        <v>80.10464285714291</v>
      </c>
      <c r="F600" s="179">
        <v>12.5882683234694</v>
      </c>
      <c r="G600" s="180">
        <v>0.0780944960232343</v>
      </c>
      <c r="H600" s="180">
        <v>0.112162869907412</v>
      </c>
      <c r="I600" s="180">
        <v>0.190257365930646</v>
      </c>
      <c r="J600" s="180">
        <v>1.12368499252061</v>
      </c>
      <c r="K600" s="180">
        <v>0.000198683766436716</v>
      </c>
      <c r="L600" s="180">
        <v>0.000524759010339902</v>
      </c>
      <c r="M600" s="180">
        <v>0.00609024362773979</v>
      </c>
      <c r="N600" s="180">
        <v>0.0213906876185885</v>
      </c>
      <c r="O600" s="180">
        <v>0.58637664262207</v>
      </c>
      <c r="P600" s="180">
        <v>1.01944575117383</v>
      </c>
      <c r="Q600" s="180">
        <v>0.0294742814656487</v>
      </c>
      <c r="R600" s="180">
        <v>0.366271042793059</v>
      </c>
      <c r="S600" s="180">
        <v>0.0123557259003337</v>
      </c>
      <c r="T600" s="180">
        <v>0.289028570023329</v>
      </c>
      <c r="U600" s="180">
        <v>0.435663245794638</v>
      </c>
      <c r="V600" s="180">
        <v>0.398829631734008</v>
      </c>
      <c r="W600" s="180"/>
      <c r="X600" s="68"/>
      <c r="Y600" s="180"/>
      <c r="Z600" s="180"/>
      <c r="AA600" s="180"/>
      <c r="AB600" s="180"/>
      <c r="AC600" s="179"/>
      <c r="AD600" s="181"/>
      <c r="AE600" s="180"/>
    </row>
    <row r="601" ht="21.25" customHeight="1">
      <c r="A601" t="s" s="8">
        <v>655</v>
      </c>
      <c r="B601" t="s" s="177">
        <v>972</v>
      </c>
      <c r="C601" s="178">
        <v>30</v>
      </c>
      <c r="D601" t="s" s="177">
        <v>927</v>
      </c>
      <c r="E601" s="68">
        <v>63.635</v>
      </c>
      <c r="F601" s="179">
        <v>16.2887891196872</v>
      </c>
      <c r="G601" s="180">
        <v>0.030867291772832</v>
      </c>
      <c r="H601" s="180">
        <v>0.157762303350444</v>
      </c>
      <c r="I601" s="180">
        <v>0.188629595123276</v>
      </c>
      <c r="J601" s="180">
        <v>0.935795613751777</v>
      </c>
      <c r="K601" s="180">
        <v>0.000288070873588309</v>
      </c>
      <c r="L601" s="180">
        <v>0.00206119258680022</v>
      </c>
      <c r="M601" s="180">
        <v>0.000304397251828757</v>
      </c>
      <c r="N601" s="180">
        <v>0.00601524749797678</v>
      </c>
      <c r="O601" s="180">
        <v>1.21650846408746</v>
      </c>
      <c r="P601" s="180">
        <v>1.36025186246591</v>
      </c>
      <c r="Q601" s="180">
        <v>0.00403409607690348</v>
      </c>
      <c r="R601" s="180">
        <v>0.347780977886133</v>
      </c>
      <c r="S601" s="180">
        <v>0.0043387366632252</v>
      </c>
      <c r="T601" s="180">
        <v>0</v>
      </c>
      <c r="U601" s="180">
        <v>0</v>
      </c>
      <c r="V601" s="180">
        <v>0</v>
      </c>
      <c r="W601" s="180"/>
      <c r="X601" s="68"/>
      <c r="Y601" s="180"/>
      <c r="Z601" s="180"/>
      <c r="AA601" s="180"/>
      <c r="AB601" s="180"/>
      <c r="AC601" s="179"/>
      <c r="AD601" s="181"/>
      <c r="AE601" s="180"/>
    </row>
    <row r="602" ht="21.25" customHeight="1">
      <c r="A602" t="s" s="8">
        <v>858</v>
      </c>
      <c r="B602" t="s" s="177">
        <v>941</v>
      </c>
      <c r="C602" s="178">
        <v>27</v>
      </c>
      <c r="D602" t="s" s="177">
        <v>925</v>
      </c>
      <c r="E602" s="68">
        <v>52.97</v>
      </c>
      <c r="F602" s="179">
        <v>10.2074892941856</v>
      </c>
      <c r="G602" s="180">
        <v>0.0681098171681012</v>
      </c>
      <c r="H602" s="180">
        <v>0.117489264117012</v>
      </c>
      <c r="I602" s="180">
        <v>0.185599081285113</v>
      </c>
      <c r="J602" s="180">
        <v>1.165130391446</v>
      </c>
      <c r="K602" s="180">
        <v>0.000619717725791251</v>
      </c>
      <c r="L602" s="180">
        <v>0.00159313016117566</v>
      </c>
      <c r="M602" s="180">
        <v>0</v>
      </c>
      <c r="N602" s="180">
        <v>0</v>
      </c>
      <c r="O602" s="180">
        <v>0.330603381386021</v>
      </c>
      <c r="P602" s="180">
        <v>1.31346354470982</v>
      </c>
      <c r="Q602" s="180">
        <v>0.0491302004510261</v>
      </c>
      <c r="R602" s="180">
        <v>0.194535761819612</v>
      </c>
      <c r="S602" s="180">
        <v>0.0107759992688925</v>
      </c>
      <c r="T602" s="180">
        <v>0.107165241933707</v>
      </c>
      <c r="U602" s="180">
        <v>0.178608736556178</v>
      </c>
      <c r="V602" s="180">
        <v>0.375</v>
      </c>
      <c r="W602" s="180"/>
      <c r="X602" s="68"/>
      <c r="Y602" s="180"/>
      <c r="Z602" s="180"/>
      <c r="AA602" s="180"/>
      <c r="AB602" s="180"/>
      <c r="AC602" s="179"/>
      <c r="AD602" s="181"/>
      <c r="AE602" s="180"/>
    </row>
    <row r="603" ht="21.25" customHeight="1">
      <c r="A603" t="s" s="8">
        <v>719</v>
      </c>
      <c r="B603" t="s" s="177">
        <v>970</v>
      </c>
      <c r="C603" s="178">
        <v>23</v>
      </c>
      <c r="D603" t="s" s="177">
        <v>927</v>
      </c>
      <c r="E603" s="68">
        <v>52.1528571428571</v>
      </c>
      <c r="F603" s="179">
        <v>14.0989436906053</v>
      </c>
      <c r="G603" s="180">
        <v>0.0254363153376156</v>
      </c>
      <c r="H603" s="180">
        <v>0.160071740791384</v>
      </c>
      <c r="I603" s="180">
        <v>0.185508056129</v>
      </c>
      <c r="J603" s="180">
        <v>0.7745067172239199</v>
      </c>
      <c r="K603" s="180">
        <v>0.000338022289754429</v>
      </c>
      <c r="L603" s="180">
        <v>0.00221720432198402</v>
      </c>
      <c r="M603" s="180">
        <v>6.621408912805999e-05</v>
      </c>
      <c r="N603" s="180">
        <v>0.00023738037923922</v>
      </c>
      <c r="O603" s="180">
        <v>1.07337262750392</v>
      </c>
      <c r="P603" s="180">
        <v>1.13440418962682</v>
      </c>
      <c r="Q603" s="180">
        <v>-0.06781383690624899</v>
      </c>
      <c r="R603" s="180">
        <v>0.302806946095309</v>
      </c>
      <c r="S603" s="180">
        <v>0.00298992802671905</v>
      </c>
      <c r="T603" s="180">
        <v>0</v>
      </c>
      <c r="U603" s="180">
        <v>0</v>
      </c>
      <c r="V603" s="180">
        <v>0</v>
      </c>
      <c r="W603" s="180"/>
      <c r="X603" s="68"/>
      <c r="Y603" s="180"/>
      <c r="Z603" s="180"/>
      <c r="AA603" s="180"/>
      <c r="AB603" s="180"/>
      <c r="AC603" s="179"/>
      <c r="AD603" s="181"/>
      <c r="AE603" s="180"/>
    </row>
    <row r="604" ht="21.25" customHeight="1">
      <c r="A604" t="s" s="8">
        <v>670</v>
      </c>
      <c r="B604" t="s" s="177">
        <v>967</v>
      </c>
      <c r="C604" s="178">
        <v>24</v>
      </c>
      <c r="D604" t="s" s="177">
        <v>927</v>
      </c>
      <c r="E604" s="68">
        <v>57.3878571428571</v>
      </c>
      <c r="F604" s="179">
        <v>16.499399728062</v>
      </c>
      <c r="G604" s="180">
        <v>0.0226051856879899</v>
      </c>
      <c r="H604" s="180">
        <v>0.161252922618915</v>
      </c>
      <c r="I604" s="180">
        <v>0.183858108306905</v>
      </c>
      <c r="J604" s="180">
        <v>1.10387005733967</v>
      </c>
      <c r="K604" s="180">
        <v>0.000318908990993532</v>
      </c>
      <c r="L604" s="180">
        <v>0.00280074452886794</v>
      </c>
      <c r="M604" s="180">
        <v>0.000319400458266416</v>
      </c>
      <c r="N604" s="180">
        <v>0.00114492848962526</v>
      </c>
      <c r="O604" s="180">
        <v>1.11823569681252</v>
      </c>
      <c r="P604" s="180">
        <v>1.04393516960537</v>
      </c>
      <c r="Q604" s="180">
        <v>-0.132927461975026</v>
      </c>
      <c r="R604" s="180">
        <v>0.257315309528726</v>
      </c>
      <c r="S604" s="180">
        <v>0.00216700149583868</v>
      </c>
      <c r="T604" s="180">
        <v>0</v>
      </c>
      <c r="U604" s="180">
        <v>0</v>
      </c>
      <c r="V604" s="180">
        <v>0</v>
      </c>
      <c r="W604" s="180"/>
      <c r="X604" s="68"/>
      <c r="Y604" s="180"/>
      <c r="Z604" s="180"/>
      <c r="AA604" s="180"/>
      <c r="AB604" s="180"/>
      <c r="AC604" s="179"/>
      <c r="AD604" s="181"/>
      <c r="AE604" s="180"/>
    </row>
    <row r="605" ht="21.25" customHeight="1">
      <c r="A605" t="s" s="8">
        <v>652</v>
      </c>
      <c r="B605" t="s" s="177">
        <v>965</v>
      </c>
      <c r="C605" s="178">
        <v>30</v>
      </c>
      <c r="D605" t="s" s="177">
        <v>927</v>
      </c>
      <c r="E605" s="68">
        <v>55.7</v>
      </c>
      <c r="F605" s="179">
        <v>14.0641412164739</v>
      </c>
      <c r="G605" s="180">
        <v>0.0267602779498662</v>
      </c>
      <c r="H605" s="180">
        <v>0.157082325957189</v>
      </c>
      <c r="I605" s="180">
        <v>0.183842603907055</v>
      </c>
      <c r="J605" s="180">
        <v>1.41556649059465</v>
      </c>
      <c r="K605" s="180">
        <v>0.00240517820056928</v>
      </c>
      <c r="L605" s="180">
        <v>0.0257006964792313</v>
      </c>
      <c r="M605" s="180">
        <v>4.50030086409168e-05</v>
      </c>
      <c r="N605" s="180">
        <v>0.000176138223183762</v>
      </c>
      <c r="O605" s="180">
        <v>0.909146351475652</v>
      </c>
      <c r="P605" s="180">
        <v>1.34192257757749</v>
      </c>
      <c r="Q605" s="180">
        <v>-0.00148213977823015</v>
      </c>
      <c r="R605" s="180">
        <v>0.396751992180202</v>
      </c>
      <c r="S605" s="180">
        <v>0.00332244249744454</v>
      </c>
      <c r="T605" s="180">
        <v>0</v>
      </c>
      <c r="U605" s="180">
        <v>0</v>
      </c>
      <c r="V605" s="180">
        <v>0</v>
      </c>
      <c r="W605" s="180"/>
      <c r="X605" s="68"/>
      <c r="Y605" s="180"/>
      <c r="Z605" s="180"/>
      <c r="AA605" s="180"/>
      <c r="AB605" s="180"/>
      <c r="AC605" s="179"/>
      <c r="AD605" s="181"/>
      <c r="AE605" s="180"/>
    </row>
    <row r="606" ht="21.25" customHeight="1">
      <c r="A606" t="s" s="8">
        <v>864</v>
      </c>
      <c r="B606" t="s" s="177">
        <v>947</v>
      </c>
      <c r="C606" s="178">
        <v>28</v>
      </c>
      <c r="D606" t="s" s="177">
        <v>924</v>
      </c>
      <c r="E606" s="68">
        <v>52</v>
      </c>
      <c r="F606" s="179">
        <v>11.6828410374072</v>
      </c>
      <c r="G606" s="180">
        <v>0.09135775999752931</v>
      </c>
      <c r="H606" s="180">
        <v>0.09147972913636319</v>
      </c>
      <c r="I606" s="180">
        <v>0.182837489133893</v>
      </c>
      <c r="J606" s="180">
        <v>1.13753470684558</v>
      </c>
      <c r="K606" s="180">
        <v>0.000713706027020878</v>
      </c>
      <c r="L606" s="180">
        <v>0.00182724905207368</v>
      </c>
      <c r="M606" s="180">
        <v>0.00147933162328852</v>
      </c>
      <c r="N606" s="180">
        <v>0.00679216323287352</v>
      </c>
      <c r="O606" s="180">
        <v>0.816177562380188</v>
      </c>
      <c r="P606" s="180">
        <v>2.40594902718555</v>
      </c>
      <c r="Q606" s="180">
        <v>-0.00526605541126879</v>
      </c>
      <c r="R606" s="180">
        <v>0.27406829690511</v>
      </c>
      <c r="S606" s="180">
        <v>0.0134275791127705</v>
      </c>
      <c r="T606" s="180">
        <v>2.573902624168</v>
      </c>
      <c r="U606" s="180">
        <v>2.62934091182045</v>
      </c>
      <c r="V606" s="180">
        <v>0.494672718346834</v>
      </c>
      <c r="W606" s="180"/>
      <c r="X606" s="68"/>
      <c r="Y606" s="180"/>
      <c r="Z606" s="180"/>
      <c r="AA606" s="180"/>
      <c r="AB606" s="180"/>
      <c r="AC606" s="179"/>
      <c r="AD606" s="181"/>
      <c r="AE606" s="180"/>
    </row>
    <row r="607" ht="21.25" customHeight="1">
      <c r="A607" t="s" s="8">
        <v>725</v>
      </c>
      <c r="B607" t="s" s="177">
        <v>949</v>
      </c>
      <c r="C607" s="178">
        <v>26</v>
      </c>
      <c r="D607" t="s" s="177">
        <v>927</v>
      </c>
      <c r="E607" s="68">
        <v>52.2</v>
      </c>
      <c r="F607" s="179">
        <v>14.4651417069925</v>
      </c>
      <c r="G607" s="180">
        <v>0.0257876996188704</v>
      </c>
      <c r="H607" s="180">
        <v>0.156681978585595</v>
      </c>
      <c r="I607" s="180">
        <v>0.182469678204466</v>
      </c>
      <c r="J607" s="180">
        <v>0.710696432639101</v>
      </c>
      <c r="K607" s="180">
        <v>6.7122422331185e-05</v>
      </c>
      <c r="L607" s="180">
        <v>0.000685199826669371</v>
      </c>
      <c r="M607" s="180">
        <v>0.000586684565288305</v>
      </c>
      <c r="N607" s="180">
        <v>0.00217769514323871</v>
      </c>
      <c r="O607" s="180">
        <v>0.874691388279593</v>
      </c>
      <c r="P607" s="180">
        <v>1.24675861059477</v>
      </c>
      <c r="Q607" s="180">
        <v>0.0271285810906291</v>
      </c>
      <c r="R607" s="180">
        <v>0.362940680070921</v>
      </c>
      <c r="S607" s="180">
        <v>0.00432924728005782</v>
      </c>
      <c r="T607" s="180">
        <v>0</v>
      </c>
      <c r="U607" s="180">
        <v>0</v>
      </c>
      <c r="V607" s="180">
        <v>0</v>
      </c>
      <c r="W607" s="180"/>
      <c r="X607" s="68"/>
      <c r="Y607" s="180"/>
      <c r="Z607" s="180"/>
      <c r="AA607" s="180"/>
      <c r="AB607" s="180"/>
      <c r="AC607" s="179"/>
      <c r="AD607" s="181"/>
      <c r="AE607" s="180"/>
    </row>
    <row r="608" ht="21.25" customHeight="1">
      <c r="A608" t="s" s="8">
        <v>565</v>
      </c>
      <c r="B608" t="s" s="177">
        <v>970</v>
      </c>
      <c r="C608" s="178">
        <v>30</v>
      </c>
      <c r="D608" t="s" s="177">
        <v>927</v>
      </c>
      <c r="E608" s="68">
        <v>71.88</v>
      </c>
      <c r="F608" s="179">
        <v>16.4442157010236</v>
      </c>
      <c r="G608" s="180">
        <v>0.0474147249909196</v>
      </c>
      <c r="H608" s="180">
        <v>0.133600402930841</v>
      </c>
      <c r="I608" s="180">
        <v>0.181015127921761</v>
      </c>
      <c r="J608" s="180">
        <v>1.25978622421429</v>
      </c>
      <c r="K608" s="180">
        <v>0.000114458279566444</v>
      </c>
      <c r="L608" s="180">
        <v>0.000795019212533466</v>
      </c>
      <c r="M608" s="180">
        <v>0.000360891233510018</v>
      </c>
      <c r="N608" s="180">
        <v>0.00692309505685098</v>
      </c>
      <c r="O608" s="180">
        <v>2.07247978276467</v>
      </c>
      <c r="P608" s="180">
        <v>1.84483042212479</v>
      </c>
      <c r="Q608" s="180">
        <v>-0.0666507844330268</v>
      </c>
      <c r="R608" s="180">
        <v>0.719939029810944</v>
      </c>
      <c r="S608" s="180">
        <v>0.00557339430840757</v>
      </c>
      <c r="T608" s="180">
        <v>0</v>
      </c>
      <c r="U608" s="180">
        <v>0</v>
      </c>
      <c r="V608" s="180">
        <v>0</v>
      </c>
      <c r="W608" s="180"/>
      <c r="X608" s="68"/>
      <c r="Y608" s="180"/>
      <c r="Z608" s="180"/>
      <c r="AA608" s="180"/>
      <c r="AB608" s="180"/>
      <c r="AC608" s="179"/>
      <c r="AD608" s="181"/>
      <c r="AE608" s="180"/>
    </row>
    <row r="609" ht="21.25" customHeight="1">
      <c r="A609" t="s" s="8">
        <v>833</v>
      </c>
      <c r="B609" t="s" s="177">
        <v>958</v>
      </c>
      <c r="C609" s="178">
        <v>24</v>
      </c>
      <c r="D609" t="s" s="177">
        <v>925</v>
      </c>
      <c r="E609" s="68">
        <v>67.5</v>
      </c>
      <c r="F609" s="179">
        <v>10.4975796680987</v>
      </c>
      <c r="G609" s="180">
        <v>0.0810881170698985</v>
      </c>
      <c r="H609" s="180">
        <v>0.09845049484564961</v>
      </c>
      <c r="I609" s="180">
        <v>0.179538611915549</v>
      </c>
      <c r="J609" s="180">
        <v>1.06521174126696</v>
      </c>
      <c r="K609" s="180">
        <v>0.00093540658324553</v>
      </c>
      <c r="L609" s="180">
        <v>0.00238411975201876</v>
      </c>
      <c r="M609" s="180">
        <v>0.00204442578600483</v>
      </c>
      <c r="N609" s="180">
        <v>0.0179521464672063</v>
      </c>
      <c r="O609" s="180">
        <v>0.5099691627560901</v>
      </c>
      <c r="P609" s="180">
        <v>2.59374739556171</v>
      </c>
      <c r="Q609" s="180">
        <v>-0.00573264271324089</v>
      </c>
      <c r="R609" s="180">
        <v>0.52546853241184</v>
      </c>
      <c r="S609" s="180">
        <v>0.0121945101247181</v>
      </c>
      <c r="T609" s="180">
        <v>0.061652680192219</v>
      </c>
      <c r="U609" s="180">
        <v>0.136213650591357</v>
      </c>
      <c r="V609" s="180">
        <v>0.311587524507411</v>
      </c>
      <c r="W609" s="180"/>
      <c r="X609" s="68"/>
      <c r="Y609" s="180"/>
      <c r="Z609" s="180"/>
      <c r="AA609" s="180"/>
      <c r="AB609" s="180"/>
      <c r="AC609" s="179"/>
      <c r="AD609" s="181"/>
      <c r="AE609" s="180"/>
    </row>
    <row r="610" ht="21.25" customHeight="1">
      <c r="A610" t="s" s="8">
        <v>829</v>
      </c>
      <c r="B610" t="s" s="177">
        <v>946</v>
      </c>
      <c r="C610" s="178">
        <v>35</v>
      </c>
      <c r="D610" t="s" s="177">
        <v>925</v>
      </c>
      <c r="E610" s="68">
        <v>81.39107142857139</v>
      </c>
      <c r="F610" s="179">
        <v>10.3075011365091</v>
      </c>
      <c r="G610" s="180">
        <v>0.0604798210174695</v>
      </c>
      <c r="H610" s="180">
        <v>0.118117229534924</v>
      </c>
      <c r="I610" s="180">
        <v>0.178597050552393</v>
      </c>
      <c r="J610" s="180">
        <v>0.857071345872407</v>
      </c>
      <c r="K610" s="180">
        <v>0.0008424400268769</v>
      </c>
      <c r="L610" s="180">
        <v>0.00208378328698573</v>
      </c>
      <c r="M610" s="180">
        <v>5.60273990105722e-06</v>
      </c>
      <c r="N610" s="180">
        <v>1.10592870037031e-05</v>
      </c>
      <c r="O610" s="180">
        <v>0.178617668355374</v>
      </c>
      <c r="P610" s="180">
        <v>1.93735393615691</v>
      </c>
      <c r="Q610" s="180">
        <v>0.0182606398137966</v>
      </c>
      <c r="R610" s="180">
        <v>0.852562685786684</v>
      </c>
      <c r="S610" s="180">
        <v>0.009711632871161851</v>
      </c>
      <c r="T610" s="180">
        <v>0.0553082995848967</v>
      </c>
      <c r="U610" s="180">
        <v>0.127213957694835</v>
      </c>
      <c r="V610" s="180">
        <v>0.303022219915523</v>
      </c>
      <c r="W610" s="180"/>
      <c r="X610" s="68"/>
      <c r="Y610" s="180"/>
      <c r="Z610" s="180"/>
      <c r="AA610" s="180"/>
      <c r="AB610" s="180"/>
      <c r="AC610" s="179"/>
      <c r="AD610" s="181"/>
      <c r="AE610" s="180"/>
    </row>
    <row r="611" ht="21.25" customHeight="1">
      <c r="A611" t="s" s="8">
        <v>869</v>
      </c>
      <c r="B611" t="s" s="177">
        <v>939</v>
      </c>
      <c r="C611" s="178">
        <v>26</v>
      </c>
      <c r="D611" t="s" s="177">
        <v>924</v>
      </c>
      <c r="E611" s="68">
        <v>58.9764285714286</v>
      </c>
      <c r="F611" s="179">
        <v>9.849333371738551</v>
      </c>
      <c r="G611" s="180">
        <v>0.07532901487131211</v>
      </c>
      <c r="H611" s="180">
        <v>0.10308886103262</v>
      </c>
      <c r="I611" s="180">
        <v>0.178417875903932</v>
      </c>
      <c r="J611" s="180">
        <v>0.870476099711309</v>
      </c>
      <c r="K611" s="180">
        <v>0.00264863023463868</v>
      </c>
      <c r="L611" s="180">
        <v>0.00772303645379461</v>
      </c>
      <c r="M611" s="180">
        <v>0.00122287656738391</v>
      </c>
      <c r="N611" s="180">
        <v>0.00225564587647956</v>
      </c>
      <c r="O611" s="180">
        <v>0.352004497756728</v>
      </c>
      <c r="P611" s="180">
        <v>1.83984679245956</v>
      </c>
      <c r="Q611" s="180">
        <v>0.0535855071944024</v>
      </c>
      <c r="R611" s="180">
        <v>0.398975331129413</v>
      </c>
      <c r="S611" s="180">
        <v>0.0119237743502286</v>
      </c>
      <c r="T611" s="180">
        <v>2.10910406141333</v>
      </c>
      <c r="U611" s="180">
        <v>2.25867653501487</v>
      </c>
      <c r="V611" s="180">
        <v>0.48287774874454</v>
      </c>
      <c r="W611" s="180"/>
      <c r="X611" s="68"/>
      <c r="Y611" s="180"/>
      <c r="Z611" s="180"/>
      <c r="AA611" s="180"/>
      <c r="AB611" s="180"/>
      <c r="AC611" s="179"/>
      <c r="AD611" s="181"/>
      <c r="AE611" s="180"/>
    </row>
    <row r="612" ht="21.25" customHeight="1">
      <c r="A612" t="s" s="8">
        <v>682</v>
      </c>
      <c r="B612" t="s" s="177">
        <v>973</v>
      </c>
      <c r="C612" s="178">
        <v>33</v>
      </c>
      <c r="D612" t="s" s="177">
        <v>927</v>
      </c>
      <c r="E612" s="68">
        <v>64.965</v>
      </c>
      <c r="F612" s="179">
        <v>12.7621440400715</v>
      </c>
      <c r="G612" s="180">
        <v>0.0304919258282985</v>
      </c>
      <c r="H612" s="180">
        <v>0.147451973192867</v>
      </c>
      <c r="I612" s="180">
        <v>0.177943899021166</v>
      </c>
      <c r="J612" s="180">
        <v>0.767673146806488</v>
      </c>
      <c r="K612" s="180">
        <v>0.000315762579576961</v>
      </c>
      <c r="L612" s="180">
        <v>0.0149076633729263</v>
      </c>
      <c r="M612" s="180">
        <v>6.03955318908641e-05</v>
      </c>
      <c r="N612" s="180">
        <v>0.00025746471025275</v>
      </c>
      <c r="O612" s="180">
        <v>0.93245834739318</v>
      </c>
      <c r="P612" s="180">
        <v>0.812195198551061</v>
      </c>
      <c r="Q612" s="180">
        <v>-0.103089432031082</v>
      </c>
      <c r="R612" s="180">
        <v>0.608672246176278</v>
      </c>
      <c r="S612" s="180">
        <v>0.00312365735956966</v>
      </c>
      <c r="T612" s="180">
        <v>0</v>
      </c>
      <c r="U612" s="180">
        <v>0</v>
      </c>
      <c r="V612" s="180">
        <v>0</v>
      </c>
      <c r="W612" s="180"/>
      <c r="X612" s="68"/>
      <c r="Y612" s="180"/>
      <c r="Z612" s="180"/>
      <c r="AA612" s="180"/>
      <c r="AB612" s="180"/>
      <c r="AC612" s="179"/>
      <c r="AD612" s="181"/>
      <c r="AE612" s="180"/>
    </row>
    <row r="613" ht="21.25" customHeight="1">
      <c r="A613" t="s" s="8">
        <v>636</v>
      </c>
      <c r="B613" t="s" s="177">
        <v>946</v>
      </c>
      <c r="C613" s="178">
        <v>31</v>
      </c>
      <c r="D613" t="s" s="177">
        <v>927</v>
      </c>
      <c r="E613" s="68">
        <v>75.62</v>
      </c>
      <c r="F613" s="179">
        <v>15.1150950295868</v>
      </c>
      <c r="G613" s="180">
        <v>0.0296358179520377</v>
      </c>
      <c r="H613" s="180">
        <v>0.147432146127978</v>
      </c>
      <c r="I613" s="180">
        <v>0.177067964080016</v>
      </c>
      <c r="J613" s="180">
        <v>0.703669945273471</v>
      </c>
      <c r="K613" s="180">
        <v>0.000204405653049609</v>
      </c>
      <c r="L613" s="180">
        <v>0.00147378789726515</v>
      </c>
      <c r="M613" s="180">
        <v>0.000255988242103571</v>
      </c>
      <c r="N613" s="180">
        <v>0.001008779235912</v>
      </c>
      <c r="O613" s="180">
        <v>1.35537845515599</v>
      </c>
      <c r="P613" s="180">
        <v>0.839064670303755</v>
      </c>
      <c r="Q613" s="180">
        <v>0.015134105302936</v>
      </c>
      <c r="R613" s="180">
        <v>0.394578112135534</v>
      </c>
      <c r="S613" s="180">
        <v>0.00475881341817535</v>
      </c>
      <c r="T613" s="180">
        <v>0</v>
      </c>
      <c r="U613" s="180">
        <v>0</v>
      </c>
      <c r="V613" s="180">
        <v>0</v>
      </c>
      <c r="W613" s="180"/>
      <c r="X613" s="68"/>
      <c r="Y613" s="180"/>
      <c r="Z613" s="180"/>
      <c r="AA613" s="180"/>
      <c r="AB613" s="180"/>
      <c r="AC613" s="179"/>
      <c r="AD613" s="181"/>
      <c r="AE613" s="180"/>
    </row>
    <row r="614" ht="21.25" customHeight="1">
      <c r="A614" t="s" s="8">
        <v>687</v>
      </c>
      <c r="B614" t="s" s="177">
        <v>941</v>
      </c>
      <c r="C614" s="178">
        <v>34</v>
      </c>
      <c r="D614" t="s" s="177">
        <v>927</v>
      </c>
      <c r="E614" s="68">
        <v>64.9746428571429</v>
      </c>
      <c r="F614" s="179">
        <v>11.2119842054359</v>
      </c>
      <c r="G614" s="180">
        <v>0.0480893003915685</v>
      </c>
      <c r="H614" s="180">
        <v>0.128003090795066</v>
      </c>
      <c r="I614" s="180">
        <v>0.176092391186634</v>
      </c>
      <c r="J614" s="180">
        <v>0.916547661721907</v>
      </c>
      <c r="K614" s="180">
        <v>0.000152799960550568</v>
      </c>
      <c r="L614" s="180">
        <v>0.00177046677812932</v>
      </c>
      <c r="M614" s="180">
        <v>3.29749739138107e-05</v>
      </c>
      <c r="N614" s="180">
        <v>0.000124440964672049</v>
      </c>
      <c r="O614" s="180">
        <v>0.564455342780817</v>
      </c>
      <c r="P614" s="180">
        <v>0.636006310586694</v>
      </c>
      <c r="Q614" s="180">
        <v>0.0476685614951111</v>
      </c>
      <c r="R614" s="180">
        <v>0.241423242243782</v>
      </c>
      <c r="S614" s="180">
        <v>0.0076084518709264</v>
      </c>
      <c r="T614" s="180">
        <v>0</v>
      </c>
      <c r="U614" s="180">
        <v>0</v>
      </c>
      <c r="V614" s="180">
        <v>0</v>
      </c>
      <c r="W614" s="180"/>
      <c r="X614" s="68"/>
      <c r="Y614" s="180"/>
      <c r="Z614" s="180"/>
      <c r="AA614" s="180"/>
      <c r="AB614" s="180"/>
      <c r="AC614" s="179"/>
      <c r="AD614" s="181"/>
      <c r="AE614" s="180"/>
    </row>
    <row r="615" ht="21.25" customHeight="1">
      <c r="A615" t="s" s="8">
        <v>826</v>
      </c>
      <c r="B615" t="s" s="177">
        <v>942</v>
      </c>
      <c r="C615" s="178">
        <v>30</v>
      </c>
      <c r="D615" t="s" s="177">
        <v>926</v>
      </c>
      <c r="E615" s="68">
        <v>67.7192857142857</v>
      </c>
      <c r="F615" s="179">
        <v>9.280432620839891</v>
      </c>
      <c r="G615" s="180">
        <v>0.08241670940181681</v>
      </c>
      <c r="H615" s="180">
        <v>0.09351166587583271</v>
      </c>
      <c r="I615" s="180">
        <v>0.17592837527765</v>
      </c>
      <c r="J615" s="180">
        <v>1.00401970835177</v>
      </c>
      <c r="K615" s="180">
        <v>0.000627813122668856</v>
      </c>
      <c r="L615" s="180">
        <v>0.00160911381015491</v>
      </c>
      <c r="M615" s="180">
        <v>0.00108145857964781</v>
      </c>
      <c r="N615" s="180">
        <v>0.00200230972489185</v>
      </c>
      <c r="O615" s="180">
        <v>0.387281660184328</v>
      </c>
      <c r="P615" s="180">
        <v>2.58770361922072</v>
      </c>
      <c r="Q615" s="180">
        <v>0.00483066793594407</v>
      </c>
      <c r="R615" s="180">
        <v>0.384399602013835</v>
      </c>
      <c r="S615" s="180">
        <v>0.0128982449593055</v>
      </c>
      <c r="T615" s="180">
        <v>0.0276546708579915</v>
      </c>
      <c r="U615" s="180">
        <v>0.0494855697974013</v>
      </c>
      <c r="V615" s="180">
        <v>0.358498633437412</v>
      </c>
      <c r="W615" s="180"/>
      <c r="X615" s="68"/>
      <c r="Y615" s="180"/>
      <c r="Z615" s="180"/>
      <c r="AA615" s="180"/>
      <c r="AB615" s="180"/>
      <c r="AC615" s="179"/>
      <c r="AD615" s="181"/>
      <c r="AE615" s="180"/>
    </row>
    <row r="616" ht="21.25" customHeight="1">
      <c r="A616" t="s" s="8">
        <v>870</v>
      </c>
      <c r="B616" t="s" s="177">
        <v>956</v>
      </c>
      <c r="C616" s="178">
        <v>23</v>
      </c>
      <c r="D616" t="s" s="177">
        <v>924</v>
      </c>
      <c r="E616" s="68">
        <v>57.0257142857143</v>
      </c>
      <c r="F616" s="179">
        <v>9.532786811704669</v>
      </c>
      <c r="G616" s="180">
        <v>0.0460398715314312</v>
      </c>
      <c r="H616" s="180">
        <v>0.126860748162274</v>
      </c>
      <c r="I616" s="180">
        <v>0.172900619693706</v>
      </c>
      <c r="J616" s="180">
        <v>0.948410916126562</v>
      </c>
      <c r="K616" s="180">
        <v>0.000943234137047055</v>
      </c>
      <c r="L616" s="180">
        <v>0.00224849088607259</v>
      </c>
      <c r="M616" s="180">
        <v>0.00249465780095624</v>
      </c>
      <c r="N616" s="180">
        <v>0.0154412705556629</v>
      </c>
      <c r="O616" s="180">
        <v>0.366771005019089</v>
      </c>
      <c r="P616" s="180">
        <v>0.792740071700811</v>
      </c>
      <c r="Q616" s="180">
        <v>0.0133832929401743</v>
      </c>
      <c r="R616" s="180">
        <v>0.18411429793912</v>
      </c>
      <c r="S616" s="180">
        <v>0.00718237406273341</v>
      </c>
      <c r="T616" s="180">
        <v>2.12445971520034</v>
      </c>
      <c r="U616" s="180">
        <v>2.1952477576035</v>
      </c>
      <c r="V616" s="180">
        <v>0.491806384709054</v>
      </c>
      <c r="W616" s="180"/>
      <c r="X616" s="68"/>
      <c r="Y616" s="180"/>
      <c r="Z616" s="180"/>
      <c r="AA616" s="180"/>
      <c r="AB616" s="180"/>
      <c r="AC616" s="179"/>
      <c r="AD616" s="181"/>
      <c r="AE616" s="180"/>
    </row>
    <row r="617" ht="21.25" customHeight="1">
      <c r="A617" t="s" s="8">
        <v>674</v>
      </c>
      <c r="B617" t="s" s="177">
        <v>960</v>
      </c>
      <c r="C617" s="178">
        <v>31</v>
      </c>
      <c r="D617" t="s" s="177">
        <v>927</v>
      </c>
      <c r="E617" s="68">
        <v>59.8475</v>
      </c>
      <c r="F617" s="179">
        <v>16.7671081221037</v>
      </c>
      <c r="G617" s="180">
        <v>0.0439518567251735</v>
      </c>
      <c r="H617" s="180">
        <v>0.128480672722959</v>
      </c>
      <c r="I617" s="180">
        <v>0.172432529448132</v>
      </c>
      <c r="J617" s="180">
        <v>0.898946317496283</v>
      </c>
      <c r="K617" s="180">
        <v>0.000226275405433909</v>
      </c>
      <c r="L617" s="180">
        <v>0.00157995931385083</v>
      </c>
      <c r="M617" s="180">
        <v>0.000759208512352818</v>
      </c>
      <c r="N617" s="180">
        <v>0.00299064554358084</v>
      </c>
      <c r="O617" s="180">
        <v>1.47701031811705</v>
      </c>
      <c r="P617" s="180">
        <v>2.39546456454282</v>
      </c>
      <c r="Q617" s="180">
        <v>-0.102961782646577</v>
      </c>
      <c r="R617" s="180">
        <v>0.728029688101648</v>
      </c>
      <c r="S617" s="180">
        <v>0.00515034678222729</v>
      </c>
      <c r="T617" s="180">
        <v>0</v>
      </c>
      <c r="U617" s="180">
        <v>0</v>
      </c>
      <c r="V617" s="180">
        <v>0</v>
      </c>
      <c r="W617" s="180"/>
      <c r="X617" s="68"/>
      <c r="Y617" s="180"/>
      <c r="Z617" s="180"/>
      <c r="AA617" s="180"/>
      <c r="AB617" s="180"/>
      <c r="AC617" s="179"/>
      <c r="AD617" s="181"/>
      <c r="AE617" s="180"/>
    </row>
    <row r="618" ht="21.25" customHeight="1">
      <c r="A618" t="s" s="8">
        <v>643</v>
      </c>
      <c r="B618" t="s" s="177">
        <v>960</v>
      </c>
      <c r="C618" s="178">
        <v>31</v>
      </c>
      <c r="D618" t="s" s="177">
        <v>927</v>
      </c>
      <c r="E618" s="68">
        <v>72.7435714285714</v>
      </c>
      <c r="F618" s="179">
        <v>16.4214313720407</v>
      </c>
      <c r="G618" s="180">
        <v>0.0314719261897846</v>
      </c>
      <c r="H618" s="180">
        <v>0.139688216988209</v>
      </c>
      <c r="I618" s="180">
        <v>0.171160143177993</v>
      </c>
      <c r="J618" s="180">
        <v>0.744413187243578</v>
      </c>
      <c r="K618" s="180">
        <v>0.000182254384540367</v>
      </c>
      <c r="L618" s="180">
        <v>0.00130975192075104</v>
      </c>
      <c r="M618" s="180">
        <v>0.000305538818173354</v>
      </c>
      <c r="N618" s="180">
        <v>0.00762311912140098</v>
      </c>
      <c r="O618" s="180">
        <v>1.45816704590104</v>
      </c>
      <c r="P618" s="180">
        <v>1.79413579703277</v>
      </c>
      <c r="Q618" s="180">
        <v>-0.09688478138185171</v>
      </c>
      <c r="R618" s="180">
        <v>0.394112231575582</v>
      </c>
      <c r="S618" s="180">
        <v>0.0036879291538374</v>
      </c>
      <c r="T618" s="180">
        <v>0</v>
      </c>
      <c r="U618" s="180">
        <v>0</v>
      </c>
      <c r="V618" s="180">
        <v>0</v>
      </c>
      <c r="W618" s="180"/>
      <c r="X618" s="68"/>
      <c r="Y618" s="180"/>
      <c r="Z618" s="180"/>
      <c r="AA618" s="180"/>
      <c r="AB618" s="180"/>
      <c r="AC618" s="179"/>
      <c r="AD618" s="181"/>
      <c r="AE618" s="180"/>
    </row>
    <row r="619" ht="21.25" customHeight="1">
      <c r="A619" t="s" s="8">
        <v>659</v>
      </c>
      <c r="B619" t="s" s="177">
        <v>956</v>
      </c>
      <c r="C619" s="178">
        <v>25</v>
      </c>
      <c r="D619" t="s" s="177">
        <v>927</v>
      </c>
      <c r="E619" s="68">
        <v>64.7653571428571</v>
      </c>
      <c r="F619" s="179">
        <v>13.5837294257462</v>
      </c>
      <c r="G619" s="180">
        <v>0.0306597859843026</v>
      </c>
      <c r="H619" s="180">
        <v>0.140025738618235</v>
      </c>
      <c r="I619" s="180">
        <v>0.170685524602538</v>
      </c>
      <c r="J619" s="180">
        <v>1.00994532835475</v>
      </c>
      <c r="K619" s="180">
        <v>0</v>
      </c>
      <c r="L619" s="180">
        <v>0</v>
      </c>
      <c r="M619" s="180">
        <v>0.000499005102750422</v>
      </c>
      <c r="N619" s="180">
        <v>0.00612444831159589</v>
      </c>
      <c r="O619" s="180">
        <v>1.1613190994133</v>
      </c>
      <c r="P619" s="180">
        <v>1.69113858551394</v>
      </c>
      <c r="Q619" s="180">
        <v>0.008189102269236409</v>
      </c>
      <c r="R619" s="180">
        <v>0.633598882842407</v>
      </c>
      <c r="S619" s="180">
        <v>0.00478302923743555</v>
      </c>
      <c r="T619" s="180">
        <v>0</v>
      </c>
      <c r="U619" s="180">
        <v>0</v>
      </c>
      <c r="V619" s="180">
        <v>0</v>
      </c>
      <c r="W619" s="180"/>
      <c r="X619" s="68"/>
      <c r="Y619" s="180"/>
      <c r="Z619" s="180"/>
      <c r="AA619" s="180"/>
      <c r="AB619" s="180"/>
      <c r="AC619" s="179"/>
      <c r="AD619" s="181"/>
      <c r="AE619" s="180"/>
    </row>
    <row r="620" ht="21.25" customHeight="1">
      <c r="A620" t="s" s="8">
        <v>640</v>
      </c>
      <c r="B620" t="s" s="177">
        <v>955</v>
      </c>
      <c r="C620" s="178">
        <v>33</v>
      </c>
      <c r="D620" t="s" s="177">
        <v>927</v>
      </c>
      <c r="E620" s="68">
        <v>68.34999999999999</v>
      </c>
      <c r="F620" s="179">
        <v>17.7202808079268</v>
      </c>
      <c r="G620" s="180">
        <v>0.0411715498502102</v>
      </c>
      <c r="H620" s="180">
        <v>0.12849759573572</v>
      </c>
      <c r="I620" s="180">
        <v>0.169669145585929</v>
      </c>
      <c r="J620" s="180">
        <v>1.02112885377739</v>
      </c>
      <c r="K620" s="180">
        <v>0.000281609450903679</v>
      </c>
      <c r="L620" s="180">
        <v>0.00199851798990257</v>
      </c>
      <c r="M620" s="180">
        <v>0.000426807616581554</v>
      </c>
      <c r="N620" s="180">
        <v>0.0155904769120422</v>
      </c>
      <c r="O620" s="180">
        <v>1.23527473747306</v>
      </c>
      <c r="P620" s="180">
        <v>1.39155083661299</v>
      </c>
      <c r="Q620" s="180">
        <v>-0.0463231923878807</v>
      </c>
      <c r="R620" s="180">
        <v>0.347366860966779</v>
      </c>
      <c r="S620" s="180">
        <v>0.00473772270810687</v>
      </c>
      <c r="T620" s="180">
        <v>0</v>
      </c>
      <c r="U620" s="180">
        <v>0</v>
      </c>
      <c r="V620" s="180">
        <v>0</v>
      </c>
      <c r="W620" s="180"/>
      <c r="X620" s="68"/>
      <c r="Y620" s="180"/>
      <c r="Z620" s="180"/>
      <c r="AA620" s="180"/>
      <c r="AB620" s="180"/>
      <c r="AC620" s="179"/>
      <c r="AD620" s="181"/>
      <c r="AE620" s="180"/>
    </row>
    <row r="621" ht="21.25" customHeight="1">
      <c r="A621" t="s" s="8">
        <v>874</v>
      </c>
      <c r="B621" t="s" s="177">
        <v>970</v>
      </c>
      <c r="C621" s="178">
        <v>26</v>
      </c>
      <c r="D621" t="s" s="177">
        <v>924</v>
      </c>
      <c r="E621" s="68">
        <v>54.5496428571429</v>
      </c>
      <c r="F621" s="179">
        <v>9.45279411341463</v>
      </c>
      <c r="G621" s="180">
        <v>0.0767494783168295</v>
      </c>
      <c r="H621" s="180">
        <v>0.0924782156290961</v>
      </c>
      <c r="I621" s="180">
        <v>0.169227693945926</v>
      </c>
      <c r="J621" s="180">
        <v>0.834455635501654</v>
      </c>
      <c r="K621" s="180">
        <v>0.00220241468313206</v>
      </c>
      <c r="L621" s="180">
        <v>0.00562792375339341</v>
      </c>
      <c r="M621" s="180">
        <v>0.000863415610172862</v>
      </c>
      <c r="N621" s="180">
        <v>0.00159380065415532</v>
      </c>
      <c r="O621" s="180">
        <v>0.339454407198472</v>
      </c>
      <c r="P621" s="180">
        <v>1.14559732953602</v>
      </c>
      <c r="Q621" s="180">
        <v>-0.0765020488903979</v>
      </c>
      <c r="R621" s="180">
        <v>0.169126509420084</v>
      </c>
      <c r="S621" s="180">
        <v>0.009021566732827981</v>
      </c>
      <c r="T621" s="180">
        <v>1.55559914235318</v>
      </c>
      <c r="U621" s="180">
        <v>1.53369796621751</v>
      </c>
      <c r="V621" s="180">
        <v>0.50354468595379</v>
      </c>
      <c r="W621" s="180"/>
      <c r="X621" s="68"/>
      <c r="Y621" s="180"/>
      <c r="Z621" s="180"/>
      <c r="AA621" s="180"/>
      <c r="AB621" s="180"/>
      <c r="AC621" s="179"/>
      <c r="AD621" s="181"/>
      <c r="AE621" s="180"/>
    </row>
    <row r="622" ht="21.25" customHeight="1">
      <c r="A622" t="s" s="8">
        <v>693</v>
      </c>
      <c r="B622" t="s" s="177">
        <v>958</v>
      </c>
      <c r="C622" s="178">
        <v>23</v>
      </c>
      <c r="D622" t="s" s="177">
        <v>927</v>
      </c>
      <c r="E622" s="68">
        <v>53.2046428571429</v>
      </c>
      <c r="F622" s="179">
        <v>16.0168421052631</v>
      </c>
      <c r="G622" s="180">
        <v>0.0306286563569934</v>
      </c>
      <c r="H622" s="180">
        <v>0.13839169344895</v>
      </c>
      <c r="I622" s="180">
        <v>0.169020349805944</v>
      </c>
      <c r="J622" s="180">
        <v>1.13449884772641</v>
      </c>
      <c r="K622" s="180">
        <v>0.000295012357387866</v>
      </c>
      <c r="L622" s="180">
        <v>0.00198661765288598</v>
      </c>
      <c r="M622" s="180">
        <v>0.000411031662263404</v>
      </c>
      <c r="N622" s="180">
        <v>0.0015128065380941</v>
      </c>
      <c r="O622" s="180">
        <v>1.16696730393852</v>
      </c>
      <c r="P622" s="180">
        <v>1.23335783132815</v>
      </c>
      <c r="Q622" s="180">
        <v>-0.00326604370055735</v>
      </c>
      <c r="R622" s="180">
        <v>0.45385185647514</v>
      </c>
      <c r="S622" s="180">
        <v>0.00460611830127843</v>
      </c>
      <c r="T622" s="180">
        <v>0</v>
      </c>
      <c r="U622" s="180">
        <v>0</v>
      </c>
      <c r="V622" s="180">
        <v>0</v>
      </c>
      <c r="W622" s="180"/>
      <c r="X622" s="68"/>
      <c r="Y622" s="180"/>
      <c r="Z622" s="180"/>
      <c r="AA622" s="180"/>
      <c r="AB622" s="180"/>
      <c r="AC622" s="179"/>
      <c r="AD622" s="181"/>
      <c r="AE622" s="180"/>
    </row>
    <row r="623" ht="21.25" customHeight="1">
      <c r="A623" t="s" s="8">
        <v>580</v>
      </c>
      <c r="B623" t="s" s="177">
        <v>954</v>
      </c>
      <c r="C623" s="178">
        <v>31</v>
      </c>
      <c r="D623" t="s" s="177">
        <v>927</v>
      </c>
      <c r="E623" s="68">
        <v>75.55</v>
      </c>
      <c r="F623" s="179">
        <v>17.4609891967082</v>
      </c>
      <c r="G623" s="180">
        <v>0.0365822327225482</v>
      </c>
      <c r="H623" s="180">
        <v>0.132311174771416</v>
      </c>
      <c r="I623" s="180">
        <v>0.168893407493965</v>
      </c>
      <c r="J623" s="180">
        <v>1.2917581386156</v>
      </c>
      <c r="K623" s="180">
        <v>0.000247077353142599</v>
      </c>
      <c r="L623" s="180">
        <v>0.00175374484166111</v>
      </c>
      <c r="M623" s="180">
        <v>0.000260068339718068</v>
      </c>
      <c r="N623" s="180">
        <v>0.00143853830932039</v>
      </c>
      <c r="O623" s="180">
        <v>1.46584456048767</v>
      </c>
      <c r="P623" s="180">
        <v>1.49389693097963</v>
      </c>
      <c r="Q623" s="180">
        <v>-0.0852358591283937</v>
      </c>
      <c r="R623" s="180">
        <v>0.733813831127401</v>
      </c>
      <c r="S623" s="180">
        <v>0.00392003811174395</v>
      </c>
      <c r="T623" s="180">
        <v>0</v>
      </c>
      <c r="U623" s="180">
        <v>0</v>
      </c>
      <c r="V623" s="180">
        <v>0</v>
      </c>
      <c r="W623" s="180"/>
      <c r="X623" s="68"/>
      <c r="Y623" s="180"/>
      <c r="Z623" s="180"/>
      <c r="AA623" s="180"/>
      <c r="AB623" s="180"/>
      <c r="AC623" s="179"/>
      <c r="AD623" s="181"/>
      <c r="AE623" s="180"/>
    </row>
    <row r="624" ht="21.25" customHeight="1">
      <c r="A624" t="s" s="8">
        <v>627</v>
      </c>
      <c r="B624" t="s" s="177">
        <v>970</v>
      </c>
      <c r="C624" s="178">
        <v>36</v>
      </c>
      <c r="D624" t="s" s="177">
        <v>927</v>
      </c>
      <c r="E624" s="68">
        <v>77</v>
      </c>
      <c r="F624" s="179">
        <v>16.3655242850154</v>
      </c>
      <c r="G624" s="180">
        <v>0.0320731880917217</v>
      </c>
      <c r="H624" s="180">
        <v>0.136430135148365</v>
      </c>
      <c r="I624" s="180">
        <v>0.168503323240087</v>
      </c>
      <c r="J624" s="180">
        <v>0.830604247117983</v>
      </c>
      <c r="K624" s="180">
        <v>0.000208000118880994</v>
      </c>
      <c r="L624" s="180">
        <v>0.00157358662753674</v>
      </c>
      <c r="M624" s="180">
        <v>0.000202400971681227</v>
      </c>
      <c r="N624" s="180">
        <v>0.000863843338303907</v>
      </c>
      <c r="O624" s="180">
        <v>1.29022986483349</v>
      </c>
      <c r="P624" s="180">
        <v>1.58403860744187</v>
      </c>
      <c r="Q624" s="180">
        <v>-0.06574468926771949</v>
      </c>
      <c r="R624" s="180">
        <v>0.370012044000754</v>
      </c>
      <c r="S624" s="180">
        <v>0.00377006349814579</v>
      </c>
      <c r="T624" s="180">
        <v>0</v>
      </c>
      <c r="U624" s="180">
        <v>0</v>
      </c>
      <c r="V624" s="180">
        <v>0</v>
      </c>
      <c r="W624" s="180"/>
      <c r="X624" s="68"/>
      <c r="Y624" s="180"/>
      <c r="Z624" s="180"/>
      <c r="AA624" s="180"/>
      <c r="AB624" s="180"/>
      <c r="AC624" s="179"/>
      <c r="AD624" s="181"/>
      <c r="AE624" s="180"/>
    </row>
    <row r="625" ht="21.25" customHeight="1">
      <c r="A625" t="s" s="8">
        <v>619</v>
      </c>
      <c r="B625" t="s" s="177">
        <v>968</v>
      </c>
      <c r="C625" s="178">
        <v>26</v>
      </c>
      <c r="D625" t="s" s="177">
        <v>927</v>
      </c>
      <c r="E625" s="68">
        <v>74.97107142857141</v>
      </c>
      <c r="F625" s="179">
        <v>16.1807685742265</v>
      </c>
      <c r="G625" s="180">
        <v>0.0379387930960102</v>
      </c>
      <c r="H625" s="180">
        <v>0.129898865043104</v>
      </c>
      <c r="I625" s="180">
        <v>0.167837658139113</v>
      </c>
      <c r="J625" s="180">
        <v>1.11209349245882</v>
      </c>
      <c r="K625" s="180">
        <v>0.0002726130058851</v>
      </c>
      <c r="L625" s="180">
        <v>0.00187543476000037</v>
      </c>
      <c r="M625" s="180">
        <v>0.000322684610304706</v>
      </c>
      <c r="N625" s="180">
        <v>0.007989683493267331</v>
      </c>
      <c r="O625" s="180">
        <v>1.04638087435517</v>
      </c>
      <c r="P625" s="180">
        <v>2.86791474926535</v>
      </c>
      <c r="Q625" s="180">
        <v>-0.036746271915735</v>
      </c>
      <c r="R625" s="180">
        <v>0.8095136293948501</v>
      </c>
      <c r="S625" s="180">
        <v>0.00554005604614524</v>
      </c>
      <c r="T625" s="180">
        <v>0</v>
      </c>
      <c r="U625" s="180">
        <v>0</v>
      </c>
      <c r="V625" s="180">
        <v>0</v>
      </c>
      <c r="W625" s="180"/>
      <c r="X625" s="68"/>
      <c r="Y625" s="180"/>
      <c r="Z625" s="180"/>
      <c r="AA625" s="180"/>
      <c r="AB625" s="180"/>
      <c r="AC625" s="179"/>
      <c r="AD625" s="181"/>
      <c r="AE625" s="180"/>
    </row>
    <row r="626" ht="21.25" customHeight="1">
      <c r="A626" t="s" s="8">
        <v>645</v>
      </c>
      <c r="B626" t="s" s="177">
        <v>964</v>
      </c>
      <c r="C626" s="178">
        <v>31</v>
      </c>
      <c r="D626" t="s" s="177">
        <v>927</v>
      </c>
      <c r="E626" s="68">
        <v>69.7139285714286</v>
      </c>
      <c r="F626" s="179">
        <v>14.7104584833884</v>
      </c>
      <c r="G626" s="180">
        <v>0.0313711119530474</v>
      </c>
      <c r="H626" s="180">
        <v>0.136409830636401</v>
      </c>
      <c r="I626" s="180">
        <v>0.167780942589449</v>
      </c>
      <c r="J626" s="180">
        <v>1.00379304988843</v>
      </c>
      <c r="K626" s="180">
        <v>0.000122428672603824</v>
      </c>
      <c r="L626" s="180">
        <v>0.00153326612077243</v>
      </c>
      <c r="M626" s="180">
        <v>0.000131510560178411</v>
      </c>
      <c r="N626" s="180">
        <v>0.000513019932092632</v>
      </c>
      <c r="O626" s="180">
        <v>1.10538566948961</v>
      </c>
      <c r="P626" s="180">
        <v>0.92264147093196</v>
      </c>
      <c r="Q626" s="180">
        <v>0.00438190002625317</v>
      </c>
      <c r="R626" s="180">
        <v>0.254567298102296</v>
      </c>
      <c r="S626" s="180">
        <v>0.00524205790981034</v>
      </c>
      <c r="T626" s="180">
        <v>0.000615941572062202</v>
      </c>
      <c r="U626" s="180">
        <v>0.00203595638746409</v>
      </c>
      <c r="V626" s="180">
        <v>0.232264431536509</v>
      </c>
      <c r="W626" s="180"/>
      <c r="X626" s="68"/>
      <c r="Y626" s="180"/>
      <c r="Z626" s="180"/>
      <c r="AA626" s="180"/>
      <c r="AB626" s="180"/>
      <c r="AC626" s="179"/>
      <c r="AD626" s="181"/>
      <c r="AE626" s="180"/>
    </row>
    <row r="627" ht="21.25" customHeight="1">
      <c r="A627" t="s" s="8">
        <v>830</v>
      </c>
      <c r="B627" t="s" s="177">
        <v>958</v>
      </c>
      <c r="C627" s="178">
        <v>27</v>
      </c>
      <c r="D627" t="s" s="177">
        <v>924</v>
      </c>
      <c r="E627" s="68">
        <v>73.2310714285714</v>
      </c>
      <c r="F627" s="179">
        <v>10.5581199968724</v>
      </c>
      <c r="G627" s="180">
        <v>0.0648303482666511</v>
      </c>
      <c r="H627" s="180">
        <v>0.101024194892464</v>
      </c>
      <c r="I627" s="180">
        <v>0.165854543159115</v>
      </c>
      <c r="J627" s="180">
        <v>1.19892366920977</v>
      </c>
      <c r="K627" s="180">
        <v>0.000539934807617013</v>
      </c>
      <c r="L627" s="180">
        <v>0.00139056772576755</v>
      </c>
      <c r="M627" s="180">
        <v>0.000164750303743016</v>
      </c>
      <c r="N627" s="180">
        <v>0.000306508157114935</v>
      </c>
      <c r="O627" s="180">
        <v>0.455102048793628</v>
      </c>
      <c r="P627" s="180">
        <v>2.29270070592246</v>
      </c>
      <c r="Q627" s="180">
        <v>-0.00225119780990259</v>
      </c>
      <c r="R627" s="180">
        <v>0.997081455409587</v>
      </c>
      <c r="S627" s="180">
        <v>0.0097495707989519</v>
      </c>
      <c r="T627" s="180">
        <v>0.228169972344402</v>
      </c>
      <c r="U627" s="180">
        <v>0.237728500234005</v>
      </c>
      <c r="V627" s="180">
        <v>0.489741833841284</v>
      </c>
      <c r="W627" s="180"/>
      <c r="X627" s="68"/>
      <c r="Y627" s="180"/>
      <c r="Z627" s="180"/>
      <c r="AA627" s="180"/>
      <c r="AB627" s="180"/>
      <c r="AC627" s="179"/>
      <c r="AD627" s="181"/>
      <c r="AE627" s="180"/>
    </row>
    <row r="628" ht="21.25" customHeight="1">
      <c r="A628" t="s" s="8">
        <v>873</v>
      </c>
      <c r="B628" t="s" s="177">
        <v>941</v>
      </c>
      <c r="C628" s="178">
        <v>24</v>
      </c>
      <c r="D628" t="s" s="177">
        <v>924</v>
      </c>
      <c r="E628" s="68">
        <v>55.61</v>
      </c>
      <c r="F628" s="179">
        <v>9.42002204222366</v>
      </c>
      <c r="G628" s="180">
        <v>0.106014442590967</v>
      </c>
      <c r="H628" s="180">
        <v>0.059650741040965</v>
      </c>
      <c r="I628" s="180">
        <v>0.165665183631932</v>
      </c>
      <c r="J628" s="180">
        <v>0.928483778414671</v>
      </c>
      <c r="K628" s="180">
        <v>0.000780561646860623</v>
      </c>
      <c r="L628" s="180">
        <v>0.00202628585022332</v>
      </c>
      <c r="M628" s="180">
        <v>9.78785643025184e-05</v>
      </c>
      <c r="N628" s="180">
        <v>0.000183546491394299</v>
      </c>
      <c r="O628" s="180">
        <v>0.338700495392905</v>
      </c>
      <c r="P628" s="180">
        <v>0.904723382855771</v>
      </c>
      <c r="Q628" s="180">
        <v>0.0422168399194965</v>
      </c>
      <c r="R628" s="180">
        <v>0.195388144125801</v>
      </c>
      <c r="S628" s="180">
        <v>0.0167730821099215</v>
      </c>
      <c r="T628" s="180">
        <v>2.38816049844217</v>
      </c>
      <c r="U628" s="180">
        <v>2.31381247180799</v>
      </c>
      <c r="V628" s="180">
        <v>0.507906045728526</v>
      </c>
      <c r="W628" s="180"/>
      <c r="X628" s="68"/>
      <c r="Y628" s="180"/>
      <c r="Z628" s="180"/>
      <c r="AA628" s="180"/>
      <c r="AB628" s="180"/>
      <c r="AC628" s="179"/>
      <c r="AD628" s="181"/>
      <c r="AE628" s="180"/>
    </row>
    <row r="629" ht="21.25" customHeight="1">
      <c r="A629" t="s" s="8">
        <v>702</v>
      </c>
      <c r="B629" t="s" s="177">
        <v>939</v>
      </c>
      <c r="C629" s="178">
        <v>22</v>
      </c>
      <c r="D629" t="s" s="177">
        <v>927</v>
      </c>
      <c r="E629" s="68">
        <v>62.8275</v>
      </c>
      <c r="F629" s="179">
        <v>12.1194539803154</v>
      </c>
      <c r="G629" s="180">
        <v>0.0311008905112628</v>
      </c>
      <c r="H629" s="180">
        <v>0.133752061475863</v>
      </c>
      <c r="I629" s="180">
        <v>0.164852951987127</v>
      </c>
      <c r="J629" s="180">
        <v>0.787764980837954</v>
      </c>
      <c r="K629" s="180">
        <v>0.000596159831408488</v>
      </c>
      <c r="L629" s="180">
        <v>0.00400012255701948</v>
      </c>
      <c r="M629" s="180">
        <v>0.000319002584066883</v>
      </c>
      <c r="N629" s="180">
        <v>0.0011698732788556</v>
      </c>
      <c r="O629" s="180">
        <v>0.774770658801055</v>
      </c>
      <c r="P629" s="180">
        <v>0.837664502680657</v>
      </c>
      <c r="Q629" s="180">
        <v>0.0675321364065383</v>
      </c>
      <c r="R629" s="180">
        <v>0.194533174388146</v>
      </c>
      <c r="S629" s="180">
        <v>0.00492293708049926</v>
      </c>
      <c r="T629" s="180">
        <v>0</v>
      </c>
      <c r="U629" s="180">
        <v>0</v>
      </c>
      <c r="V629" s="180">
        <v>0</v>
      </c>
      <c r="W629" s="180"/>
      <c r="X629" s="68"/>
      <c r="Y629" s="180"/>
      <c r="Z629" s="180"/>
      <c r="AA629" s="180"/>
      <c r="AB629" s="180"/>
      <c r="AC629" s="179"/>
      <c r="AD629" s="181"/>
      <c r="AE629" s="180"/>
    </row>
    <row r="630" ht="21.25" customHeight="1">
      <c r="A630" t="s" s="8">
        <v>656</v>
      </c>
      <c r="B630" t="s" s="177">
        <v>943</v>
      </c>
      <c r="C630" s="178">
        <v>27</v>
      </c>
      <c r="D630" t="s" s="177">
        <v>927</v>
      </c>
      <c r="E630" s="68">
        <v>67</v>
      </c>
      <c r="F630" s="179">
        <v>17.4989933523267</v>
      </c>
      <c r="G630" s="180">
        <v>0.03425501776022</v>
      </c>
      <c r="H630" s="180">
        <v>0.128467324292459</v>
      </c>
      <c r="I630" s="180">
        <v>0.162722342052678</v>
      </c>
      <c r="J630" s="180">
        <v>0.895808495293152</v>
      </c>
      <c r="K630" s="180">
        <v>0.000216463817442734</v>
      </c>
      <c r="L630" s="180">
        <v>0.00149961935024918</v>
      </c>
      <c r="M630" s="180">
        <v>0.00430091498903065</v>
      </c>
      <c r="N630" s="180">
        <v>0.00570341881473718</v>
      </c>
      <c r="O630" s="180">
        <v>1.36570013543524</v>
      </c>
      <c r="P630" s="180">
        <v>1.78958812942154</v>
      </c>
      <c r="Q630" s="180">
        <v>-0.00981872415796561</v>
      </c>
      <c r="R630" s="180">
        <v>0.71695683816434</v>
      </c>
      <c r="S630" s="180">
        <v>0.00491396043280854</v>
      </c>
      <c r="T630" s="180">
        <v>0</v>
      </c>
      <c r="U630" s="180">
        <v>0</v>
      </c>
      <c r="V630" s="180">
        <v>0</v>
      </c>
      <c r="W630" s="180"/>
      <c r="X630" s="68"/>
      <c r="Y630" s="180"/>
      <c r="Z630" s="180"/>
      <c r="AA630" s="180"/>
      <c r="AB630" s="180"/>
      <c r="AC630" s="179"/>
      <c r="AD630" s="181"/>
      <c r="AE630" s="180"/>
    </row>
    <row r="631" ht="21.25" customHeight="1">
      <c r="A631" t="s" s="8">
        <v>651</v>
      </c>
      <c r="B631" t="s" s="177">
        <v>966</v>
      </c>
      <c r="C631" s="178">
        <v>30</v>
      </c>
      <c r="D631" t="s" s="177">
        <v>927</v>
      </c>
      <c r="E631" s="68">
        <v>67.04178571428569</v>
      </c>
      <c r="F631" s="179">
        <v>12.422328199314</v>
      </c>
      <c r="G631" s="180">
        <v>0.0412175904987263</v>
      </c>
      <c r="H631" s="180">
        <v>0.12029863189301</v>
      </c>
      <c r="I631" s="180">
        <v>0.161516222391737</v>
      </c>
      <c r="J631" s="180">
        <v>1.11756630317854</v>
      </c>
      <c r="K631" s="180">
        <v>0.000967754062020467</v>
      </c>
      <c r="L631" s="180">
        <v>0.009966337704510849</v>
      </c>
      <c r="M631" s="180">
        <v>9.94289898239159e-05</v>
      </c>
      <c r="N631" s="180">
        <v>0.000375057669970937</v>
      </c>
      <c r="O631" s="180">
        <v>0.885289089709272</v>
      </c>
      <c r="P631" s="180">
        <v>0.811919405526546</v>
      </c>
      <c r="Q631" s="180">
        <v>0.0522606605114122</v>
      </c>
      <c r="R631" s="180">
        <v>0.291982923482168</v>
      </c>
      <c r="S631" s="180">
        <v>0.00673607889947049</v>
      </c>
      <c r="T631" s="180">
        <v>0</v>
      </c>
      <c r="U631" s="180">
        <v>0</v>
      </c>
      <c r="V631" s="180">
        <v>0</v>
      </c>
      <c r="W631" s="180"/>
      <c r="X631" s="68"/>
      <c r="Y631" s="180"/>
      <c r="Z631" s="180"/>
      <c r="AA631" s="180"/>
      <c r="AB631" s="180"/>
      <c r="AC631" s="179"/>
      <c r="AD631" s="181"/>
      <c r="AE631" s="180"/>
    </row>
    <row r="632" ht="21.25" customHeight="1">
      <c r="A632" t="s" s="8">
        <v>872</v>
      </c>
      <c r="B632" t="s" s="177">
        <v>949</v>
      </c>
      <c r="C632" s="178">
        <v>33</v>
      </c>
      <c r="D632" t="s" s="177">
        <v>924</v>
      </c>
      <c r="E632" s="68">
        <v>61.5375</v>
      </c>
      <c r="F632" s="179">
        <v>10.7685301689509</v>
      </c>
      <c r="G632" s="180">
        <v>0.0405573642448804</v>
      </c>
      <c r="H632" s="180">
        <v>0.120004571618488</v>
      </c>
      <c r="I632" s="180">
        <v>0.160561935863368</v>
      </c>
      <c r="J632" s="180">
        <v>0.778948340719649</v>
      </c>
      <c r="K632" s="180">
        <v>0.000213268280736555</v>
      </c>
      <c r="L632" s="180">
        <v>0.000633114277265177</v>
      </c>
      <c r="M632" s="180">
        <v>0.00183442120767032</v>
      </c>
      <c r="N632" s="180">
        <v>0.00393386901558333</v>
      </c>
      <c r="O632" s="180">
        <v>0.415742835048852</v>
      </c>
      <c r="P632" s="180">
        <v>1.05002757894156</v>
      </c>
      <c r="Q632" s="180">
        <v>0.0124430470484074</v>
      </c>
      <c r="R632" s="180">
        <v>0.190398385522795</v>
      </c>
      <c r="S632" s="180">
        <v>0.00680878331291629</v>
      </c>
      <c r="T632" s="180">
        <v>2.8088550842094</v>
      </c>
      <c r="U632" s="180">
        <v>2.64052009950739</v>
      </c>
      <c r="V632" s="180">
        <v>0.515445347312938</v>
      </c>
      <c r="W632" s="180"/>
      <c r="X632" s="68"/>
      <c r="Y632" s="180"/>
      <c r="Z632" s="180"/>
      <c r="AA632" s="180"/>
      <c r="AB632" s="180"/>
      <c r="AC632" s="179"/>
      <c r="AD632" s="181"/>
      <c r="AE632" s="180"/>
    </row>
    <row r="633" ht="21.25" customHeight="1">
      <c r="A633" t="s" s="8">
        <v>654</v>
      </c>
      <c r="B633" t="s" s="177">
        <v>963</v>
      </c>
      <c r="C633" s="178">
        <v>27</v>
      </c>
      <c r="D633" t="s" s="177">
        <v>927</v>
      </c>
      <c r="E633" s="68">
        <v>68</v>
      </c>
      <c r="F633" s="179">
        <v>13.6291566398354</v>
      </c>
      <c r="G633" s="180">
        <v>0.0463654148927732</v>
      </c>
      <c r="H633" s="180">
        <v>0.112495347806364</v>
      </c>
      <c r="I633" s="180">
        <v>0.158860762699137</v>
      </c>
      <c r="J633" s="180">
        <v>1.11530639836816</v>
      </c>
      <c r="K633" s="180">
        <v>0.000136419287156624</v>
      </c>
      <c r="L633" s="180">
        <v>0.000937902001082834</v>
      </c>
      <c r="M633" s="180">
        <v>0.00307657451489724</v>
      </c>
      <c r="N633" s="180">
        <v>0.00661136969795855</v>
      </c>
      <c r="O633" s="180">
        <v>0.828806577030935</v>
      </c>
      <c r="P633" s="180">
        <v>1.11776766671865</v>
      </c>
      <c r="Q633" s="180">
        <v>0.0892760001288516</v>
      </c>
      <c r="R633" s="180">
        <v>0.427697206960476</v>
      </c>
      <c r="S633" s="180">
        <v>0.00831899363191552</v>
      </c>
      <c r="T633" s="180">
        <v>0</v>
      </c>
      <c r="U633" s="180">
        <v>0</v>
      </c>
      <c r="V633" s="180">
        <v>0</v>
      </c>
      <c r="W633" s="180"/>
      <c r="X633" s="68"/>
      <c r="Y633" s="180"/>
      <c r="Z633" s="180"/>
      <c r="AA633" s="180"/>
      <c r="AB633" s="180"/>
      <c r="AC633" s="179"/>
      <c r="AD633" s="181"/>
      <c r="AE633" s="180"/>
    </row>
    <row r="634" ht="21.25" customHeight="1">
      <c r="A634" t="s" s="8">
        <v>845</v>
      </c>
      <c r="B634" t="s" s="177">
        <v>945</v>
      </c>
      <c r="C634" s="178">
        <v>36</v>
      </c>
      <c r="D634" t="s" s="177">
        <v>926</v>
      </c>
      <c r="E634" s="68">
        <v>75.8628571428571</v>
      </c>
      <c r="F634" s="179">
        <v>9.31712989498569</v>
      </c>
      <c r="G634" s="180">
        <v>0.0529760702335065</v>
      </c>
      <c r="H634" s="180">
        <v>0.104822924599325</v>
      </c>
      <c r="I634" s="180">
        <v>0.157798994832832</v>
      </c>
      <c r="J634" s="180">
        <v>0.686377927829059</v>
      </c>
      <c r="K634" s="180">
        <v>0.000276501878780341</v>
      </c>
      <c r="L634" s="180">
        <v>0.0007596080693929649</v>
      </c>
      <c r="M634" s="180">
        <v>3.04465776907013e-05</v>
      </c>
      <c r="N634" s="180">
        <v>6.04219809558122e-05</v>
      </c>
      <c r="O634" s="180">
        <v>0.305704559786622</v>
      </c>
      <c r="P634" s="180">
        <v>2.69511953621193</v>
      </c>
      <c r="Q634" s="180">
        <v>0.0337955501950911</v>
      </c>
      <c r="R634" s="180">
        <v>0.488280245218512</v>
      </c>
      <c r="S634" s="180">
        <v>0.00851059160218679</v>
      </c>
      <c r="T634" s="180">
        <v>0.0743954837460107</v>
      </c>
      <c r="U634" s="180">
        <v>0.128316497804716</v>
      </c>
      <c r="V634" s="180">
        <v>0.367000920107892</v>
      </c>
      <c r="W634" s="180"/>
      <c r="X634" s="68"/>
      <c r="Y634" s="180"/>
      <c r="Z634" s="180"/>
      <c r="AA634" s="180"/>
      <c r="AB634" s="180"/>
      <c r="AC634" s="179"/>
      <c r="AD634" s="181"/>
      <c r="AE634" s="180"/>
    </row>
    <row r="635" ht="21.25" customHeight="1">
      <c r="A635" t="s" s="8">
        <v>593</v>
      </c>
      <c r="B635" t="s" s="177">
        <v>948</v>
      </c>
      <c r="C635" s="178">
        <v>31</v>
      </c>
      <c r="D635" t="s" s="177">
        <v>927</v>
      </c>
      <c r="E635" s="68">
        <v>81.9014285714286</v>
      </c>
      <c r="F635" s="179">
        <v>18.3002641174468</v>
      </c>
      <c r="G635" s="180">
        <v>0.0510722671900433</v>
      </c>
      <c r="H635" s="180">
        <v>0.105444967123483</v>
      </c>
      <c r="I635" s="180">
        <v>0.156517234313526</v>
      </c>
      <c r="J635" s="180">
        <v>0.995207013584777</v>
      </c>
      <c r="K635" s="180">
        <v>0.000323210743113166</v>
      </c>
      <c r="L635" s="180">
        <v>0.00221852488023759</v>
      </c>
      <c r="M635" s="180">
        <v>0.000316471431435713</v>
      </c>
      <c r="N635" s="180">
        <v>0.00754168311097745</v>
      </c>
      <c r="O635" s="180">
        <v>1.52102482531128</v>
      </c>
      <c r="P635" s="180">
        <v>2.54960627048674</v>
      </c>
      <c r="Q635" s="180">
        <v>0.0434529924043661</v>
      </c>
      <c r="R635" s="180">
        <v>0.588720719281367</v>
      </c>
      <c r="S635" s="180">
        <v>0.008171200696323501</v>
      </c>
      <c r="T635" s="180">
        <v>0</v>
      </c>
      <c r="U635" s="180">
        <v>0</v>
      </c>
      <c r="V635" s="180">
        <v>0</v>
      </c>
      <c r="W635" s="180"/>
      <c r="X635" s="68"/>
      <c r="Y635" s="180"/>
      <c r="Z635" s="180"/>
      <c r="AA635" s="180"/>
      <c r="AB635" s="180"/>
      <c r="AC635" s="179"/>
      <c r="AD635" s="181"/>
      <c r="AE635" s="180"/>
    </row>
    <row r="636" ht="21.25" customHeight="1">
      <c r="A636" t="s" s="8">
        <v>840</v>
      </c>
      <c r="B636" t="s" s="177">
        <v>962</v>
      </c>
      <c r="C636" s="178">
        <v>36</v>
      </c>
      <c r="D636" t="s" s="177">
        <v>924</v>
      </c>
      <c r="E636" s="68">
        <v>65</v>
      </c>
      <c r="F636" s="179">
        <v>10.7458775203646</v>
      </c>
      <c r="G636" s="180">
        <v>0.0668071089110671</v>
      </c>
      <c r="H636" s="180">
        <v>0.0895749754793948</v>
      </c>
      <c r="I636" s="180">
        <v>0.156382084390462</v>
      </c>
      <c r="J636" s="180">
        <v>1.38421605109095</v>
      </c>
      <c r="K636" s="180">
        <v>0.00203696524549612</v>
      </c>
      <c r="L636" s="180">
        <v>0.00432668545915815</v>
      </c>
      <c r="M636" s="180">
        <v>0.0110277763340012</v>
      </c>
      <c r="N636" s="180">
        <v>0.0123031787392849</v>
      </c>
      <c r="O636" s="180">
        <v>0.386008118423322</v>
      </c>
      <c r="P636" s="180">
        <v>1.67937120398176</v>
      </c>
      <c r="Q636" s="180">
        <v>-0.0114035387443457</v>
      </c>
      <c r="R636" s="180">
        <v>0.172280187787083</v>
      </c>
      <c r="S636" s="180">
        <v>0.00989153107419583</v>
      </c>
      <c r="T636" s="180">
        <v>1.27572107493806</v>
      </c>
      <c r="U636" s="180">
        <v>1.57998142975021</v>
      </c>
      <c r="V636" s="180">
        <v>0.446727582037583</v>
      </c>
      <c r="W636" s="180"/>
      <c r="X636" s="68"/>
      <c r="Y636" s="180"/>
      <c r="Z636" s="180"/>
      <c r="AA636" s="180"/>
      <c r="AB636" s="180"/>
      <c r="AC636" s="179"/>
      <c r="AD636" s="181"/>
      <c r="AE636" s="180"/>
    </row>
    <row r="637" ht="21.25" customHeight="1">
      <c r="A637" t="s" s="8">
        <v>820</v>
      </c>
      <c r="B637" t="s" s="177">
        <v>971</v>
      </c>
      <c r="C637" s="178">
        <v>34</v>
      </c>
      <c r="D637" t="s" s="177">
        <v>925</v>
      </c>
      <c r="E637" s="68">
        <v>80.0471428571429</v>
      </c>
      <c r="F637" s="179">
        <v>10.6285509454298</v>
      </c>
      <c r="G637" s="180">
        <v>0.0587756632297466</v>
      </c>
      <c r="H637" s="180">
        <v>0.0964360489300494</v>
      </c>
      <c r="I637" s="180">
        <v>0.155211712159796</v>
      </c>
      <c r="J637" s="180">
        <v>0.995868927369979</v>
      </c>
      <c r="K637" s="180">
        <v>0.000672794840203202</v>
      </c>
      <c r="L637" s="180">
        <v>0.00171200366730422</v>
      </c>
      <c r="M637" s="180">
        <v>0.000410746534777298</v>
      </c>
      <c r="N637" s="180">
        <v>0.000797787089042361</v>
      </c>
      <c r="O637" s="180">
        <v>0.45168595521649</v>
      </c>
      <c r="P637" s="180">
        <v>3.10198146669843</v>
      </c>
      <c r="Q637" s="180">
        <v>-0.013159475324886</v>
      </c>
      <c r="R637" s="180">
        <v>0.557211666682482</v>
      </c>
      <c r="S637" s="180">
        <v>0.009082124648802909</v>
      </c>
      <c r="T637" s="180">
        <v>0.103710167114899</v>
      </c>
      <c r="U637" s="180">
        <v>0.193636661515726</v>
      </c>
      <c r="V637" s="180">
        <v>0.348785179894189</v>
      </c>
      <c r="W637" s="180"/>
      <c r="X637" s="68"/>
      <c r="Y637" s="180"/>
      <c r="Z637" s="180"/>
      <c r="AA637" s="180"/>
      <c r="AB637" s="180"/>
      <c r="AC637" s="179"/>
      <c r="AD637" s="181"/>
      <c r="AE637" s="180"/>
    </row>
    <row r="638" ht="21.25" customHeight="1">
      <c r="A638" t="s" s="8">
        <v>853</v>
      </c>
      <c r="B638" t="s" s="177">
        <v>972</v>
      </c>
      <c r="C638" s="178">
        <v>38</v>
      </c>
      <c r="D638" t="s" s="177">
        <v>925</v>
      </c>
      <c r="E638" s="68">
        <v>70</v>
      </c>
      <c r="F638" s="179">
        <v>11.2828767123288</v>
      </c>
      <c r="G638" s="180">
        <v>0.0608692399251626</v>
      </c>
      <c r="H638" s="180">
        <v>0.0927199072820301</v>
      </c>
      <c r="I638" s="180">
        <v>0.153589147207193</v>
      </c>
      <c r="J638" s="180">
        <v>0.798730734715527</v>
      </c>
      <c r="K638" s="180">
        <v>0.000177955870569283</v>
      </c>
      <c r="L638" s="180">
        <v>0.000474155432879694</v>
      </c>
      <c r="M638" s="180">
        <v>0.00346260281612424</v>
      </c>
      <c r="N638" s="180">
        <v>0.009551558566853951</v>
      </c>
      <c r="O638" s="180">
        <v>0.582659248331822</v>
      </c>
      <c r="P638" s="180">
        <v>0.984490633637466</v>
      </c>
      <c r="Q638" s="180">
        <v>-0.00526912717631617</v>
      </c>
      <c r="R638" s="180">
        <v>0.286061243335794</v>
      </c>
      <c r="S638" s="180">
        <v>0.00855583978243271</v>
      </c>
      <c r="T638" s="180">
        <v>4.60530078847345</v>
      </c>
      <c r="U638" s="180">
        <v>4.01300654758183</v>
      </c>
      <c r="V638" s="180">
        <v>0.534362562031973</v>
      </c>
      <c r="W638" s="180"/>
      <c r="X638" s="68"/>
      <c r="Y638" s="180"/>
      <c r="Z638" s="180"/>
      <c r="AA638" s="180"/>
      <c r="AB638" s="180"/>
      <c r="AC638" s="179"/>
      <c r="AD638" s="181"/>
      <c r="AE638" s="180"/>
    </row>
    <row r="639" ht="21.25" customHeight="1">
      <c r="A639" t="s" s="8">
        <v>658</v>
      </c>
      <c r="B639" t="s" s="177">
        <v>951</v>
      </c>
      <c r="C639" s="178">
        <v>29</v>
      </c>
      <c r="D639" t="s" s="177">
        <v>927</v>
      </c>
      <c r="E639" s="68">
        <v>80</v>
      </c>
      <c r="F639" s="179">
        <v>13.9163198204672</v>
      </c>
      <c r="G639" s="180">
        <v>0.0240502454233088</v>
      </c>
      <c r="H639" s="180">
        <v>0.12661454066249</v>
      </c>
      <c r="I639" s="180">
        <v>0.150664786085799</v>
      </c>
      <c r="J639" s="180">
        <v>0.644824562475006</v>
      </c>
      <c r="K639" s="180">
        <v>0.000160996978660645</v>
      </c>
      <c r="L639" s="180">
        <v>0.00114025065373512</v>
      </c>
      <c r="M639" s="180">
        <v>0.00329828158586524</v>
      </c>
      <c r="N639" s="180">
        <v>0.00915856507818183</v>
      </c>
      <c r="O639" s="180">
        <v>1.17899108021485</v>
      </c>
      <c r="P639" s="180">
        <v>1.51037046806106</v>
      </c>
      <c r="Q639" s="180">
        <v>-0.032962920310006</v>
      </c>
      <c r="R639" s="180">
        <v>0.449498308817613</v>
      </c>
      <c r="S639" s="180">
        <v>0.00307888972786138</v>
      </c>
      <c r="T639" s="180">
        <v>0</v>
      </c>
      <c r="U639" s="180">
        <v>0</v>
      </c>
      <c r="V639" s="180">
        <v>0</v>
      </c>
      <c r="W639" s="180"/>
      <c r="X639" s="68"/>
      <c r="Y639" s="180"/>
      <c r="Z639" s="180"/>
      <c r="AA639" s="180"/>
      <c r="AB639" s="180"/>
      <c r="AC639" s="179"/>
      <c r="AD639" s="181"/>
      <c r="AE639" s="180"/>
    </row>
    <row r="640" ht="21.25" customHeight="1">
      <c r="A640" t="s" s="8">
        <v>876</v>
      </c>
      <c r="B640" t="s" s="177">
        <v>971</v>
      </c>
      <c r="C640" s="178">
        <v>29</v>
      </c>
      <c r="D640" t="s" s="177">
        <v>925</v>
      </c>
      <c r="E640" s="68">
        <v>56.9971428571429</v>
      </c>
      <c r="F640" s="179">
        <v>7.80004271775915</v>
      </c>
      <c r="G640" s="180">
        <v>0.0450415189847471</v>
      </c>
      <c r="H640" s="180">
        <v>0.103163510477208</v>
      </c>
      <c r="I640" s="180">
        <v>0.148205029461955</v>
      </c>
      <c r="J640" s="180">
        <v>0.434531353336571</v>
      </c>
      <c r="K640" s="180">
        <v>0.000286201644649474</v>
      </c>
      <c r="L640" s="180">
        <v>0.000757674813515746</v>
      </c>
      <c r="M640" s="180">
        <v>0</v>
      </c>
      <c r="N640" s="180">
        <v>0</v>
      </c>
      <c r="O640" s="180">
        <v>0.327677751134032</v>
      </c>
      <c r="P640" s="180">
        <v>1.72979478805813</v>
      </c>
      <c r="Q640" s="180">
        <v>-0.00708317336495829</v>
      </c>
      <c r="R640" s="180">
        <v>0.59186086593681</v>
      </c>
      <c r="S640" s="180">
        <v>0.00695989917105457</v>
      </c>
      <c r="T640" s="180">
        <v>0.0225849267717246</v>
      </c>
      <c r="U640" s="180">
        <v>0.0513722424620939</v>
      </c>
      <c r="V640" s="180">
        <v>0.305378464396352</v>
      </c>
      <c r="W640" s="180"/>
      <c r="X640" s="68"/>
      <c r="Y640" s="180"/>
      <c r="Z640" s="180"/>
      <c r="AA640" s="180"/>
      <c r="AB640" s="180"/>
      <c r="AC640" s="179"/>
      <c r="AD640" s="181"/>
      <c r="AE640" s="180"/>
    </row>
    <row r="641" ht="21.25" customHeight="1">
      <c r="A641" t="s" s="8">
        <v>715</v>
      </c>
      <c r="B641" t="s" s="177">
        <v>939</v>
      </c>
      <c r="C641" s="178">
        <v>27</v>
      </c>
      <c r="D641" t="s" s="177">
        <v>927</v>
      </c>
      <c r="E641" s="68">
        <v>62.94</v>
      </c>
      <c r="F641" s="179">
        <v>13.4221031523798</v>
      </c>
      <c r="G641" s="180">
        <v>0.0190413893125226</v>
      </c>
      <c r="H641" s="180">
        <v>0.127351993049994</v>
      </c>
      <c r="I641" s="180">
        <v>0.146393382362517</v>
      </c>
      <c r="J641" s="180">
        <v>0.608803683992627</v>
      </c>
      <c r="K641" s="180">
        <v>0.000164653734405354</v>
      </c>
      <c r="L641" s="180">
        <v>0.00113565901692621</v>
      </c>
      <c r="M641" s="180">
        <v>0.000738963689163855</v>
      </c>
      <c r="N641" s="180">
        <v>0.018915013962951</v>
      </c>
      <c r="O641" s="180">
        <v>1.22989895119583</v>
      </c>
      <c r="P641" s="180">
        <v>1.23103544213046</v>
      </c>
      <c r="Q641" s="180">
        <v>0.07072034423405719</v>
      </c>
      <c r="R641" s="180">
        <v>0.57909440828835</v>
      </c>
      <c r="S641" s="180">
        <v>0.0030140475069964</v>
      </c>
      <c r="T641" s="180">
        <v>0</v>
      </c>
      <c r="U641" s="180">
        <v>0</v>
      </c>
      <c r="V641" s="180">
        <v>0</v>
      </c>
      <c r="W641" s="180"/>
      <c r="X641" s="68"/>
      <c r="Y641" s="180"/>
      <c r="Z641" s="180"/>
      <c r="AA641" s="180"/>
      <c r="AB641" s="180"/>
      <c r="AC641" s="179"/>
      <c r="AD641" s="181"/>
      <c r="AE641" s="180"/>
    </row>
    <row r="642" ht="21.25" customHeight="1">
      <c r="A642" t="s" s="8">
        <v>859</v>
      </c>
      <c r="B642" t="s" s="177">
        <v>964</v>
      </c>
      <c r="C642" s="178">
        <v>30</v>
      </c>
      <c r="D642" t="s" s="177">
        <v>940</v>
      </c>
      <c r="E642" s="68">
        <v>67.3121428571429</v>
      </c>
      <c r="F642" s="179">
        <v>8.76643959125493</v>
      </c>
      <c r="G642" s="180">
        <v>0.0664470879924059</v>
      </c>
      <c r="H642" s="180">
        <v>0.07977805689123681</v>
      </c>
      <c r="I642" s="180">
        <v>0.146225144883643</v>
      </c>
      <c r="J642" s="180">
        <v>0.826538999170462</v>
      </c>
      <c r="K642" s="180">
        <v>0.000708978692890851</v>
      </c>
      <c r="L642" s="180">
        <v>0.00182692319210945</v>
      </c>
      <c r="M642" s="180">
        <v>0.000676945505466959</v>
      </c>
      <c r="N642" s="180">
        <v>0.00090916417876543</v>
      </c>
      <c r="O642" s="180">
        <v>0.427020319496862</v>
      </c>
      <c r="P642" s="180">
        <v>1.22984589946849</v>
      </c>
      <c r="Q642" s="180">
        <v>0.0107662293792791</v>
      </c>
      <c r="R642" s="180">
        <v>0.27681353840535</v>
      </c>
      <c r="S642" s="180">
        <v>0.0111031921251557</v>
      </c>
      <c r="T642" s="180">
        <v>2.35100679581878</v>
      </c>
      <c r="U642" s="180">
        <v>2.93140939750988</v>
      </c>
      <c r="V642" s="180">
        <v>0.445062772370709</v>
      </c>
      <c r="W642" s="180"/>
      <c r="X642" s="68"/>
      <c r="Y642" s="180"/>
      <c r="Z642" s="180"/>
      <c r="AA642" s="180"/>
      <c r="AB642" s="180"/>
      <c r="AC642" s="179"/>
      <c r="AD642" s="181"/>
      <c r="AE642" s="180"/>
    </row>
    <row r="643" ht="21.25" customHeight="1">
      <c r="A643" t="s" s="8">
        <v>647</v>
      </c>
      <c r="B643" t="s" s="177">
        <v>965</v>
      </c>
      <c r="C643" s="178">
        <v>30</v>
      </c>
      <c r="D643" t="s" s="177">
        <v>927</v>
      </c>
      <c r="E643" s="68">
        <v>66.61714285714289</v>
      </c>
      <c r="F643" s="179">
        <v>16.6649331566183</v>
      </c>
      <c r="G643" s="180">
        <v>0.0400781994768391</v>
      </c>
      <c r="H643" s="180">
        <v>0.105552210333662</v>
      </c>
      <c r="I643" s="180">
        <v>0.145630409810501</v>
      </c>
      <c r="J643" s="180">
        <v>1.00767729333291</v>
      </c>
      <c r="K643" s="180">
        <v>0.00142849156198917</v>
      </c>
      <c r="L643" s="180">
        <v>0.009937916144622</v>
      </c>
      <c r="M643" s="180">
        <v>0.000449965449098877</v>
      </c>
      <c r="N643" s="180">
        <v>0.00171092451470329</v>
      </c>
      <c r="O643" s="180">
        <v>1.55399102841732</v>
      </c>
      <c r="P643" s="180">
        <v>2.05320931952609</v>
      </c>
      <c r="Q643" s="180">
        <v>-0.010186786911234</v>
      </c>
      <c r="R643" s="180">
        <v>0.511354615163959</v>
      </c>
      <c r="S643" s="180">
        <v>0.00497593909197701</v>
      </c>
      <c r="T643" s="180">
        <v>0</v>
      </c>
      <c r="U643" s="180">
        <v>0</v>
      </c>
      <c r="V643" s="180">
        <v>0</v>
      </c>
      <c r="W643" s="180"/>
      <c r="X643" s="68"/>
      <c r="Y643" s="180"/>
      <c r="Z643" s="180"/>
      <c r="AA643" s="180"/>
      <c r="AB643" s="180"/>
      <c r="AC643" s="179"/>
      <c r="AD643" s="181"/>
      <c r="AE643" s="180"/>
    </row>
    <row r="644" ht="21.25" customHeight="1">
      <c r="A644" t="s" s="8">
        <v>862</v>
      </c>
      <c r="B644" t="s" s="177">
        <v>965</v>
      </c>
      <c r="C644" s="178">
        <v>25</v>
      </c>
      <c r="D644" t="s" s="177">
        <v>926</v>
      </c>
      <c r="E644" s="68">
        <v>63.0578571428571</v>
      </c>
      <c r="F644" s="179">
        <v>7.01333333333333</v>
      </c>
      <c r="G644" s="180">
        <v>0.0589186200193261</v>
      </c>
      <c r="H644" s="180">
        <v>0.08147951266399291</v>
      </c>
      <c r="I644" s="180">
        <v>0.14039813268332</v>
      </c>
      <c r="J644" s="180">
        <v>0.8011984940108799</v>
      </c>
      <c r="K644" s="180">
        <v>0.000702728090670595</v>
      </c>
      <c r="L644" s="180">
        <v>0.00178523181938249</v>
      </c>
      <c r="M644" s="180">
        <v>6.17835252566016e-05</v>
      </c>
      <c r="N644" s="180">
        <v>0.000113382226928895</v>
      </c>
      <c r="O644" s="180">
        <v>0.269898511179127</v>
      </c>
      <c r="P644" s="180">
        <v>1.49588656983332</v>
      </c>
      <c r="Q644" s="180">
        <v>-0.00569467593468396</v>
      </c>
      <c r="R644" s="180">
        <v>0.793867863995228</v>
      </c>
      <c r="S644" s="180">
        <v>0.00731508571808291</v>
      </c>
      <c r="T644" s="180">
        <v>0.00188030597292993</v>
      </c>
      <c r="U644" s="180">
        <v>0.00597701169714543</v>
      </c>
      <c r="V644" s="180">
        <v>0.239306344974581</v>
      </c>
      <c r="W644" s="180"/>
      <c r="X644" s="68"/>
      <c r="Y644" s="180"/>
      <c r="Z644" s="180"/>
      <c r="AA644" s="180"/>
      <c r="AB644" s="180"/>
      <c r="AC644" s="179"/>
      <c r="AD644" s="181"/>
      <c r="AE644" s="180"/>
    </row>
    <row r="645" ht="21.25" customHeight="1">
      <c r="A645" t="s" s="8">
        <v>708</v>
      </c>
      <c r="B645" t="s" s="177">
        <v>962</v>
      </c>
      <c r="C645" s="178">
        <v>22</v>
      </c>
      <c r="D645" t="s" s="177">
        <v>927</v>
      </c>
      <c r="E645" s="68">
        <v>64.2321428571429</v>
      </c>
      <c r="F645" s="179">
        <v>14.1809713689024</v>
      </c>
      <c r="G645" s="180">
        <v>0.0178420525964206</v>
      </c>
      <c r="H645" s="180">
        <v>0.122272679711418</v>
      </c>
      <c r="I645" s="180">
        <v>0.140114732307839</v>
      </c>
      <c r="J645" s="180">
        <v>0.786648326076013</v>
      </c>
      <c r="K645" s="180">
        <v>0.000203989145492516</v>
      </c>
      <c r="L645" s="180">
        <v>0.00129895922921276</v>
      </c>
      <c r="M645" s="180">
        <v>0.000441942148070279</v>
      </c>
      <c r="N645" s="180">
        <v>0.00153811184476472</v>
      </c>
      <c r="O645" s="180">
        <v>0.911874799100351</v>
      </c>
      <c r="P645" s="180">
        <v>1.07043068928736</v>
      </c>
      <c r="Q645" s="180">
        <v>-0.009444778000232299</v>
      </c>
      <c r="R645" s="180">
        <v>0.246763816800682</v>
      </c>
      <c r="S645" s="180">
        <v>0.00264171314343009</v>
      </c>
      <c r="T645" s="180">
        <v>0</v>
      </c>
      <c r="U645" s="180">
        <v>0</v>
      </c>
      <c r="V645" s="180">
        <v>0</v>
      </c>
      <c r="W645" s="180"/>
      <c r="X645" s="68"/>
      <c r="Y645" s="180"/>
      <c r="Z645" s="180"/>
      <c r="AA645" s="180"/>
      <c r="AB645" s="180"/>
      <c r="AC645" s="179"/>
      <c r="AD645" s="181"/>
      <c r="AE645" s="180"/>
    </row>
    <row r="646" ht="21.25" customHeight="1">
      <c r="A646" t="s" s="8">
        <v>837</v>
      </c>
      <c r="B646" t="s" s="177">
        <v>970</v>
      </c>
      <c r="C646" s="178">
        <v>32</v>
      </c>
      <c r="D646" t="s" s="177">
        <v>925</v>
      </c>
      <c r="E646" s="68">
        <v>80.5125</v>
      </c>
      <c r="F646" s="179">
        <v>9.50943573285061</v>
      </c>
      <c r="G646" s="180">
        <v>0.0688545481817246</v>
      </c>
      <c r="H646" s="180">
        <v>0.0690802470143895</v>
      </c>
      <c r="I646" s="180">
        <v>0.137934795196115</v>
      </c>
      <c r="J646" s="180">
        <v>0.920013381459617</v>
      </c>
      <c r="K646" s="180">
        <v>0.000603804501645915</v>
      </c>
      <c r="L646" s="180">
        <v>0.00154360018663467</v>
      </c>
      <c r="M646" s="180">
        <v>0.0016301689619294</v>
      </c>
      <c r="N646" s="180">
        <v>0.00189560082678789</v>
      </c>
      <c r="O646" s="180">
        <v>0.351513736378867</v>
      </c>
      <c r="P646" s="180">
        <v>3.14150738533029</v>
      </c>
      <c r="Q646" s="180">
        <v>-0.0867730175352449</v>
      </c>
      <c r="R646" s="180">
        <v>0.817572693803777</v>
      </c>
      <c r="S646" s="180">
        <v>0.00809355209837221</v>
      </c>
      <c r="T646" s="180">
        <v>0.0280909924948204</v>
      </c>
      <c r="U646" s="180">
        <v>0.080085919678537</v>
      </c>
      <c r="V646" s="180">
        <v>0.259676412743262</v>
      </c>
      <c r="W646" s="180"/>
      <c r="X646" s="68"/>
      <c r="Y646" s="180"/>
      <c r="Z646" s="180"/>
      <c r="AA646" s="180"/>
      <c r="AB646" s="180"/>
      <c r="AC646" s="179"/>
      <c r="AD646" s="181"/>
      <c r="AE646" s="180"/>
    </row>
    <row r="647" ht="21.25" customHeight="1">
      <c r="A647" t="s" s="8">
        <v>688</v>
      </c>
      <c r="B647" t="s" s="177">
        <v>947</v>
      </c>
      <c r="C647" s="178">
        <v>34</v>
      </c>
      <c r="D647" t="s" s="177">
        <v>927</v>
      </c>
      <c r="E647" s="68">
        <v>60</v>
      </c>
      <c r="F647" s="179">
        <v>15.5169240590447</v>
      </c>
      <c r="G647" s="180">
        <v>0.0425734092705667</v>
      </c>
      <c r="H647" s="180">
        <v>0.0934097283635293</v>
      </c>
      <c r="I647" s="180">
        <v>0.135983137634096</v>
      </c>
      <c r="J647" s="180">
        <v>1.08206982409455</v>
      </c>
      <c r="K647" s="180">
        <v>0.000251800228518438</v>
      </c>
      <c r="L647" s="180">
        <v>0.00173321713705934</v>
      </c>
      <c r="M647" s="180">
        <v>0.000423616601320704</v>
      </c>
      <c r="N647" s="180">
        <v>0.008215154139016131</v>
      </c>
      <c r="O647" s="180">
        <v>1.19840653424646</v>
      </c>
      <c r="P647" s="180">
        <v>1.6335213865994</v>
      </c>
      <c r="Q647" s="180">
        <v>-0.00200335806704588</v>
      </c>
      <c r="R647" s="180">
        <v>0.915920728562265</v>
      </c>
      <c r="S647" s="180">
        <v>0.00625735373871196</v>
      </c>
      <c r="T647" s="180">
        <v>0</v>
      </c>
      <c r="U647" s="180">
        <v>0</v>
      </c>
      <c r="V647" s="180">
        <v>0</v>
      </c>
      <c r="W647" s="180"/>
      <c r="X647" s="68"/>
      <c r="Y647" s="180"/>
      <c r="Z647" s="180"/>
      <c r="AA647" s="180"/>
      <c r="AB647" s="180"/>
      <c r="AC647" s="179"/>
      <c r="AD647" s="181"/>
      <c r="AE647" s="180"/>
    </row>
    <row r="648" ht="21.25" customHeight="1">
      <c r="A648" t="s" s="8">
        <v>726</v>
      </c>
      <c r="B648" t="s" s="177">
        <v>948</v>
      </c>
      <c r="C648" s="178">
        <v>32</v>
      </c>
      <c r="D648" t="s" s="177">
        <v>927</v>
      </c>
      <c r="E648" s="68">
        <v>63.79</v>
      </c>
      <c r="F648" s="179">
        <v>11.6366267744312</v>
      </c>
      <c r="G648" s="180">
        <v>0.0214265830367544</v>
      </c>
      <c r="H648" s="180">
        <v>0.108707071345384</v>
      </c>
      <c r="I648" s="180">
        <v>0.130133654382139</v>
      </c>
      <c r="J648" s="180">
        <v>0.605660498740012</v>
      </c>
      <c r="K648" s="180">
        <v>9.66271093913202e-05</v>
      </c>
      <c r="L648" s="180">
        <v>0.00070945960842075</v>
      </c>
      <c r="M648" s="180">
        <v>3.30326255507562e-05</v>
      </c>
      <c r="N648" s="180">
        <v>0.000132557960803787</v>
      </c>
      <c r="O648" s="180">
        <v>0.929389309914345</v>
      </c>
      <c r="P648" s="180">
        <v>1.10920513021651</v>
      </c>
      <c r="Q648" s="180">
        <v>0.0529474692546239</v>
      </c>
      <c r="R648" s="180">
        <v>0.265137843410279</v>
      </c>
      <c r="S648" s="180">
        <v>0.0034281013916667</v>
      </c>
      <c r="T648" s="180">
        <v>0</v>
      </c>
      <c r="U648" s="180">
        <v>0</v>
      </c>
      <c r="V648" s="180">
        <v>0</v>
      </c>
      <c r="W648" s="180"/>
      <c r="X648" s="68"/>
      <c r="Y648" s="180"/>
      <c r="Z648" s="180"/>
      <c r="AA648" s="180"/>
      <c r="AB648" s="180"/>
      <c r="AC648" s="179"/>
      <c r="AD648" s="181"/>
      <c r="AE648" s="180"/>
    </row>
    <row r="649" ht="21.25" customHeight="1">
      <c r="A649" t="s" s="8">
        <v>684</v>
      </c>
      <c r="B649" t="s" s="177">
        <v>953</v>
      </c>
      <c r="C649" s="178">
        <v>33</v>
      </c>
      <c r="D649" t="s" s="177">
        <v>927</v>
      </c>
      <c r="E649" s="68">
        <v>69.5567857142857</v>
      </c>
      <c r="F649" s="179">
        <v>14.8011747938944</v>
      </c>
      <c r="G649" s="180">
        <v>0.0297685631918218</v>
      </c>
      <c r="H649" s="180">
        <v>0.0978408544822707</v>
      </c>
      <c r="I649" s="180">
        <v>0.127609417674093</v>
      </c>
      <c r="J649" s="180">
        <v>0.88625472020264</v>
      </c>
      <c r="K649" s="180">
        <v>9.463181966416929e-06</v>
      </c>
      <c r="L649" s="180">
        <v>6.77900924598466e-05</v>
      </c>
      <c r="M649" s="180">
        <v>0.000369927184683498</v>
      </c>
      <c r="N649" s="180">
        <v>0.00206512223538193</v>
      </c>
      <c r="O649" s="180">
        <v>1.14449024580925</v>
      </c>
      <c r="P649" s="180">
        <v>1.73568624861872</v>
      </c>
      <c r="Q649" s="180">
        <v>0.0232037967238999</v>
      </c>
      <c r="R649" s="180">
        <v>0.330998720579788</v>
      </c>
      <c r="S649" s="180">
        <v>0.00477845046100848</v>
      </c>
      <c r="T649" s="180">
        <v>0</v>
      </c>
      <c r="U649" s="180">
        <v>0</v>
      </c>
      <c r="V649" s="180">
        <v>0</v>
      </c>
      <c r="W649" s="180"/>
      <c r="X649" s="68"/>
      <c r="Y649" s="180"/>
      <c r="Z649" s="180"/>
      <c r="AA649" s="180"/>
      <c r="AB649" s="180"/>
      <c r="AC649" s="179"/>
      <c r="AD649" s="181"/>
      <c r="AE649" s="180"/>
    </row>
    <row r="650" ht="21.25" customHeight="1">
      <c r="A650" t="s" s="8">
        <v>871</v>
      </c>
      <c r="B650" t="s" s="177">
        <v>965</v>
      </c>
      <c r="C650" s="178">
        <v>32</v>
      </c>
      <c r="D650" t="s" s="177">
        <v>924</v>
      </c>
      <c r="E650" s="68">
        <v>66.9746428571429</v>
      </c>
      <c r="F650" s="179">
        <v>9.151168831168841</v>
      </c>
      <c r="G650" s="180">
        <v>0.0439292006820982</v>
      </c>
      <c r="H650" s="180">
        <v>0.0826170661458841</v>
      </c>
      <c r="I650" s="180">
        <v>0.126546266827983</v>
      </c>
      <c r="J650" s="180">
        <v>0.820006717481196</v>
      </c>
      <c r="K650" s="180">
        <v>0.000688065058159749</v>
      </c>
      <c r="L650" s="180">
        <v>0.00189981772656623</v>
      </c>
      <c r="M650" s="180">
        <v>0.00291621273951439</v>
      </c>
      <c r="N650" s="180">
        <v>0.00413830430279722</v>
      </c>
      <c r="O650" s="180">
        <v>0.441892208673471</v>
      </c>
      <c r="P650" s="180">
        <v>1.48218530657422</v>
      </c>
      <c r="Q650" s="180">
        <v>-0.00716611632539927</v>
      </c>
      <c r="R650" s="180">
        <v>0.296709409119666</v>
      </c>
      <c r="S650" s="180">
        <v>0.00545406305190123</v>
      </c>
      <c r="T650" s="180">
        <v>2.2457067827879</v>
      </c>
      <c r="U650" s="180">
        <v>2.14187513952699</v>
      </c>
      <c r="V650" s="180">
        <v>0.511832444966194</v>
      </c>
      <c r="W650" s="180"/>
      <c r="X650" s="68"/>
      <c r="Y650" s="180"/>
      <c r="Z650" s="180"/>
      <c r="AA650" s="180"/>
      <c r="AB650" s="180"/>
      <c r="AC650" s="179"/>
      <c r="AD650" s="181"/>
      <c r="AE650" s="180"/>
    </row>
    <row r="651" ht="21.25" customHeight="1">
      <c r="A651" t="s" s="8">
        <v>666</v>
      </c>
      <c r="B651" t="s" s="177">
        <v>942</v>
      </c>
      <c r="C651" s="178">
        <v>33</v>
      </c>
      <c r="D651" t="s" s="177">
        <v>927</v>
      </c>
      <c r="E651" s="68">
        <v>69.35428571428569</v>
      </c>
      <c r="F651" s="179">
        <v>14.8542998791191</v>
      </c>
      <c r="G651" s="180">
        <v>0.0288136931562574</v>
      </c>
      <c r="H651" s="180">
        <v>0.09633843351204489</v>
      </c>
      <c r="I651" s="180">
        <v>0.125152126668302</v>
      </c>
      <c r="J651" s="180">
        <v>1.1007507242023</v>
      </c>
      <c r="K651" s="180">
        <v>6.73418781341856e-05</v>
      </c>
      <c r="L651" s="180">
        <v>0.000484025931893027</v>
      </c>
      <c r="M651" s="180">
        <v>0.000226960644598456</v>
      </c>
      <c r="N651" s="180">
        <v>0.000891595760224361</v>
      </c>
      <c r="O651" s="180">
        <v>0.987233961789432</v>
      </c>
      <c r="P651" s="180">
        <v>2.0411697722693</v>
      </c>
      <c r="Q651" s="180">
        <v>-0.00792952659662351</v>
      </c>
      <c r="R651" s="180">
        <v>0.577972405165616</v>
      </c>
      <c r="S651" s="180">
        <v>0.00450935344554633</v>
      </c>
      <c r="T651" s="180">
        <v>0.00622498175035929</v>
      </c>
      <c r="U651" s="180">
        <v>0.00900625720172735</v>
      </c>
      <c r="V651" s="180">
        <v>0.408698318629325</v>
      </c>
      <c r="W651" s="180"/>
      <c r="X651" s="68"/>
      <c r="Y651" s="180"/>
      <c r="Z651" s="180"/>
      <c r="AA651" s="180"/>
      <c r="AB651" s="180"/>
      <c r="AC651" s="179"/>
      <c r="AD651" s="181"/>
      <c r="AE651" s="180"/>
    </row>
    <row r="652" ht="21.25" customHeight="1">
      <c r="A652" t="s" s="8">
        <v>857</v>
      </c>
      <c r="B652" t="s" s="177">
        <v>942</v>
      </c>
      <c r="C652" s="178">
        <v>34</v>
      </c>
      <c r="D652" t="s" s="177">
        <v>924</v>
      </c>
      <c r="E652" s="68">
        <v>72.40000000000001</v>
      </c>
      <c r="F652" s="179">
        <v>11.5499818994991</v>
      </c>
      <c r="G652" s="180">
        <v>0.0570121537441804</v>
      </c>
      <c r="H652" s="180">
        <v>0.0594036509954095</v>
      </c>
      <c r="I652" s="180">
        <v>0.11641580473959</v>
      </c>
      <c r="J652" s="180">
        <v>0.993088203632234</v>
      </c>
      <c r="K652" s="180">
        <v>0.000588485024203404</v>
      </c>
      <c r="L652" s="180">
        <v>0.00151474645078041</v>
      </c>
      <c r="M652" s="180">
        <v>0.00903858659899302</v>
      </c>
      <c r="N652" s="180">
        <v>0.0146698659339338</v>
      </c>
      <c r="O652" s="180">
        <v>0.698106044175055</v>
      </c>
      <c r="P652" s="180">
        <v>1.62077141910116</v>
      </c>
      <c r="Q652" s="180">
        <v>-0.0157612610762218</v>
      </c>
      <c r="R652" s="180">
        <v>0.284355864018443</v>
      </c>
      <c r="S652" s="180">
        <v>0.0089224227706647</v>
      </c>
      <c r="T652" s="180">
        <v>5.12672799386832</v>
      </c>
      <c r="U652" s="180">
        <v>3.52147951325728</v>
      </c>
      <c r="V652" s="180">
        <v>0.592808161650169</v>
      </c>
      <c r="W652" s="180"/>
      <c r="X652" s="68"/>
      <c r="Y652" s="180"/>
      <c r="Z652" s="180"/>
      <c r="AA652" s="180"/>
      <c r="AB652" s="180"/>
      <c r="AC652" s="179"/>
      <c r="AD652" s="181"/>
      <c r="AE652" s="180"/>
    </row>
    <row r="653" ht="21.25" customHeight="1">
      <c r="A653" t="s" s="8">
        <v>745</v>
      </c>
      <c r="B653" t="s" s="177">
        <v>962</v>
      </c>
      <c r="C653" s="178">
        <v>27</v>
      </c>
      <c r="D653" t="s" s="177">
        <v>927</v>
      </c>
      <c r="E653" s="68">
        <v>56.3425</v>
      </c>
      <c r="F653" s="179">
        <v>12.1771539165153</v>
      </c>
      <c r="G653" s="180">
        <v>0.0168555523123174</v>
      </c>
      <c r="H653" s="180">
        <v>0.099242036544789</v>
      </c>
      <c r="I653" s="180">
        <v>0.116097588857106</v>
      </c>
      <c r="J653" s="180">
        <v>0.707071138125589</v>
      </c>
      <c r="K653" s="180">
        <v>5.39218312622491e-05</v>
      </c>
      <c r="L653" s="180">
        <v>0.000373144398396396</v>
      </c>
      <c r="M653" s="180">
        <v>0.0005297463628388701</v>
      </c>
      <c r="N653" s="180">
        <v>0.00200361516477751</v>
      </c>
      <c r="O653" s="180">
        <v>0.814386680986124</v>
      </c>
      <c r="P653" s="180">
        <v>1.99230612393354</v>
      </c>
      <c r="Q653" s="180">
        <v>-0.000493805413989091</v>
      </c>
      <c r="R653" s="180">
        <v>0.53054729367834</v>
      </c>
      <c r="S653" s="180">
        <v>0.00249565086990917</v>
      </c>
      <c r="T653" s="180">
        <v>0</v>
      </c>
      <c r="U653" s="180">
        <v>0</v>
      </c>
      <c r="V653" s="180">
        <v>0</v>
      </c>
      <c r="W653" s="180"/>
      <c r="X653" s="68"/>
      <c r="Y653" s="180"/>
      <c r="Z653" s="180"/>
      <c r="AA653" s="180"/>
      <c r="AB653" s="180"/>
      <c r="AC653" s="179"/>
      <c r="AD653" s="181"/>
      <c r="AE653" s="180"/>
    </row>
    <row r="654" ht="21.25" customHeight="1">
      <c r="A654" t="s" s="8">
        <v>662</v>
      </c>
      <c r="B654" t="s" s="177">
        <v>957</v>
      </c>
      <c r="C654" s="178">
        <v>29</v>
      </c>
      <c r="D654" t="s" s="177">
        <v>927</v>
      </c>
      <c r="E654" s="68">
        <v>71.02714285714291</v>
      </c>
      <c r="F654" s="179">
        <v>15.4397341795776</v>
      </c>
      <c r="G654" s="180">
        <v>0.0302118949575732</v>
      </c>
      <c r="H654" s="180">
        <v>0.0855152679702038</v>
      </c>
      <c r="I654" s="180">
        <v>0.115727162927777</v>
      </c>
      <c r="J654" s="180">
        <v>0.936673849535938</v>
      </c>
      <c r="K654" s="180">
        <v>0.000154968785252967</v>
      </c>
      <c r="L654" s="180">
        <v>0.00108232093350358</v>
      </c>
      <c r="M654" s="180">
        <v>0.000362138656306935</v>
      </c>
      <c r="N654" s="180">
        <v>0.00197100259400048</v>
      </c>
      <c r="O654" s="180">
        <v>1.52742661069563</v>
      </c>
      <c r="P654" s="180">
        <v>2.00547447467433</v>
      </c>
      <c r="Q654" s="180">
        <v>-0.0672605716716977</v>
      </c>
      <c r="R654" s="180">
        <v>0.813753404484496</v>
      </c>
      <c r="S654" s="180">
        <v>0.00381263835960066</v>
      </c>
      <c r="T654" s="180">
        <v>0</v>
      </c>
      <c r="U654" s="180">
        <v>0</v>
      </c>
      <c r="V654" s="180">
        <v>0</v>
      </c>
      <c r="W654" s="180"/>
      <c r="X654" s="68"/>
      <c r="Y654" s="180"/>
      <c r="Z654" s="180"/>
      <c r="AA654" s="180"/>
      <c r="AB654" s="180"/>
      <c r="AC654" s="179"/>
      <c r="AD654" s="181"/>
      <c r="AE654" s="180"/>
    </row>
    <row r="655" ht="21.25" customHeight="1">
      <c r="A655" t="s" s="8">
        <v>673</v>
      </c>
      <c r="B655" t="s" s="177">
        <v>942</v>
      </c>
      <c r="C655" s="178">
        <v>27</v>
      </c>
      <c r="D655" t="s" s="177">
        <v>927</v>
      </c>
      <c r="E655" s="68">
        <v>64.97964285714291</v>
      </c>
      <c r="F655" s="179">
        <v>14.3609225337666</v>
      </c>
      <c r="G655" s="180">
        <v>0.0401650642947099</v>
      </c>
      <c r="H655" s="180">
        <v>0.0711073681930444</v>
      </c>
      <c r="I655" s="180">
        <v>0.111272432487754</v>
      </c>
      <c r="J655" s="180">
        <v>1.20364704101246</v>
      </c>
      <c r="K655" s="180">
        <v>0.000150251630482484</v>
      </c>
      <c r="L655" s="180">
        <v>0.00104336234959722</v>
      </c>
      <c r="M655" s="180">
        <v>0.000258725022975909</v>
      </c>
      <c r="N655" s="180">
        <v>0.0009819478750126721</v>
      </c>
      <c r="O655" s="180">
        <v>1.16496682488928</v>
      </c>
      <c r="P655" s="180">
        <v>1.31903455215155</v>
      </c>
      <c r="Q655" s="180">
        <v>-0.0100081993645843</v>
      </c>
      <c r="R655" s="180">
        <v>0.260067580065855</v>
      </c>
      <c r="S655" s="180">
        <v>0.0062858471521068</v>
      </c>
      <c r="T655" s="180">
        <v>0</v>
      </c>
      <c r="U655" s="180">
        <v>0</v>
      </c>
      <c r="V655" s="180">
        <v>0</v>
      </c>
      <c r="W655" s="180"/>
      <c r="X655" s="68"/>
      <c r="Y655" s="180"/>
      <c r="Z655" s="180"/>
      <c r="AA655" s="180"/>
      <c r="AB655" s="180"/>
      <c r="AC655" s="179"/>
      <c r="AD655" s="181"/>
      <c r="AE655" s="180"/>
    </row>
    <row r="656" ht="21.25" customHeight="1">
      <c r="A656" t="s" s="8">
        <v>686</v>
      </c>
      <c r="B656" t="s" s="177">
        <v>952</v>
      </c>
      <c r="C656" s="178">
        <v>35</v>
      </c>
      <c r="D656" t="s" s="177">
        <v>927</v>
      </c>
      <c r="E656" s="68">
        <v>64.6792857142857</v>
      </c>
      <c r="F656" s="179">
        <v>12.3715106346037</v>
      </c>
      <c r="G656" s="180">
        <v>0.0253716116754096</v>
      </c>
      <c r="H656" s="180">
        <v>0.0776018197655859</v>
      </c>
      <c r="I656" s="180">
        <v>0.102973431440995</v>
      </c>
      <c r="J656" s="180">
        <v>1.19231768983519</v>
      </c>
      <c r="K656" s="180">
        <v>2.33643965772911e-05</v>
      </c>
      <c r="L656" s="180">
        <v>0.000168339231852005</v>
      </c>
      <c r="M656" s="180">
        <v>9.193027563252051e-05</v>
      </c>
      <c r="N656" s="180">
        <v>0.000362012333856312</v>
      </c>
      <c r="O656" s="180">
        <v>1.04287286060155</v>
      </c>
      <c r="P656" s="180">
        <v>1.63357165347016</v>
      </c>
      <c r="Q656" s="180">
        <v>-0.00872700432476088</v>
      </c>
      <c r="R656" s="180">
        <v>0.466920581324713</v>
      </c>
      <c r="S656" s="180">
        <v>0.00359159644216796</v>
      </c>
      <c r="T656" s="180">
        <v>0</v>
      </c>
      <c r="U656" s="180">
        <v>0</v>
      </c>
      <c r="V656" s="180">
        <v>0</v>
      </c>
      <c r="W656" s="180"/>
      <c r="X656" s="68"/>
      <c r="Y656" s="180"/>
      <c r="Z656" s="180"/>
      <c r="AA656" s="180"/>
      <c r="AB656" s="180"/>
      <c r="AC656" s="179"/>
      <c r="AD656" s="181"/>
      <c r="AE656" s="180"/>
    </row>
    <row r="657" ht="21.25" customHeight="1">
      <c r="A657" t="s" s="8">
        <v>721</v>
      </c>
      <c r="B657" t="s" s="177">
        <v>955</v>
      </c>
      <c r="C657" s="178">
        <v>34</v>
      </c>
      <c r="D657" t="s" s="177">
        <v>927</v>
      </c>
      <c r="E657" s="68">
        <v>71.52714285714291</v>
      </c>
      <c r="F657" s="179">
        <v>12.7958946077017</v>
      </c>
      <c r="G657" s="180">
        <v>0.0202473227189866</v>
      </c>
      <c r="H657" s="180">
        <v>0.0705765925984366</v>
      </c>
      <c r="I657" s="180">
        <v>0.0908239153174232</v>
      </c>
      <c r="J657" s="180">
        <v>0.681830999650993</v>
      </c>
      <c r="K657" s="180">
        <v>0.000136852964815844</v>
      </c>
      <c r="L657" s="180">
        <v>0.00100906012998113</v>
      </c>
      <c r="M657" s="180">
        <v>0.000326803352549429</v>
      </c>
      <c r="N657" s="180">
        <v>0.00187780209699849</v>
      </c>
      <c r="O657" s="180">
        <v>1.1552767005319</v>
      </c>
      <c r="P657" s="180">
        <v>1.4423458742696</v>
      </c>
      <c r="Q657" s="180">
        <v>-0.0448378354296995</v>
      </c>
      <c r="R657" s="180">
        <v>0.5388768340210039</v>
      </c>
      <c r="S657" s="180">
        <v>0.00232991473415765</v>
      </c>
      <c r="T657" s="180">
        <v>0</v>
      </c>
      <c r="U657" s="180">
        <v>0</v>
      </c>
      <c r="V657" s="180">
        <v>0</v>
      </c>
      <c r="W657" s="180"/>
      <c r="X657" s="68"/>
      <c r="Y657" s="180"/>
      <c r="Z657" s="180"/>
      <c r="AA657" s="180"/>
      <c r="AB657" s="180"/>
      <c r="AC657" s="179"/>
      <c r="AD657" s="181"/>
      <c r="AE657" s="180"/>
    </row>
    <row r="658" ht="21.25" customHeight="1">
      <c r="A658" t="s" s="8">
        <v>695</v>
      </c>
      <c r="B658" t="s" s="177">
        <v>941</v>
      </c>
      <c r="C658" s="178">
        <v>36</v>
      </c>
      <c r="D658" t="s" s="177">
        <v>927</v>
      </c>
      <c r="E658" s="68">
        <v>74.8110714285714</v>
      </c>
      <c r="F658" s="179">
        <v>15.4462750298481</v>
      </c>
      <c r="G658" s="180">
        <v>0.0135712238916294</v>
      </c>
      <c r="H658" s="180">
        <v>0.0737245496463733</v>
      </c>
      <c r="I658" s="180">
        <v>0.08729577353800271</v>
      </c>
      <c r="J658" s="180">
        <v>0.851169654345987</v>
      </c>
      <c r="K658" s="180">
        <v>0.000196053311674168</v>
      </c>
      <c r="L658" s="180">
        <v>0.001707909551138</v>
      </c>
      <c r="M658" s="180">
        <v>0.000208141278208682</v>
      </c>
      <c r="N658" s="180">
        <v>0.0150828990479717</v>
      </c>
      <c r="O658" s="180">
        <v>1.17911932159451</v>
      </c>
      <c r="P658" s="180">
        <v>1.19855612034841</v>
      </c>
      <c r="Q658" s="180">
        <v>0.0202073287350633</v>
      </c>
      <c r="R658" s="180">
        <v>0.340362584904935</v>
      </c>
      <c r="S658" s="180">
        <v>0.00214717209375606</v>
      </c>
      <c r="T658" s="180">
        <v>0</v>
      </c>
      <c r="U658" s="180">
        <v>0.00817552806971017</v>
      </c>
      <c r="V658" s="180">
        <v>0</v>
      </c>
      <c r="W658" s="180"/>
      <c r="X658" s="68"/>
      <c r="Y658" s="180"/>
      <c r="Z658" s="180"/>
      <c r="AA658" s="180"/>
      <c r="AB658" s="180"/>
      <c r="AC658" s="179"/>
      <c r="AD658" s="181"/>
      <c r="AE658" s="180"/>
    </row>
    <row r="659" ht="21.25" customHeight="1">
      <c r="A659" s="29"/>
      <c r="B659" s="183"/>
      <c r="C659" s="182"/>
      <c r="D659" s="184"/>
      <c r="E659" s="68"/>
      <c r="F659" s="179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68"/>
      <c r="Y659" s="180"/>
      <c r="Z659" s="180"/>
      <c r="AA659" s="180"/>
      <c r="AB659" s="180"/>
      <c r="AC659" s="179"/>
      <c r="AD659" s="181"/>
      <c r="AE659" s="180"/>
    </row>
    <row r="660" ht="21.25" customHeight="1">
      <c r="A660" s="29"/>
      <c r="B660" s="183"/>
      <c r="C660" s="182"/>
      <c r="D660" s="184"/>
      <c r="E660" s="68"/>
      <c r="F660" s="179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68"/>
      <c r="Y660" s="180"/>
      <c r="Z660" s="180"/>
      <c r="AA660" s="180"/>
      <c r="AB660" s="180"/>
      <c r="AC660" s="179"/>
      <c r="AD660" s="181"/>
      <c r="AE660" s="180"/>
    </row>
    <row r="661" ht="21.25" customHeight="1">
      <c r="A661" s="29"/>
      <c r="B661" s="183"/>
      <c r="C661" s="183"/>
      <c r="D661" s="184"/>
      <c r="E661" s="68"/>
      <c r="F661" s="179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68"/>
      <c r="Y661" s="180"/>
      <c r="Z661" s="180"/>
      <c r="AA661" s="180"/>
      <c r="AB661" s="180"/>
      <c r="AC661" s="179"/>
      <c r="AD661" s="181"/>
      <c r="AE661" s="180"/>
    </row>
    <row r="662" ht="21.25" customHeight="1">
      <c r="A662" t="s" s="8">
        <v>263</v>
      </c>
      <c r="B662" t="s" s="177">
        <v>967</v>
      </c>
      <c r="C662" s="178">
        <v>30</v>
      </c>
      <c r="D662" t="s" s="177">
        <v>81</v>
      </c>
      <c r="E662" s="68"/>
      <c r="F662" s="179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68">
        <v>54</v>
      </c>
      <c r="Y662" s="180">
        <v>0.390023309523193</v>
      </c>
      <c r="Z662" s="180">
        <v>0.484976690476807</v>
      </c>
      <c r="AA662" s="180">
        <v>0.125</v>
      </c>
      <c r="AB662" s="180">
        <v>0.0311037775036981</v>
      </c>
      <c r="AC662" s="179">
        <v>31.0191057700419</v>
      </c>
      <c r="AD662" s="181">
        <v>0.9081467378450639</v>
      </c>
      <c r="AE662" s="180">
        <v>3.13738511120814</v>
      </c>
    </row>
    <row r="663" ht="21.25" customHeight="1">
      <c r="A663" t="s" s="8">
        <v>839</v>
      </c>
      <c r="B663" t="s" s="177">
        <v>967</v>
      </c>
      <c r="C663" s="178">
        <v>23</v>
      </c>
      <c r="D663" t="s" s="177">
        <v>81</v>
      </c>
      <c r="E663" s="68"/>
      <c r="F663" s="179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68">
        <v>18</v>
      </c>
      <c r="Y663" s="180">
        <v>0.357007948159672</v>
      </c>
      <c r="Z663" s="180">
        <v>0.517992051840328</v>
      </c>
      <c r="AA663" s="180">
        <v>0.125</v>
      </c>
      <c r="AB663" s="180">
        <v>0.0172710127993182</v>
      </c>
      <c r="AC663" s="179">
        <v>30.8380486404034</v>
      </c>
      <c r="AD663" s="181">
        <v>0.9028459260530109</v>
      </c>
      <c r="AE663" s="180">
        <v>3.31844224084662</v>
      </c>
    </row>
    <row r="664" ht="21.25" customHeight="1">
      <c r="A664" t="s" s="8">
        <v>417</v>
      </c>
      <c r="B664" t="s" s="177">
        <v>957</v>
      </c>
      <c r="C664" s="178">
        <v>27</v>
      </c>
      <c r="D664" t="s" s="177">
        <v>81</v>
      </c>
      <c r="E664" s="68"/>
      <c r="F664" s="179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68">
        <v>42</v>
      </c>
      <c r="Y664" s="180">
        <v>0.43850123157912</v>
      </c>
      <c r="Z664" s="180">
        <v>0.43649876842088</v>
      </c>
      <c r="AA664" s="180">
        <v>0.125</v>
      </c>
      <c r="AB664" s="180">
        <v>0.0497127280300882</v>
      </c>
      <c r="AC664" s="179">
        <v>28.0602998209108</v>
      </c>
      <c r="AD664" s="181">
        <v>0.90651282666271</v>
      </c>
      <c r="AE664" s="180">
        <v>2.89381246033916</v>
      </c>
    </row>
    <row r="665" ht="21.25" customHeight="1">
      <c r="A665" t="s" s="8">
        <v>545</v>
      </c>
      <c r="B665" t="s" s="177">
        <v>957</v>
      </c>
      <c r="C665" s="178">
        <v>26</v>
      </c>
      <c r="D665" t="s" s="177">
        <v>81</v>
      </c>
      <c r="E665" s="68"/>
      <c r="F665" s="179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68">
        <v>35</v>
      </c>
      <c r="Y665" s="180">
        <v>0.437054783597133</v>
      </c>
      <c r="Z665" s="180">
        <v>0.437945216402867</v>
      </c>
      <c r="AA665" s="180">
        <v>0.125</v>
      </c>
      <c r="AB665" s="180">
        <v>0.0506419618180652</v>
      </c>
      <c r="AC665" s="179">
        <v>28.0724625668268</v>
      </c>
      <c r="AD665" s="181">
        <v>0.906905754936841</v>
      </c>
      <c r="AE665" s="180">
        <v>2.88164971442323</v>
      </c>
    </row>
    <row r="666" ht="21.25" customHeight="1">
      <c r="A666" t="s" s="8">
        <v>294</v>
      </c>
      <c r="B666" t="s" s="177">
        <v>949</v>
      </c>
      <c r="C666" s="178">
        <v>30</v>
      </c>
      <c r="D666" t="s" s="177">
        <v>81</v>
      </c>
      <c r="E666" s="68"/>
      <c r="F666" s="179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68">
        <v>44</v>
      </c>
      <c r="Y666" s="180">
        <v>0.589994627378655</v>
      </c>
      <c r="Z666" s="180">
        <v>0.285005372621345</v>
      </c>
      <c r="AA666" s="180">
        <v>0.125</v>
      </c>
      <c r="AB666" s="180">
        <v>0.073576875369328</v>
      </c>
      <c r="AC666" s="179">
        <v>28.6133709703773</v>
      </c>
      <c r="AD666" s="181">
        <v>0.917247348845587</v>
      </c>
      <c r="AE666" s="180">
        <v>2.58145451087267</v>
      </c>
    </row>
    <row r="667" ht="21.25" customHeight="1">
      <c r="A667" t="s" s="8">
        <v>426</v>
      </c>
      <c r="B667" t="s" s="177">
        <v>949</v>
      </c>
      <c r="C667" s="178">
        <v>24</v>
      </c>
      <c r="D667" t="s" s="177">
        <v>81</v>
      </c>
      <c r="E667" s="68"/>
      <c r="F667" s="179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68">
        <v>36</v>
      </c>
      <c r="Y667" s="180">
        <v>0.570173393278907</v>
      </c>
      <c r="Z667" s="180">
        <v>0.304826606721093</v>
      </c>
      <c r="AA667" s="180">
        <v>0.125</v>
      </c>
      <c r="AB667" s="180">
        <v>0.0605544762500378</v>
      </c>
      <c r="AC667" s="179">
        <v>28.4429207201248</v>
      </c>
      <c r="AD667" s="181">
        <v>0.911783293585687</v>
      </c>
      <c r="AE667" s="180">
        <v>2.75190476112516</v>
      </c>
    </row>
    <row r="668" ht="21.25" customHeight="1">
      <c r="A668" t="s" s="8">
        <v>338</v>
      </c>
      <c r="B668" t="s" s="177">
        <v>951</v>
      </c>
      <c r="C668" s="178">
        <v>21</v>
      </c>
      <c r="D668" t="s" s="177">
        <v>81</v>
      </c>
      <c r="E668" s="68"/>
      <c r="F668" s="179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68">
        <v>48</v>
      </c>
      <c r="Y668" s="180">
        <v>0.482834460817829</v>
      </c>
      <c r="Z668" s="180">
        <v>0.392165539182171</v>
      </c>
      <c r="AA668" s="180">
        <v>0.125</v>
      </c>
      <c r="AB668" s="180">
        <v>0.04636432523212</v>
      </c>
      <c r="AC668" s="179">
        <v>28.3321464591573</v>
      </c>
      <c r="AD668" s="181">
        <v>0.906055010895657</v>
      </c>
      <c r="AE668" s="180">
        <v>2.93763972209267</v>
      </c>
    </row>
    <row r="669" ht="21.25" customHeight="1">
      <c r="A669" t="s" s="8">
        <v>804</v>
      </c>
      <c r="B669" t="s" s="177">
        <v>951</v>
      </c>
      <c r="C669" s="178">
        <v>28</v>
      </c>
      <c r="D669" t="s" s="177">
        <v>81</v>
      </c>
      <c r="E669" s="68"/>
      <c r="F669" s="179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68">
        <v>22</v>
      </c>
      <c r="Y669" s="180">
        <v>0.461926544750958</v>
      </c>
      <c r="Z669" s="180">
        <v>0.413073455249042</v>
      </c>
      <c r="AA669" s="180">
        <v>0.125</v>
      </c>
      <c r="AB669" s="180">
        <v>0.0357499907526175</v>
      </c>
      <c r="AC669" s="179">
        <v>28.1932153795827</v>
      </c>
      <c r="AD669" s="181">
        <v>0.901612029457621</v>
      </c>
      <c r="AE669" s="180">
        <v>3.07657080166731</v>
      </c>
    </row>
    <row r="670" ht="21.25" customHeight="1">
      <c r="A670" t="s" s="8">
        <v>878</v>
      </c>
      <c r="B670" t="s" s="177">
        <v>951</v>
      </c>
      <c r="C670" s="178">
        <v>24</v>
      </c>
      <c r="D670" t="s" s="177">
        <v>81</v>
      </c>
      <c r="E670" s="68"/>
      <c r="F670" s="179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68">
        <v>12</v>
      </c>
      <c r="Y670" s="180">
        <v>0.446232318954762</v>
      </c>
      <c r="Z670" s="180">
        <v>0.428767681045238</v>
      </c>
      <c r="AA670" s="180">
        <v>0.125</v>
      </c>
      <c r="AB670" s="180">
        <v>0.0324829847451818</v>
      </c>
      <c r="AC670" s="179">
        <v>28.1504535208466</v>
      </c>
      <c r="AD670" s="181">
        <v>0.900244515829987</v>
      </c>
      <c r="AE670" s="180">
        <v>3.11933266040338</v>
      </c>
    </row>
    <row r="671" ht="21.25" customHeight="1">
      <c r="A671" t="s" s="8">
        <v>382</v>
      </c>
      <c r="B671" t="s" s="177">
        <v>963</v>
      </c>
      <c r="C671" s="178">
        <v>33</v>
      </c>
      <c r="D671" t="s" s="177">
        <v>81</v>
      </c>
      <c r="E671" s="68"/>
      <c r="F671" s="179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68">
        <v>41</v>
      </c>
      <c r="Y671" s="180">
        <v>0.633985387479806</v>
      </c>
      <c r="Z671" s="180">
        <v>0.241014612520194</v>
      </c>
      <c r="AA671" s="180">
        <v>0.125</v>
      </c>
      <c r="AB671" s="180">
        <v>0.0629282086634186</v>
      </c>
      <c r="AC671" s="179">
        <v>27.0310473161115</v>
      </c>
      <c r="AD671" s="181">
        <v>0.9085491486078781</v>
      </c>
      <c r="AE671" s="180">
        <v>2.7208349651385</v>
      </c>
    </row>
    <row r="672" ht="21.25" customHeight="1">
      <c r="A672" t="s" s="8">
        <v>806</v>
      </c>
      <c r="B672" t="s" s="177">
        <v>963</v>
      </c>
      <c r="C672" s="178">
        <v>34</v>
      </c>
      <c r="D672" t="s" s="177">
        <v>81</v>
      </c>
      <c r="E672" s="68"/>
      <c r="F672" s="179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68">
        <v>21</v>
      </c>
      <c r="Y672" s="180">
        <v>0.6079077789591421</v>
      </c>
      <c r="Z672" s="180">
        <v>0.267092221040858</v>
      </c>
      <c r="AA672" s="180">
        <v>0.125</v>
      </c>
      <c r="AB672" s="180">
        <v>0.0477946556841155</v>
      </c>
      <c r="AC672" s="179">
        <v>26.8329641619321</v>
      </c>
      <c r="AD672" s="181">
        <v>0.901891312565545</v>
      </c>
      <c r="AE672" s="180">
        <v>2.91891811931786</v>
      </c>
    </row>
    <row r="673" ht="21.25" customHeight="1">
      <c r="A673" t="s" s="8">
        <v>800</v>
      </c>
      <c r="B673" t="s" s="177">
        <v>963</v>
      </c>
      <c r="C673" s="178">
        <v>24</v>
      </c>
      <c r="D673" t="s" s="177">
        <v>81</v>
      </c>
      <c r="E673" s="68"/>
      <c r="F673" s="179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68">
        <v>20</v>
      </c>
      <c r="Y673" s="180">
        <v>0.598077146817258</v>
      </c>
      <c r="Z673" s="180">
        <v>0.276922853182742</v>
      </c>
      <c r="AA673" s="180">
        <v>0.125</v>
      </c>
      <c r="AB673" s="180">
        <v>0.0512265177893424</v>
      </c>
      <c r="AC673" s="179">
        <v>26.8778838229953</v>
      </c>
      <c r="AD673" s="181">
        <v>0.903401121613542</v>
      </c>
      <c r="AE673" s="180">
        <v>2.87399845825468</v>
      </c>
    </row>
    <row r="674" ht="21.25" customHeight="1">
      <c r="A674" t="s" s="8">
        <v>317</v>
      </c>
      <c r="B674" t="s" s="177">
        <v>954</v>
      </c>
      <c r="C674" s="178">
        <v>29</v>
      </c>
      <c r="D674" t="s" s="177">
        <v>81</v>
      </c>
      <c r="E674" s="68"/>
      <c r="F674" s="179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68">
        <v>48</v>
      </c>
      <c r="Y674" s="180">
        <v>0.394323849743195</v>
      </c>
      <c r="Z674" s="180">
        <v>0.480676150256805</v>
      </c>
      <c r="AA674" s="180">
        <v>0.125</v>
      </c>
      <c r="AB674" s="180">
        <v>0.0304434338349134</v>
      </c>
      <c r="AC674" s="179">
        <v>30.1661299283038</v>
      </c>
      <c r="AD674" s="181">
        <v>0.9055591557177211</v>
      </c>
      <c r="AE674" s="180">
        <v>3.14602835294616</v>
      </c>
    </row>
    <row r="675" ht="21.25" customHeight="1">
      <c r="A675" t="s" s="8">
        <v>749</v>
      </c>
      <c r="B675" t="s" s="177">
        <v>954</v>
      </c>
      <c r="C675" s="178">
        <v>24</v>
      </c>
      <c r="D675" t="s" s="177">
        <v>81</v>
      </c>
      <c r="E675" s="68"/>
      <c r="F675" s="179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68">
        <v>25</v>
      </c>
      <c r="Y675" s="180">
        <v>0.382682555925383</v>
      </c>
      <c r="Z675" s="180">
        <v>0.492317444074617</v>
      </c>
      <c r="AA675" s="180">
        <v>0.125</v>
      </c>
      <c r="AB675" s="180">
        <v>0.0240194341460889</v>
      </c>
      <c r="AC675" s="179">
        <v>30.0820461627433</v>
      </c>
      <c r="AD675" s="181">
        <v>0.903035039302008</v>
      </c>
      <c r="AE675" s="180">
        <v>3.23011211850669</v>
      </c>
    </row>
    <row r="676" ht="21.25" customHeight="1">
      <c r="A676" t="s" s="8">
        <v>261</v>
      </c>
      <c r="B676" t="s" s="177">
        <v>964</v>
      </c>
      <c r="C676" s="178">
        <v>33</v>
      </c>
      <c r="D676" t="s" s="177">
        <v>81</v>
      </c>
      <c r="E676" s="68"/>
      <c r="F676" s="179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68">
        <v>56</v>
      </c>
      <c r="Y676" s="180">
        <v>0.551581959427663</v>
      </c>
      <c r="Z676" s="180">
        <v>0.323418040572337</v>
      </c>
      <c r="AA676" s="180">
        <v>0.125</v>
      </c>
      <c r="AB676" s="180">
        <v>0.0626687483045838</v>
      </c>
      <c r="AC676" s="179">
        <v>26.9747922381163</v>
      </c>
      <c r="AD676" s="181">
        <v>0.908272032472744</v>
      </c>
      <c r="AE676" s="180">
        <v>2.72423104313372</v>
      </c>
    </row>
    <row r="677" ht="21.25" customHeight="1">
      <c r="A677" t="s" s="8">
        <v>852</v>
      </c>
      <c r="B677" t="s" s="177">
        <v>964</v>
      </c>
      <c r="C677" s="178">
        <v>26</v>
      </c>
      <c r="D677" t="s" s="177">
        <v>81</v>
      </c>
      <c r="E677" s="68"/>
      <c r="F677" s="179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68">
        <v>18</v>
      </c>
      <c r="Y677" s="180">
        <v>0.5022212016633</v>
      </c>
      <c r="Z677" s="180">
        <v>0.3727787983367</v>
      </c>
      <c r="AA677" s="180">
        <v>0.125</v>
      </c>
      <c r="AB677" s="180">
        <v>0.0472825918922928</v>
      </c>
      <c r="AC677" s="179">
        <v>26.773402756280</v>
      </c>
      <c r="AD677" s="181">
        <v>0.9014910188370731</v>
      </c>
      <c r="AE677" s="180">
        <v>2.92562052496999</v>
      </c>
    </row>
    <row r="678" ht="21.25" customHeight="1">
      <c r="A678" t="s" s="8">
        <v>880</v>
      </c>
      <c r="B678" t="s" s="177">
        <v>964</v>
      </c>
      <c r="C678" s="178">
        <v>22</v>
      </c>
      <c r="D678" t="s" s="177">
        <v>81</v>
      </c>
      <c r="E678" s="68"/>
      <c r="F678" s="179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68">
        <v>8</v>
      </c>
      <c r="Y678" s="180">
        <v>0.5283379965338439</v>
      </c>
      <c r="Z678" s="180">
        <v>0.346662003466156</v>
      </c>
      <c r="AA678" s="180">
        <v>0.125</v>
      </c>
      <c r="AB678" s="180">
        <v>0.0549675946791965</v>
      </c>
      <c r="AC678" s="179">
        <v>26.8739917979934</v>
      </c>
      <c r="AD678" s="181">
        <v>0.904877966642084</v>
      </c>
      <c r="AE678" s="180">
        <v>2.82503148325659</v>
      </c>
    </row>
    <row r="679" ht="21.25" customHeight="1">
      <c r="A679" t="s" s="8">
        <v>598</v>
      </c>
      <c r="B679" t="s" s="177">
        <v>960</v>
      </c>
      <c r="C679" s="178">
        <v>31</v>
      </c>
      <c r="D679" t="s" s="177">
        <v>81</v>
      </c>
      <c r="E679" s="68"/>
      <c r="F679" s="179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68">
        <v>38</v>
      </c>
      <c r="Y679" s="180">
        <v>0.365427949292772</v>
      </c>
      <c r="Z679" s="180">
        <v>0.509572050707228</v>
      </c>
      <c r="AA679" s="180">
        <v>0.125</v>
      </c>
      <c r="AB679" s="180">
        <v>0.0382278196898078</v>
      </c>
      <c r="AC679" s="179">
        <v>28.2408608955145</v>
      </c>
      <c r="AD679" s="181">
        <v>0.90269654639789</v>
      </c>
      <c r="AE679" s="180">
        <v>3.0441384857355</v>
      </c>
    </row>
    <row r="680" ht="21.25" customHeight="1">
      <c r="A680" t="s" s="8">
        <v>564</v>
      </c>
      <c r="B680" t="s" s="177">
        <v>960</v>
      </c>
      <c r="C680" s="178">
        <v>24</v>
      </c>
      <c r="D680" t="s" s="177">
        <v>81</v>
      </c>
      <c r="E680" s="68"/>
      <c r="F680" s="179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68">
        <v>37</v>
      </c>
      <c r="Y680" s="180">
        <v>0.358643820528766</v>
      </c>
      <c r="Z680" s="180">
        <v>0.516356179471234</v>
      </c>
      <c r="AA680" s="180">
        <v>0.125</v>
      </c>
      <c r="AB680" s="180">
        <v>0.0408711205469511</v>
      </c>
      <c r="AC680" s="179">
        <v>28.2754590742729</v>
      </c>
      <c r="AD680" s="181">
        <v>0.90380244952855</v>
      </c>
      <c r="AE680" s="180">
        <v>3.00954030697708</v>
      </c>
    </row>
    <row r="681" ht="21.25" customHeight="1">
      <c r="A681" t="s" s="8">
        <v>205</v>
      </c>
      <c r="B681" t="s" s="177">
        <v>941</v>
      </c>
      <c r="C681" s="178">
        <v>27</v>
      </c>
      <c r="D681" t="s" s="177">
        <v>81</v>
      </c>
      <c r="E681" s="68"/>
      <c r="F681" s="179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68">
        <v>56</v>
      </c>
      <c r="Y681" s="180">
        <v>0.58936893615368</v>
      </c>
      <c r="Z681" s="180">
        <v>0.28563106384632</v>
      </c>
      <c r="AA681" s="180">
        <v>0.125</v>
      </c>
      <c r="AB681" s="180">
        <v>0.0709658397144922</v>
      </c>
      <c r="AC681" s="179">
        <v>27.7865828110208</v>
      </c>
      <c r="AD681" s="181">
        <v>0.913965790758868</v>
      </c>
      <c r="AE681" s="180">
        <v>2.61563037022916</v>
      </c>
    </row>
    <row r="682" ht="21.25" customHeight="1">
      <c r="A682" t="s" s="8">
        <v>762</v>
      </c>
      <c r="B682" t="s" s="177">
        <v>941</v>
      </c>
      <c r="C682" s="178">
        <v>33</v>
      </c>
      <c r="D682" t="s" s="177">
        <v>81</v>
      </c>
      <c r="E682" s="68"/>
      <c r="F682" s="179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68">
        <v>24</v>
      </c>
      <c r="Y682" s="180">
        <v>0.551967048422304</v>
      </c>
      <c r="Z682" s="180">
        <v>0.323032951577696</v>
      </c>
      <c r="AA682" s="180">
        <v>0.125</v>
      </c>
      <c r="AB682" s="180">
        <v>0.0455357701315191</v>
      </c>
      <c r="AC682" s="179">
        <v>27.4537284971076</v>
      </c>
      <c r="AD682" s="181">
        <v>0.903017432758453</v>
      </c>
      <c r="AE682" s="180">
        <v>2.94848468414242</v>
      </c>
    </row>
    <row r="683" ht="21.25" customHeight="1">
      <c r="A683" t="s" s="8">
        <v>154</v>
      </c>
      <c r="B683" t="s" s="177">
        <v>948</v>
      </c>
      <c r="C683" s="178">
        <v>24</v>
      </c>
      <c r="D683" t="s" s="177">
        <v>81</v>
      </c>
      <c r="E683" s="68"/>
      <c r="F683" s="179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68">
        <v>62</v>
      </c>
      <c r="Y683" s="180">
        <v>0.598999151822493</v>
      </c>
      <c r="Z683" s="180">
        <v>0.276000848177507</v>
      </c>
      <c r="AA683" s="180">
        <v>0.125</v>
      </c>
      <c r="AB683" s="180">
        <v>0.0847442710646026</v>
      </c>
      <c r="AC683" s="179">
        <v>26.9890433711008</v>
      </c>
      <c r="AD683" s="181">
        <v>0.917235682383167</v>
      </c>
      <c r="AE683" s="180">
        <v>2.43528441014918</v>
      </c>
    </row>
    <row r="684" ht="21.25" customHeight="1">
      <c r="A684" t="s" s="8">
        <v>836</v>
      </c>
      <c r="B684" t="s" s="177">
        <v>948</v>
      </c>
      <c r="C684" s="178">
        <v>31</v>
      </c>
      <c r="D684" t="s" s="177">
        <v>81</v>
      </c>
      <c r="E684" s="68"/>
      <c r="F684" s="179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68">
        <v>18</v>
      </c>
      <c r="Y684" s="180">
        <v>0.557279702026654</v>
      </c>
      <c r="Z684" s="180">
        <v>0.317720297973346</v>
      </c>
      <c r="AA684" s="180">
        <v>0.125</v>
      </c>
      <c r="AB684" s="180">
        <v>0.0548203091585684</v>
      </c>
      <c r="AC684" s="179">
        <v>26.5973684770428</v>
      </c>
      <c r="AD684" s="181">
        <v>0.903924421817764</v>
      </c>
      <c r="AE684" s="180">
        <v>2.82695930420722</v>
      </c>
    </row>
    <row r="685" ht="21.25" customHeight="1">
      <c r="A685" t="s" s="8">
        <v>379</v>
      </c>
      <c r="B685" t="s" s="177">
        <v>969</v>
      </c>
      <c r="C685" s="178">
        <v>28</v>
      </c>
      <c r="D685" t="s" s="177">
        <v>81</v>
      </c>
      <c r="E685" s="68"/>
      <c r="F685" s="179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68">
        <v>44</v>
      </c>
      <c r="Y685" s="180">
        <v>0.461956074975467</v>
      </c>
      <c r="Z685" s="180">
        <v>0.413043925024533</v>
      </c>
      <c r="AA685" s="180">
        <v>0.125</v>
      </c>
      <c r="AB685" s="180">
        <v>0.0585642520021451</v>
      </c>
      <c r="AC685" s="179">
        <v>27.4383172645242</v>
      </c>
      <c r="AD685" s="181">
        <v>0.908064277113468</v>
      </c>
      <c r="AE685" s="180">
        <v>2.77795481672585</v>
      </c>
    </row>
    <row r="686" ht="21.25" customHeight="1">
      <c r="A686" t="s" s="8">
        <v>841</v>
      </c>
      <c r="B686" t="s" s="177">
        <v>969</v>
      </c>
      <c r="C686" s="178">
        <v>35</v>
      </c>
      <c r="D686" t="s" s="177">
        <v>81</v>
      </c>
      <c r="E686" s="68"/>
      <c r="F686" s="179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68">
        <v>20</v>
      </c>
      <c r="Y686" s="180">
        <v>0.449458565569857</v>
      </c>
      <c r="Z686" s="180">
        <v>0.425541434430143</v>
      </c>
      <c r="AA686" s="180">
        <v>0.125</v>
      </c>
      <c r="AB686" s="180">
        <v>0.0386886911283784</v>
      </c>
      <c r="AC686" s="179">
        <v>27.1781659441869</v>
      </c>
      <c r="AD686" s="181">
        <v>0.899454633950416</v>
      </c>
      <c r="AE686" s="180">
        <v>3.03810613706311</v>
      </c>
    </row>
    <row r="687" ht="21.25" customHeight="1">
      <c r="A687" t="s" s="8">
        <v>854</v>
      </c>
      <c r="B687" t="s" s="177">
        <v>969</v>
      </c>
      <c r="C687" s="178">
        <v>30</v>
      </c>
      <c r="D687" t="s" s="177">
        <v>81</v>
      </c>
      <c r="E687" s="68"/>
      <c r="F687" s="179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68">
        <v>18</v>
      </c>
      <c r="Y687" s="180">
        <v>0.445514265214162</v>
      </c>
      <c r="Z687" s="180">
        <v>0.429485734785838</v>
      </c>
      <c r="AA687" s="180">
        <v>0.125</v>
      </c>
      <c r="AB687" s="180">
        <v>0.0429473635574574</v>
      </c>
      <c r="AC687" s="179">
        <v>27.2339077299078</v>
      </c>
      <c r="AD687" s="181">
        <v>0.901299394467896</v>
      </c>
      <c r="AE687" s="180">
        <v>2.98236435134218</v>
      </c>
    </row>
    <row r="688" ht="21.25" customHeight="1">
      <c r="A688" t="s" s="8">
        <v>287</v>
      </c>
      <c r="B688" t="s" s="177">
        <v>939</v>
      </c>
      <c r="C688" s="178">
        <v>24</v>
      </c>
      <c r="D688" t="s" s="177">
        <v>81</v>
      </c>
      <c r="E688" s="68"/>
      <c r="F688" s="179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68">
        <v>48</v>
      </c>
      <c r="Y688" s="180">
        <v>0.620547673692974</v>
      </c>
      <c r="Z688" s="180">
        <v>0.254452326307026</v>
      </c>
      <c r="AA688" s="180">
        <v>0.125</v>
      </c>
      <c r="AB688" s="180">
        <v>0.06500201902223091</v>
      </c>
      <c r="AC688" s="179">
        <v>28.0018774307556</v>
      </c>
      <c r="AD688" s="181">
        <v>0.912244959082912</v>
      </c>
      <c r="AE688" s="180">
        <v>2.69369085049436</v>
      </c>
    </row>
    <row r="689" ht="21.25" customHeight="1">
      <c r="A689" t="s" s="8">
        <v>599</v>
      </c>
      <c r="B689" t="s" s="177">
        <v>939</v>
      </c>
      <c r="C689" s="178">
        <v>31</v>
      </c>
      <c r="D689" t="s" s="177">
        <v>81</v>
      </c>
      <c r="E689" s="68"/>
      <c r="F689" s="179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68">
        <v>32</v>
      </c>
      <c r="Y689" s="180">
        <v>0.584214091455298</v>
      </c>
      <c r="Z689" s="180">
        <v>0.290785908544702</v>
      </c>
      <c r="AA689" s="180">
        <v>0.125</v>
      </c>
      <c r="AB689" s="180">
        <v>0.0460910738140366</v>
      </c>
      <c r="AC689" s="179">
        <v>27.7543519699154</v>
      </c>
      <c r="AD689" s="181">
        <v>0.904181076421667</v>
      </c>
      <c r="AE689" s="180">
        <v>2.9412163113346</v>
      </c>
    </row>
    <row r="690" ht="21.25" customHeight="1">
      <c r="A690" t="s" s="8">
        <v>280</v>
      </c>
      <c r="B690" t="s" s="177">
        <v>943</v>
      </c>
      <c r="C690" s="178">
        <v>34</v>
      </c>
      <c r="D690" t="s" s="177">
        <v>81</v>
      </c>
      <c r="E690" s="68"/>
      <c r="F690" s="179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68">
        <v>52</v>
      </c>
      <c r="Y690" s="180">
        <v>0.582400703170605</v>
      </c>
      <c r="Z690" s="180">
        <v>0.292599296829395</v>
      </c>
      <c r="AA690" s="180">
        <v>0.125</v>
      </c>
      <c r="AB690" s="180">
        <v>0.0469695299947213</v>
      </c>
      <c r="AC690" s="179">
        <v>28.6675327874636</v>
      </c>
      <c r="AD690" s="181">
        <v>0.9072793327645849</v>
      </c>
      <c r="AE690" s="180">
        <v>2.92971819378637</v>
      </c>
    </row>
    <row r="691" ht="21.25" customHeight="1">
      <c r="A691" t="s" s="8">
        <v>866</v>
      </c>
      <c r="B691" t="s" s="177">
        <v>943</v>
      </c>
      <c r="C691" s="178">
        <v>29</v>
      </c>
      <c r="D691" t="s" s="177">
        <v>81</v>
      </c>
      <c r="E691" s="68"/>
      <c r="F691" s="179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68">
        <v>15</v>
      </c>
      <c r="Y691" s="180">
        <v>0.547756421300866</v>
      </c>
      <c r="Z691" s="180">
        <v>0.327243578699134</v>
      </c>
      <c r="AA691" s="180">
        <v>0.125</v>
      </c>
      <c r="AB691" s="180">
        <v>0.0370891343634493</v>
      </c>
      <c r="AC691" s="179">
        <v>28.5382082373161</v>
      </c>
      <c r="AD691" s="181">
        <v>0.903186427650014</v>
      </c>
      <c r="AE691" s="180">
        <v>3.05904274393391</v>
      </c>
    </row>
    <row r="692" ht="21.25" customHeight="1">
      <c r="A692" t="s" s="8">
        <v>868</v>
      </c>
      <c r="B692" t="s" s="177">
        <v>943</v>
      </c>
      <c r="C692" s="178">
        <v>22</v>
      </c>
      <c r="D692" t="s" s="177">
        <v>81</v>
      </c>
      <c r="E692" s="68"/>
      <c r="F692" s="179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68">
        <v>15</v>
      </c>
      <c r="Y692" s="180">
        <v>0.539492371837476</v>
      </c>
      <c r="Z692" s="180">
        <v>0.335507628162524</v>
      </c>
      <c r="AA692" s="180">
        <v>0.125</v>
      </c>
      <c r="AB692" s="180">
        <v>0.0347028817485206</v>
      </c>
      <c r="AC692" s="179">
        <v>28.5069745643458</v>
      </c>
      <c r="AD692" s="181">
        <v>0.902197934284284</v>
      </c>
      <c r="AE692" s="180">
        <v>3.09027641690418</v>
      </c>
    </row>
    <row r="693" ht="21.25" customHeight="1">
      <c r="A693" t="s" s="8">
        <v>423</v>
      </c>
      <c r="B693" t="s" s="177">
        <v>962</v>
      </c>
      <c r="C693" s="178">
        <v>31</v>
      </c>
      <c r="D693" t="s" s="177">
        <v>81</v>
      </c>
      <c r="E693" s="68"/>
      <c r="F693" s="179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68">
        <v>42</v>
      </c>
      <c r="Y693" s="180">
        <v>0.535080937380732</v>
      </c>
      <c r="Z693" s="180">
        <v>0.339919062619268</v>
      </c>
      <c r="AA693" s="180">
        <v>0.125</v>
      </c>
      <c r="AB693" s="180">
        <v>0.0514592081507555</v>
      </c>
      <c r="AC693" s="179">
        <v>27.2141379083541</v>
      </c>
      <c r="AD693" s="181">
        <v>0.9045722413366321</v>
      </c>
      <c r="AE693" s="180">
        <v>2.87095277289587</v>
      </c>
    </row>
    <row r="694" ht="21.25" customHeight="1">
      <c r="A694" t="s" s="8">
        <v>623</v>
      </c>
      <c r="B694" t="s" s="177">
        <v>962</v>
      </c>
      <c r="C694" s="178">
        <v>36</v>
      </c>
      <c r="D694" t="s" s="177">
        <v>81</v>
      </c>
      <c r="E694" s="68"/>
      <c r="F694" s="179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68">
        <v>34</v>
      </c>
      <c r="Y694" s="180">
        <v>0.524008535984991</v>
      </c>
      <c r="Z694" s="180">
        <v>0.350991464015009</v>
      </c>
      <c r="AA694" s="180">
        <v>0.125</v>
      </c>
      <c r="AB694" s="180">
        <v>0.0412946823344573</v>
      </c>
      <c r="AC694" s="179">
        <v>27.0810943767272</v>
      </c>
      <c r="AD694" s="181">
        <v>0.90015</v>
      </c>
      <c r="AE694" s="180">
        <v>3.00399630452281</v>
      </c>
    </row>
    <row r="695" ht="21.25" customHeight="1">
      <c r="A695" t="s" s="8">
        <v>213</v>
      </c>
      <c r="B695" t="s" s="177">
        <v>946</v>
      </c>
      <c r="C695" s="178">
        <v>25</v>
      </c>
      <c r="D695" t="s" s="177">
        <v>81</v>
      </c>
      <c r="E695" s="68"/>
      <c r="F695" s="179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68">
        <v>52</v>
      </c>
      <c r="Y695" s="180">
        <v>0.5487411831564279</v>
      </c>
      <c r="Z695" s="180">
        <v>0.326258816843572</v>
      </c>
      <c r="AA695" s="180">
        <v>0.125</v>
      </c>
      <c r="AB695" s="180">
        <v>0.0623733156852269</v>
      </c>
      <c r="AC695" s="179">
        <v>29.3133802190148</v>
      </c>
      <c r="AD695" s="181">
        <v>0.914857300065773</v>
      </c>
      <c r="AE695" s="180">
        <v>2.72809796223525</v>
      </c>
    </row>
    <row r="696" ht="21.25" customHeight="1">
      <c r="A696" t="s" s="8">
        <v>669</v>
      </c>
      <c r="B696" t="s" s="177">
        <v>946</v>
      </c>
      <c r="C696" s="178">
        <v>38</v>
      </c>
      <c r="D696" t="s" s="177">
        <v>81</v>
      </c>
      <c r="E696" s="68"/>
      <c r="F696" s="179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68">
        <v>28</v>
      </c>
      <c r="Y696" s="180">
        <v>0.51359436711311</v>
      </c>
      <c r="Z696" s="180">
        <v>0.36140563288689</v>
      </c>
      <c r="AA696" s="180">
        <v>0.125</v>
      </c>
      <c r="AB696" s="180">
        <v>0.0371724820954253</v>
      </c>
      <c r="AC696" s="179">
        <v>28.9835263762163</v>
      </c>
      <c r="AD696" s="181">
        <v>0.904562711253966</v>
      </c>
      <c r="AE696" s="180">
        <v>3.0579518050337</v>
      </c>
    </row>
    <row r="697" ht="21.25" customHeight="1">
      <c r="A697" t="s" s="8">
        <v>603</v>
      </c>
      <c r="B697" t="s" s="177">
        <v>973</v>
      </c>
      <c r="C697" s="178">
        <v>33</v>
      </c>
      <c r="D697" t="s" s="177">
        <v>81</v>
      </c>
      <c r="E697" s="68"/>
      <c r="F697" s="179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68">
        <v>36</v>
      </c>
      <c r="Y697" s="180">
        <v>0.367446470477043</v>
      </c>
      <c r="Z697" s="180">
        <v>0.507553529522957</v>
      </c>
      <c r="AA697" s="180">
        <v>0.125</v>
      </c>
      <c r="AB697" s="180">
        <v>0.0344303857410602</v>
      </c>
      <c r="AC697" s="179">
        <v>28.4649938626775</v>
      </c>
      <c r="AD697" s="181">
        <v>0.901965870275554</v>
      </c>
      <c r="AE697" s="180">
        <v>3.09384311857251</v>
      </c>
    </row>
    <row r="698" ht="21.25" customHeight="1">
      <c r="A698" t="s" s="8">
        <v>637</v>
      </c>
      <c r="B698" t="s" s="177">
        <v>973</v>
      </c>
      <c r="C698" s="178">
        <v>26</v>
      </c>
      <c r="D698" t="s" s="177">
        <v>81</v>
      </c>
      <c r="E698" s="68"/>
      <c r="F698" s="179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68">
        <v>32</v>
      </c>
      <c r="Y698" s="180">
        <v>0.366563085928246</v>
      </c>
      <c r="Z698" s="180">
        <v>0.508436914071754</v>
      </c>
      <c r="AA698" s="180">
        <v>0.125</v>
      </c>
      <c r="AB698" s="180">
        <v>0.040439225376298</v>
      </c>
      <c r="AC698" s="179">
        <v>28.543643596123</v>
      </c>
      <c r="AD698" s="181">
        <v>0.904458032248831</v>
      </c>
      <c r="AE698" s="180">
        <v>3.01519338512699</v>
      </c>
    </row>
    <row r="699" ht="21.25" customHeight="1">
      <c r="A699" t="s" s="8">
        <v>877</v>
      </c>
      <c r="B699" t="s" s="177">
        <v>973</v>
      </c>
      <c r="C699" s="178">
        <v>32</v>
      </c>
      <c r="D699" t="s" s="177">
        <v>81</v>
      </c>
      <c r="E699" s="68"/>
      <c r="F699" s="179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68">
        <v>14</v>
      </c>
      <c r="Y699" s="180">
        <v>0.358064084737374</v>
      </c>
      <c r="Z699" s="180">
        <v>0.5169359152626259</v>
      </c>
      <c r="AA699" s="180">
        <v>0.125</v>
      </c>
      <c r="AB699" s="180">
        <v>0.0301293498637505</v>
      </c>
      <c r="AC699" s="179">
        <v>28.4086975815609</v>
      </c>
      <c r="AD699" s="181">
        <v>0.9001820186985749</v>
      </c>
      <c r="AE699" s="180">
        <v>3.15013939968913</v>
      </c>
    </row>
    <row r="700" ht="21.25" customHeight="1">
      <c r="A700" t="s" s="8">
        <v>320</v>
      </c>
      <c r="B700" t="s" s="177">
        <v>947</v>
      </c>
      <c r="C700" s="178">
        <v>27</v>
      </c>
      <c r="D700" t="s" s="177">
        <v>81</v>
      </c>
      <c r="E700" s="68"/>
      <c r="F700" s="179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68">
        <v>46</v>
      </c>
      <c r="Y700" s="180">
        <v>0.589340429028673</v>
      </c>
      <c r="Z700" s="180">
        <v>0.285659570971327</v>
      </c>
      <c r="AA700" s="180">
        <v>0.125</v>
      </c>
      <c r="AB700" s="180">
        <v>0.065915684878637</v>
      </c>
      <c r="AC700" s="179">
        <v>27.2420232079337</v>
      </c>
      <c r="AD700" s="181">
        <v>0.910381171546327</v>
      </c>
      <c r="AE700" s="180">
        <v>2.68173187331627</v>
      </c>
    </row>
    <row r="701" ht="21.25" customHeight="1">
      <c r="A701" t="s" s="8">
        <v>566</v>
      </c>
      <c r="B701" t="s" s="177">
        <v>947</v>
      </c>
      <c r="C701" s="178">
        <v>23</v>
      </c>
      <c r="D701" t="s" s="177">
        <v>81</v>
      </c>
      <c r="E701" s="68"/>
      <c r="F701" s="179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68">
        <v>32</v>
      </c>
      <c r="Y701" s="180">
        <v>0.56348132253938</v>
      </c>
      <c r="Z701" s="180">
        <v>0.31151867746062</v>
      </c>
      <c r="AA701" s="180">
        <v>0.125</v>
      </c>
      <c r="AB701" s="180">
        <v>0.0550654776532086</v>
      </c>
      <c r="AC701" s="179">
        <v>27.1000047887527</v>
      </c>
      <c r="AD701" s="181">
        <v>0.9056351622705729</v>
      </c>
      <c r="AE701" s="180">
        <v>2.82375029249727</v>
      </c>
    </row>
    <row r="702" ht="21.25" customHeight="1">
      <c r="A702" t="s" s="8">
        <v>174</v>
      </c>
      <c r="B702" t="s" s="177">
        <v>968</v>
      </c>
      <c r="C702" s="178">
        <v>28</v>
      </c>
      <c r="D702" t="s" s="177">
        <v>81</v>
      </c>
      <c r="E702" s="68"/>
      <c r="F702" s="179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68">
        <v>60</v>
      </c>
      <c r="Y702" s="180">
        <v>0.497225242859837</v>
      </c>
      <c r="Z702" s="180">
        <v>0.377774757140163</v>
      </c>
      <c r="AA702" s="180">
        <v>0.125</v>
      </c>
      <c r="AB702" s="180">
        <v>0.0729935925166522</v>
      </c>
      <c r="AC702" s="179">
        <v>29.0572237780648</v>
      </c>
      <c r="AD702" s="181">
        <v>0.918186705892073</v>
      </c>
      <c r="AE702" s="180">
        <v>2.58908910318518</v>
      </c>
    </row>
    <row r="703" ht="21.25" customHeight="1">
      <c r="A703" t="s" s="8">
        <v>867</v>
      </c>
      <c r="B703" t="s" s="177">
        <v>968</v>
      </c>
      <c r="C703" s="178">
        <v>28</v>
      </c>
      <c r="D703" t="s" s="177">
        <v>81</v>
      </c>
      <c r="E703" s="68"/>
      <c r="F703" s="179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68">
        <v>16</v>
      </c>
      <c r="Y703" s="180">
        <v>0.416251229585456</v>
      </c>
      <c r="Z703" s="180">
        <v>0.458748770414544</v>
      </c>
      <c r="AA703" s="180">
        <v>0.125</v>
      </c>
      <c r="AB703" s="180">
        <v>0.0333636651171856</v>
      </c>
      <c r="AC703" s="179">
        <v>28.5385074508467</v>
      </c>
      <c r="AD703" s="181">
        <v>0.901795654929372</v>
      </c>
      <c r="AE703" s="180">
        <v>3.10780543040333</v>
      </c>
    </row>
    <row r="704" ht="21.25" customHeight="1">
      <c r="A704" t="s" s="8">
        <v>148</v>
      </c>
      <c r="B704" t="s" s="177">
        <v>971</v>
      </c>
      <c r="C704" s="178">
        <v>28</v>
      </c>
      <c r="D704" t="s" s="177">
        <v>81</v>
      </c>
      <c r="E704" s="68"/>
      <c r="F704" s="179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68">
        <v>60</v>
      </c>
      <c r="Y704" s="180">
        <v>0.523826711786732</v>
      </c>
      <c r="Z704" s="180">
        <v>0.351173288213268</v>
      </c>
      <c r="AA704" s="180">
        <v>0.125</v>
      </c>
      <c r="AB704" s="180">
        <v>0.0840038092096797</v>
      </c>
      <c r="AC704" s="179">
        <v>28.251123262005</v>
      </c>
      <c r="AD704" s="181">
        <v>0.920348957926287</v>
      </c>
      <c r="AE704" s="180">
        <v>2.44497631924503</v>
      </c>
    </row>
    <row r="705" ht="21.25" customHeight="1">
      <c r="A705" t="s" s="8">
        <v>818</v>
      </c>
      <c r="B705" t="s" s="177">
        <v>971</v>
      </c>
      <c r="C705" s="178">
        <v>35</v>
      </c>
      <c r="D705" t="s" s="177">
        <v>81</v>
      </c>
      <c r="E705" s="68"/>
      <c r="F705" s="179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68">
        <v>20</v>
      </c>
      <c r="Y705" s="180">
        <v>0.45593705179378</v>
      </c>
      <c r="Z705" s="180">
        <v>0.41906294820622</v>
      </c>
      <c r="AA705" s="180">
        <v>0.125</v>
      </c>
      <c r="AB705" s="180">
        <v>0.0442113304526765</v>
      </c>
      <c r="AC705" s="179">
        <v>27.730279299217</v>
      </c>
      <c r="AD705" s="181">
        <v>0.903381200787978</v>
      </c>
      <c r="AE705" s="180">
        <v>2.96582028203303</v>
      </c>
    </row>
    <row r="706" ht="21.25" customHeight="1">
      <c r="A706" t="s" s="8">
        <v>153</v>
      </c>
      <c r="B706" t="s" s="177">
        <v>950</v>
      </c>
      <c r="C706" s="178">
        <v>27</v>
      </c>
      <c r="D706" t="s" s="177">
        <v>81</v>
      </c>
      <c r="E706" s="68"/>
      <c r="F706" s="179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68">
        <v>56</v>
      </c>
      <c r="Y706" s="180">
        <v>0.615259142079141</v>
      </c>
      <c r="Z706" s="180">
        <v>0.259740857920859</v>
      </c>
      <c r="AA706" s="180">
        <v>0.125</v>
      </c>
      <c r="AB706" s="180">
        <v>0.083247149902355</v>
      </c>
      <c r="AC706" s="179">
        <v>28.1634864443698</v>
      </c>
      <c r="AD706" s="181">
        <v>0.919823279195899</v>
      </c>
      <c r="AE706" s="180">
        <v>2.45488023688017</v>
      </c>
    </row>
    <row r="707" ht="21.25" customHeight="1">
      <c r="A707" t="s" s="8">
        <v>794</v>
      </c>
      <c r="B707" t="s" s="177">
        <v>950</v>
      </c>
      <c r="C707" s="178">
        <v>37</v>
      </c>
      <c r="D707" t="s" s="177">
        <v>81</v>
      </c>
      <c r="E707" s="68"/>
      <c r="F707" s="179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68">
        <v>24</v>
      </c>
      <c r="Y707" s="180">
        <v>0.545279668067129</v>
      </c>
      <c r="Z707" s="180">
        <v>0.329720331932871</v>
      </c>
      <c r="AA707" s="180">
        <v>0.125</v>
      </c>
      <c r="AB707" s="180">
        <v>0.0310827937478888</v>
      </c>
      <c r="AC707" s="179">
        <v>27.4807069135522</v>
      </c>
      <c r="AD707" s="181">
        <v>0.89752360730531</v>
      </c>
      <c r="AE707" s="180">
        <v>3.13765976769779</v>
      </c>
    </row>
    <row r="708" ht="21.25" customHeight="1">
      <c r="A708" t="s" s="8">
        <v>363</v>
      </c>
      <c r="B708" t="s" s="177">
        <v>958</v>
      </c>
      <c r="C708" s="178">
        <v>29</v>
      </c>
      <c r="D708" t="s" s="177">
        <v>81</v>
      </c>
      <c r="E708" s="68"/>
      <c r="F708" s="179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68">
        <v>44</v>
      </c>
      <c r="Y708" s="180">
        <v>0.523279273699672</v>
      </c>
      <c r="Z708" s="180">
        <v>0.351720726300328</v>
      </c>
      <c r="AA708" s="180">
        <v>0.125</v>
      </c>
      <c r="AB708" s="180">
        <v>0.0527968407074824</v>
      </c>
      <c r="AC708" s="179">
        <v>27.8344367878924</v>
      </c>
      <c r="AD708" s="181">
        <v>0.907017220667463</v>
      </c>
      <c r="AE708" s="180">
        <v>2.85344449335756</v>
      </c>
    </row>
    <row r="709" ht="21.25" customHeight="1">
      <c r="A709" t="s" s="8">
        <v>525</v>
      </c>
      <c r="B709" t="s" s="177">
        <v>958</v>
      </c>
      <c r="C709" s="178">
        <v>30</v>
      </c>
      <c r="D709" t="s" s="177">
        <v>81</v>
      </c>
      <c r="E709" s="68"/>
      <c r="F709" s="179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68">
        <v>34</v>
      </c>
      <c r="Y709" s="180">
        <v>0.526839528932167</v>
      </c>
      <c r="Z709" s="180">
        <v>0.348160471067833</v>
      </c>
      <c r="AA709" s="180">
        <v>0.125</v>
      </c>
      <c r="AB709" s="180">
        <v>0.0547004950095035</v>
      </c>
      <c r="AC709" s="179">
        <v>27.8593537290184</v>
      </c>
      <c r="AD709" s="181">
        <v>0.907829167927607</v>
      </c>
      <c r="AE709" s="180">
        <v>2.82852755223163</v>
      </c>
    </row>
    <row r="710" ht="21.25" customHeight="1">
      <c r="A710" t="s" s="8">
        <v>341</v>
      </c>
      <c r="B710" t="s" s="177">
        <v>970</v>
      </c>
      <c r="C710" s="178">
        <v>25</v>
      </c>
      <c r="D710" t="s" s="177">
        <v>81</v>
      </c>
      <c r="E710" s="68"/>
      <c r="F710" s="179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68">
        <v>48</v>
      </c>
      <c r="Y710" s="180">
        <v>0.395854877851809</v>
      </c>
      <c r="Z710" s="180">
        <v>0.479145122148191</v>
      </c>
      <c r="AA710" s="180">
        <v>0.125</v>
      </c>
      <c r="AB710" s="180">
        <v>0.0543703485657045</v>
      </c>
      <c r="AC710" s="179">
        <v>28.821070640487</v>
      </c>
      <c r="AD710" s="181">
        <v>0.910505590233745</v>
      </c>
      <c r="AE710" s="180">
        <v>2.83284884076303</v>
      </c>
    </row>
    <row r="711" ht="21.25" customHeight="1">
      <c r="A711" t="s" s="8">
        <v>798</v>
      </c>
      <c r="B711" t="s" s="177">
        <v>970</v>
      </c>
      <c r="C711" s="178">
        <v>28</v>
      </c>
      <c r="D711" t="s" s="177">
        <v>81</v>
      </c>
      <c r="E711" s="68"/>
      <c r="F711" s="179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68">
        <v>24</v>
      </c>
      <c r="Y711" s="180">
        <v>0.358370487806852</v>
      </c>
      <c r="Z711" s="180">
        <v>0.516629512193148</v>
      </c>
      <c r="AA711" s="180">
        <v>0.125</v>
      </c>
      <c r="AB711" s="180">
        <v>0.0308618392862768</v>
      </c>
      <c r="AC711" s="179">
        <v>28.5133676394473</v>
      </c>
      <c r="AD711" s="181">
        <v>0.900784740301657</v>
      </c>
      <c r="AE711" s="180">
        <v>3.14055184180266</v>
      </c>
    </row>
    <row r="712" ht="21.25" customHeight="1">
      <c r="A712" t="s" s="8">
        <v>879</v>
      </c>
      <c r="B712" t="s" s="177">
        <v>970</v>
      </c>
      <c r="C712" s="178">
        <v>26</v>
      </c>
      <c r="D712" t="s" s="177">
        <v>81</v>
      </c>
      <c r="E712" s="68"/>
      <c r="F712" s="179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68">
        <v>10</v>
      </c>
      <c r="Y712" s="180">
        <v>0.34446584467287</v>
      </c>
      <c r="Z712" s="180">
        <v>0.53053415532713</v>
      </c>
      <c r="AA712" s="180">
        <v>0.125</v>
      </c>
      <c r="AB712" s="180">
        <v>0.0237023690623504</v>
      </c>
      <c r="AC712" s="179">
        <v>28.4196572962022</v>
      </c>
      <c r="AD712" s="181">
        <v>0.89782427459059</v>
      </c>
      <c r="AE712" s="180">
        <v>3.23426218504777</v>
      </c>
    </row>
    <row r="713" ht="21.25" customHeight="1">
      <c r="A713" t="s" s="8">
        <v>219</v>
      </c>
      <c r="B713" t="s" s="177">
        <v>953</v>
      </c>
      <c r="C713" s="178">
        <v>28</v>
      </c>
      <c r="D713" t="s" s="177">
        <v>81</v>
      </c>
      <c r="E713" s="68"/>
      <c r="F713" s="179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68">
        <v>54</v>
      </c>
      <c r="Y713" s="180">
        <v>0.542656360466221</v>
      </c>
      <c r="Z713" s="180">
        <v>0.332343639533779</v>
      </c>
      <c r="AA713" s="180">
        <v>0.125</v>
      </c>
      <c r="AB713" s="180">
        <v>0.0702991653755268</v>
      </c>
      <c r="AC713" s="179">
        <v>28.0559182071077</v>
      </c>
      <c r="AD713" s="181">
        <v>0.9144611154428099</v>
      </c>
      <c r="AE713" s="180">
        <v>2.62435647414232</v>
      </c>
    </row>
    <row r="714" ht="21.25" customHeight="1">
      <c r="A714" t="s" s="8">
        <v>758</v>
      </c>
      <c r="B714" t="s" s="177">
        <v>953</v>
      </c>
      <c r="C714" s="178">
        <v>27</v>
      </c>
      <c r="D714" t="s" s="177">
        <v>81</v>
      </c>
      <c r="E714" s="68"/>
      <c r="F714" s="179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68">
        <v>24</v>
      </c>
      <c r="Y714" s="180">
        <v>0.509148683781509</v>
      </c>
      <c r="Z714" s="180">
        <v>0.365851316218491</v>
      </c>
      <c r="AA714" s="180">
        <v>0.125</v>
      </c>
      <c r="AB714" s="180">
        <v>0.0460928611711534</v>
      </c>
      <c r="AC714" s="179">
        <v>27.7390817646421</v>
      </c>
      <c r="AD714" s="181">
        <v>0.9041340748358609</v>
      </c>
      <c r="AE714" s="180">
        <v>2.94119291660794</v>
      </c>
    </row>
    <row r="715" ht="21.25" customHeight="1">
      <c r="A715" t="s" s="8">
        <v>359</v>
      </c>
      <c r="B715" t="s" s="177">
        <v>972</v>
      </c>
      <c r="C715" s="178">
        <v>31</v>
      </c>
      <c r="D715" t="s" s="177">
        <v>81</v>
      </c>
      <c r="E715" s="68"/>
      <c r="F715" s="179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68">
        <v>47</v>
      </c>
      <c r="Y715" s="180">
        <v>0.49573394667614</v>
      </c>
      <c r="Z715" s="180">
        <v>0.37926605332386</v>
      </c>
      <c r="AA715" s="180">
        <v>0.125</v>
      </c>
      <c r="AB715" s="180">
        <v>0.0534079116387404</v>
      </c>
      <c r="AC715" s="179">
        <v>26.475278298511</v>
      </c>
      <c r="AD715" s="181">
        <v>0.902954438095191</v>
      </c>
      <c r="AE715" s="180">
        <v>2.845446182739</v>
      </c>
    </row>
    <row r="716" ht="21.25" customHeight="1">
      <c r="A716" t="s" s="8">
        <v>842</v>
      </c>
      <c r="B716" t="s" s="177">
        <v>972</v>
      </c>
      <c r="C716" s="178">
        <v>27</v>
      </c>
      <c r="D716" t="s" s="177">
        <v>81</v>
      </c>
      <c r="E716" s="68"/>
      <c r="F716" s="179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68">
        <v>20</v>
      </c>
      <c r="Y716" s="180">
        <v>0.471412956412024</v>
      </c>
      <c r="Z716" s="180">
        <v>0.403587043587976</v>
      </c>
      <c r="AA716" s="180">
        <v>0.125</v>
      </c>
      <c r="AB716" s="180">
        <v>0.0465382895138193</v>
      </c>
      <c r="AC716" s="179">
        <v>26.3853617785513</v>
      </c>
      <c r="AD716" s="181">
        <v>0.899887783994703</v>
      </c>
      <c r="AE716" s="180">
        <v>2.9353627026987</v>
      </c>
    </row>
    <row r="717" ht="21.25" customHeight="1">
      <c r="A717" t="s" s="8">
        <v>875</v>
      </c>
      <c r="B717" t="s" s="177">
        <v>972</v>
      </c>
      <c r="C717" s="178">
        <v>29</v>
      </c>
      <c r="D717" t="s" s="177">
        <v>81</v>
      </c>
      <c r="E717" s="68"/>
      <c r="F717" s="179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68">
        <v>15</v>
      </c>
      <c r="Y717" s="180">
        <v>0.477526820634889</v>
      </c>
      <c r="Z717" s="180">
        <v>0.397473179365111</v>
      </c>
      <c r="AA717" s="180">
        <v>0.125</v>
      </c>
      <c r="AB717" s="180">
        <v>0.0485803844124429</v>
      </c>
      <c r="AC717" s="179">
        <v>26.412090769371</v>
      </c>
      <c r="AD717" s="181">
        <v>0.900799391442765</v>
      </c>
      <c r="AE717" s="180">
        <v>2.90863371187902</v>
      </c>
    </row>
    <row r="718" ht="21.25" customHeight="1">
      <c r="A718" t="s" s="8">
        <v>444</v>
      </c>
      <c r="B718" t="s" s="177">
        <v>965</v>
      </c>
      <c r="C718" s="178">
        <v>27</v>
      </c>
      <c r="D718" t="s" s="177">
        <v>81</v>
      </c>
      <c r="E718" s="68"/>
      <c r="F718" s="179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68">
        <v>44</v>
      </c>
      <c r="Y718" s="180">
        <v>0.344906155064467</v>
      </c>
      <c r="Z718" s="180">
        <v>0.530093844935533</v>
      </c>
      <c r="AA718" s="180">
        <v>0.125</v>
      </c>
      <c r="AB718" s="180">
        <v>0.0339988705087371</v>
      </c>
      <c r="AC718" s="179">
        <v>29.5052532575424</v>
      </c>
      <c r="AD718" s="181">
        <v>0.904937417145224</v>
      </c>
      <c r="AE718" s="180">
        <v>3.09949122370763</v>
      </c>
    </row>
    <row r="719" ht="21.25" customHeight="1">
      <c r="A719" t="s" s="8">
        <v>679</v>
      </c>
      <c r="B719" t="s" s="177">
        <v>965</v>
      </c>
      <c r="C719" s="178">
        <v>26</v>
      </c>
      <c r="D719" t="s" s="177">
        <v>81</v>
      </c>
      <c r="E719" s="68"/>
      <c r="F719" s="179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68">
        <v>30</v>
      </c>
      <c r="Y719" s="180">
        <v>0.339625279698432</v>
      </c>
      <c r="Z719" s="180">
        <v>0.535374720301568</v>
      </c>
      <c r="AA719" s="180">
        <v>0.125</v>
      </c>
      <c r="AB719" s="180">
        <v>0.0306574515131003</v>
      </c>
      <c r="AC719" s="179">
        <v>29.4615174068141</v>
      </c>
      <c r="AD719" s="181">
        <v>0.903596021853708</v>
      </c>
      <c r="AE719" s="180">
        <v>3.14322707443586</v>
      </c>
    </row>
    <row r="720" ht="21.25" customHeight="1">
      <c r="A720" t="s" s="8">
        <v>271</v>
      </c>
      <c r="B720" t="s" s="177">
        <v>955</v>
      </c>
      <c r="C720" s="178">
        <v>30</v>
      </c>
      <c r="D720" t="s" s="177">
        <v>81</v>
      </c>
      <c r="E720" s="68"/>
      <c r="F720" s="179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68">
        <v>60</v>
      </c>
      <c r="Y720" s="180">
        <v>0.434133880783909</v>
      </c>
      <c r="Z720" s="180">
        <v>0.440866119216091</v>
      </c>
      <c r="AA720" s="180">
        <v>0.125</v>
      </c>
      <c r="AB720" s="180">
        <v>0.0468004441310202</v>
      </c>
      <c r="AC720" s="179">
        <v>28.5242165217084</v>
      </c>
      <c r="AD720" s="181">
        <v>0.906793057731991</v>
      </c>
      <c r="AE720" s="180">
        <v>2.93193135954162</v>
      </c>
    </row>
    <row r="721" ht="21.25" customHeight="1">
      <c r="A721" t="s" s="8">
        <v>834</v>
      </c>
      <c r="B721" t="s" s="177">
        <v>955</v>
      </c>
      <c r="C721" s="178">
        <v>23</v>
      </c>
      <c r="D721" t="s" s="177">
        <v>81</v>
      </c>
      <c r="E721" s="68"/>
      <c r="F721" s="179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68">
        <v>20</v>
      </c>
      <c r="Y721" s="180">
        <v>0.399892841791562</v>
      </c>
      <c r="Z721" s="180">
        <v>0.475107158208438</v>
      </c>
      <c r="AA721" s="180">
        <v>0.125</v>
      </c>
      <c r="AB721" s="180">
        <v>0.032844710243999</v>
      </c>
      <c r="AC721" s="179">
        <v>28.3415498477945</v>
      </c>
      <c r="AD721" s="181">
        <v>0.90098603156326</v>
      </c>
      <c r="AE721" s="180">
        <v>3.11459803345551</v>
      </c>
    </row>
    <row r="722" ht="21.25" customHeight="1">
      <c r="A722" t="s" s="8">
        <v>145</v>
      </c>
      <c r="B722" t="s" s="177">
        <v>942</v>
      </c>
      <c r="C722" s="178">
        <v>29</v>
      </c>
      <c r="D722" t="s" s="177">
        <v>81</v>
      </c>
      <c r="E722" s="68"/>
      <c r="F722" s="179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68">
        <v>62</v>
      </c>
      <c r="Y722" s="180">
        <v>0.569180897031917</v>
      </c>
      <c r="Z722" s="180">
        <v>0.305819102968083</v>
      </c>
      <c r="AA722" s="180">
        <v>0.125</v>
      </c>
      <c r="AB722" s="180">
        <v>0.0709468855917957</v>
      </c>
      <c r="AC722" s="179">
        <v>28.8176228204096</v>
      </c>
      <c r="AD722" s="181">
        <v>0.916780557233033</v>
      </c>
      <c r="AE722" s="180">
        <v>2.61587846084037</v>
      </c>
    </row>
    <row r="723" ht="21.25" customHeight="1">
      <c r="A723" t="s" s="8">
        <v>855</v>
      </c>
      <c r="B723" t="s" s="177">
        <v>942</v>
      </c>
      <c r="C723" s="178">
        <v>27</v>
      </c>
      <c r="D723" t="s" s="177">
        <v>81</v>
      </c>
      <c r="E723" s="68"/>
      <c r="F723" s="179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68">
        <v>18</v>
      </c>
      <c r="Y723" s="180">
        <v>0.484388480294852</v>
      </c>
      <c r="Z723" s="180">
        <v>0.390611519705148</v>
      </c>
      <c r="AA723" s="180">
        <v>0.125</v>
      </c>
      <c r="AB723" s="180">
        <v>0.0276007146154403</v>
      </c>
      <c r="AC723" s="179">
        <v>28.2502645615568</v>
      </c>
      <c r="AD723" s="181">
        <v>0.898731080218799</v>
      </c>
      <c r="AE723" s="180">
        <v>3.18323671969319</v>
      </c>
    </row>
    <row r="724" ht="21.25" customHeight="1">
      <c r="A724" t="s" s="8">
        <v>269</v>
      </c>
      <c r="B724" t="s" s="177">
        <v>945</v>
      </c>
      <c r="C724" s="178">
        <v>26</v>
      </c>
      <c r="D724" t="s" s="177">
        <v>81</v>
      </c>
      <c r="E724" s="68"/>
      <c r="F724" s="179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68">
        <v>50</v>
      </c>
      <c r="Y724" s="180">
        <v>0.605729619228607</v>
      </c>
      <c r="Z724" s="180">
        <v>0.269270380771393</v>
      </c>
      <c r="AA724" s="180">
        <v>0.125</v>
      </c>
      <c r="AB724" s="180">
        <v>0.0579773432382716</v>
      </c>
      <c r="AC724" s="179">
        <v>28.516923012641</v>
      </c>
      <c r="AD724" s="181">
        <v>0.911009295112711</v>
      </c>
      <c r="AE724" s="180">
        <v>2.78563686860901</v>
      </c>
    </row>
    <row r="725" ht="21.25" customHeight="1">
      <c r="A725" t="s" s="8">
        <v>737</v>
      </c>
      <c r="B725" t="s" s="177">
        <v>945</v>
      </c>
      <c r="C725" s="178">
        <v>25</v>
      </c>
      <c r="D725" t="s" s="177">
        <v>81</v>
      </c>
      <c r="E725" s="68"/>
      <c r="F725" s="179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68">
        <v>24</v>
      </c>
      <c r="Y725" s="180">
        <v>0.570802773803926</v>
      </c>
      <c r="Z725" s="180">
        <v>0.304197226196074</v>
      </c>
      <c r="AA725" s="180">
        <v>0.125</v>
      </c>
      <c r="AB725" s="180">
        <v>0.0427242977986152</v>
      </c>
      <c r="AC725" s="179">
        <v>28.3172758210225</v>
      </c>
      <c r="AD725" s="181">
        <v>0.904631312213679</v>
      </c>
      <c r="AE725" s="180">
        <v>2.98528406022755</v>
      </c>
    </row>
    <row r="726" ht="21.25" customHeight="1">
      <c r="A726" t="s" s="8">
        <v>881</v>
      </c>
      <c r="B726" t="s" s="177">
        <v>945</v>
      </c>
      <c r="C726" s="178">
        <v>29</v>
      </c>
      <c r="D726" t="s" s="177">
        <v>81</v>
      </c>
      <c r="E726" s="68"/>
      <c r="F726" s="179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68">
        <v>8</v>
      </c>
      <c r="Y726" s="180">
        <v>0.553406957643767</v>
      </c>
      <c r="Z726" s="180">
        <v>0.321593042356233</v>
      </c>
      <c r="AA726" s="180">
        <v>0.125</v>
      </c>
      <c r="AB726" s="180">
        <v>0.0347748918542624</v>
      </c>
      <c r="AC726" s="179">
        <v>28.2132260049969</v>
      </c>
      <c r="AD726" s="181">
        <v>0.901307308796058</v>
      </c>
      <c r="AE726" s="180">
        <v>3.08933387625311</v>
      </c>
    </row>
    <row r="727" ht="21.25" customHeight="1">
      <c r="A727" t="s" s="8">
        <v>200</v>
      </c>
      <c r="B727" t="s" s="177">
        <v>952</v>
      </c>
      <c r="C727" s="178">
        <v>27</v>
      </c>
      <c r="D727" t="s" s="177">
        <v>81</v>
      </c>
      <c r="E727" s="68"/>
      <c r="F727" s="179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68">
        <v>56</v>
      </c>
      <c r="Y727" s="180">
        <v>0.514384695500728</v>
      </c>
      <c r="Z727" s="180">
        <v>0.360615304499272</v>
      </c>
      <c r="AA727" s="180">
        <v>0.125</v>
      </c>
      <c r="AB727" s="180">
        <v>0.06651514613359071</v>
      </c>
      <c r="AC727" s="179">
        <v>27.9911759594384</v>
      </c>
      <c r="AD727" s="181">
        <v>0.912803516684727</v>
      </c>
      <c r="AE727" s="180">
        <v>2.67388552181164</v>
      </c>
    </row>
    <row r="728" ht="21.25" customHeight="1">
      <c r="A728" t="s" s="8">
        <v>882</v>
      </c>
      <c r="B728" t="s" s="177">
        <v>952</v>
      </c>
      <c r="C728" s="178">
        <v>28</v>
      </c>
      <c r="D728" t="s" s="177">
        <v>81</v>
      </c>
      <c r="E728" s="68"/>
      <c r="F728" s="179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68">
        <v>8</v>
      </c>
      <c r="Y728" s="180">
        <v>0.452863283559873</v>
      </c>
      <c r="Z728" s="180">
        <v>0.422136716440127</v>
      </c>
      <c r="AA728" s="180">
        <v>0.125</v>
      </c>
      <c r="AB728" s="180">
        <v>0.0330757095698092</v>
      </c>
      <c r="AC728" s="179">
        <v>27.5534869991794</v>
      </c>
      <c r="AD728" s="181">
        <v>0.89853030348649</v>
      </c>
      <c r="AE728" s="180">
        <v>3.11157448207056</v>
      </c>
    </row>
    <row r="729" ht="21.25" customHeight="1">
      <c r="A729" t="s" s="8">
        <v>277</v>
      </c>
      <c r="B729" t="s" s="177">
        <v>966</v>
      </c>
      <c r="C729" s="178">
        <v>27</v>
      </c>
      <c r="D729" t="s" s="177">
        <v>81</v>
      </c>
      <c r="E729" s="68"/>
      <c r="F729" s="179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68">
        <v>48</v>
      </c>
      <c r="Y729" s="180">
        <v>0.582705032374922</v>
      </c>
      <c r="Z729" s="180">
        <v>0.292294967625078</v>
      </c>
      <c r="AA729" s="180">
        <v>0.125</v>
      </c>
      <c r="AB729" s="180">
        <v>0.0600805796868445</v>
      </c>
      <c r="AC729" s="179">
        <v>28.1380700855281</v>
      </c>
      <c r="AD729" s="181">
        <v>0.910729811817604</v>
      </c>
      <c r="AE729" s="180">
        <v>2.75810759572193</v>
      </c>
    </row>
    <row r="730" ht="21.25" customHeight="1">
      <c r="A730" t="s" s="8">
        <v>537</v>
      </c>
      <c r="B730" t="s" s="177">
        <v>966</v>
      </c>
      <c r="C730" s="178">
        <v>26</v>
      </c>
      <c r="D730" t="s" s="177">
        <v>81</v>
      </c>
      <c r="E730" s="68"/>
      <c r="F730" s="179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68">
        <v>32</v>
      </c>
      <c r="Y730" s="180">
        <v>0.568400613207546</v>
      </c>
      <c r="Z730" s="180">
        <v>0.306599386792454</v>
      </c>
      <c r="AA730" s="180">
        <v>0.125</v>
      </c>
      <c r="AB730" s="180">
        <v>0.0575404915818037</v>
      </c>
      <c r="AC730" s="179">
        <v>28.1048228590223</v>
      </c>
      <c r="AD730" s="181">
        <v>0.909653716682187</v>
      </c>
      <c r="AE730" s="180">
        <v>2.7913548222277</v>
      </c>
    </row>
    <row r="731" ht="21.25" customHeight="1">
      <c r="A731" t="s" s="8">
        <v>167</v>
      </c>
      <c r="B731" t="s" s="177">
        <v>956</v>
      </c>
      <c r="C731" s="178">
        <v>30</v>
      </c>
      <c r="D731" t="s" s="177">
        <v>81</v>
      </c>
      <c r="E731" s="68"/>
      <c r="F731" s="179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68">
        <v>62</v>
      </c>
      <c r="Y731" s="180">
        <v>0.54089740580788</v>
      </c>
      <c r="Z731" s="180">
        <v>0.33410259419212</v>
      </c>
      <c r="AA731" s="180">
        <v>0.125</v>
      </c>
      <c r="AB731" s="180">
        <v>0.07977840424877281</v>
      </c>
      <c r="AC731" s="179">
        <v>27.2675309143491</v>
      </c>
      <c r="AD731" s="181">
        <v>0.916007178018753</v>
      </c>
      <c r="AE731" s="180">
        <v>2.50028266690088</v>
      </c>
    </row>
    <row r="732" ht="21.25" customHeight="1">
      <c r="A732" t="s" s="8">
        <v>851</v>
      </c>
      <c r="B732" t="s" s="177">
        <v>956</v>
      </c>
      <c r="C732" s="178">
        <v>30</v>
      </c>
      <c r="D732" t="s" s="177">
        <v>81</v>
      </c>
      <c r="E732" s="68"/>
      <c r="F732" s="179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68">
        <v>18</v>
      </c>
      <c r="Y732" s="180">
        <v>0.481580469777787</v>
      </c>
      <c r="Z732" s="180">
        <v>0.393419530222213</v>
      </c>
      <c r="AA732" s="180">
        <v>0.125</v>
      </c>
      <c r="AB732" s="180">
        <v>0.0481764379575963</v>
      </c>
      <c r="AC732" s="179">
        <v>26.8538926121086</v>
      </c>
      <c r="AD732" s="181">
        <v>0.902111689822701</v>
      </c>
      <c r="AE732" s="180">
        <v>2.91392096914141</v>
      </c>
    </row>
    <row r="733" ht="21.25" customHeight="1">
      <c r="A733" t="s" s="8">
        <v>282</v>
      </c>
      <c r="B733" t="s" s="177">
        <v>961</v>
      </c>
      <c r="C733" s="178">
        <v>33</v>
      </c>
      <c r="D733" t="s" s="177">
        <v>81</v>
      </c>
      <c r="E733" s="68"/>
      <c r="F733" s="179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68">
        <v>52</v>
      </c>
      <c r="Y733" s="180">
        <v>0.458123209814831</v>
      </c>
      <c r="Z733" s="180">
        <v>0.416876790185169</v>
      </c>
      <c r="AA733" s="180">
        <v>0.125</v>
      </c>
      <c r="AB733" s="180">
        <v>0.0553869081904274</v>
      </c>
      <c r="AC733" s="179">
        <v>29.3934614947373</v>
      </c>
      <c r="AD733" s="181">
        <v>0.912471899993027</v>
      </c>
      <c r="AE733" s="180">
        <v>2.81954308651273</v>
      </c>
    </row>
    <row r="734" ht="21.25" customHeight="1">
      <c r="A734" t="s" s="8">
        <v>772</v>
      </c>
      <c r="B734" t="s" s="177">
        <v>961</v>
      </c>
      <c r="C734" s="178">
        <v>29</v>
      </c>
      <c r="D734" t="s" s="177">
        <v>81</v>
      </c>
      <c r="E734" s="68"/>
      <c r="F734" s="179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68">
        <v>24</v>
      </c>
      <c r="Y734" s="180">
        <v>0.408041966593023</v>
      </c>
      <c r="Z734" s="180">
        <v>0.466958033406977</v>
      </c>
      <c r="AA734" s="180">
        <v>0.125</v>
      </c>
      <c r="AB734" s="180">
        <v>0.0322247276160383</v>
      </c>
      <c r="AC734" s="179">
        <v>29.0902915919311</v>
      </c>
      <c r="AD734" s="181">
        <v>0.903060486598121</v>
      </c>
      <c r="AE734" s="180">
        <v>3.12271298931887</v>
      </c>
    </row>
  </sheetData>
  <mergeCells count="2">
    <mergeCell ref="F1:V1"/>
    <mergeCell ref="X1:A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85" customWidth="1"/>
    <col min="2" max="3" width="8.28125" style="185" customWidth="1"/>
    <col min="4" max="21" width="7.10938" style="185" customWidth="1"/>
    <col min="22" max="22" width="2.375" style="185" customWidth="1"/>
    <col min="23" max="30" width="7.10938" style="185" customWidth="1"/>
    <col min="31" max="31" width="2.375" style="185" customWidth="1"/>
    <col min="32" max="16384" width="8" style="185" customWidth="1"/>
  </cols>
  <sheetData>
    <row r="1" ht="28.3" customHeight="1">
      <c r="A1" t="s" s="32">
        <v>66</v>
      </c>
      <c r="B1" t="s" s="33">
        <v>69</v>
      </c>
      <c r="C1" t="s" s="34">
        <v>72</v>
      </c>
      <c r="D1" t="s" s="37">
        <v>79</v>
      </c>
      <c r="E1" t="s" s="37">
        <v>80</v>
      </c>
      <c r="F1" t="s" s="37">
        <v>81</v>
      </c>
      <c r="G1" t="s" s="37">
        <v>82</v>
      </c>
      <c r="H1" t="s" s="37">
        <v>83</v>
      </c>
      <c r="I1" t="s" s="37">
        <v>84</v>
      </c>
      <c r="J1" t="s" s="37">
        <v>85</v>
      </c>
      <c r="K1" t="s" s="37">
        <v>86</v>
      </c>
      <c r="L1" t="s" s="37">
        <v>87</v>
      </c>
      <c r="M1" t="s" s="37">
        <v>88</v>
      </c>
      <c r="N1" t="s" s="37">
        <v>89</v>
      </c>
      <c r="O1" t="s" s="37">
        <v>90</v>
      </c>
      <c r="P1" t="s" s="37">
        <v>91</v>
      </c>
      <c r="Q1" t="s" s="37">
        <v>92</v>
      </c>
      <c r="R1" t="s" s="37">
        <v>93</v>
      </c>
      <c r="S1" t="s" s="37">
        <v>94</v>
      </c>
      <c r="T1" t="s" s="37">
        <v>95</v>
      </c>
      <c r="U1" t="s" s="37">
        <v>96</v>
      </c>
      <c r="V1" s="35"/>
      <c r="W1" t="s" s="37">
        <v>79</v>
      </c>
      <c r="X1" t="s" s="37">
        <v>97</v>
      </c>
      <c r="Y1" t="s" s="37">
        <v>98</v>
      </c>
      <c r="Z1" t="s" s="37">
        <v>99</v>
      </c>
      <c r="AA1" t="s" s="37">
        <v>100</v>
      </c>
      <c r="AB1" t="s" s="37">
        <v>101</v>
      </c>
      <c r="AC1" t="s" s="37">
        <v>103</v>
      </c>
      <c r="AD1" t="s" s="37">
        <v>104</v>
      </c>
      <c r="AE1" s="35"/>
    </row>
    <row r="2" ht="21.25" customHeight="1">
      <c r="A2" t="s" s="8">
        <v>105</v>
      </c>
      <c r="B2" t="s" s="42">
        <f>VLOOKUP(A2,'Player Data'!A1:B734,2,FALSE)</f>
        <v>108</v>
      </c>
      <c r="C2" s="44">
        <f>((E2)*'Settings'!$C$12)+(F2*'Settings'!$C$2)+(G2*'Settings'!$C$3)+(H2*'Settings'!$C$4)+(I2*'Settings'!$C$5)+(K2*'Settings'!$C$9)+(N2*'Settings'!$C$6)+(J2*'Settings'!$C$8)+(O2*'Settings'!$C$7)+(P2*'Settings'!$C$14)+(Q2*'Settings'!$C$15)+(R2*'Settings'!$C$16)+(S2*'Settings'!$C$17)+(T2*'Settings'!$C$18)+(U2*'Settings'!$C$19)+(L2*'Settings'!$C$10)+('Settings'!$C$11*M2)</f>
        <v>19.4395921085322</v>
      </c>
      <c r="D2" s="48">
        <f>IF('Settings'!$E$12="YES",VLOOKUP(A2,'Player Data'!A1:E734,5,FALSE),82)</f>
        <v>81.755</v>
      </c>
      <c r="E2" s="46">
        <f>(VLOOKUP($A2,'The List'!$B1:$AH730,17,FALSE)-AVERAGE('The List'!R2:R730))/STDEV('The List'!R2:R730)</f>
        <v>1.56426561480445</v>
      </c>
      <c r="F2" s="46">
        <f>(VLOOKUP($A2,'The List'!$B1:$AH730,18,FALSE)-AVERAGE('The List'!S2:S730))/STDEV('The List'!S2:S730)</f>
        <v>4.03129150181646</v>
      </c>
      <c r="G2" s="46">
        <f>(VLOOKUP($A2,'The List'!$B1:$AH730,19,FALSE)-AVERAGE('The List'!T2:T730))/STDEV('The List'!T2:T730)</f>
        <v>4.6754244856196</v>
      </c>
      <c r="H2" s="46">
        <f>(VLOOKUP($A2,'The List'!$B1:$AH730,20,FALSE)-AVERAGE('The List'!U2:U730))/STDEV('The List'!U2:U730)</f>
        <v>4.7166562268048</v>
      </c>
      <c r="I2" s="46">
        <f>(VLOOKUP($A2,'The List'!$B1:$AH730,21,FALSE)-AVERAGE('The List'!V2:V730))/STDEV('The List'!V2:V730)</f>
        <v>3.33044119952843</v>
      </c>
      <c r="J2" s="46">
        <f>(VLOOKUP($A2,'The List'!$B1:$AH730,22,FALSE)-AVERAGE('The List'!W2:W730))/STDEV('The List'!W2:W730)</f>
        <v>3.6660938574019</v>
      </c>
      <c r="K2" s="46">
        <f>(VLOOKUP($A2,'The List'!$B1:$AH730,23,FALSE)-AVERAGE('The List'!X2:X730))/STDEV('The List'!X2:X730)</f>
        <v>5.35243386609327</v>
      </c>
      <c r="L2" s="46">
        <f>(VLOOKUP($A2,'The List'!$B1:$AH730,24,FALSE)-AVERAGE('The List'!Y2:Y730))/STDEV('The List'!Y2:Y730)</f>
        <v>2.88573269806707</v>
      </c>
      <c r="M2" s="46">
        <f>(VLOOKUP($A2,'The List'!$B1:$AH730,25,FALSE)-AVERAGE('The List'!Z2:Z730))/STDEV('The List'!Z2:Z730)</f>
        <v>3.84712957478758</v>
      </c>
      <c r="N2" s="46">
        <f>(VLOOKUP($A2,'The List'!$B1:$AH730,26,FALSE)-AVERAGE('The List'!AA2:AA730))/STDEV('The List'!AA2:AA730)</f>
        <v>-0.569697526126948</v>
      </c>
      <c r="O2" s="46">
        <f>(VLOOKUP($A2,'The List'!$B1:$AH730,27,FALSE)-AVERAGE('The List'!AB2:AB730))/STDEV('The List'!AB2:AB730)</f>
        <v>-0.168196244293834</v>
      </c>
      <c r="P2" s="46">
        <f>(VLOOKUP($A2,'The List'!$B1:$AH730,28,FALSE)-AVERAGE('The List'!AC2:AC730))/STDEV('The List'!AC2:AC730)</f>
        <v>2.61969858160137</v>
      </c>
      <c r="Q2" s="46">
        <f>(VLOOKUP($A2,'The List'!$B1:$AH730,29,FALSE)-AVERAGE('The List'!AD2:AD730))/STDEV('The List'!AD2:AD730)</f>
        <v>0.350230113692549</v>
      </c>
      <c r="R2" s="46">
        <f>(VLOOKUP($A2,'The List'!$B1:$AH730,30,FALSE)-AVERAGE('The List'!AE2:AE730))/STDEV('The List'!AE2:AE730)</f>
        <v>4.302198379285</v>
      </c>
      <c r="S2" s="46">
        <f>(VLOOKUP($A2,'The List'!$B1:$AH730,31,FALSE)-AVERAGE('The List'!AF2:AF730))/STDEV('The List'!AF2:AF730)</f>
        <v>2.03490823558706</v>
      </c>
      <c r="T2" s="46">
        <f>(VLOOKUP($A2,'The List'!$B1:$AH730,32,FALSE)-AVERAGE('The List'!AG2:AG730))/STDEV('The List'!AG2:AG730)</f>
        <v>1.90506811700096</v>
      </c>
      <c r="U2" s="46">
        <f>(VLOOKUP($A2,'The List'!$B1:$AH730,33,FALSE)-AVERAGE('The List'!AH2:AH730))/STDEV('The List'!AH2:AH730)</f>
        <v>1.11683732966505</v>
      </c>
      <c r="V2" s="46"/>
      <c r="W2" s="50"/>
      <c r="X2" s="48"/>
      <c r="Y2" s="48"/>
      <c r="Z2" s="48"/>
      <c r="AA2" s="48"/>
      <c r="AB2" s="48"/>
      <c r="AC2" s="51"/>
      <c r="AD2" s="52"/>
      <c r="AE2" s="46"/>
    </row>
    <row r="3" ht="21.25" customHeight="1">
      <c r="A3" t="s" s="8">
        <v>110</v>
      </c>
      <c r="B3" t="s" s="42">
        <f>VLOOKUP(A3,'Player Data'!A1:B734,2,FALSE)</f>
        <v>108</v>
      </c>
      <c r="C3" s="44">
        <f>((E3)*'Settings'!$C$12)+(F3*'Settings'!$C$2)+(G3*'Settings'!$C$3)+(H3*'Settings'!$C$4)+(I3*'Settings'!$C$5)+(K3*'Settings'!$C$9)+(N3*'Settings'!$C$6)+(J3*'Settings'!$C$8)+(O3*'Settings'!$C$7)+(P3*'Settings'!$C$14)+(Q3*'Settings'!$C$15)+(R3*'Settings'!$C$16)+(S3*'Settings'!$C$17)+(T3*'Settings'!$C$18)+(U3*'Settings'!$C$19)+(L3*'Settings'!$C$10)+('Settings'!$C$11*M3)</f>
        <v>14.836899308559</v>
      </c>
      <c r="D3" s="48">
        <f>IF('Settings'!$E$12="YES",VLOOKUP(A3,'Player Data'!A1:E734,5,FALSE),82)</f>
        <v>81.40000000000001</v>
      </c>
      <c r="E3" s="46">
        <f>(VLOOKUP($A3,'The List'!$B1:$AH730,17,FALSE)-AVERAGE('The List'!R2:R730))/STDEV('The List'!R2:R730)</f>
        <v>1.39718195522401</v>
      </c>
      <c r="F3" s="46">
        <f>(VLOOKUP($A3,'The List'!$B1:$AH730,18,FALSE)-AVERAGE('The List'!S2:S730))/STDEV('The List'!S2:S730)</f>
        <v>3.7625070668247</v>
      </c>
      <c r="G3" s="46">
        <f>(VLOOKUP($A3,'The List'!$B1:$AH730,19,FALSE)-AVERAGE('The List'!T2:T730))/STDEV('The List'!T2:T730)</f>
        <v>3.34673220143628</v>
      </c>
      <c r="H3" s="46">
        <f>(VLOOKUP($A3,'The List'!$B1:$AH730,20,FALSE)-AVERAGE('The List'!U2:U730))/STDEV('The List'!U2:U730)</f>
        <v>3.7752325889286</v>
      </c>
      <c r="I3" s="46">
        <f>(VLOOKUP($A3,'The List'!$B1:$AH730,21,FALSE)-AVERAGE('The List'!V2:V730))/STDEV('The List'!V2:V730)</f>
        <v>2.04539345739916</v>
      </c>
      <c r="J3" s="46">
        <f>(VLOOKUP($A3,'The List'!$B1:$AH730,22,FALSE)-AVERAGE('The List'!W2:W730))/STDEV('The List'!W2:W730)</f>
        <v>6.68336746221773</v>
      </c>
      <c r="K3" s="46">
        <f>(VLOOKUP($A3,'The List'!$B1:$AH730,23,FALSE)-AVERAGE('The List'!X2:X730))/STDEV('The List'!X2:X730)</f>
        <v>4.65333886589993</v>
      </c>
      <c r="L3" s="46">
        <f>(VLOOKUP($A3,'The List'!$B1:$AH730,24,FALSE)-AVERAGE('The List'!Y2:Y730))/STDEV('The List'!Y2:Y730)</f>
        <v>0.654439773449601</v>
      </c>
      <c r="M3" s="46">
        <f>(VLOOKUP($A3,'The List'!$B1:$AH730,25,FALSE)-AVERAGE('The List'!Z2:Z730))/STDEV('The List'!Z2:Z730)</f>
        <v>0.422524754507595</v>
      </c>
      <c r="N3" s="46">
        <f>(VLOOKUP($A3,'The List'!$B1:$AH730,26,FALSE)-AVERAGE('The List'!AA2:AA730))/STDEV('The List'!AA2:AA730)</f>
        <v>-0.606996438762331</v>
      </c>
      <c r="O3" s="46">
        <f>(VLOOKUP($A3,'The List'!$B1:$AH730,27,FALSE)-AVERAGE('The List'!AB2:AB730))/STDEV('The List'!AB2:AB730)</f>
        <v>-0.623584447491301</v>
      </c>
      <c r="P3" s="46">
        <f>(VLOOKUP($A3,'The List'!$B1:$AH730,28,FALSE)-AVERAGE('The List'!AC2:AC730))/STDEV('The List'!AC2:AC730)</f>
        <v>1.63592415576122</v>
      </c>
      <c r="Q3" s="46">
        <f>(VLOOKUP($A3,'The List'!$B1:$AH730,29,FALSE)-AVERAGE('The List'!AD2:AD730))/STDEV('The List'!AD2:AD730)</f>
        <v>0.104846797865443</v>
      </c>
      <c r="R3" s="46">
        <f>(VLOOKUP($A3,'The List'!$B1:$AH730,30,FALSE)-AVERAGE('The List'!AE2:AE730))/STDEV('The List'!AE2:AE730)</f>
        <v>4.0253486111069</v>
      </c>
      <c r="S3" s="46">
        <f>(VLOOKUP($A3,'The List'!$B1:$AH730,31,FALSE)-AVERAGE('The List'!AF2:AF730))/STDEV('The List'!AF2:AF730)</f>
        <v>3.50594343888849</v>
      </c>
      <c r="T3" s="46">
        <f>(VLOOKUP($A3,'The List'!$B1:$AH730,32,FALSE)-AVERAGE('The List'!AG2:AG730))/STDEV('The List'!AG2:AG730)</f>
        <v>2.96954618135804</v>
      </c>
      <c r="U3" s="46">
        <f>(VLOOKUP($A3,'The List'!$B1:$AH730,33,FALSE)-AVERAGE('The List'!AH2:AH730))/STDEV('The List'!AH2:AH730)</f>
        <v>1.22418358841562</v>
      </c>
      <c r="V3" s="46"/>
      <c r="W3" s="48"/>
      <c r="X3" s="48"/>
      <c r="Y3" s="48"/>
      <c r="Z3" s="48"/>
      <c r="AA3" s="48"/>
      <c r="AB3" s="48"/>
      <c r="AC3" s="51"/>
      <c r="AD3" s="52"/>
      <c r="AE3" s="46"/>
    </row>
    <row r="4" ht="21.25" customHeight="1">
      <c r="A4" t="s" s="8">
        <v>112</v>
      </c>
      <c r="B4" t="s" s="42">
        <f>VLOOKUP(A4,'Player Data'!A1:B734,2,FALSE)</f>
        <v>113</v>
      </c>
      <c r="C4" s="44">
        <f>((E4)*'Settings'!$C$12)+(F4*'Settings'!$C$2)+(G4*'Settings'!$C$3)+(H4*'Settings'!$C$4)+(I4*'Settings'!$C$5)+(K4*'Settings'!$C$9)+(N4*'Settings'!$C$6)+(J4*'Settings'!$C$8)+(O4*'Settings'!$C$7)+(P4*'Settings'!$C$14)+(Q4*'Settings'!$C$15)+(R4*'Settings'!$C$16)+(S4*'Settings'!$C$17)+(T4*'Settings'!$C$18)+(U4*'Settings'!$C$19)+(L4*'Settings'!$C$10)+('Settings'!$C$11*M4)</f>
        <v>14.7595033384156</v>
      </c>
      <c r="D4" s="48">
        <f>IF('Settings'!$E$12="YES",VLOOKUP(A4,'Player Data'!A1:E734,5,FALSE),82)</f>
        <v>76.5685714285714</v>
      </c>
      <c r="E4" s="46">
        <f>(VLOOKUP($A4,'The List'!$B1:$AH730,17,FALSE)-AVERAGE('The List'!R2:R730))/STDEV('The List'!R2:R730)</f>
        <v>1.54055269259068</v>
      </c>
      <c r="F4" s="46">
        <f>(VLOOKUP($A4,'The List'!$B1:$AH730,18,FALSE)-AVERAGE('The List'!S2:S730))/STDEV('The List'!S2:S730)</f>
        <v>2.75712430696904</v>
      </c>
      <c r="G4" s="46">
        <f>(VLOOKUP($A4,'The List'!$B1:$AH730,19,FALSE)-AVERAGE('The List'!T2:T730))/STDEV('The List'!T2:T730)</f>
        <v>3.47855231501071</v>
      </c>
      <c r="H4" s="46">
        <f>(VLOOKUP($A4,'The List'!$B1:$AH730,20,FALSE)-AVERAGE('The List'!U2:U730))/STDEV('The List'!U2:U730)</f>
        <v>3.39902863695785</v>
      </c>
      <c r="I4" s="46">
        <f>(VLOOKUP($A4,'The List'!$B1:$AH730,21,FALSE)-AVERAGE('The List'!V2:V730))/STDEV('The List'!V2:V730)</f>
        <v>4.00110762064142</v>
      </c>
      <c r="J4" s="46">
        <f>(VLOOKUP($A4,'The List'!$B1:$AH730,22,FALSE)-AVERAGE('The List'!W2:W730))/STDEV('The List'!W2:W730)</f>
        <v>2.37125337227471</v>
      </c>
      <c r="K4" s="46">
        <f>(VLOOKUP($A4,'The List'!$B1:$AH730,23,FALSE)-AVERAGE('The List'!X2:X730))/STDEV('The List'!X2:X730)</f>
        <v>2.78108634527696</v>
      </c>
      <c r="L4" s="46">
        <f>(VLOOKUP($A4,'The List'!$B1:$AH730,24,FALSE)-AVERAGE('The List'!Y2:Y730))/STDEV('The List'!Y2:Y730)</f>
        <v>-0.480240792589186</v>
      </c>
      <c r="M4" s="46">
        <f>(VLOOKUP($A4,'The List'!$B1:$AH730,25,FALSE)-AVERAGE('The List'!Z2:Z730))/STDEV('The List'!Z2:Z730)</f>
        <v>-0.651672787364342</v>
      </c>
      <c r="N4" s="46">
        <f>(VLOOKUP($A4,'The List'!$B1:$AH730,26,FALSE)-AVERAGE('The List'!AA2:AA730))/STDEV('The List'!AA2:AA730)</f>
        <v>-0.397969477827378</v>
      </c>
      <c r="O4" s="46">
        <f>(VLOOKUP($A4,'The List'!$B1:$AH730,27,FALSE)-AVERAGE('The List'!AB2:AB730))/STDEV('The List'!AB2:AB730)</f>
        <v>-0.575287865301179</v>
      </c>
      <c r="P4" s="46">
        <f>(VLOOKUP($A4,'The List'!$B1:$AH730,28,FALSE)-AVERAGE('The List'!AC2:AC730))/STDEV('The List'!AC2:AC730)</f>
        <v>2.1396022283448</v>
      </c>
      <c r="Q4" s="46">
        <f>(VLOOKUP($A4,'The List'!$B1:$AH730,29,FALSE)-AVERAGE('The List'!AD2:AD730))/STDEV('The List'!AD2:AD730)</f>
        <v>0.725836840431012</v>
      </c>
      <c r="R4" s="46">
        <f>(VLOOKUP($A4,'The List'!$B1:$AH730,30,FALSE)-AVERAGE('The List'!AE2:AE730))/STDEV('The List'!AE2:AE730)</f>
        <v>2.9878409522147</v>
      </c>
      <c r="S4" s="46">
        <f>(VLOOKUP($A4,'The List'!$B1:$AH730,31,FALSE)-AVERAGE('The List'!AF2:AF730))/STDEV('The List'!AF2:AF730)</f>
        <v>2.10595452902195</v>
      </c>
      <c r="T4" s="46">
        <f>(VLOOKUP($A4,'The List'!$B1:$AH730,32,FALSE)-AVERAGE('The List'!AG2:AG730))/STDEV('The List'!AG2:AG730)</f>
        <v>2.7584509617486</v>
      </c>
      <c r="U4" s="46">
        <f>(VLOOKUP($A4,'The List'!$B1:$AH730,33,FALSE)-AVERAGE('The List'!AH2:AH730))/STDEV('The List'!AH2:AH730)</f>
        <v>0.817081750496228</v>
      </c>
      <c r="V4" s="46"/>
      <c r="W4" s="50"/>
      <c r="X4" s="48"/>
      <c r="Y4" s="48"/>
      <c r="Z4" s="48"/>
      <c r="AA4" s="48"/>
      <c r="AB4" s="48"/>
      <c r="AC4" s="51"/>
      <c r="AD4" s="52"/>
      <c r="AE4" s="46"/>
    </row>
    <row r="5" ht="21.25" customHeight="1">
      <c r="A5" t="s" s="8">
        <v>123</v>
      </c>
      <c r="B5" t="s" s="42">
        <f>VLOOKUP(A5,'Player Data'!A1:B734,2,FALSE)</f>
        <v>124</v>
      </c>
      <c r="C5" s="44">
        <f>((E5)*'Settings'!$C$12)+(F5*'Settings'!$C$2)+(G5*'Settings'!$C$3)+(H5*'Settings'!$C$4)+(I5*'Settings'!$C$5)+(K5*'Settings'!$C$9)+(N5*'Settings'!$C$6)+(J5*'Settings'!$C$8)+(O5*'Settings'!$C$7)+(P5*'Settings'!$C$14)+(Q5*'Settings'!$C$15)+(R5*'Settings'!$C$16)+(S5*'Settings'!$C$17)+(T5*'Settings'!$C$18)+(U5*'Settings'!$C$19)+(L5*'Settings'!$C$10)+('Settings'!$C$11*M5)</f>
        <v>10.8233943339678</v>
      </c>
      <c r="D5" s="48">
        <f>IF('Settings'!$E$12="YES",VLOOKUP(A5,'Player Data'!A1:E734,5,FALSE),82)</f>
        <v>79.7</v>
      </c>
      <c r="E5" s="46">
        <f>(VLOOKUP($A5,'The List'!$B1:$AH730,17,FALSE)-AVERAGE('The List'!R2:R730))/STDEV('The List'!R2:R730)</f>
        <v>0.982025645789005</v>
      </c>
      <c r="F5" s="46">
        <f>(VLOOKUP($A5,'The List'!$B1:$AH730,18,FALSE)-AVERAGE('The List'!S2:S730))/STDEV('The List'!S2:S730)</f>
        <v>1.83702307823262</v>
      </c>
      <c r="G5" s="46">
        <f>(VLOOKUP($A5,'The List'!$B1:$AH730,19,FALSE)-AVERAGE('The List'!T2:T730))/STDEV('The List'!T2:T730)</f>
        <v>3.68857923663389</v>
      </c>
      <c r="H5" s="46">
        <f>(VLOOKUP($A5,'The List'!$B1:$AH730,20,FALSE)-AVERAGE('The List'!U2:U730))/STDEV('The List'!U2:U730)</f>
        <v>3.10984296126398</v>
      </c>
      <c r="I5" s="46">
        <f>(VLOOKUP($A5,'The List'!$B1:$AH730,21,FALSE)-AVERAGE('The List'!V2:V730))/STDEV('The List'!V2:V730)</f>
        <v>2.15808439749067</v>
      </c>
      <c r="J5" s="46">
        <f>(VLOOKUP($A5,'The List'!$B1:$AH730,22,FALSE)-AVERAGE('The List'!W2:W730))/STDEV('The List'!W2:W730)</f>
        <v>1.75513104741725</v>
      </c>
      <c r="K5" s="46">
        <f>(VLOOKUP($A5,'The List'!$B1:$AH730,23,FALSE)-AVERAGE('The List'!X2:X730))/STDEV('The List'!X2:X730)</f>
        <v>3.69845397461789</v>
      </c>
      <c r="L5" s="46">
        <f>(VLOOKUP($A5,'The List'!$B1:$AH730,24,FALSE)-AVERAGE('The List'!Y2:Y730))/STDEV('The List'!Y2:Y730)</f>
        <v>-0.534998862212885</v>
      </c>
      <c r="M5" s="46">
        <f>(VLOOKUP($A5,'The List'!$B1:$AH730,25,FALSE)-AVERAGE('The List'!Z2:Z730))/STDEV('The List'!Z2:Z730)</f>
        <v>-0.712872209568703</v>
      </c>
      <c r="N5" s="46">
        <f>(VLOOKUP($A5,'The List'!$B1:$AH730,26,FALSE)-AVERAGE('The List'!AA2:AA730))/STDEV('The List'!AA2:AA730)</f>
        <v>-0.850492064955351</v>
      </c>
      <c r="O5" s="46">
        <f>(VLOOKUP($A5,'The List'!$B1:$AH730,27,FALSE)-AVERAGE('The List'!AB2:AB730))/STDEV('The List'!AB2:AB730)</f>
        <v>-0.6964233609181329</v>
      </c>
      <c r="P5" s="46">
        <f>(VLOOKUP($A5,'The List'!$B1:$AH730,28,FALSE)-AVERAGE('The List'!AC2:AC730))/STDEV('The List'!AC2:AC730)</f>
        <v>0.291745711948129</v>
      </c>
      <c r="Q5" s="46">
        <f>(VLOOKUP($A5,'The List'!$B1:$AH730,29,FALSE)-AVERAGE('The List'!AD2:AD730))/STDEV('The List'!AD2:AD730)</f>
        <v>0.388881029737441</v>
      </c>
      <c r="R5" s="46">
        <f>(VLOOKUP($A5,'The List'!$B1:$AH730,30,FALSE)-AVERAGE('The List'!AE2:AE730))/STDEV('The List'!AE2:AE730)</f>
        <v>2.00562220585481</v>
      </c>
      <c r="S5" s="46">
        <f>(VLOOKUP($A5,'The List'!$B1:$AH730,31,FALSE)-AVERAGE('The List'!AF2:AF730))/STDEV('The List'!AF2:AF730)</f>
        <v>-0.547438626269858</v>
      </c>
      <c r="T5" s="46">
        <f>(VLOOKUP($A5,'The List'!$B1:$AH730,32,FALSE)-AVERAGE('The List'!AG2:AG730))/STDEV('The List'!AG2:AG730)</f>
        <v>-0.600856269042678</v>
      </c>
      <c r="U5" s="46">
        <f>(VLOOKUP($A5,'The List'!$B1:$AH730,33,FALSE)-AVERAGE('The List'!AH2:AH730))/STDEV('The List'!AH2:AH730)</f>
        <v>3.28002189545243</v>
      </c>
      <c r="V5" s="46"/>
      <c r="W5" s="50"/>
      <c r="X5" s="48"/>
      <c r="Y5" s="48"/>
      <c r="Z5" s="48"/>
      <c r="AA5" s="48"/>
      <c r="AB5" s="48"/>
      <c r="AC5" s="51"/>
      <c r="AD5" s="52"/>
      <c r="AE5" s="46"/>
    </row>
    <row r="6" ht="21.25" customHeight="1">
      <c r="A6" t="s" s="8">
        <v>117</v>
      </c>
      <c r="B6" t="s" s="42">
        <f>VLOOKUP(A6,'Player Data'!A1:B734,2,FALSE)</f>
        <v>119</v>
      </c>
      <c r="C6" s="44">
        <f>((E6)*'Settings'!$C$12)+(F6*'Settings'!$C$2)+(G6*'Settings'!$C$3)+(H6*'Settings'!$C$4)+(I6*'Settings'!$C$5)+(K6*'Settings'!$C$9)+(N6*'Settings'!$C$6)+(J6*'Settings'!$C$8)+(O6*'Settings'!$C$7)+(P6*'Settings'!$C$14)+(Q6*'Settings'!$C$15)+(R6*'Settings'!$C$16)+(S6*'Settings'!$C$17)+(T6*'Settings'!$C$18)+(U6*'Settings'!$C$19)+(L6*'Settings'!$C$10)+('Settings'!$C$11*M6)</f>
        <v>13.5656220887624</v>
      </c>
      <c r="D6" s="48">
        <f>IF('Settings'!$E$12="YES",VLOOKUP(A6,'Player Data'!A1:E734,5,FALSE),82)</f>
        <v>81.4975</v>
      </c>
      <c r="E6" s="46">
        <f>(VLOOKUP($A6,'The List'!$B1:$AH730,17,FALSE)-AVERAGE('The List'!R2:R730))/STDEV('The List'!R2:R730)</f>
        <v>0.98166026398066</v>
      </c>
      <c r="F6" s="46">
        <f>(VLOOKUP($A6,'The List'!$B1:$AH730,18,FALSE)-AVERAGE('The List'!S2:S730))/STDEV('The List'!S2:S730)</f>
        <v>2.74211264381997</v>
      </c>
      <c r="G6" s="46">
        <f>(VLOOKUP($A6,'The List'!$B1:$AH730,19,FALSE)-AVERAGE('The List'!T2:T730))/STDEV('The List'!T2:T730)</f>
        <v>3.1548265391465</v>
      </c>
      <c r="H6" s="46">
        <f>(VLOOKUP($A6,'The List'!$B1:$AH730,20,FALSE)-AVERAGE('The List'!U2:U730))/STDEV('The List'!U2:U730)</f>
        <v>3.19262534328275</v>
      </c>
      <c r="I6" s="46">
        <f>(VLOOKUP($A6,'The List'!$B1:$AH730,21,FALSE)-AVERAGE('The List'!V2:V730))/STDEV('The List'!V2:V730)</f>
        <v>2.89174572811855</v>
      </c>
      <c r="J6" s="46">
        <f>(VLOOKUP($A6,'The List'!$B1:$AH730,22,FALSE)-AVERAGE('The List'!W2:W730))/STDEV('The List'!W2:W730)</f>
        <v>2.88719731299604</v>
      </c>
      <c r="K6" s="46">
        <f>(VLOOKUP($A6,'The List'!$B1:$AH730,23,FALSE)-AVERAGE('The List'!X2:X730))/STDEV('The List'!X2:X730)</f>
        <v>2.83648258499472</v>
      </c>
      <c r="L6" s="46">
        <f>(VLOOKUP($A6,'The List'!$B1:$AH730,24,FALSE)-AVERAGE('The List'!Y2:Y730))/STDEV('The List'!Y2:Y730)</f>
        <v>-0.367221199046315</v>
      </c>
      <c r="M6" s="46">
        <f>(VLOOKUP($A6,'The List'!$B1:$AH730,25,FALSE)-AVERAGE('The List'!Z2:Z730))/STDEV('The List'!Z2:Z730)</f>
        <v>-0.0175711616308692</v>
      </c>
      <c r="N6" s="46">
        <f>(VLOOKUP($A6,'The List'!$B1:$AH730,26,FALSE)-AVERAGE('The List'!AA2:AA730))/STDEV('The List'!AA2:AA730)</f>
        <v>-0.761053107366064</v>
      </c>
      <c r="O6" s="46">
        <f>(VLOOKUP($A6,'The List'!$B1:$AH730,27,FALSE)-AVERAGE('The List'!AB2:AB730))/STDEV('The List'!AB2:AB730)</f>
        <v>-0.154064545838386</v>
      </c>
      <c r="P6" s="46">
        <f>(VLOOKUP($A6,'The List'!$B1:$AH730,28,FALSE)-AVERAGE('The List'!AC2:AC730))/STDEV('The List'!AC2:AC730)</f>
        <v>2.70150770004875</v>
      </c>
      <c r="Q6" s="46">
        <f>(VLOOKUP($A6,'The List'!$B1:$AH730,29,FALSE)-AVERAGE('The List'!AD2:AD730))/STDEV('The List'!AD2:AD730)</f>
        <v>2.89984007312197</v>
      </c>
      <c r="R6" s="46">
        <f>(VLOOKUP($A6,'The List'!$B1:$AH730,30,FALSE)-AVERAGE('The List'!AE2:AE730))/STDEV('The List'!AE2:AE730)</f>
        <v>2.58451535344891</v>
      </c>
      <c r="S6" s="46">
        <f>(VLOOKUP($A6,'The List'!$B1:$AH730,31,FALSE)-AVERAGE('The List'!AF2:AF730))/STDEV('The List'!AF2:AF730)</f>
        <v>-0.489467976628891</v>
      </c>
      <c r="T6" s="46">
        <f>(VLOOKUP($A6,'The List'!$B1:$AH730,32,FALSE)-AVERAGE('The List'!AG2:AG730))/STDEV('The List'!AG2:AG730)</f>
        <v>-0.514449947381501</v>
      </c>
      <c r="U6" s="46">
        <f>(VLOOKUP($A6,'The List'!$B1:$AH730,33,FALSE)-AVERAGE('The List'!AH2:AH730))/STDEV('The List'!AH2:AH730)</f>
        <v>0.799722482689701</v>
      </c>
      <c r="V6" s="46"/>
      <c r="W6" s="50"/>
      <c r="X6" s="48"/>
      <c r="Y6" s="48"/>
      <c r="Z6" s="48"/>
      <c r="AA6" s="48"/>
      <c r="AB6" s="48"/>
      <c r="AC6" s="51"/>
      <c r="AD6" s="52"/>
      <c r="AE6" s="46"/>
    </row>
    <row r="7" ht="21.25" customHeight="1">
      <c r="A7" t="s" s="8">
        <v>125</v>
      </c>
      <c r="B7" t="s" s="42">
        <f>VLOOKUP(A7,'Player Data'!A1:B734,2,FALSE)</f>
        <v>113</v>
      </c>
      <c r="C7" s="44">
        <f>((E7)*'Settings'!$C$12)+(F7*'Settings'!$C$2)+(G7*'Settings'!$C$3)+(H7*'Settings'!$C$4)+(I7*'Settings'!$C$5)+(K7*'Settings'!$C$9)+(N7*'Settings'!$C$6)+(J7*'Settings'!$C$8)+(O7*'Settings'!$C$7)+(P7*'Settings'!$C$14)+(Q7*'Settings'!$C$15)+(R7*'Settings'!$C$16)+(S7*'Settings'!$C$17)+(T7*'Settings'!$C$18)+(U7*'Settings'!$C$19)+(L7*'Settings'!$C$10)+('Settings'!$C$11*M7)</f>
        <v>12.998086716641</v>
      </c>
      <c r="D7" s="48">
        <f>IF('Settings'!$E$12="YES",VLOOKUP(A7,'Player Data'!A1:E734,5,FALSE),82)</f>
        <v>80.48178571428571</v>
      </c>
      <c r="E7" s="46">
        <f>(VLOOKUP($A7,'The List'!$B1:$AH730,17,FALSE)-AVERAGE('The List'!R2:R730))/STDEV('The List'!R2:R730)</f>
        <v>1.51105387993884</v>
      </c>
      <c r="F7" s="46">
        <f>(VLOOKUP($A7,'The List'!$B1:$AH730,18,FALSE)-AVERAGE('The List'!S2:S730))/STDEV('The List'!S2:S730)</f>
        <v>3.430361949142</v>
      </c>
      <c r="G7" s="46">
        <f>(VLOOKUP($A7,'The List'!$B1:$AH730,19,FALSE)-AVERAGE('The List'!T2:T730))/STDEV('The List'!T2:T730)</f>
        <v>2.36388858487153</v>
      </c>
      <c r="H7" s="46">
        <f>(VLOOKUP($A7,'The List'!$B1:$AH730,20,FALSE)-AVERAGE('The List'!U2:U730))/STDEV('The List'!U2:U730)</f>
        <v>3.01818972754848</v>
      </c>
      <c r="I7" s="46">
        <f>(VLOOKUP($A7,'The List'!$B1:$AH730,21,FALSE)-AVERAGE('The List'!V2:V730))/STDEV('The List'!V2:V730)</f>
        <v>2.69588316072169</v>
      </c>
      <c r="J7" s="46">
        <f>(VLOOKUP($A7,'The List'!$B1:$AH730,22,FALSE)-AVERAGE('The List'!W2:W730))/STDEV('The List'!W2:W730)</f>
        <v>2.95857989996271</v>
      </c>
      <c r="K7" s="46">
        <f>(VLOOKUP($A7,'The List'!$B1:$AH730,23,FALSE)-AVERAGE('The List'!X2:X730))/STDEV('The List'!X2:X730)</f>
        <v>2.89828839168464</v>
      </c>
      <c r="L7" s="46">
        <f>(VLOOKUP($A7,'The List'!$B1:$AH730,24,FALSE)-AVERAGE('The List'!Y2:Y730))/STDEV('The List'!Y2:Y730)</f>
        <v>-0.514670677265779</v>
      </c>
      <c r="M7" s="46">
        <f>(VLOOKUP($A7,'The List'!$B1:$AH730,25,FALSE)-AVERAGE('The List'!Z2:Z730))/STDEV('The List'!Z2:Z730)</f>
        <v>-0.6902597878860161</v>
      </c>
      <c r="N7" s="46">
        <f>(VLOOKUP($A7,'The List'!$B1:$AH730,26,FALSE)-AVERAGE('The List'!AA2:AA730))/STDEV('The List'!AA2:AA730)</f>
        <v>-0.436300608586596</v>
      </c>
      <c r="O7" s="46">
        <f>(VLOOKUP($A7,'The List'!$B1:$AH730,27,FALSE)-AVERAGE('The List'!AB2:AB730))/STDEV('The List'!AB2:AB730)</f>
        <v>-0.425524067974736</v>
      </c>
      <c r="P7" s="46">
        <f>(VLOOKUP($A7,'The List'!$B1:$AH730,28,FALSE)-AVERAGE('The List'!AC2:AC730))/STDEV('The List'!AC2:AC730)</f>
        <v>2.04596523880772</v>
      </c>
      <c r="Q7" s="46">
        <f>(VLOOKUP($A7,'The List'!$B1:$AH730,29,FALSE)-AVERAGE('The List'!AD2:AD730))/STDEV('The List'!AD2:AD730)</f>
        <v>1.9581917629638</v>
      </c>
      <c r="R7" s="46">
        <f>(VLOOKUP($A7,'The List'!$B1:$AH730,30,FALSE)-AVERAGE('The List'!AE2:AE730))/STDEV('The List'!AE2:AE730)</f>
        <v>3.68095518487659</v>
      </c>
      <c r="S7" s="46">
        <f>(VLOOKUP($A7,'The List'!$B1:$AH730,31,FALSE)-AVERAGE('The List'!AF2:AF730))/STDEV('The List'!AF2:AF730)</f>
        <v>0.409279875546597</v>
      </c>
      <c r="T7" s="46">
        <f>(VLOOKUP($A7,'The List'!$B1:$AH730,32,FALSE)-AVERAGE('The List'!AG2:AG730))/STDEV('The List'!AG2:AG730)</f>
        <v>0.487515745848222</v>
      </c>
      <c r="U7" s="46">
        <f>(VLOOKUP($A7,'The List'!$B1:$AH730,33,FALSE)-AVERAGE('The List'!AH2:AH730))/STDEV('The List'!AH2:AH730)</f>
        <v>0.944419385032325</v>
      </c>
      <c r="V7" s="46"/>
      <c r="W7" s="48"/>
      <c r="X7" s="46"/>
      <c r="Y7" s="46"/>
      <c r="Z7" s="46"/>
      <c r="AA7" s="46"/>
      <c r="AB7" s="46"/>
      <c r="AC7" s="46"/>
      <c r="AD7" s="46"/>
      <c r="AE7" s="46"/>
    </row>
    <row r="8" ht="21.25" customHeight="1">
      <c r="A8" t="s" s="8">
        <v>114</v>
      </c>
      <c r="B8" t="s" s="42">
        <f>VLOOKUP(A8,'Player Data'!A1:B734,2,FALSE)</f>
        <v>115</v>
      </c>
      <c r="C8" s="44">
        <f>((E8)*'Settings'!$C$12)+(F8*'Settings'!$C$2)+(G8*'Settings'!$C$3)+(H8*'Settings'!$C$4)+(I8*'Settings'!$C$5)+(K8*'Settings'!$C$9)+(N8*'Settings'!$C$6)+(J8*'Settings'!$C$8)+(O8*'Settings'!$C$7)+(P8*'Settings'!$C$14)+(Q8*'Settings'!$C$15)+(R8*'Settings'!$C$16)+(S8*'Settings'!$C$17)+(T8*'Settings'!$C$18)+(U8*'Settings'!$C$19)+(L8*'Settings'!$C$10)+('Settings'!$C$11*M8)</f>
        <v>15.8147064578014</v>
      </c>
      <c r="D8" s="48">
        <f>IF('Settings'!$E$12="YES",VLOOKUP(A8,'Player Data'!A1:E734,5,FALSE),82)</f>
        <v>78.7867857142857</v>
      </c>
      <c r="E8" s="46">
        <f>(VLOOKUP($A8,'The List'!$B1:$AH730,17,FALSE)-AVERAGE('The List'!R2:R730))/STDEV('The List'!R2:R730)</f>
        <v>1.03919619069018</v>
      </c>
      <c r="F8" s="46">
        <f>(VLOOKUP($A8,'The List'!$B1:$AH730,18,FALSE)-AVERAGE('The List'!S2:S730))/STDEV('The List'!S2:S730)</f>
        <v>4.00331473393653</v>
      </c>
      <c r="G8" s="46">
        <f>(VLOOKUP($A8,'The List'!$B1:$AH730,19,FALSE)-AVERAGE('The List'!T2:T730))/STDEV('The List'!T2:T730)</f>
        <v>2.0681229183569</v>
      </c>
      <c r="H8" s="46">
        <f>(VLOOKUP($A8,'The List'!$B1:$AH730,20,FALSE)-AVERAGE('The List'!U2:U730))/STDEV('The List'!U2:U730)</f>
        <v>3.09655908964102</v>
      </c>
      <c r="I8" s="46">
        <f>(VLOOKUP($A8,'The List'!$B1:$AH730,21,FALSE)-AVERAGE('The List'!V2:V730))/STDEV('The List'!V2:V730)</f>
        <v>3.62520946770282</v>
      </c>
      <c r="J8" s="46">
        <f>(VLOOKUP($A8,'The List'!$B1:$AH730,22,FALSE)-AVERAGE('The List'!W2:W730))/STDEV('The List'!W2:W730)</f>
        <v>3.68057322503356</v>
      </c>
      <c r="K8" s="46">
        <f>(VLOOKUP($A8,'The List'!$B1:$AH730,23,FALSE)-AVERAGE('The List'!X2:X730))/STDEV('The List'!X2:X730)</f>
        <v>2.55431455563309</v>
      </c>
      <c r="L8" s="46">
        <f>(VLOOKUP($A8,'The List'!$B1:$AH730,24,FALSE)-AVERAGE('The List'!Y2:Y730))/STDEV('The List'!Y2:Y730)</f>
        <v>-0.51005555633265</v>
      </c>
      <c r="M8" s="46">
        <f>(VLOOKUP($A8,'The List'!$B1:$AH730,25,FALSE)-AVERAGE('The List'!Z2:Z730))/STDEV('The List'!Z2:Z730)</f>
        <v>-0.685089748057079</v>
      </c>
      <c r="N8" s="46">
        <f>(VLOOKUP($A8,'The List'!$B1:$AH730,26,FALSE)-AVERAGE('The List'!AA2:AA730))/STDEV('The List'!AA2:AA730)</f>
        <v>0.585407319602519</v>
      </c>
      <c r="O8" s="46">
        <f>(VLOOKUP($A8,'The List'!$B1:$AH730,27,FALSE)-AVERAGE('The List'!AB2:AB730))/STDEV('The List'!AB2:AB730)</f>
        <v>-0.300692055510427</v>
      </c>
      <c r="P8" s="46">
        <f>(VLOOKUP($A8,'The List'!$B1:$AH730,28,FALSE)-AVERAGE('The List'!AC2:AC730))/STDEV('The List'!AC2:AC730)</f>
        <v>2.97833746256955</v>
      </c>
      <c r="Q8" s="46">
        <f>(VLOOKUP($A8,'The List'!$B1:$AH730,29,FALSE)-AVERAGE('The List'!AD2:AD730))/STDEV('The List'!AD2:AD730)</f>
        <v>-0.625153113299828</v>
      </c>
      <c r="R8" s="46">
        <f>(VLOOKUP($A8,'The List'!$B1:$AH730,30,FALSE)-AVERAGE('The List'!AE2:AE730))/STDEV('The List'!AE2:AE730)</f>
        <v>4.35477191184897</v>
      </c>
      <c r="S8" s="46">
        <f>(VLOOKUP($A8,'The List'!$B1:$AH730,31,FALSE)-AVERAGE('The List'!AF2:AF730))/STDEV('The List'!AF2:AF730)</f>
        <v>2.52339119551913</v>
      </c>
      <c r="T8" s="46">
        <f>(VLOOKUP($A8,'The List'!$B1:$AH730,32,FALSE)-AVERAGE('The List'!AG2:AG730))/STDEV('The List'!AG2:AG730)</f>
        <v>2.18797774291469</v>
      </c>
      <c r="U8" s="46">
        <f>(VLOOKUP($A8,'The List'!$B1:$AH730,33,FALSE)-AVERAGE('The List'!AH2:AH730))/STDEV('The List'!AH2:AH730)</f>
        <v>1.19076061986994</v>
      </c>
      <c r="V8" s="46"/>
      <c r="W8" s="50"/>
      <c r="X8" s="48"/>
      <c r="Y8" s="48"/>
      <c r="Z8" s="48"/>
      <c r="AA8" s="48"/>
      <c r="AB8" s="48"/>
      <c r="AC8" s="51"/>
      <c r="AD8" s="52"/>
      <c r="AE8" s="46"/>
    </row>
    <row r="9" ht="21.25" customHeight="1">
      <c r="A9" t="s" s="8">
        <v>137</v>
      </c>
      <c r="B9" t="s" s="42">
        <f>VLOOKUP(A9,'Player Data'!A1:B734,2,FALSE)</f>
        <v>115</v>
      </c>
      <c r="C9" s="44">
        <f>((E9)*'Settings'!$C$12)+(F9*'Settings'!$C$2)+(G9*'Settings'!$C$3)+(H9*'Settings'!$C$4)+(I9*'Settings'!$C$5)+(K9*'Settings'!$C$9)+(N9*'Settings'!$C$6)+(J9*'Settings'!$C$8)+(O9*'Settings'!$C$7)+(P9*'Settings'!$C$14)+(Q9*'Settings'!$C$15)+(R9*'Settings'!$C$16)+(S9*'Settings'!$C$17)+(T9*'Settings'!$C$18)+(U9*'Settings'!$C$19)+(L9*'Settings'!$C$10)+('Settings'!$C$11*M9)</f>
        <v>11.021143621193</v>
      </c>
      <c r="D9" s="48">
        <f>IF('Settings'!$E$12="YES",VLOOKUP(A9,'Player Data'!A1:E734,5,FALSE),82)</f>
        <v>80.1535714285714</v>
      </c>
      <c r="E9" s="46">
        <f>(VLOOKUP($A9,'The List'!$B1:$AH730,17,FALSE)-AVERAGE('The List'!R2:R730))/STDEV('The List'!R2:R730)</f>
        <v>1.30063978667263</v>
      </c>
      <c r="F9" s="46">
        <f>(VLOOKUP($A9,'The List'!$B1:$AH730,18,FALSE)-AVERAGE('The List'!S2:S730))/STDEV('The List'!S2:S730)</f>
        <v>1.95089143144278</v>
      </c>
      <c r="G9" s="46">
        <f>(VLOOKUP($A9,'The List'!$B1:$AH730,19,FALSE)-AVERAGE('The List'!T2:T730))/STDEV('The List'!T2:T730)</f>
        <v>3.27076332838036</v>
      </c>
      <c r="H9" s="46">
        <f>(VLOOKUP($A9,'The List'!$B1:$AH730,20,FALSE)-AVERAGE('The List'!U2:U730))/STDEV('The List'!U2:U730)</f>
        <v>2.90407732988356</v>
      </c>
      <c r="I9" s="46">
        <f>(VLOOKUP($A9,'The List'!$B1:$AH730,21,FALSE)-AVERAGE('The List'!V2:V730))/STDEV('The List'!V2:V730)</f>
        <v>1.36137744543885</v>
      </c>
      <c r="J9" s="46">
        <f>(VLOOKUP($A9,'The List'!$B1:$AH730,22,FALSE)-AVERAGE('The List'!W2:W730))/STDEV('The List'!W2:W730)</f>
        <v>1.35840849577138</v>
      </c>
      <c r="K9" s="46">
        <f>(VLOOKUP($A9,'The List'!$B1:$AH730,23,FALSE)-AVERAGE('The List'!X2:X730))/STDEV('The List'!X2:X730)</f>
        <v>2.62497890998114</v>
      </c>
      <c r="L9" s="46">
        <f>(VLOOKUP($A9,'The List'!$B1:$AH730,24,FALSE)-AVERAGE('The List'!Y2:Y730))/STDEV('The List'!Y2:Y730)</f>
        <v>4.21133145984138</v>
      </c>
      <c r="M9" s="46">
        <f>(VLOOKUP($A9,'The List'!$B1:$AH730,25,FALSE)-AVERAGE('The List'!Z2:Z730))/STDEV('The List'!Z2:Z730)</f>
        <v>3.66340631018819</v>
      </c>
      <c r="N9" s="46">
        <f>(VLOOKUP($A9,'The List'!$B1:$AH730,26,FALSE)-AVERAGE('The List'!AA2:AA730))/STDEV('The List'!AA2:AA730)</f>
        <v>-0.393971289993455</v>
      </c>
      <c r="O9" s="46">
        <f>(VLOOKUP($A9,'The List'!$B1:$AH730,27,FALSE)-AVERAGE('The List'!AB2:AB730))/STDEV('The List'!AB2:AB730)</f>
        <v>-0.616770312179312</v>
      </c>
      <c r="P9" s="46">
        <f>(VLOOKUP($A9,'The List'!$B1:$AH730,28,FALSE)-AVERAGE('The List'!AC2:AC730))/STDEV('The List'!AC2:AC730)</f>
        <v>2.20710379594328</v>
      </c>
      <c r="Q9" s="46">
        <f>(VLOOKUP($A9,'The List'!$B1:$AH730,29,FALSE)-AVERAGE('The List'!AD2:AD730))/STDEV('The List'!AD2:AD730)</f>
        <v>-0.263146624073158</v>
      </c>
      <c r="R9" s="46">
        <f>(VLOOKUP($A9,'The List'!$B1:$AH730,30,FALSE)-AVERAGE('The List'!AE2:AE730))/STDEV('The List'!AE2:AE730)</f>
        <v>2.20923724563427</v>
      </c>
      <c r="S9" s="46">
        <f>(VLOOKUP($A9,'The List'!$B1:$AH730,31,FALSE)-AVERAGE('The List'!AF2:AF730))/STDEV('The List'!AF2:AF730)</f>
        <v>-0.545644912875227</v>
      </c>
      <c r="T9" s="46">
        <f>(VLOOKUP($A9,'The List'!$B1:$AH730,32,FALSE)-AVERAGE('The List'!AG2:AG730))/STDEV('The List'!AG2:AG730)</f>
        <v>-0.578517298495939</v>
      </c>
      <c r="U9" s="46">
        <f>(VLOOKUP($A9,'The List'!$B1:$AH730,33,FALSE)-AVERAGE('The List'!AH2:AH730))/STDEV('The List'!AH2:AH730)</f>
        <v>0.328576288710181</v>
      </c>
      <c r="V9" s="46"/>
      <c r="W9" s="48"/>
      <c r="X9" s="48"/>
      <c r="Y9" s="48"/>
      <c r="Z9" s="48"/>
      <c r="AA9" s="48"/>
      <c r="AB9" s="48"/>
      <c r="AC9" s="51"/>
      <c r="AD9" s="52"/>
      <c r="AE9" s="46"/>
    </row>
    <row r="10" ht="21.25" customHeight="1">
      <c r="A10" t="s" s="8">
        <v>132</v>
      </c>
      <c r="B10" t="s" s="42">
        <f>VLOOKUP(A10,'Player Data'!A1:B734,2,FALSE)</f>
        <v>134</v>
      </c>
      <c r="C10" s="44">
        <f>((E10)*'Settings'!$C$12)+(F10*'Settings'!$C$2)+(G10*'Settings'!$C$3)+(H10*'Settings'!$C$4)+(I10*'Settings'!$C$5)+(K10*'Settings'!$C$9)+(N10*'Settings'!$C$6)+(J10*'Settings'!$C$8)+(O10*'Settings'!$C$7)+(P10*'Settings'!$C$14)+(Q10*'Settings'!$C$15)+(R10*'Settings'!$C$16)+(S10*'Settings'!$C$17)+(T10*'Settings'!$C$18)+(U10*'Settings'!$C$19)+(L10*'Settings'!$C$10)+('Settings'!$C$11*M10)</f>
        <v>11.0864676589073</v>
      </c>
      <c r="D10" s="48">
        <f>IF('Settings'!$E$12="YES",VLOOKUP(A10,'Player Data'!A1:E734,5,FALSE),82)</f>
        <v>79.40000000000001</v>
      </c>
      <c r="E10" s="46">
        <f>(VLOOKUP($A10,'The List'!$B1:$AH730,17,FALSE)-AVERAGE('The List'!R2:R730))/STDEV('The List'!R2:R730)</f>
        <v>1.22738262957521</v>
      </c>
      <c r="F10" s="46">
        <f>(VLOOKUP($A10,'The List'!$B1:$AH730,18,FALSE)-AVERAGE('The List'!S2:S730))/STDEV('The List'!S2:S730)</f>
        <v>3.33186529183582</v>
      </c>
      <c r="G10" s="46">
        <f>(VLOOKUP($A10,'The List'!$B1:$AH730,19,FALSE)-AVERAGE('The List'!T2:T730))/STDEV('The List'!T2:T730)</f>
        <v>2.03827345433391</v>
      </c>
      <c r="H10" s="46">
        <f>(VLOOKUP($A10,'The List'!$B1:$AH730,20,FALSE)-AVERAGE('The List'!U2:U730))/STDEV('The List'!U2:U730)</f>
        <v>2.77263432485892</v>
      </c>
      <c r="I10" s="46">
        <f>(VLOOKUP($A10,'The List'!$B1:$AH730,21,FALSE)-AVERAGE('The List'!V2:V730))/STDEV('The List'!V2:V730)</f>
        <v>2.76390458016638</v>
      </c>
      <c r="J10" s="46">
        <f>(VLOOKUP($A10,'The List'!$B1:$AH730,22,FALSE)-AVERAGE('The List'!W2:W730))/STDEV('The List'!W2:W730)</f>
        <v>3.83379155878251</v>
      </c>
      <c r="K10" s="46">
        <f>(VLOOKUP($A10,'The List'!$B1:$AH730,23,FALSE)-AVERAGE('The List'!X2:X730))/STDEV('The List'!X2:X730)</f>
        <v>2.62096762807556</v>
      </c>
      <c r="L10" s="46">
        <f>(VLOOKUP($A10,'The List'!$B1:$AH730,24,FALSE)-AVERAGE('The List'!Y2:Y730))/STDEV('The List'!Y2:Y730)</f>
        <v>-0.517170129046751</v>
      </c>
      <c r="M10" s="46">
        <f>(VLOOKUP($A10,'The List'!$B1:$AH730,25,FALSE)-AVERAGE('The List'!Z2:Z730))/STDEV('The List'!Z2:Z730)</f>
        <v>-0.693054758987439</v>
      </c>
      <c r="N10" s="46">
        <f>(VLOOKUP($A10,'The List'!$B1:$AH730,26,FALSE)-AVERAGE('The List'!AA2:AA730))/STDEV('The List'!AA2:AA730)</f>
        <v>-0.660343257680205</v>
      </c>
      <c r="O10" s="46">
        <f>(VLOOKUP($A10,'The List'!$B1:$AH730,27,FALSE)-AVERAGE('The List'!AB2:AB730))/STDEV('The List'!AB2:AB730)</f>
        <v>-0.33648905339275</v>
      </c>
      <c r="P10" s="46">
        <f>(VLOOKUP($A10,'The List'!$B1:$AH730,28,FALSE)-AVERAGE('The List'!AC2:AC730))/STDEV('The List'!AC2:AC730)</f>
        <v>0.991799962175881</v>
      </c>
      <c r="Q10" s="46">
        <f>(VLOOKUP($A10,'The List'!$B1:$AH730,29,FALSE)-AVERAGE('The List'!AD2:AD730))/STDEV('The List'!AD2:AD730)</f>
        <v>0.462368980454734</v>
      </c>
      <c r="R10" s="46">
        <f>(VLOOKUP($A10,'The List'!$B1:$AH730,30,FALSE)-AVERAGE('The List'!AE2:AE730))/STDEV('The List'!AE2:AE730)</f>
        <v>3.65065341689342</v>
      </c>
      <c r="S10" s="46">
        <f>(VLOOKUP($A10,'The List'!$B1:$AH730,31,FALSE)-AVERAGE('The List'!AF2:AF730))/STDEV('The List'!AF2:AF730)</f>
        <v>-0.5363004556293109</v>
      </c>
      <c r="T10" s="46">
        <f>(VLOOKUP($A10,'The List'!$B1:$AH730,32,FALSE)-AVERAGE('The List'!AG2:AG730))/STDEV('The List'!AG2:AG730)</f>
        <v>-0.569824969430934</v>
      </c>
      <c r="U10" s="46">
        <f>(VLOOKUP($A10,'The List'!$B1:$AH730,33,FALSE)-AVERAGE('The List'!AH2:AH730))/STDEV('The List'!AH2:AH730)</f>
        <v>0.620867557046713</v>
      </c>
      <c r="V10" s="46"/>
      <c r="W10" s="50"/>
      <c r="X10" s="48"/>
      <c r="Y10" s="48"/>
      <c r="Z10" s="48"/>
      <c r="AA10" s="48"/>
      <c r="AB10" s="48"/>
      <c r="AC10" s="51"/>
      <c r="AD10" s="52"/>
      <c r="AE10" s="46"/>
    </row>
    <row r="11" ht="21.25" customHeight="1">
      <c r="A11" t="s" s="8">
        <v>126</v>
      </c>
      <c r="B11" t="s" s="42">
        <f>VLOOKUP(A11,'Player Data'!A1:B734,2,FALSE)</f>
        <v>127</v>
      </c>
      <c r="C11" s="44">
        <f>((E11)*'Settings'!$C$12)+(F11*'Settings'!$C$2)+(G11*'Settings'!$C$3)+(H11*'Settings'!$C$4)+(I11*'Settings'!$C$5)+(K11*'Settings'!$C$9)+(N11*'Settings'!$C$6)+(J11*'Settings'!$C$8)+(O11*'Settings'!$C$7)+(P11*'Settings'!$C$14)+(Q11*'Settings'!$C$15)+(R11*'Settings'!$C$16)+(S11*'Settings'!$C$17)+(T11*'Settings'!$C$18)+(U11*'Settings'!$C$19)+(L11*'Settings'!$C$10)+('Settings'!$C$11*M11)</f>
        <v>10.6013146790712</v>
      </c>
      <c r="D11" s="48">
        <f>IF('Settings'!$E$12="YES",VLOOKUP(A11,'Player Data'!A1:E734,5,FALSE),82)</f>
        <v>78.48</v>
      </c>
      <c r="E11" s="46">
        <f>(VLOOKUP($A11,'The List'!$B1:$AH730,17,FALSE)-AVERAGE('The List'!R2:R730))/STDEV('The List'!R2:R730)</f>
        <v>1.04518152904142</v>
      </c>
      <c r="F11" s="46">
        <f>(VLOOKUP($A11,'The List'!$B1:$AH730,18,FALSE)-AVERAGE('The List'!S2:S730))/STDEV('The List'!S2:S730)</f>
        <v>2.97710988077113</v>
      </c>
      <c r="G11" s="46">
        <f>(VLOOKUP($A11,'The List'!$B1:$AH730,19,FALSE)-AVERAGE('The List'!T2:T730))/STDEV('The List'!T2:T730)</f>
        <v>2.55646773308474</v>
      </c>
      <c r="H11" s="46">
        <f>(VLOOKUP($A11,'The List'!$B1:$AH730,20,FALSE)-AVERAGE('The List'!U2:U730))/STDEV('The List'!U2:U730)</f>
        <v>2.93067345982783</v>
      </c>
      <c r="I11" s="46">
        <f>(VLOOKUP($A11,'The List'!$B1:$AH730,21,FALSE)-AVERAGE('The List'!V2:V730))/STDEV('The List'!V2:V730)</f>
        <v>3.11988895199707</v>
      </c>
      <c r="J11" s="46">
        <f>(VLOOKUP($A11,'The List'!$B1:$AH730,22,FALSE)-AVERAGE('The List'!W2:W730))/STDEV('The List'!W2:W730)</f>
        <v>2.15196014031116</v>
      </c>
      <c r="K11" s="46">
        <f>(VLOOKUP($A11,'The List'!$B1:$AH730,23,FALSE)-AVERAGE('The List'!X2:X730))/STDEV('The List'!X2:X730)</f>
        <v>2.4974450253916</v>
      </c>
      <c r="L11" s="46">
        <f>(VLOOKUP($A11,'The List'!$B1:$AH730,24,FALSE)-AVERAGE('The List'!Y2:Y730))/STDEV('The List'!Y2:Y730)</f>
        <v>-0.48701300856514</v>
      </c>
      <c r="M11" s="46">
        <f>(VLOOKUP($A11,'The List'!$B1:$AH730,25,FALSE)-AVERAGE('The List'!Z2:Z730))/STDEV('The List'!Z2:Z730)</f>
        <v>-0.659549134524678</v>
      </c>
      <c r="N11" s="46">
        <f>(VLOOKUP($A11,'The List'!$B1:$AH730,26,FALSE)-AVERAGE('The List'!AA2:AA730))/STDEV('The List'!AA2:AA730)</f>
        <v>-0.74568913528926</v>
      </c>
      <c r="O11" s="46">
        <f>(VLOOKUP($A11,'The List'!$B1:$AH730,27,FALSE)-AVERAGE('The List'!AB2:AB730))/STDEV('The List'!AB2:AB730)</f>
        <v>-1.57547705804396</v>
      </c>
      <c r="P11" s="46">
        <f>(VLOOKUP($A11,'The List'!$B1:$AH730,28,FALSE)-AVERAGE('The List'!AC2:AC730))/STDEV('The List'!AC2:AC730)</f>
        <v>0.196092223115958</v>
      </c>
      <c r="Q11" s="46">
        <f>(VLOOKUP($A11,'The List'!$B1:$AH730,29,FALSE)-AVERAGE('The List'!AD2:AD730))/STDEV('The List'!AD2:AD730)</f>
        <v>-1.42712409486703</v>
      </c>
      <c r="R11" s="46">
        <f>(VLOOKUP($A11,'The List'!$B1:$AH730,30,FALSE)-AVERAGE('The List'!AE2:AE730))/STDEV('The List'!AE2:AE730)</f>
        <v>2.90190002444915</v>
      </c>
      <c r="S11" s="46">
        <f>(VLOOKUP($A11,'The List'!$B1:$AH730,31,FALSE)-AVERAGE('The List'!AF2:AF730))/STDEV('The List'!AF2:AF730)</f>
        <v>0.372819333849674</v>
      </c>
      <c r="T11" s="46">
        <f>(VLOOKUP($A11,'The List'!$B1:$AH730,32,FALSE)-AVERAGE('The List'!AG2:AG730))/STDEV('The List'!AG2:AG730)</f>
        <v>1.20426610481817</v>
      </c>
      <c r="U11" s="46">
        <f>(VLOOKUP($A11,'The List'!$B1:$AH730,33,FALSE)-AVERAGE('The List'!AH2:AH730))/STDEV('The List'!AH2:AH730)</f>
        <v>0.350590848163042</v>
      </c>
      <c r="V11" s="46"/>
      <c r="W11" s="50"/>
      <c r="X11" s="48"/>
      <c r="Y11" s="48"/>
      <c r="Z11" s="48"/>
      <c r="AA11" s="48"/>
      <c r="AB11" s="48"/>
      <c r="AC11" s="51"/>
      <c r="AD11" s="52"/>
      <c r="AE11" s="46"/>
    </row>
    <row r="12" ht="21.25" customHeight="1">
      <c r="A12" t="s" s="8">
        <v>135</v>
      </c>
      <c r="B12" t="s" s="42">
        <f>VLOOKUP(A12,'Player Data'!A1:B734,2,FALSE)</f>
        <v>136</v>
      </c>
      <c r="C12" s="44">
        <f>((E12)*'Settings'!$C$12)+(F12*'Settings'!$C$2)+(G12*'Settings'!$C$3)+(H12*'Settings'!$C$4)+(I12*'Settings'!$C$5)+(K12*'Settings'!$C$9)+(N12*'Settings'!$C$6)+(J12*'Settings'!$C$8)+(O12*'Settings'!$C$7)+(P12*'Settings'!$C$14)+(Q12*'Settings'!$C$15)+(R12*'Settings'!$C$16)+(S12*'Settings'!$C$17)+(T12*'Settings'!$C$18)+(U12*'Settings'!$C$19)+(L12*'Settings'!$C$10)+('Settings'!$C$11*M12)</f>
        <v>12.2438382709695</v>
      </c>
      <c r="D12" s="48">
        <f>IF('Settings'!$E$12="YES",VLOOKUP(A12,'Player Data'!A1:E734,5,FALSE),82)</f>
        <v>80.1978571428571</v>
      </c>
      <c r="E12" s="46">
        <f>(VLOOKUP($A12,'The List'!$B1:$AH730,17,FALSE)-AVERAGE('The List'!R2:R730))/STDEV('The List'!R2:R730)</f>
        <v>0.634239684247233</v>
      </c>
      <c r="F12" s="46">
        <f>(VLOOKUP($A12,'The List'!$B1:$AH730,18,FALSE)-AVERAGE('The List'!S2:S730))/STDEV('The List'!S2:S730)</f>
        <v>2.95229790383507</v>
      </c>
      <c r="G12" s="46">
        <f>(VLOOKUP($A12,'The List'!$B1:$AH730,19,FALSE)-AVERAGE('The List'!T2:T730))/STDEV('The List'!T2:T730)</f>
        <v>2.36389051285009</v>
      </c>
      <c r="H12" s="46">
        <f>(VLOOKUP($A12,'The List'!$B1:$AH730,20,FALSE)-AVERAGE('The List'!U2:U730))/STDEV('The List'!U2:U730)</f>
        <v>2.80066218759874</v>
      </c>
      <c r="I12" s="46">
        <f>(VLOOKUP($A12,'The List'!$B1:$AH730,21,FALSE)-AVERAGE('The List'!V2:V730))/STDEV('The List'!V2:V730)</f>
        <v>2.50652048696596</v>
      </c>
      <c r="J12" s="46">
        <f>(VLOOKUP($A12,'The List'!$B1:$AH730,22,FALSE)-AVERAGE('The List'!W2:W730))/STDEV('The List'!W2:W730)</f>
        <v>2.74379448707746</v>
      </c>
      <c r="K12" s="46">
        <f>(VLOOKUP($A12,'The List'!$B1:$AH730,23,FALSE)-AVERAGE('The List'!X2:X730))/STDEV('The List'!X2:X730)</f>
        <v>2.70810157175572</v>
      </c>
      <c r="L12" s="46">
        <f>(VLOOKUP($A12,'The List'!$B1:$AH730,24,FALSE)-AVERAGE('The List'!Y2:Y730))/STDEV('The List'!Y2:Y730)</f>
        <v>-0.535027957323599</v>
      </c>
      <c r="M12" s="46">
        <f>(VLOOKUP($A12,'The List'!$B1:$AH730,25,FALSE)-AVERAGE('The List'!Z2:Z730))/STDEV('The List'!Z2:Z730)</f>
        <v>-0.713050015685658</v>
      </c>
      <c r="N12" s="46">
        <f>(VLOOKUP($A12,'The List'!$B1:$AH730,26,FALSE)-AVERAGE('The List'!AA2:AA730))/STDEV('The List'!AA2:AA730)</f>
        <v>-0.933729377545738</v>
      </c>
      <c r="O12" s="46">
        <f>(VLOOKUP($A12,'The List'!$B1:$AH730,27,FALSE)-AVERAGE('The List'!AB2:AB730))/STDEV('The List'!AB2:AB730)</f>
        <v>-0.708205329753677</v>
      </c>
      <c r="P12" s="46">
        <f>(VLOOKUP($A12,'The List'!$B1:$AH730,28,FALSE)-AVERAGE('The List'!AC2:AC730))/STDEV('The List'!AC2:AC730)</f>
        <v>2.64675717310838</v>
      </c>
      <c r="Q12" s="46">
        <f>(VLOOKUP($A12,'The List'!$B1:$AH730,29,FALSE)-AVERAGE('The List'!AD2:AD730))/STDEV('The List'!AD2:AD730)</f>
        <v>-0.430651732723357</v>
      </c>
      <c r="R12" s="46">
        <f>(VLOOKUP($A12,'The List'!$B1:$AH730,30,FALSE)-AVERAGE('The List'!AE2:AE730))/STDEV('The List'!AE2:AE730)</f>
        <v>3.23791866114403</v>
      </c>
      <c r="S12" s="46">
        <f>(VLOOKUP($A12,'The List'!$B1:$AH730,31,FALSE)-AVERAGE('The List'!AF2:AF730))/STDEV('The List'!AF2:AF730)</f>
        <v>-0.555864559637457</v>
      </c>
      <c r="T12" s="46">
        <f>(VLOOKUP($A12,'The List'!$B1:$AH730,32,FALSE)-AVERAGE('The List'!AG2:AG730))/STDEV('The List'!AG2:AG730)</f>
        <v>-0.592374438600723</v>
      </c>
      <c r="U12" s="46">
        <f>(VLOOKUP($A12,'The List'!$B1:$AH730,33,FALSE)-AVERAGE('The List'!AH2:AH730))/STDEV('The List'!AH2:AH730)</f>
        <v>-0.7196389538405989</v>
      </c>
      <c r="V12" s="46"/>
      <c r="W12" s="50"/>
      <c r="X12" s="48"/>
      <c r="Y12" s="48"/>
      <c r="Z12" s="48"/>
      <c r="AA12" s="48"/>
      <c r="AB12" s="48"/>
      <c r="AC12" s="51"/>
      <c r="AD12" s="52"/>
      <c r="AE12" s="46"/>
    </row>
    <row r="13" ht="21.25" customHeight="1">
      <c r="A13" t="s" s="8">
        <v>120</v>
      </c>
      <c r="B13" t="s" s="42">
        <f>VLOOKUP(A13,'Player Data'!A1:B734,2,FALSE)</f>
        <v>122</v>
      </c>
      <c r="C13" s="44">
        <f>((E13)*'Settings'!$C$12)+(F13*'Settings'!$C$2)+(G13*'Settings'!$C$3)+(H13*'Settings'!$C$4)+(I13*'Settings'!$C$5)+(K13*'Settings'!$C$9)+(N13*'Settings'!$C$6)+(J13*'Settings'!$C$8)+(O13*'Settings'!$C$7)+(P13*'Settings'!$C$14)+(Q13*'Settings'!$C$15)+(R13*'Settings'!$C$16)+(S13*'Settings'!$C$17)+(T13*'Settings'!$C$18)+(U13*'Settings'!$C$19)+(L13*'Settings'!$C$10)+('Settings'!$C$11*M13)</f>
        <v>12.5037375337248</v>
      </c>
      <c r="D13" s="48">
        <f>IF('Settings'!$E$12="YES",VLOOKUP(A13,'Player Data'!A1:E734,5,FALSE),82)</f>
        <v>79.48357142857139</v>
      </c>
      <c r="E13" s="46">
        <f>(VLOOKUP($A13,'The List'!$B1:$AH730,17,FALSE)-AVERAGE('The List'!R2:R730))/STDEV('The List'!R2:R730)</f>
        <v>0.796382789266841</v>
      </c>
      <c r="F13" s="46">
        <f>(VLOOKUP($A13,'The List'!$B1:$AH730,18,FALSE)-AVERAGE('The List'!S2:S730))/STDEV('The List'!S2:S730)</f>
        <v>3.53730740410921</v>
      </c>
      <c r="G13" s="46">
        <f>(VLOOKUP($A13,'The List'!$B1:$AH730,19,FALSE)-AVERAGE('The List'!T2:T730))/STDEV('The List'!T2:T730)</f>
        <v>1.80592307034251</v>
      </c>
      <c r="H13" s="46">
        <f>(VLOOKUP($A13,'The List'!$B1:$AH730,20,FALSE)-AVERAGE('The List'!U2:U730))/STDEV('The List'!U2:U730)</f>
        <v>2.72287364843643</v>
      </c>
      <c r="I13" s="46">
        <f>(VLOOKUP($A13,'The List'!$B1:$AH730,21,FALSE)-AVERAGE('The List'!V2:V730))/STDEV('The List'!V2:V730)</f>
        <v>3.86377462237571</v>
      </c>
      <c r="J13" s="46">
        <f>(VLOOKUP($A13,'The List'!$B1:$AH730,22,FALSE)-AVERAGE('The List'!W2:W730))/STDEV('The List'!W2:W730)</f>
        <v>3.43091106418403</v>
      </c>
      <c r="K13" s="46">
        <f>(VLOOKUP($A13,'The List'!$B1:$AH730,23,FALSE)-AVERAGE('The List'!X2:X730))/STDEV('The List'!X2:X730)</f>
        <v>2.45379220736139</v>
      </c>
      <c r="L13" s="46">
        <f>(VLOOKUP($A13,'The List'!$B1:$AH730,24,FALSE)-AVERAGE('The List'!Y2:Y730))/STDEV('The List'!Y2:Y730)</f>
        <v>-0.488133223740351</v>
      </c>
      <c r="M13" s="46">
        <f>(VLOOKUP($A13,'The List'!$B1:$AH730,25,FALSE)-AVERAGE('The List'!Z2:Z730))/STDEV('The List'!Z2:Z730)</f>
        <v>-0.660593317716158</v>
      </c>
      <c r="N13" s="46">
        <f>(VLOOKUP($A13,'The List'!$B1:$AH730,26,FALSE)-AVERAGE('The List'!AA2:AA730))/STDEV('The List'!AA2:AA730)</f>
        <v>-0.766526493206459</v>
      </c>
      <c r="O13" s="46">
        <f>(VLOOKUP($A13,'The List'!$B1:$AH730,27,FALSE)-AVERAGE('The List'!AB2:AB730))/STDEV('The List'!AB2:AB730)</f>
        <v>-0.166989245908405</v>
      </c>
      <c r="P13" s="46">
        <f>(VLOOKUP($A13,'The List'!$B1:$AH730,28,FALSE)-AVERAGE('The List'!AC2:AC730))/STDEV('The List'!AC2:AC730)</f>
        <v>1.60946672274241</v>
      </c>
      <c r="Q13" s="46">
        <f>(VLOOKUP($A13,'The List'!$B1:$AH730,29,FALSE)-AVERAGE('The List'!AD2:AD730))/STDEV('The List'!AD2:AD730)</f>
        <v>0.206719594763999</v>
      </c>
      <c r="R13" s="46">
        <f>(VLOOKUP($A13,'The List'!$B1:$AH730,30,FALSE)-AVERAGE('The List'!AE2:AE730))/STDEV('The List'!AE2:AE730)</f>
        <v>4.0950107104798</v>
      </c>
      <c r="S13" s="46">
        <f>(VLOOKUP($A13,'The List'!$B1:$AH730,31,FALSE)-AVERAGE('The List'!AF2:AF730))/STDEV('The List'!AF2:AF730)</f>
        <v>-0.5231472466086871</v>
      </c>
      <c r="T13" s="46">
        <f>(VLOOKUP($A13,'The List'!$B1:$AH730,32,FALSE)-AVERAGE('The List'!AG2:AG730))/STDEV('The List'!AG2:AG730)</f>
        <v>-0.540146240366245</v>
      </c>
      <c r="U13" s="46">
        <f>(VLOOKUP($A13,'The List'!$B1:$AH730,33,FALSE)-AVERAGE('The List'!AH2:AH730))/STDEV('The List'!AH2:AH730)</f>
        <v>0.430341576821552</v>
      </c>
      <c r="V13" s="46"/>
      <c r="W13" s="50"/>
      <c r="X13" s="48"/>
      <c r="Y13" s="48"/>
      <c r="Z13" s="48"/>
      <c r="AA13" s="48"/>
      <c r="AB13" s="48"/>
      <c r="AC13" s="51"/>
      <c r="AD13" s="52"/>
      <c r="AE13" s="46"/>
    </row>
    <row r="14" ht="21.25" customHeight="1">
      <c r="A14" t="s" s="8">
        <v>168</v>
      </c>
      <c r="B14" t="s" s="42">
        <f>VLOOKUP(A14,'Player Data'!A1:B734,2,FALSE)</f>
        <v>151</v>
      </c>
      <c r="C14" s="44">
        <f>((E14)*'Settings'!$C$12)+(F14*'Settings'!$C$2)+(G14*'Settings'!$C$3)+(H14*'Settings'!$C$4)+(I14*'Settings'!$C$5)+(K14*'Settings'!$C$9)+(N14*'Settings'!$C$6)+(J14*'Settings'!$C$8)+(O14*'Settings'!$C$7)+(P14*'Settings'!$C$14)+(Q14*'Settings'!$C$15)+(R14*'Settings'!$C$16)+(S14*'Settings'!$C$17)+(T14*'Settings'!$C$18)+(U14*'Settings'!$C$19)+(L14*'Settings'!$C$10)+('Settings'!$C$11*M14)</f>
        <v>8.336268884633309</v>
      </c>
      <c r="D14" s="48">
        <f>IF('Settings'!$E$12="YES",VLOOKUP(A14,'Player Data'!A1:E734,5,FALSE),82)</f>
        <v>78.56</v>
      </c>
      <c r="E14" s="46">
        <f>(VLOOKUP($A14,'The List'!$B1:$AH730,17,FALSE)-AVERAGE('The List'!R2:R730))/STDEV('The List'!R2:R730)</f>
        <v>0.849914777909977</v>
      </c>
      <c r="F14" s="46">
        <f>(VLOOKUP($A14,'The List'!$B1:$AH730,18,FALSE)-AVERAGE('The List'!S2:S730))/STDEV('The List'!S2:S730)</f>
        <v>1.30482995205153</v>
      </c>
      <c r="G14" s="46">
        <f>(VLOOKUP($A14,'The List'!$B1:$AH730,19,FALSE)-AVERAGE('The List'!T2:T730))/STDEV('The List'!T2:T730)</f>
        <v>3.08853759060011</v>
      </c>
      <c r="H14" s="46">
        <f>(VLOOKUP($A14,'The List'!$B1:$AH730,20,FALSE)-AVERAGE('The List'!U2:U730))/STDEV('The List'!U2:U730)</f>
        <v>2.49776662732095</v>
      </c>
      <c r="I14" s="46">
        <f>(VLOOKUP($A14,'The List'!$B1:$AH730,21,FALSE)-AVERAGE('The List'!V2:V730))/STDEV('The List'!V2:V730)</f>
        <v>1.10435050606282</v>
      </c>
      <c r="J14" s="46">
        <f>(VLOOKUP($A14,'The List'!$B1:$AH730,22,FALSE)-AVERAGE('The List'!W2:W730))/STDEV('The List'!W2:W730)</f>
        <v>1.31172039680302</v>
      </c>
      <c r="K14" s="46">
        <f>(VLOOKUP($A14,'The List'!$B1:$AH730,23,FALSE)-AVERAGE('The List'!X2:X730))/STDEV('The List'!X2:X730)</f>
        <v>2.69470012363107</v>
      </c>
      <c r="L14" s="46">
        <f>(VLOOKUP($A14,'The List'!$B1:$AH730,24,FALSE)-AVERAGE('The List'!Y2:Y730))/STDEV('The List'!Y2:Y730)</f>
        <v>-0.5294327245174409</v>
      </c>
      <c r="M14" s="46">
        <f>(VLOOKUP($A14,'The List'!$B1:$AH730,25,FALSE)-AVERAGE('The List'!Z2:Z730))/STDEV('The List'!Z2:Z730)</f>
        <v>-0.706425675247678</v>
      </c>
      <c r="N14" s="46">
        <f>(VLOOKUP($A14,'The List'!$B1:$AH730,26,FALSE)-AVERAGE('The List'!AA2:AA730))/STDEV('The List'!AA2:AA730)</f>
        <v>-1.14834926884333</v>
      </c>
      <c r="O14" s="46">
        <f>(VLOOKUP($A14,'The List'!$B1:$AH730,27,FALSE)-AVERAGE('The List'!AB2:AB730))/STDEV('The List'!AB2:AB730)</f>
        <v>-1.35568449837046</v>
      </c>
      <c r="P14" s="46">
        <f>(VLOOKUP($A14,'The List'!$B1:$AH730,28,FALSE)-AVERAGE('The List'!AC2:AC730))/STDEV('The List'!AC2:AC730)</f>
        <v>1.29219998113111</v>
      </c>
      <c r="Q14" s="46">
        <f>(VLOOKUP($A14,'The List'!$B1:$AH730,29,FALSE)-AVERAGE('The List'!AD2:AD730))/STDEV('The List'!AD2:AD730)</f>
        <v>-0.447669826865172</v>
      </c>
      <c r="R14" s="46">
        <f>(VLOOKUP($A14,'The List'!$B1:$AH730,30,FALSE)-AVERAGE('The List'!AE2:AE730))/STDEV('The List'!AE2:AE730)</f>
        <v>1.69881864192928</v>
      </c>
      <c r="S14" s="46">
        <f>(VLOOKUP($A14,'The List'!$B1:$AH730,31,FALSE)-AVERAGE('The List'!AF2:AF730))/STDEV('The List'!AF2:AF730)</f>
        <v>-0.53220138772854</v>
      </c>
      <c r="T14" s="46">
        <f>(VLOOKUP($A14,'The List'!$B1:$AH730,32,FALSE)-AVERAGE('The List'!AG2:AG730))/STDEV('The List'!AG2:AG730)</f>
        <v>-0.549540552335376</v>
      </c>
      <c r="U14" s="46">
        <f>(VLOOKUP($A14,'The List'!$B1:$AH730,33,FALSE)-AVERAGE('The List'!AH2:AH730))/STDEV('The List'!AH2:AH730)</f>
        <v>0.281827999364377</v>
      </c>
      <c r="V14" s="46"/>
      <c r="W14" s="50"/>
      <c r="X14" s="48"/>
      <c r="Y14" s="48"/>
      <c r="Z14" s="48"/>
      <c r="AA14" s="48"/>
      <c r="AB14" s="48"/>
      <c r="AC14" s="51"/>
      <c r="AD14" s="52"/>
      <c r="AE14" s="46"/>
    </row>
    <row r="15" ht="21.25" customHeight="1">
      <c r="A15" t="s" s="8">
        <v>161</v>
      </c>
      <c r="B15" t="s" s="42">
        <f>VLOOKUP(A15,'Player Data'!A1:B734,2,FALSE)</f>
        <v>119</v>
      </c>
      <c r="C15" s="44">
        <f>((E15)*'Settings'!$C$12)+(F15*'Settings'!$C$2)+(G15*'Settings'!$C$3)+(H15*'Settings'!$C$4)+(I15*'Settings'!$C$5)+(K15*'Settings'!$C$9)+(N15*'Settings'!$C$6)+(J15*'Settings'!$C$8)+(O15*'Settings'!$C$7)+(P15*'Settings'!$C$14)+(Q15*'Settings'!$C$15)+(R15*'Settings'!$C$16)+(S15*'Settings'!$C$17)+(T15*'Settings'!$C$18)+(U15*'Settings'!$C$19)+(L15*'Settings'!$C$10)+('Settings'!$C$11*M15)</f>
        <v>9.54068082082088</v>
      </c>
      <c r="D15" s="48">
        <f>IF('Settings'!$E$12="YES",VLOOKUP(A15,'Player Data'!A1:E734,5,FALSE),82)</f>
        <v>76.6039285714286</v>
      </c>
      <c r="E15" s="46">
        <f>(VLOOKUP($A15,'The List'!$B1:$AH730,17,FALSE)-AVERAGE('The List'!R2:R730))/STDEV('The List'!R2:R730)</f>
        <v>1.15667970271723</v>
      </c>
      <c r="F15" s="46">
        <f>(VLOOKUP($A15,'The List'!$B1:$AH730,18,FALSE)-AVERAGE('The List'!S2:S730))/STDEV('The List'!S2:S730)</f>
        <v>1.95558049597063</v>
      </c>
      <c r="G15" s="46">
        <f>(VLOOKUP($A15,'The List'!$B1:$AH730,19,FALSE)-AVERAGE('The List'!T2:T730))/STDEV('The List'!T2:T730)</f>
        <v>2.41755766327867</v>
      </c>
      <c r="H15" s="46">
        <f>(VLOOKUP($A15,'The List'!$B1:$AH730,20,FALSE)-AVERAGE('The List'!U2:U730))/STDEV('The List'!U2:U730)</f>
        <v>2.38022087001167</v>
      </c>
      <c r="I15" s="46">
        <f>(VLOOKUP($A15,'The List'!$B1:$AH730,21,FALSE)-AVERAGE('The List'!V2:V730))/STDEV('The List'!V2:V730)</f>
        <v>1.76645018171642</v>
      </c>
      <c r="J15" s="46">
        <f>(VLOOKUP($A15,'The List'!$B1:$AH730,22,FALSE)-AVERAGE('The List'!W2:W730))/STDEV('The List'!W2:W730)</f>
        <v>2.05055794295401</v>
      </c>
      <c r="K15" s="46">
        <f>(VLOOKUP($A15,'The List'!$B1:$AH730,23,FALSE)-AVERAGE('The List'!X2:X730))/STDEV('The List'!X2:X730)</f>
        <v>2.26910251987194</v>
      </c>
      <c r="L15" s="46">
        <f>(VLOOKUP($A15,'The List'!$B1:$AH730,24,FALSE)-AVERAGE('The List'!Y2:Y730))/STDEV('The List'!Y2:Y730)</f>
        <v>3.15775269777322</v>
      </c>
      <c r="M15" s="46">
        <f>(VLOOKUP($A15,'The List'!$B1:$AH730,25,FALSE)-AVERAGE('The List'!Z2:Z730))/STDEV('The List'!Z2:Z730)</f>
        <v>2.59103498620508</v>
      </c>
      <c r="N15" s="46">
        <f>(VLOOKUP($A15,'The List'!$B1:$AH730,26,FALSE)-AVERAGE('The List'!AA2:AA730))/STDEV('The List'!AA2:AA730)</f>
        <v>-0.196282839395233</v>
      </c>
      <c r="O15" s="46">
        <f>(VLOOKUP($A15,'The List'!$B1:$AH730,27,FALSE)-AVERAGE('The List'!AB2:AB730))/STDEV('The List'!AB2:AB730)</f>
        <v>-0.654573483630124</v>
      </c>
      <c r="P15" s="46">
        <f>(VLOOKUP($A15,'The List'!$B1:$AH730,28,FALSE)-AVERAGE('The List'!AC2:AC730))/STDEV('The List'!AC2:AC730)</f>
        <v>1.32827279937845</v>
      </c>
      <c r="Q15" s="46">
        <f>(VLOOKUP($A15,'The List'!$B1:$AH730,29,FALSE)-AVERAGE('The List'!AD2:AD730))/STDEV('The List'!AD2:AD730)</f>
        <v>-0.849515745817627</v>
      </c>
      <c r="R15" s="46">
        <f>(VLOOKUP($A15,'The List'!$B1:$AH730,30,FALSE)-AVERAGE('The List'!AE2:AE730))/STDEV('The List'!AE2:AE730)</f>
        <v>1.85031849107255</v>
      </c>
      <c r="S15" s="46">
        <f>(VLOOKUP($A15,'The List'!$B1:$AH730,31,FALSE)-AVERAGE('The List'!AF2:AF730))/STDEV('The List'!AF2:AF730)</f>
        <v>3.49986613293321</v>
      </c>
      <c r="T15" s="46">
        <f>(VLOOKUP($A15,'The List'!$B1:$AH730,32,FALSE)-AVERAGE('The List'!AG2:AG730))/STDEV('The List'!AG2:AG730)</f>
        <v>2.80492859655841</v>
      </c>
      <c r="U15" s="46">
        <f>(VLOOKUP($A15,'The List'!$B1:$AH730,33,FALSE)-AVERAGE('The List'!AH2:AH730))/STDEV('The List'!AH2:AH730)</f>
        <v>1.27526177627093</v>
      </c>
      <c r="V15" s="46"/>
      <c r="W15" s="50"/>
      <c r="X15" s="48"/>
      <c r="Y15" s="48"/>
      <c r="Z15" s="48"/>
      <c r="AA15" s="48"/>
      <c r="AB15" s="48"/>
      <c r="AC15" s="51"/>
      <c r="AD15" s="52"/>
      <c r="AE15" s="46"/>
    </row>
    <row r="16" ht="21.25" customHeight="1">
      <c r="A16" t="s" s="8">
        <v>138</v>
      </c>
      <c r="B16" t="s" s="42">
        <f>VLOOKUP(A16,'Player Data'!A1:B734,2,FALSE)</f>
        <v>139</v>
      </c>
      <c r="C16" s="44">
        <f>((E16)*'Settings'!$C$12)+(F16*'Settings'!$C$2)+(G16*'Settings'!$C$3)+(H16*'Settings'!$C$4)+(I16*'Settings'!$C$5)+(K16*'Settings'!$C$9)+(N16*'Settings'!$C$6)+(J16*'Settings'!$C$8)+(O16*'Settings'!$C$7)+(P16*'Settings'!$C$14)+(Q16*'Settings'!$C$15)+(R16*'Settings'!$C$16)+(S16*'Settings'!$C$17)+(T16*'Settings'!$C$18)+(U16*'Settings'!$C$19)+(L16*'Settings'!$C$10)+('Settings'!$C$11*M16)</f>
        <v>9.257874012621469</v>
      </c>
      <c r="D16" s="48">
        <f>IF('Settings'!$E$12="YES",VLOOKUP(A16,'Player Data'!A1:E734,5,FALSE),82)</f>
        <v>78.48999999999999</v>
      </c>
      <c r="E16" s="46">
        <f>(VLOOKUP($A16,'The List'!$B1:$AH730,17,FALSE)-AVERAGE('The List'!R2:R730))/STDEV('The List'!R2:R730)</f>
        <v>0.893323275328139</v>
      </c>
      <c r="F16" s="46">
        <f>(VLOOKUP($A16,'The List'!$B1:$AH730,18,FALSE)-AVERAGE('The List'!S2:S730))/STDEV('The List'!S2:S730)</f>
        <v>3.25255270712393</v>
      </c>
      <c r="G16" s="46">
        <f>(VLOOKUP($A16,'The List'!$B1:$AH730,19,FALSE)-AVERAGE('The List'!T2:T730))/STDEV('The List'!T2:T730)</f>
        <v>1.60749068879944</v>
      </c>
      <c r="H16" s="46">
        <f>(VLOOKUP($A16,'The List'!$B1:$AH730,20,FALSE)-AVERAGE('The List'!U2:U730))/STDEV('The List'!U2:U730)</f>
        <v>2.47097359526373</v>
      </c>
      <c r="I16" s="46">
        <f>(VLOOKUP($A16,'The List'!$B1:$AH730,21,FALSE)-AVERAGE('The List'!V2:V730))/STDEV('The List'!V2:V730)</f>
        <v>2.90245532814676</v>
      </c>
      <c r="J16" s="46">
        <f>(VLOOKUP($A16,'The List'!$B1:$AH730,22,FALSE)-AVERAGE('The List'!W2:W730))/STDEV('The List'!W2:W730)</f>
        <v>4.31719670860139</v>
      </c>
      <c r="K16" s="46">
        <f>(VLOOKUP($A16,'The List'!$B1:$AH730,23,FALSE)-AVERAGE('The List'!X2:X730))/STDEV('The List'!X2:X730)</f>
        <v>2.52341165150664</v>
      </c>
      <c r="L16" s="46">
        <f>(VLOOKUP($A16,'The List'!$B1:$AH730,24,FALSE)-AVERAGE('The List'!Y2:Y730))/STDEV('The List'!Y2:Y730)</f>
        <v>0.301176127962189</v>
      </c>
      <c r="M16" s="46">
        <f>(VLOOKUP($A16,'The List'!$B1:$AH730,25,FALSE)-AVERAGE('The List'!Z2:Z730))/STDEV('The List'!Z2:Z730)</f>
        <v>-0.150744844490357</v>
      </c>
      <c r="N16" s="46">
        <f>(VLOOKUP($A16,'The List'!$B1:$AH730,26,FALSE)-AVERAGE('The List'!AA2:AA730))/STDEV('The List'!AA2:AA730)</f>
        <v>-0.775910933239488</v>
      </c>
      <c r="O16" s="46">
        <f>(VLOOKUP($A16,'The List'!$B1:$AH730,27,FALSE)-AVERAGE('The List'!AB2:AB730))/STDEV('The List'!AB2:AB730)</f>
        <v>-0.5711900021833199</v>
      </c>
      <c r="P16" s="46">
        <f>(VLOOKUP($A16,'The List'!$B1:$AH730,28,FALSE)-AVERAGE('The List'!AC2:AC730))/STDEV('The List'!AC2:AC730)</f>
        <v>-0.252125429715815</v>
      </c>
      <c r="Q16" s="46">
        <f>(VLOOKUP($A16,'The List'!$B1:$AH730,29,FALSE)-AVERAGE('The List'!AD2:AD730))/STDEV('The List'!AD2:AD730)</f>
        <v>0.525472092427417</v>
      </c>
      <c r="R16" s="46">
        <f>(VLOOKUP($A16,'The List'!$B1:$AH730,30,FALSE)-AVERAGE('The List'!AE2:AE730))/STDEV('The List'!AE2:AE730)</f>
        <v>2.60424421803475</v>
      </c>
      <c r="S16" s="46">
        <f>(VLOOKUP($A16,'The List'!$B1:$AH730,31,FALSE)-AVERAGE('The List'!AF2:AF730))/STDEV('The List'!AF2:AF730)</f>
        <v>1.13290922467958</v>
      </c>
      <c r="T16" s="46">
        <f>(VLOOKUP($A16,'The List'!$B1:$AH730,32,FALSE)-AVERAGE('The List'!AG2:AG730))/STDEV('The List'!AG2:AG730)</f>
        <v>2.06034508731477</v>
      </c>
      <c r="U16" s="46">
        <f>(VLOOKUP($A16,'The List'!$B1:$AH730,33,FALSE)-AVERAGE('The List'!AH2:AH730))/STDEV('The List'!AH2:AH730)</f>
        <v>0.572148958741079</v>
      </c>
      <c r="V16" s="46"/>
      <c r="W16" s="48"/>
      <c r="X16" s="48"/>
      <c r="Y16" s="48"/>
      <c r="Z16" s="48"/>
      <c r="AA16" s="48"/>
      <c r="AB16" s="48"/>
      <c r="AC16" s="51"/>
      <c r="AD16" s="52"/>
      <c r="AE16" s="46"/>
    </row>
    <row r="17" ht="21.25" customHeight="1">
      <c r="A17" t="s" s="8">
        <v>162</v>
      </c>
      <c r="B17" t="s" s="42">
        <f>VLOOKUP(A17,'Player Data'!A1:B734,2,FALSE)</f>
        <v>156</v>
      </c>
      <c r="C17" s="44">
        <f>((E17)*'Settings'!$C$12)+(F17*'Settings'!$C$2)+(G17*'Settings'!$C$3)+(H17*'Settings'!$C$4)+(I17*'Settings'!$C$5)+(K17*'Settings'!$C$9)+(N17*'Settings'!$C$6)+(J17*'Settings'!$C$8)+(O17*'Settings'!$C$7)+(P17*'Settings'!$C$14)+(Q17*'Settings'!$C$15)+(R17*'Settings'!$C$16)+(S17*'Settings'!$C$17)+(T17*'Settings'!$C$18)+(U17*'Settings'!$C$19)+(L17*'Settings'!$C$10)+('Settings'!$C$11*M17)</f>
        <v>9.00164665167647</v>
      </c>
      <c r="D17" s="48">
        <f>IF('Settings'!$E$12="YES",VLOOKUP(A17,'Player Data'!A1:E734,5,FALSE),82)</f>
        <v>77.0071428571429</v>
      </c>
      <c r="E17" s="46">
        <f>(VLOOKUP($A17,'The List'!$B1:$AH730,17,FALSE)-AVERAGE('The List'!R2:R730))/STDEV('The List'!R2:R730)</f>
        <v>1.01046032661321</v>
      </c>
      <c r="F17" s="46">
        <f>(VLOOKUP($A17,'The List'!$B1:$AH730,18,FALSE)-AVERAGE('The List'!S2:S730))/STDEV('The List'!S2:S730)</f>
        <v>2.39963877424723</v>
      </c>
      <c r="G17" s="46">
        <f>(VLOOKUP($A17,'The List'!$B1:$AH730,19,FALSE)-AVERAGE('The List'!T2:T730))/STDEV('The List'!T2:T730)</f>
        <v>2.15213203929973</v>
      </c>
      <c r="H17" s="46">
        <f>(VLOOKUP($A17,'The List'!$B1:$AH730,20,FALSE)-AVERAGE('The List'!U2:U730))/STDEV('The List'!U2:U730)</f>
        <v>2.4186448840126</v>
      </c>
      <c r="I17" s="46">
        <f>(VLOOKUP($A17,'The List'!$B1:$AH730,21,FALSE)-AVERAGE('The List'!V2:V730))/STDEV('The List'!V2:V730)</f>
        <v>1.77245041155416</v>
      </c>
      <c r="J17" s="46">
        <f>(VLOOKUP($A17,'The List'!$B1:$AH730,22,FALSE)-AVERAGE('The List'!W2:W730))/STDEV('The List'!W2:W730)</f>
        <v>1.71960311448435</v>
      </c>
      <c r="K17" s="46">
        <f>(VLOOKUP($A17,'The List'!$B1:$AH730,23,FALSE)-AVERAGE('The List'!X2:X730))/STDEV('The List'!X2:X730)</f>
        <v>1.86036837536785</v>
      </c>
      <c r="L17" s="46">
        <f>(VLOOKUP($A17,'The List'!$B1:$AH730,24,FALSE)-AVERAGE('The List'!Y2:Y730))/STDEV('The List'!Y2:Y730)</f>
        <v>3.32879490073709</v>
      </c>
      <c r="M17" s="46">
        <f>(VLOOKUP($A17,'The List'!$B1:$AH730,25,FALSE)-AVERAGE('The List'!Z2:Z730))/STDEV('The List'!Z2:Z730)</f>
        <v>4.28439081721679</v>
      </c>
      <c r="N17" s="46">
        <f>(VLOOKUP($A17,'The List'!$B1:$AH730,26,FALSE)-AVERAGE('The List'!AA2:AA730))/STDEV('The List'!AA2:AA730)</f>
        <v>0.264070044792206</v>
      </c>
      <c r="O17" s="46">
        <f>(VLOOKUP($A17,'The List'!$B1:$AH730,27,FALSE)-AVERAGE('The List'!AB2:AB730))/STDEV('The List'!AB2:AB730)</f>
        <v>-0.533339484154852</v>
      </c>
      <c r="P17" s="46">
        <f>(VLOOKUP($A17,'The List'!$B1:$AH730,28,FALSE)-AVERAGE('The List'!AC2:AC730))/STDEV('The List'!AC2:AC730)</f>
        <v>0.552987006415296</v>
      </c>
      <c r="Q17" s="46">
        <f>(VLOOKUP($A17,'The List'!$B1:$AH730,29,FALSE)-AVERAGE('The List'!AD2:AD730))/STDEV('The List'!AD2:AD730)</f>
        <v>-0.957509466658271</v>
      </c>
      <c r="R17" s="46">
        <f>(VLOOKUP($A17,'The List'!$B1:$AH730,30,FALSE)-AVERAGE('The List'!AE2:AE730))/STDEV('The List'!AE2:AE730)</f>
        <v>2.21932105816745</v>
      </c>
      <c r="S17" s="46">
        <f>(VLOOKUP($A17,'The List'!$B1:$AH730,31,FALSE)-AVERAGE('The List'!AF2:AF730))/STDEV('The List'!AF2:AF730)</f>
        <v>1.33168655196168</v>
      </c>
      <c r="T17" s="46">
        <f>(VLOOKUP($A17,'The List'!$B1:$AH730,32,FALSE)-AVERAGE('The List'!AG2:AG730))/STDEV('The List'!AG2:AG730)</f>
        <v>1.89750394572261</v>
      </c>
      <c r="U17" s="46">
        <f>(VLOOKUP($A17,'The List'!$B1:$AH730,33,FALSE)-AVERAGE('The List'!AH2:AH730))/STDEV('The List'!AH2:AH730)</f>
        <v>0.76405011530529</v>
      </c>
      <c r="V17" s="46"/>
      <c r="W17" s="50"/>
      <c r="X17" s="48"/>
      <c r="Y17" s="48"/>
      <c r="Z17" s="48"/>
      <c r="AA17" s="48"/>
      <c r="AB17" s="48"/>
      <c r="AC17" s="51"/>
      <c r="AD17" s="52"/>
      <c r="AE17" s="46"/>
    </row>
    <row r="18" ht="21.25" customHeight="1">
      <c r="A18" t="s" s="8">
        <v>169</v>
      </c>
      <c r="B18" t="s" s="42">
        <f>VLOOKUP(A18,'Player Data'!A1:B734,2,FALSE)</f>
        <v>170</v>
      </c>
      <c r="C18" s="44">
        <f>((E18)*'Settings'!$C$12)+(F18*'Settings'!$C$2)+(G18*'Settings'!$C$3)+(H18*'Settings'!$C$4)+(I18*'Settings'!$C$5)+(K18*'Settings'!$C$9)+(N18*'Settings'!$C$6)+(J18*'Settings'!$C$8)+(O18*'Settings'!$C$7)+(P18*'Settings'!$C$14)+(Q18*'Settings'!$C$15)+(R18*'Settings'!$C$16)+(S18*'Settings'!$C$17)+(T18*'Settings'!$C$18)+(U18*'Settings'!$C$19)+(L18*'Settings'!$C$10)+('Settings'!$C$11*M18)</f>
        <v>9.04588136393412</v>
      </c>
      <c r="D18" s="48">
        <f>IF('Settings'!$E$12="YES",VLOOKUP(A18,'Player Data'!A1:E734,5,FALSE),82)</f>
        <v>80.09607142857141</v>
      </c>
      <c r="E18" s="46">
        <f>(VLOOKUP($A18,'The List'!$B1:$AH730,17,FALSE)-AVERAGE('The List'!R2:R730))/STDEV('The List'!R2:R730)</f>
        <v>0.951625839197226</v>
      </c>
      <c r="F18" s="46">
        <f>(VLOOKUP($A18,'The List'!$B1:$AH730,18,FALSE)-AVERAGE('The List'!S2:S730))/STDEV('The List'!S2:S730)</f>
        <v>1.76306046557332</v>
      </c>
      <c r="G18" s="46">
        <f>(VLOOKUP($A18,'The List'!$B1:$AH730,19,FALSE)-AVERAGE('The List'!T2:T730))/STDEV('The List'!T2:T730)</f>
        <v>2.42040088610456</v>
      </c>
      <c r="H18" s="46">
        <f>(VLOOKUP($A18,'The List'!$B1:$AH730,20,FALSE)-AVERAGE('The List'!U2:U730))/STDEV('The List'!U2:U730)</f>
        <v>2.29437320455888</v>
      </c>
      <c r="I18" s="46">
        <f>(VLOOKUP($A18,'The List'!$B1:$AH730,21,FALSE)-AVERAGE('The List'!V2:V730))/STDEV('The List'!V2:V730)</f>
        <v>1.87139362046485</v>
      </c>
      <c r="J18" s="46">
        <f>(VLOOKUP($A18,'The List'!$B1:$AH730,22,FALSE)-AVERAGE('The List'!W2:W730))/STDEV('The List'!W2:W730)</f>
        <v>1.58557537663295</v>
      </c>
      <c r="K18" s="46">
        <f>(VLOOKUP($A18,'The List'!$B1:$AH730,23,FALSE)-AVERAGE('The List'!X2:X730))/STDEV('The List'!X2:X730)</f>
        <v>2.16855366726074</v>
      </c>
      <c r="L18" s="46">
        <f>(VLOOKUP($A18,'The List'!$B1:$AH730,24,FALSE)-AVERAGE('The List'!Y2:Y730))/STDEV('The List'!Y2:Y730)</f>
        <v>-0.504689175045943</v>
      </c>
      <c r="M18" s="46">
        <f>(VLOOKUP($A18,'The List'!$B1:$AH730,25,FALSE)-AVERAGE('The List'!Z2:Z730))/STDEV('The List'!Z2:Z730)</f>
        <v>-0.678161664002532</v>
      </c>
      <c r="N18" s="46">
        <f>(VLOOKUP($A18,'The List'!$B1:$AH730,26,FALSE)-AVERAGE('The List'!AA2:AA730))/STDEV('The List'!AA2:AA730)</f>
        <v>-0.384337104115797</v>
      </c>
      <c r="O18" s="46">
        <f>(VLOOKUP($A18,'The List'!$B1:$AH730,27,FALSE)-AVERAGE('The List'!AB2:AB730))/STDEV('The List'!AB2:AB730)</f>
        <v>-0.552289081778897</v>
      </c>
      <c r="P18" s="46">
        <f>(VLOOKUP($A18,'The List'!$B1:$AH730,28,FALSE)-AVERAGE('The List'!AC2:AC730))/STDEV('The List'!AC2:AC730)</f>
        <v>1.20680982864645</v>
      </c>
      <c r="Q18" s="46">
        <f>(VLOOKUP($A18,'The List'!$B1:$AH730,29,FALSE)-AVERAGE('The List'!AD2:AD730))/STDEV('The List'!AD2:AD730)</f>
        <v>0.317361846377707</v>
      </c>
      <c r="R18" s="46">
        <f>(VLOOKUP($A18,'The List'!$B1:$AH730,30,FALSE)-AVERAGE('The List'!AE2:AE730))/STDEV('The List'!AE2:AE730)</f>
        <v>2.01030343716159</v>
      </c>
      <c r="S18" s="46">
        <f>(VLOOKUP($A18,'The List'!$B1:$AH730,31,FALSE)-AVERAGE('The List'!AF2:AF730))/STDEV('The List'!AF2:AF730)</f>
        <v>4.08473423103952</v>
      </c>
      <c r="T18" s="46">
        <f>(VLOOKUP($A18,'The List'!$B1:$AH730,32,FALSE)-AVERAGE('The List'!AG2:AG730))/STDEV('The List'!AG2:AG730)</f>
        <v>3.74723827431769</v>
      </c>
      <c r="U18" s="46">
        <f>(VLOOKUP($A18,'The List'!$B1:$AH730,33,FALSE)-AVERAGE('The List'!AH2:AH730))/STDEV('The List'!AH2:AH730)</f>
        <v>1.15246003470318</v>
      </c>
      <c r="V18" s="46"/>
      <c r="W18" s="50"/>
      <c r="X18" s="48"/>
      <c r="Y18" s="48"/>
      <c r="Z18" s="48"/>
      <c r="AA18" s="48"/>
      <c r="AB18" s="48"/>
      <c r="AC18" s="51"/>
      <c r="AD18" s="52"/>
      <c r="AE18" s="46"/>
    </row>
    <row r="19" ht="21.25" customHeight="1">
      <c r="A19" t="s" s="8">
        <v>188</v>
      </c>
      <c r="B19" t="s" s="42">
        <f>VLOOKUP(A19,'Player Data'!A1:B734,2,FALSE)</f>
        <v>189</v>
      </c>
      <c r="C19" s="44">
        <f>((E19)*'Settings'!$C$12)+(F19*'Settings'!$C$2)+(G19*'Settings'!$C$3)+(H19*'Settings'!$C$4)+(I19*'Settings'!$C$5)+(K19*'Settings'!$C$9)+(N19*'Settings'!$C$6)+(J19*'Settings'!$C$8)+(O19*'Settings'!$C$7)+(P19*'Settings'!$C$14)+(Q19*'Settings'!$C$15)+(R19*'Settings'!$C$16)+(S19*'Settings'!$C$17)+(T19*'Settings'!$C$18)+(U19*'Settings'!$C$19)+(L19*'Settings'!$C$10)+('Settings'!$C$11*M19)</f>
        <v>5.32901082125136</v>
      </c>
      <c r="D19" s="48">
        <f>IF('Settings'!$E$12="YES",VLOOKUP(A19,'Player Data'!A1:E734,5,FALSE),82)</f>
        <v>81.675</v>
      </c>
      <c r="E19" s="46">
        <f>(VLOOKUP($A19,'The List'!$B1:$AH730,17,FALSE)-AVERAGE('The List'!R2:R730))/STDEV('The List'!R2:R730)</f>
        <v>0.83807976136124</v>
      </c>
      <c r="F19" s="46">
        <f>(VLOOKUP($A19,'The List'!$B1:$AH730,18,FALSE)-AVERAGE('The List'!S2:S730))/STDEV('The List'!S2:S730)</f>
        <v>1.39701097456817</v>
      </c>
      <c r="G19" s="46">
        <f>(VLOOKUP($A19,'The List'!$B1:$AH730,19,FALSE)-AVERAGE('The List'!T2:T730))/STDEV('The List'!T2:T730)</f>
        <v>2.47086274169091</v>
      </c>
      <c r="H19" s="46">
        <f>(VLOOKUP($A19,'The List'!$B1:$AH730,20,FALSE)-AVERAGE('The List'!U2:U730))/STDEV('The List'!U2:U730)</f>
        <v>2.15892241548776</v>
      </c>
      <c r="I19" s="46">
        <f>(VLOOKUP($A19,'The List'!$B1:$AH730,21,FALSE)-AVERAGE('The List'!V2:V730))/STDEV('The List'!V2:V730)</f>
        <v>1.56236215035751</v>
      </c>
      <c r="J19" s="46">
        <f>(VLOOKUP($A19,'The List'!$B1:$AH730,22,FALSE)-AVERAGE('The List'!W2:W730))/STDEV('The List'!W2:W730)</f>
        <v>0.705375888755105</v>
      </c>
      <c r="K19" s="46">
        <f>(VLOOKUP($A19,'The List'!$B1:$AH730,23,FALSE)-AVERAGE('The List'!X2:X730))/STDEV('The List'!X2:X730)</f>
        <v>1.66432521846713</v>
      </c>
      <c r="L19" s="46">
        <f>(VLOOKUP($A19,'The List'!$B1:$AH730,24,FALSE)-AVERAGE('The List'!Y2:Y730))/STDEV('The List'!Y2:Y730)</f>
        <v>-0.531005952473339</v>
      </c>
      <c r="M19" s="46">
        <f>(VLOOKUP($A19,'The List'!$B1:$AH730,25,FALSE)-AVERAGE('The List'!Z2:Z730))/STDEV('The List'!Z2:Z730)</f>
        <v>-0.708335895387099</v>
      </c>
      <c r="N19" s="46">
        <f>(VLOOKUP($A19,'The List'!$B1:$AH730,26,FALSE)-AVERAGE('The List'!AA2:AA730))/STDEV('The List'!AA2:AA730)</f>
        <v>-1.049986293970</v>
      </c>
      <c r="O19" s="46">
        <f>(VLOOKUP($A19,'The List'!$B1:$AH730,27,FALSE)-AVERAGE('The List'!AB2:AB730))/STDEV('The List'!AB2:AB730)</f>
        <v>-1.68934928125581</v>
      </c>
      <c r="P19" s="46">
        <f>(VLOOKUP($A19,'The List'!$B1:$AH730,28,FALSE)-AVERAGE('The List'!AC2:AC730))/STDEV('The List'!AC2:AC730)</f>
        <v>-0.71556396986236</v>
      </c>
      <c r="Q19" s="46">
        <f>(VLOOKUP($A19,'The List'!$B1:$AH730,29,FALSE)-AVERAGE('The List'!AD2:AD730))/STDEV('The List'!AD2:AD730)</f>
        <v>-0.686027746817942</v>
      </c>
      <c r="R19" s="46">
        <f>(VLOOKUP($A19,'The List'!$B1:$AH730,30,FALSE)-AVERAGE('The List'!AE2:AE730))/STDEV('The List'!AE2:AE730)</f>
        <v>0.692990950895613</v>
      </c>
      <c r="S19" s="46">
        <f>(VLOOKUP($A19,'The List'!$B1:$AH730,31,FALSE)-AVERAGE('The List'!AF2:AF730))/STDEV('The List'!AF2:AF730)</f>
        <v>-0.556329247456808</v>
      </c>
      <c r="T19" s="46">
        <f>(VLOOKUP($A19,'The List'!$B1:$AH730,32,FALSE)-AVERAGE('The List'!AG2:AG730))/STDEV('The List'!AG2:AG730)</f>
        <v>-0.599818529144421</v>
      </c>
      <c r="U19" s="46">
        <f>(VLOOKUP($A19,'The List'!$B1:$AH730,33,FALSE)-AVERAGE('The List'!AH2:AH730))/STDEV('The List'!AH2:AH730)</f>
        <v>0.430379790389401</v>
      </c>
      <c r="V19" s="46"/>
      <c r="W19" s="48"/>
      <c r="X19" s="46"/>
      <c r="Y19" s="46"/>
      <c r="Z19" s="46"/>
      <c r="AA19" s="46"/>
      <c r="AB19" s="46"/>
      <c r="AC19" s="46"/>
      <c r="AD19" s="46"/>
      <c r="AE19" s="46"/>
    </row>
    <row r="20" ht="21.25" customHeight="1">
      <c r="A20" t="s" s="8">
        <v>178</v>
      </c>
      <c r="B20" t="s" s="42">
        <f>VLOOKUP(A20,'Player Data'!A1:B734,2,FALSE)</f>
        <v>124</v>
      </c>
      <c r="C20" s="44">
        <f>((E20)*'Settings'!$C$12)+(F20*'Settings'!$C$2)+(G20*'Settings'!$C$3)+(H20*'Settings'!$C$4)+(I20*'Settings'!$C$5)+(K20*'Settings'!$C$9)+(N20*'Settings'!$C$6)+(J20*'Settings'!$C$8)+(O20*'Settings'!$C$7)+(P20*'Settings'!$C$14)+(Q20*'Settings'!$C$15)+(R20*'Settings'!$C$16)+(S20*'Settings'!$C$17)+(T20*'Settings'!$C$18)+(U20*'Settings'!$C$19)+(L20*'Settings'!$C$10)+('Settings'!$C$11*M20)</f>
        <v>7.59672120324704</v>
      </c>
      <c r="D20" s="48">
        <f>IF('Settings'!$E$12="YES",VLOOKUP(A20,'Player Data'!A1:E734,5,FALSE),82)</f>
        <v>79.40000000000001</v>
      </c>
      <c r="E20" s="46">
        <f>(VLOOKUP($A20,'The List'!$B1:$AH730,17,FALSE)-AVERAGE('The List'!R2:R730))/STDEV('The List'!R2:R730)</f>
        <v>0.67884603245298</v>
      </c>
      <c r="F20" s="46">
        <f>(VLOOKUP($A20,'The List'!$B1:$AH730,18,FALSE)-AVERAGE('The List'!S2:S730))/STDEV('The List'!S2:S730)</f>
        <v>1.89305922912945</v>
      </c>
      <c r="G20" s="46">
        <f>(VLOOKUP($A20,'The List'!$B1:$AH730,19,FALSE)-AVERAGE('The List'!T2:T730))/STDEV('The List'!T2:T730)</f>
        <v>1.93085693709084</v>
      </c>
      <c r="H20" s="46">
        <f>(VLOOKUP($A20,'The List'!$B1:$AH730,20,FALSE)-AVERAGE('The List'!U2:U730))/STDEV('The List'!U2:U730)</f>
        <v>2.05172783903414</v>
      </c>
      <c r="I20" s="46">
        <f>(VLOOKUP($A20,'The List'!$B1:$AH730,21,FALSE)-AVERAGE('The List'!V2:V730))/STDEV('The List'!V2:V730)</f>
        <v>1.60113281725128</v>
      </c>
      <c r="J20" s="46">
        <f>(VLOOKUP($A20,'The List'!$B1:$AH730,22,FALSE)-AVERAGE('The List'!W2:W730))/STDEV('The List'!W2:W730)</f>
        <v>2.72604470303932</v>
      </c>
      <c r="K20" s="46">
        <f>(VLOOKUP($A20,'The List'!$B1:$AH730,23,FALSE)-AVERAGE('The List'!X2:X730))/STDEV('The List'!X2:X730)</f>
        <v>2.3759122011826</v>
      </c>
      <c r="L20" s="46">
        <f>(VLOOKUP($A20,'The List'!$B1:$AH730,24,FALSE)-AVERAGE('The List'!Y2:Y730))/STDEV('The List'!Y2:Y730)</f>
        <v>-0.435243205494631</v>
      </c>
      <c r="M20" s="46">
        <f>(VLOOKUP($A20,'The List'!$B1:$AH730,25,FALSE)-AVERAGE('The List'!Z2:Z730))/STDEV('The List'!Z2:Z730)</f>
        <v>-0.490511706175294</v>
      </c>
      <c r="N20" s="46">
        <f>(VLOOKUP($A20,'The List'!$B1:$AH730,26,FALSE)-AVERAGE('The List'!AA2:AA730))/STDEV('The List'!AA2:AA730)</f>
        <v>-0.409805274667707</v>
      </c>
      <c r="O20" s="46">
        <f>(VLOOKUP($A20,'The List'!$B1:$AH730,27,FALSE)-AVERAGE('The List'!AB2:AB730))/STDEV('The List'!AB2:AB730)</f>
        <v>-0.0252379755788425</v>
      </c>
      <c r="P20" s="46">
        <f>(VLOOKUP($A20,'The List'!$B1:$AH730,28,FALSE)-AVERAGE('The List'!AC2:AC730))/STDEV('The List'!AC2:AC730)</f>
        <v>0.205565293260575</v>
      </c>
      <c r="Q20" s="46">
        <f>(VLOOKUP($A20,'The List'!$B1:$AH730,29,FALSE)-AVERAGE('The List'!AD2:AD730))/STDEV('The List'!AD2:AD730)</f>
        <v>0.6365114142899601</v>
      </c>
      <c r="R20" s="46">
        <f>(VLOOKUP($A20,'The List'!$B1:$AH730,30,FALSE)-AVERAGE('The List'!AE2:AE730))/STDEV('The List'!AE2:AE730)</f>
        <v>2.06268752281464</v>
      </c>
      <c r="S20" s="46">
        <f>(VLOOKUP($A20,'The List'!$B1:$AH730,31,FALSE)-AVERAGE('The List'!AF2:AF730))/STDEV('The List'!AF2:AF730)</f>
        <v>1.90002109053687</v>
      </c>
      <c r="T20" s="46">
        <f>(VLOOKUP($A20,'The List'!$B1:$AH730,32,FALSE)-AVERAGE('The List'!AG2:AG730))/STDEV('The List'!AG2:AG730)</f>
        <v>1.67561834707079</v>
      </c>
      <c r="U20" s="46">
        <f>(VLOOKUP($A20,'The List'!$B1:$AH730,33,FALSE)-AVERAGE('The List'!AH2:AH730))/STDEV('The List'!AH2:AH730)</f>
        <v>1.16478193343671</v>
      </c>
      <c r="V20" s="46"/>
      <c r="W20" s="50"/>
      <c r="X20" s="48"/>
      <c r="Y20" s="48"/>
      <c r="Z20" s="48"/>
      <c r="AA20" s="48"/>
      <c r="AB20" s="48"/>
      <c r="AC20" s="51"/>
      <c r="AD20" s="52"/>
      <c r="AE20" s="46"/>
    </row>
    <row r="21" ht="21.25" customHeight="1">
      <c r="A21" t="s" s="8">
        <v>216</v>
      </c>
      <c r="B21" t="s" s="42">
        <f>VLOOKUP(A21,'Player Data'!A1:B734,2,FALSE)</f>
        <v>194</v>
      </c>
      <c r="C21" s="44">
        <f>((E21)*'Settings'!$C$12)+(F21*'Settings'!$C$2)+(G21*'Settings'!$C$3)+(H21*'Settings'!$C$4)+(I21*'Settings'!$C$5)+(K21*'Settings'!$C$9)+(N21*'Settings'!$C$6)+(J21*'Settings'!$C$8)+(O21*'Settings'!$C$7)+(P21*'Settings'!$C$14)+(Q21*'Settings'!$C$15)+(R21*'Settings'!$C$16)+(S21*'Settings'!$C$17)+(T21*'Settings'!$C$18)+(U21*'Settings'!$C$19)+(L21*'Settings'!$C$10)+('Settings'!$C$11*M21)</f>
        <v>5.29247492065536</v>
      </c>
      <c r="D21" s="48">
        <f>IF('Settings'!$E$12="YES",VLOOKUP(A21,'Player Data'!A1:E734,5,FALSE),82)</f>
        <v>78.40000000000001</v>
      </c>
      <c r="E21" s="46">
        <f>(VLOOKUP($A21,'The List'!$B1:$AH730,17,FALSE)-AVERAGE('The List'!R2:R730))/STDEV('The List'!R2:R730)</f>
        <v>1.03130146563707</v>
      </c>
      <c r="F21" s="46">
        <f>(VLOOKUP($A21,'The List'!$B1:$AH730,18,FALSE)-AVERAGE('The List'!S2:S730))/STDEV('The List'!S2:S730)</f>
        <v>1.8144529276465</v>
      </c>
      <c r="G21" s="46">
        <f>(VLOOKUP($A21,'The List'!$B1:$AH730,19,FALSE)-AVERAGE('The List'!T2:T730))/STDEV('The List'!T2:T730)</f>
        <v>1.90009782015975</v>
      </c>
      <c r="H21" s="46">
        <f>(VLOOKUP($A21,'The List'!$B1:$AH730,20,FALSE)-AVERAGE('The List'!U2:U730))/STDEV('The List'!U2:U730)</f>
        <v>1.996997804055</v>
      </c>
      <c r="I21" s="46">
        <f>(VLOOKUP($A21,'The List'!$B1:$AH730,21,FALSE)-AVERAGE('The List'!V2:V730))/STDEV('The List'!V2:V730)</f>
        <v>0.817314601907991</v>
      </c>
      <c r="J21" s="46">
        <f>(VLOOKUP($A21,'The List'!$B1:$AH730,22,FALSE)-AVERAGE('The List'!W2:W730))/STDEV('The List'!W2:W730)</f>
        <v>1.65105188392797</v>
      </c>
      <c r="K21" s="46">
        <f>(VLOOKUP($A21,'The List'!$B1:$AH730,23,FALSE)-AVERAGE('The List'!X2:X730))/STDEV('The List'!X2:X730)</f>
        <v>1.63150387168673</v>
      </c>
      <c r="L21" s="46">
        <f>(VLOOKUP($A21,'The List'!$B1:$AH730,24,FALSE)-AVERAGE('The List'!Y2:Y730))/STDEV('The List'!Y2:Y730)</f>
        <v>0.690718455263849</v>
      </c>
      <c r="M21" s="46">
        <f>(VLOOKUP($A21,'The List'!$B1:$AH730,25,FALSE)-AVERAGE('The List'!Z2:Z730))/STDEV('The List'!Z2:Z730)</f>
        <v>2.20152896946375</v>
      </c>
      <c r="N21" s="46">
        <f>(VLOOKUP($A21,'The List'!$B1:$AH730,26,FALSE)-AVERAGE('The List'!AA2:AA730))/STDEV('The List'!AA2:AA730)</f>
        <v>-0.752613291548391</v>
      </c>
      <c r="O21" s="46">
        <f>(VLOOKUP($A21,'The List'!$B1:$AH730,27,FALSE)-AVERAGE('The List'!AB2:AB730))/STDEV('The List'!AB2:AB730)</f>
        <v>-0.42636631126218</v>
      </c>
      <c r="P21" s="46">
        <f>(VLOOKUP($A21,'The List'!$B1:$AH730,28,FALSE)-AVERAGE('The List'!AC2:AC730))/STDEV('The List'!AC2:AC730)</f>
        <v>-0.118281009197225</v>
      </c>
      <c r="Q21" s="46">
        <f>(VLOOKUP($A21,'The List'!$B1:$AH730,29,FALSE)-AVERAGE('The List'!AD2:AD730))/STDEV('The List'!AD2:AD730)</f>
        <v>0.363240467214563</v>
      </c>
      <c r="R21" s="46">
        <f>(VLOOKUP($A21,'The List'!$B1:$AH730,30,FALSE)-AVERAGE('The List'!AE2:AE730))/STDEV('The List'!AE2:AE730)</f>
        <v>1.1442600765945</v>
      </c>
      <c r="S21" s="46">
        <f>(VLOOKUP($A21,'The List'!$B1:$AH730,31,FALSE)-AVERAGE('The List'!AF2:AF730))/STDEV('The List'!AF2:AF730)</f>
        <v>-0.249229146848311</v>
      </c>
      <c r="T21" s="46">
        <f>(VLOOKUP($A21,'The List'!$B1:$AH730,32,FALSE)-AVERAGE('The List'!AG2:AG730))/STDEV('The List'!AG2:AG730)</f>
        <v>0.167234740124049</v>
      </c>
      <c r="U21" s="46">
        <f>(VLOOKUP($A21,'The List'!$B1:$AH730,33,FALSE)-AVERAGE('The List'!AH2:AH730))/STDEV('The List'!AH2:AH730)</f>
        <v>0.102434603749265</v>
      </c>
      <c r="V21" s="46"/>
      <c r="W21" s="50"/>
      <c r="X21" s="48"/>
      <c r="Y21" s="48"/>
      <c r="Z21" s="48"/>
      <c r="AA21" s="48"/>
      <c r="AB21" s="48"/>
      <c r="AC21" s="51"/>
      <c r="AD21" s="52"/>
      <c r="AE21" s="46"/>
    </row>
    <row r="22" ht="21.25" customHeight="1">
      <c r="A22" t="s" s="8">
        <v>128</v>
      </c>
      <c r="B22" t="s" s="42">
        <f>VLOOKUP(A22,'Player Data'!A1:B734,2,FALSE)</f>
        <v>113</v>
      </c>
      <c r="C22" s="44">
        <f>((E22)*'Settings'!$C$12)+(F22*'Settings'!$C$2)+(G22*'Settings'!$C$3)+(H22*'Settings'!$C$4)+(I22*'Settings'!$C$5)+(K22*'Settings'!$C$9)+(N22*'Settings'!$C$6)+(J22*'Settings'!$C$8)+(O22*'Settings'!$C$7)+(P22*'Settings'!$C$14)+(Q22*'Settings'!$C$15)+(R22*'Settings'!$C$16)+(S22*'Settings'!$C$17)+(T22*'Settings'!$C$18)+(U22*'Settings'!$C$19)+(L22*'Settings'!$C$10)+('Settings'!$C$11*M22)</f>
        <v>11.7377354075943</v>
      </c>
      <c r="D22" s="48">
        <f>IF('Settings'!$E$12="YES",VLOOKUP(A22,'Player Data'!A1:E734,5,FALSE),82)</f>
        <v>75.6803571428571</v>
      </c>
      <c r="E22" s="46">
        <f>(VLOOKUP($A22,'The List'!$B1:$AH730,17,FALSE)-AVERAGE('The List'!R2:R730))/STDEV('The List'!R2:R730)</f>
        <v>2.62237523962918</v>
      </c>
      <c r="F22" s="46">
        <f>(VLOOKUP($A22,'The List'!$B1:$AH730,18,FALSE)-AVERAGE('The List'!S2:S730))/STDEV('The List'!S2:S730)</f>
        <v>0.885757848764236</v>
      </c>
      <c r="G22" s="46">
        <f>(VLOOKUP($A22,'The List'!$B1:$AH730,19,FALSE)-AVERAGE('The List'!T2:T730))/STDEV('The List'!T2:T730)</f>
        <v>2.84085023418549</v>
      </c>
      <c r="H22" s="46">
        <f>(VLOOKUP($A22,'The List'!$B1:$AH730,20,FALSE)-AVERAGE('The List'!U2:U730))/STDEV('The List'!U2:U730)</f>
        <v>2.1543844158346</v>
      </c>
      <c r="I22" s="46">
        <f>(VLOOKUP($A22,'The List'!$B1:$AH730,21,FALSE)-AVERAGE('The List'!V2:V730))/STDEV('The List'!V2:V730)</f>
        <v>1.48397245441186</v>
      </c>
      <c r="J22" s="46">
        <f>(VLOOKUP($A22,'The List'!$B1:$AH730,22,FALSE)-AVERAGE('The List'!W2:W730))/STDEV('The List'!W2:W730)</f>
        <v>1.30811629702806</v>
      </c>
      <c r="K22" s="46">
        <f>(VLOOKUP($A22,'The List'!$B1:$AH730,23,FALSE)-AVERAGE('The List'!X2:X730))/STDEV('The List'!X2:X730)</f>
        <v>3.06097450445767</v>
      </c>
      <c r="L22" s="46">
        <f>(VLOOKUP($A22,'The List'!$B1:$AH730,24,FALSE)-AVERAGE('The List'!Y2:Y730))/STDEV('The List'!Y2:Y730)</f>
        <v>-0.481840667648326</v>
      </c>
      <c r="M22" s="46">
        <f>(VLOOKUP($A22,'The List'!$B1:$AH730,25,FALSE)-AVERAGE('The List'!Z2:Z730))/STDEV('The List'!Z2:Z730)</f>
        <v>-0.524342925103385</v>
      </c>
      <c r="N22" s="46">
        <f>(VLOOKUP($A22,'The List'!$B1:$AH730,26,FALSE)-AVERAGE('The List'!AA2:AA730))/STDEV('The List'!AA2:AA730)</f>
        <v>1.27279410663239</v>
      </c>
      <c r="O22" s="46">
        <f>(VLOOKUP($A22,'The List'!$B1:$AH730,27,FALSE)-AVERAGE('The List'!AB2:AB730))/STDEV('The List'!AB2:AB730)</f>
        <v>-0.0199372668196941</v>
      </c>
      <c r="P22" s="46">
        <f>(VLOOKUP($A22,'The List'!$B1:$AH730,28,FALSE)-AVERAGE('The List'!AC2:AC730))/STDEV('The List'!AC2:AC730)</f>
        <v>2.19338625914261</v>
      </c>
      <c r="Q22" s="46">
        <f>(VLOOKUP($A22,'The List'!$B1:$AH730,29,FALSE)-AVERAGE('The List'!AD2:AD730))/STDEV('The List'!AD2:AD730)</f>
        <v>0.135508212055757</v>
      </c>
      <c r="R22" s="46">
        <f>(VLOOKUP($A22,'The List'!$B1:$AH730,30,FALSE)-AVERAGE('The List'!AE2:AE730))/STDEV('The List'!AE2:AE730)</f>
        <v>1.06122448656173</v>
      </c>
      <c r="S22" s="46">
        <f>(VLOOKUP($A22,'The List'!$B1:$AH730,31,FALSE)-AVERAGE('The List'!AF2:AF730))/STDEV('The List'!AF2:AF730)</f>
        <v>-0.5569063253591</v>
      </c>
      <c r="T22" s="46">
        <f>(VLOOKUP($A22,'The List'!$B1:$AH730,32,FALSE)-AVERAGE('The List'!AG2:AG730))/STDEV('The List'!AG2:AG730)</f>
        <v>-0.600856269042678</v>
      </c>
      <c r="U22" s="46">
        <f>(VLOOKUP($A22,'The List'!$B1:$AH730,33,FALSE)-AVERAGE('The List'!AH2:AH730))/STDEV('The List'!AH2:AH730)</f>
        <v>-1.2363238714826</v>
      </c>
      <c r="V22" s="46"/>
      <c r="W22" s="48"/>
      <c r="X22" s="46"/>
      <c r="Y22" s="46"/>
      <c r="Z22" s="46"/>
      <c r="AA22" s="46"/>
      <c r="AB22" s="46"/>
      <c r="AC22" s="46"/>
      <c r="AD22" s="46"/>
      <c r="AE22" s="46"/>
    </row>
    <row r="23" ht="21.25" customHeight="1">
      <c r="A23" t="s" s="8">
        <v>160</v>
      </c>
      <c r="B23" t="s" s="42">
        <f>VLOOKUP(A23,'Player Data'!A1:B734,2,FALSE)</f>
        <v>151</v>
      </c>
      <c r="C23" s="44">
        <f>((E23)*'Settings'!$C$12)+(F23*'Settings'!$C$2)+(G23*'Settings'!$C$3)+(H23*'Settings'!$C$4)+(I23*'Settings'!$C$5)+(K23*'Settings'!$C$9)+(N23*'Settings'!$C$6)+(J23*'Settings'!$C$8)+(O23*'Settings'!$C$7)+(P23*'Settings'!$C$14)+(Q23*'Settings'!$C$15)+(R23*'Settings'!$C$16)+(S23*'Settings'!$C$17)+(T23*'Settings'!$C$18)+(U23*'Settings'!$C$19)+(L23*'Settings'!$C$10)+('Settings'!$C$11*M23)</f>
        <v>9.976349054803711</v>
      </c>
      <c r="D23" s="48">
        <f>IF('Settings'!$E$12="YES",VLOOKUP(A23,'Player Data'!A1:E734,5,FALSE),82)</f>
        <v>81.8925</v>
      </c>
      <c r="E23" s="46">
        <f>(VLOOKUP($A23,'The List'!$B1:$AH730,17,FALSE)-AVERAGE('The List'!R2:R730))/STDEV('The List'!R2:R730)</f>
        <v>1.14226880336389</v>
      </c>
      <c r="F23" s="46">
        <f>(VLOOKUP($A23,'The List'!$B1:$AH730,18,FALSE)-AVERAGE('The List'!S2:S730))/STDEV('The List'!S2:S730)</f>
        <v>2.17778291912688</v>
      </c>
      <c r="G23" s="46">
        <f>(VLOOKUP($A23,'The List'!$B1:$AH730,19,FALSE)-AVERAGE('The List'!T2:T730))/STDEV('The List'!T2:T730)</f>
        <v>2.0491127351271</v>
      </c>
      <c r="H23" s="46">
        <f>(VLOOKUP($A23,'The List'!$B1:$AH730,20,FALSE)-AVERAGE('The List'!U2:U730))/STDEV('The List'!U2:U730)</f>
        <v>2.25418597348876</v>
      </c>
      <c r="I23" s="46">
        <f>(VLOOKUP($A23,'The List'!$B1:$AH730,21,FALSE)-AVERAGE('The List'!V2:V730))/STDEV('The List'!V2:V730)</f>
        <v>2.02360293621797</v>
      </c>
      <c r="J23" s="46">
        <f>(VLOOKUP($A23,'The List'!$B1:$AH730,22,FALSE)-AVERAGE('The List'!W2:W730))/STDEV('The List'!W2:W730)</f>
        <v>3.80324592124635</v>
      </c>
      <c r="K23" s="46">
        <f>(VLOOKUP($A23,'The List'!$B1:$AH730,23,FALSE)-AVERAGE('The List'!X2:X730))/STDEV('The List'!X2:X730)</f>
        <v>2.56044442992768</v>
      </c>
      <c r="L23" s="46">
        <f>(VLOOKUP($A23,'The List'!$B1:$AH730,24,FALSE)-AVERAGE('The List'!Y2:Y730))/STDEV('The List'!Y2:Y730)</f>
        <v>1.41150445893138</v>
      </c>
      <c r="M23" s="46">
        <f>(VLOOKUP($A23,'The List'!$B1:$AH730,25,FALSE)-AVERAGE('The List'!Z2:Z730))/STDEV('The List'!Z2:Z730)</f>
        <v>2.81130283228914</v>
      </c>
      <c r="N23" s="46">
        <f>(VLOOKUP($A23,'The List'!$B1:$AH730,26,FALSE)-AVERAGE('The List'!AA2:AA730))/STDEV('The List'!AA2:AA730)</f>
        <v>-0.217405288214049</v>
      </c>
      <c r="O23" s="46">
        <f>(VLOOKUP($A23,'The List'!$B1:$AH730,27,FALSE)-AVERAGE('The List'!AB2:AB730))/STDEV('The List'!AB2:AB730)</f>
        <v>-0.3235665396948</v>
      </c>
      <c r="P23" s="46">
        <f>(VLOOKUP($A23,'The List'!$B1:$AH730,28,FALSE)-AVERAGE('The List'!AC2:AC730))/STDEV('The List'!AC2:AC730)</f>
        <v>1.38281132261813</v>
      </c>
      <c r="Q23" s="46">
        <f>(VLOOKUP($A23,'The List'!$B1:$AH730,29,FALSE)-AVERAGE('The List'!AD2:AD730))/STDEV('The List'!AD2:AD730)</f>
        <v>-0.60645446148409</v>
      </c>
      <c r="R23" s="46">
        <f>(VLOOKUP($A23,'The List'!$B1:$AH730,30,FALSE)-AVERAGE('The List'!AE2:AE730))/STDEV('The List'!AE2:AE730)</f>
        <v>2.66674934115412</v>
      </c>
      <c r="S23" s="46">
        <f>(VLOOKUP($A23,'The List'!$B1:$AH730,31,FALSE)-AVERAGE('The List'!AF2:AF730))/STDEV('The List'!AF2:AF730)</f>
        <v>3.03460078622992</v>
      </c>
      <c r="T23" s="46">
        <f>(VLOOKUP($A23,'The List'!$B1:$AH730,32,FALSE)-AVERAGE('The List'!AG2:AG730))/STDEV('The List'!AG2:AG730)</f>
        <v>3.18479449960864</v>
      </c>
      <c r="U23" s="46">
        <f>(VLOOKUP($A23,'The List'!$B1:$AH730,33,FALSE)-AVERAGE('The List'!AH2:AH730))/STDEV('The List'!AH2:AH730)</f>
        <v>1.01940082716518</v>
      </c>
      <c r="V23" s="46"/>
      <c r="W23" s="50"/>
      <c r="X23" s="48"/>
      <c r="Y23" s="48"/>
      <c r="Z23" s="48"/>
      <c r="AA23" s="48"/>
      <c r="AB23" s="48"/>
      <c r="AC23" s="51"/>
      <c r="AD23" s="52"/>
      <c r="AE23" s="46"/>
    </row>
    <row r="24" ht="21.25" customHeight="1">
      <c r="A24" t="s" s="8">
        <v>171</v>
      </c>
      <c r="B24" t="s" s="42">
        <f>VLOOKUP(A24,'Player Data'!A1:B734,2,FALSE)</f>
        <v>124</v>
      </c>
      <c r="C24" s="44">
        <f>((E24)*'Settings'!$C$12)+(F24*'Settings'!$C$2)+(G24*'Settings'!$C$3)+(H24*'Settings'!$C$4)+(I24*'Settings'!$C$5)+(K24*'Settings'!$C$9)+(N24*'Settings'!$C$6)+(J24*'Settings'!$C$8)+(O24*'Settings'!$C$7)+(P24*'Settings'!$C$14)+(Q24*'Settings'!$C$15)+(R24*'Settings'!$C$16)+(S24*'Settings'!$C$17)+(T24*'Settings'!$C$18)+(U24*'Settings'!$C$19)+(L24*'Settings'!$C$10)+('Settings'!$C$11*M24)</f>
        <v>8.26735342637329</v>
      </c>
      <c r="D24" s="48">
        <f>IF('Settings'!$E$12="YES",VLOOKUP(A24,'Player Data'!A1:E734,5,FALSE),82)</f>
        <v>80.40000000000001</v>
      </c>
      <c r="E24" s="46">
        <f>(VLOOKUP($A24,'The List'!$B1:$AH730,17,FALSE)-AVERAGE('The List'!R2:R730))/STDEV('The List'!R2:R730)</f>
        <v>0.882499621462272</v>
      </c>
      <c r="F24" s="46">
        <f>(VLOOKUP($A24,'The List'!$B1:$AH730,18,FALSE)-AVERAGE('The List'!S2:S730))/STDEV('The List'!S2:S730)</f>
        <v>3.10245839185207</v>
      </c>
      <c r="G24" s="46">
        <f>(VLOOKUP($A24,'The List'!$B1:$AH730,19,FALSE)-AVERAGE('The List'!T2:T730))/STDEV('The List'!T2:T730)</f>
        <v>1.53919468009571</v>
      </c>
      <c r="H24" s="46">
        <f>(VLOOKUP($A24,'The List'!$B1:$AH730,20,FALSE)-AVERAGE('The List'!U2:U730))/STDEV('The List'!U2:U730)</f>
        <v>2.36057407986354</v>
      </c>
      <c r="I24" s="46">
        <f>(VLOOKUP($A24,'The List'!$B1:$AH730,21,FALSE)-AVERAGE('The List'!V2:V730))/STDEV('The List'!V2:V730)</f>
        <v>1.68387334305003</v>
      </c>
      <c r="J24" s="46">
        <f>(VLOOKUP($A24,'The List'!$B1:$AH730,22,FALSE)-AVERAGE('The List'!W2:W730))/STDEV('The List'!W2:W730)</f>
        <v>3.751410681106</v>
      </c>
      <c r="K24" s="46">
        <f>(VLOOKUP($A24,'The List'!$B1:$AH730,23,FALSE)-AVERAGE('The List'!X2:X730))/STDEV('The List'!X2:X730)</f>
        <v>2.29853707179227</v>
      </c>
      <c r="L24" s="46">
        <f>(VLOOKUP($A24,'The List'!$B1:$AH730,24,FALSE)-AVERAGE('The List'!Y2:Y730))/STDEV('The List'!Y2:Y730)</f>
        <v>-0.510801421754664</v>
      </c>
      <c r="M24" s="46">
        <f>(VLOOKUP($A24,'The List'!$B1:$AH730,25,FALSE)-AVERAGE('The List'!Z2:Z730))/STDEV('The List'!Z2:Z730)</f>
        <v>-0.685910486718024</v>
      </c>
      <c r="N24" s="46">
        <f>(VLOOKUP($A24,'The List'!$B1:$AH730,26,FALSE)-AVERAGE('The List'!AA2:AA730))/STDEV('The List'!AA2:AA730)</f>
        <v>-0.59817611698874</v>
      </c>
      <c r="O24" s="46">
        <f>(VLOOKUP($A24,'The List'!$B1:$AH730,27,FALSE)-AVERAGE('The List'!AB2:AB730))/STDEV('The List'!AB2:AB730)</f>
        <v>-0.82780442150124</v>
      </c>
      <c r="P24" s="46">
        <f>(VLOOKUP($A24,'The List'!$B1:$AH730,28,FALSE)-AVERAGE('The List'!AC2:AC730))/STDEV('The List'!AC2:AC730)</f>
        <v>0.241466056571953</v>
      </c>
      <c r="Q24" s="46">
        <f>(VLOOKUP($A24,'The List'!$B1:$AH730,29,FALSE)-AVERAGE('The List'!AD2:AD730))/STDEV('The List'!AD2:AD730)</f>
        <v>-0.645560131327095</v>
      </c>
      <c r="R24" s="46">
        <f>(VLOOKUP($A24,'The List'!$B1:$AH730,30,FALSE)-AVERAGE('The List'!AE2:AE730))/STDEV('The List'!AE2:AE730)</f>
        <v>3.2942986425502</v>
      </c>
      <c r="S24" s="46">
        <f>(VLOOKUP($A24,'The List'!$B1:$AH730,31,FALSE)-AVERAGE('The List'!AF2:AF730))/STDEV('The List'!AF2:AF730)</f>
        <v>1.48355367044369</v>
      </c>
      <c r="T24" s="46">
        <f>(VLOOKUP($A24,'The List'!$B1:$AH730,32,FALSE)-AVERAGE('The List'!AG2:AG730))/STDEV('The List'!AG2:AG730)</f>
        <v>1.50012826060333</v>
      </c>
      <c r="U24" s="46">
        <f>(VLOOKUP($A24,'The List'!$B1:$AH730,33,FALSE)-AVERAGE('The List'!AH2:AH730))/STDEV('The List'!AH2:AH730)</f>
        <v>1.04583759022741</v>
      </c>
      <c r="V24" s="46"/>
      <c r="W24" s="50"/>
      <c r="X24" s="48"/>
      <c r="Y24" s="48"/>
      <c r="Z24" s="48"/>
      <c r="AA24" s="48"/>
      <c r="AB24" s="48"/>
      <c r="AC24" s="51"/>
      <c r="AD24" s="52"/>
      <c r="AE24" s="46"/>
    </row>
    <row r="25" ht="21.25" customHeight="1">
      <c r="A25" t="s" s="8">
        <v>163</v>
      </c>
      <c r="B25" t="s" s="42">
        <f>VLOOKUP(A25,'Player Data'!A1:B734,2,FALSE)</f>
        <v>164</v>
      </c>
      <c r="C25" s="44">
        <f>((E25)*'Settings'!$C$12)+(F25*'Settings'!$C$2)+(G25*'Settings'!$C$3)+(H25*'Settings'!$C$4)+(I25*'Settings'!$C$5)+(K25*'Settings'!$C$9)+(N25*'Settings'!$C$6)+(J25*'Settings'!$C$8)+(O25*'Settings'!$C$7)+(P25*'Settings'!$C$14)+(Q25*'Settings'!$C$15)+(R25*'Settings'!$C$16)+(S25*'Settings'!$C$17)+(T25*'Settings'!$C$18)+(U25*'Settings'!$C$19)+(L25*'Settings'!$C$10)+('Settings'!$C$11*M25)</f>
        <v>7.69991012941532</v>
      </c>
      <c r="D25" s="48">
        <f>IF('Settings'!$E$12="YES",VLOOKUP(A25,'Player Data'!A1:E734,5,FALSE),82)</f>
        <v>81.09999999999999</v>
      </c>
      <c r="E25" s="46">
        <f>(VLOOKUP($A25,'The List'!$B1:$AH730,17,FALSE)-AVERAGE('The List'!R2:R730))/STDEV('The List'!R2:R730)</f>
        <v>1.03391879298708</v>
      </c>
      <c r="F25" s="46">
        <f>(VLOOKUP($A25,'The List'!$B1:$AH730,18,FALSE)-AVERAGE('The List'!S2:S730))/STDEV('The List'!S2:S730)</f>
        <v>2.37648069073845</v>
      </c>
      <c r="G25" s="46">
        <f>(VLOOKUP($A25,'The List'!$B1:$AH730,19,FALSE)-AVERAGE('The List'!T2:T730))/STDEV('The List'!T2:T730)</f>
        <v>1.78905377984073</v>
      </c>
      <c r="H25" s="46">
        <f>(VLOOKUP($A25,'The List'!$B1:$AH730,20,FALSE)-AVERAGE('The List'!U2:U730))/STDEV('The List'!U2:U730)</f>
        <v>2.18427451679187</v>
      </c>
      <c r="I25" s="46">
        <f>(VLOOKUP($A25,'The List'!$B1:$AH730,21,FALSE)-AVERAGE('The List'!V2:V730))/STDEV('The List'!V2:V730)</f>
        <v>2.33997135150772</v>
      </c>
      <c r="J25" s="46">
        <f>(VLOOKUP($A25,'The List'!$B1:$AH730,22,FALSE)-AVERAGE('The List'!W2:W730))/STDEV('The List'!W2:W730)</f>
        <v>1.6916230229083</v>
      </c>
      <c r="K25" s="46">
        <f>(VLOOKUP($A25,'The List'!$B1:$AH730,23,FALSE)-AVERAGE('The List'!X2:X730))/STDEV('The List'!X2:X730)</f>
        <v>1.93311222179909</v>
      </c>
      <c r="L25" s="46">
        <f>(VLOOKUP($A25,'The List'!$B1:$AH730,24,FALSE)-AVERAGE('The List'!Y2:Y730))/STDEV('The List'!Y2:Y730)</f>
        <v>0.00234967753015726</v>
      </c>
      <c r="M25" s="46">
        <f>(VLOOKUP($A25,'The List'!$B1:$AH730,25,FALSE)-AVERAGE('The List'!Z2:Z730))/STDEV('The List'!Z2:Z730)</f>
        <v>-0.342613077481675</v>
      </c>
      <c r="N25" s="46">
        <f>(VLOOKUP($A25,'The List'!$B1:$AH730,26,FALSE)-AVERAGE('The List'!AA2:AA730))/STDEV('The List'!AA2:AA730)</f>
        <v>-0.893828738822024</v>
      </c>
      <c r="O25" s="46">
        <f>(VLOOKUP($A25,'The List'!$B1:$AH730,27,FALSE)-AVERAGE('The List'!AB2:AB730))/STDEV('The List'!AB2:AB730)</f>
        <v>-1.06907513022456</v>
      </c>
      <c r="P25" s="46">
        <f>(VLOOKUP($A25,'The List'!$B1:$AH730,28,FALSE)-AVERAGE('The List'!AC2:AC730))/STDEV('The List'!AC2:AC730)</f>
        <v>0.155120824351352</v>
      </c>
      <c r="Q25" s="46">
        <f>(VLOOKUP($A25,'The List'!$B1:$AH730,29,FALSE)-AVERAGE('The List'!AD2:AD730))/STDEV('The List'!AD2:AD730)</f>
        <v>-0.952689189580758</v>
      </c>
      <c r="R25" s="46">
        <f>(VLOOKUP($A25,'The List'!$B1:$AH730,30,FALSE)-AVERAGE('The List'!AE2:AE730))/STDEV('The List'!AE2:AE730)</f>
        <v>2.54311168660132</v>
      </c>
      <c r="S25" s="46">
        <f>(VLOOKUP($A25,'The List'!$B1:$AH730,31,FALSE)-AVERAGE('The List'!AF2:AF730))/STDEV('The List'!AF2:AF730)</f>
        <v>-0.545829351545716</v>
      </c>
      <c r="T25" s="46">
        <f>(VLOOKUP($A25,'The List'!$B1:$AH730,32,FALSE)-AVERAGE('The List'!AG2:AG730))/STDEV('The List'!AG2:AG730)</f>
        <v>-0.568863302355803</v>
      </c>
      <c r="U25" s="46">
        <f>(VLOOKUP($A25,'The List'!$B1:$AH730,33,FALSE)-AVERAGE('The List'!AH2:AH730))/STDEV('The List'!AH2:AH730)</f>
        <v>-0.0307007767178079</v>
      </c>
      <c r="V25" s="46"/>
      <c r="W25" s="50"/>
      <c r="X25" s="48"/>
      <c r="Y25" s="48"/>
      <c r="Z25" s="48"/>
      <c r="AA25" s="48"/>
      <c r="AB25" s="48"/>
      <c r="AC25" s="51"/>
      <c r="AD25" s="52"/>
      <c r="AE25" s="46"/>
    </row>
    <row r="26" ht="21.25" customHeight="1">
      <c r="A26" t="s" s="8">
        <v>195</v>
      </c>
      <c r="B26" t="s" s="42">
        <f>VLOOKUP(A26,'Player Data'!A1:B734,2,FALSE)</f>
        <v>196</v>
      </c>
      <c r="C26" s="44">
        <f>((E26)*'Settings'!$C$12)+(F26*'Settings'!$C$2)+(G26*'Settings'!$C$3)+(H26*'Settings'!$C$4)+(I26*'Settings'!$C$5)+(K26*'Settings'!$C$9)+(N26*'Settings'!$C$6)+(J26*'Settings'!$C$8)+(O26*'Settings'!$C$7)+(P26*'Settings'!$C$14)+(Q26*'Settings'!$C$15)+(R26*'Settings'!$C$16)+(S26*'Settings'!$C$17)+(T26*'Settings'!$C$18)+(U26*'Settings'!$C$19)+(L26*'Settings'!$C$10)+('Settings'!$C$11*M26)</f>
        <v>5.32240911100815</v>
      </c>
      <c r="D26" s="48">
        <f>IF('Settings'!$E$12="YES",VLOOKUP(A26,'Player Data'!A1:E734,5,FALSE),82)</f>
        <v>79.9675</v>
      </c>
      <c r="E26" s="46">
        <f>(VLOOKUP($A26,'The List'!$B1:$AH730,17,FALSE)-AVERAGE('The List'!R2:R730))/STDEV('The List'!R2:R730)</f>
        <v>1.15060994896207</v>
      </c>
      <c r="F26" s="46">
        <f>(VLOOKUP($A26,'The List'!$B1:$AH730,18,FALSE)-AVERAGE('The List'!S2:S730))/STDEV('The List'!S2:S730)</f>
        <v>2.16717595883183</v>
      </c>
      <c r="G26" s="46">
        <f>(VLOOKUP($A26,'The List'!$B1:$AH730,19,FALSE)-AVERAGE('The List'!T2:T730))/STDEV('The List'!T2:T730)</f>
        <v>1.79867122959762</v>
      </c>
      <c r="H26" s="46">
        <f>(VLOOKUP($A26,'The List'!$B1:$AH730,20,FALSE)-AVERAGE('The List'!U2:U730))/STDEV('The List'!U2:U730)</f>
        <v>2.09496569738814</v>
      </c>
      <c r="I26" s="46">
        <f>(VLOOKUP($A26,'The List'!$B1:$AH730,21,FALSE)-AVERAGE('The List'!V2:V730))/STDEV('The List'!V2:V730)</f>
        <v>1.48522614671961</v>
      </c>
      <c r="J26" s="46">
        <f>(VLOOKUP($A26,'The List'!$B1:$AH730,22,FALSE)-AVERAGE('The List'!W2:W730))/STDEV('The List'!W2:W730)</f>
        <v>1.21141897755364</v>
      </c>
      <c r="K26" s="46">
        <f>(VLOOKUP($A26,'The List'!$B1:$AH730,23,FALSE)-AVERAGE('The List'!X2:X730))/STDEV('The List'!X2:X730)</f>
        <v>1.23473447381925</v>
      </c>
      <c r="L26" s="46">
        <f>(VLOOKUP($A26,'The List'!$B1:$AH730,24,FALSE)-AVERAGE('The List'!Y2:Y730))/STDEV('The List'!Y2:Y730)</f>
        <v>0.551725536928814</v>
      </c>
      <c r="M26" s="46">
        <f>(VLOOKUP($A26,'The List'!$B1:$AH730,25,FALSE)-AVERAGE('The List'!Z2:Z730))/STDEV('The List'!Z2:Z730)</f>
        <v>0.23382167197937</v>
      </c>
      <c r="N26" s="46">
        <f>(VLOOKUP($A26,'The List'!$B1:$AH730,26,FALSE)-AVERAGE('The List'!AA2:AA730))/STDEV('The List'!AA2:AA730)</f>
        <v>-0.635556560751059</v>
      </c>
      <c r="O26" s="46">
        <f>(VLOOKUP($A26,'The List'!$B1:$AH730,27,FALSE)-AVERAGE('The List'!AB2:AB730))/STDEV('The List'!AB2:AB730)</f>
        <v>-1.44548626554937</v>
      </c>
      <c r="P26" s="46">
        <f>(VLOOKUP($A26,'The List'!$B1:$AH730,28,FALSE)-AVERAGE('The List'!AC2:AC730))/STDEV('The List'!AC2:AC730)</f>
        <v>-0.727842137209101</v>
      </c>
      <c r="Q26" s="46">
        <f>(VLOOKUP($A26,'The List'!$B1:$AH730,29,FALSE)-AVERAGE('The List'!AD2:AD730))/STDEV('The List'!AD2:AD730)</f>
        <v>0.462186620696506</v>
      </c>
      <c r="R26" s="46">
        <f>(VLOOKUP($A26,'The List'!$B1:$AH730,30,FALSE)-AVERAGE('The List'!AE2:AE730))/STDEV('The List'!AE2:AE730)</f>
        <v>1.65902317448108</v>
      </c>
      <c r="S26" s="46">
        <f>(VLOOKUP($A26,'The List'!$B1:$AH730,31,FALSE)-AVERAGE('The List'!AF2:AF730))/STDEV('The List'!AF2:AF730)</f>
        <v>-0.430113778823423</v>
      </c>
      <c r="T26" s="46">
        <f>(VLOOKUP($A26,'The List'!$B1:$AH730,32,FALSE)-AVERAGE('The List'!AG2:AG730))/STDEV('The List'!AG2:AG730)</f>
        <v>-0.395287654787389</v>
      </c>
      <c r="U26" s="46">
        <f>(VLOOKUP($A26,'The List'!$B1:$AH730,33,FALSE)-AVERAGE('The List'!AH2:AH730))/STDEV('The List'!AH2:AH730)</f>
        <v>0.540721997608102</v>
      </c>
      <c r="V26" s="46"/>
      <c r="W26" s="48"/>
      <c r="X26" s="48"/>
      <c r="Y26" s="48"/>
      <c r="Z26" s="48"/>
      <c r="AA26" s="48"/>
      <c r="AB26" s="48"/>
      <c r="AC26" s="51"/>
      <c r="AD26" s="52"/>
      <c r="AE26" s="46"/>
    </row>
    <row r="27" ht="21.25" customHeight="1">
      <c r="A27" t="s" s="8">
        <v>172</v>
      </c>
      <c r="B27" t="s" s="42">
        <f>VLOOKUP(A27,'Player Data'!A1:B734,2,FALSE)</f>
        <v>173</v>
      </c>
      <c r="C27" s="44">
        <f>((E27)*'Settings'!$C$12)+(F27*'Settings'!$C$2)+(G27*'Settings'!$C$3)+(H27*'Settings'!$C$4)+(I27*'Settings'!$C$5)+(K27*'Settings'!$C$9)+(N27*'Settings'!$C$6)+(J27*'Settings'!$C$8)+(O27*'Settings'!$C$7)+(P27*'Settings'!$C$14)+(Q27*'Settings'!$C$15)+(R27*'Settings'!$C$16)+(S27*'Settings'!$C$17)+(T27*'Settings'!$C$18)+(U27*'Settings'!$C$19)+(L27*'Settings'!$C$10)+('Settings'!$C$11*M27)</f>
        <v>8.11364838981782</v>
      </c>
      <c r="D27" s="48">
        <f>IF('Settings'!$E$12="YES",VLOOKUP(A27,'Player Data'!A1:E734,5,FALSE),82)</f>
        <v>80.4682142857143</v>
      </c>
      <c r="E27" s="46">
        <f>(VLOOKUP($A27,'The List'!$B1:$AH730,17,FALSE)-AVERAGE('The List'!R2:R730))/STDEV('The List'!R2:R730)</f>
        <v>1.14619095788898</v>
      </c>
      <c r="F27" s="46">
        <f>(VLOOKUP($A27,'The List'!$B1:$AH730,18,FALSE)-AVERAGE('The List'!S2:S730))/STDEV('The List'!S2:S730)</f>
        <v>2.31969667030969</v>
      </c>
      <c r="G27" s="46">
        <f>(VLOOKUP($A27,'The List'!$B1:$AH730,19,FALSE)-AVERAGE('The List'!T2:T730))/STDEV('The List'!T2:T730)</f>
        <v>1.99147788347441</v>
      </c>
      <c r="H27" s="46">
        <f>(VLOOKUP($A27,'The List'!$B1:$AH730,20,FALSE)-AVERAGE('The List'!U2:U730))/STDEV('The List'!U2:U730)</f>
        <v>2.28322844794646</v>
      </c>
      <c r="I27" s="46">
        <f>(VLOOKUP($A27,'The List'!$B1:$AH730,21,FALSE)-AVERAGE('The List'!V2:V730))/STDEV('The List'!V2:V730)</f>
        <v>1.61117598739622</v>
      </c>
      <c r="J27" s="46">
        <f>(VLOOKUP($A27,'The List'!$B1:$AH730,22,FALSE)-AVERAGE('The List'!W2:W730))/STDEV('The List'!W2:W730)</f>
        <v>1.8807414502898</v>
      </c>
      <c r="K27" s="46">
        <f>(VLOOKUP($A27,'The List'!$B1:$AH730,23,FALSE)-AVERAGE('The List'!X2:X730))/STDEV('The List'!X2:X730)</f>
        <v>2.15695738708245</v>
      </c>
      <c r="L27" s="46">
        <f>(VLOOKUP($A27,'The List'!$B1:$AH730,24,FALSE)-AVERAGE('The List'!Y2:Y730))/STDEV('The List'!Y2:Y730)</f>
        <v>4.20335020250691</v>
      </c>
      <c r="M27" s="46">
        <f>(VLOOKUP($A27,'The List'!$B1:$AH730,25,FALSE)-AVERAGE('The List'!Z2:Z730))/STDEV('The List'!Z2:Z730)</f>
        <v>2.32425530300961</v>
      </c>
      <c r="N27" s="46">
        <f>(VLOOKUP($A27,'The List'!$B1:$AH730,26,FALSE)-AVERAGE('The List'!AA2:AA730))/STDEV('The List'!AA2:AA730)</f>
        <v>-0.214040668343948</v>
      </c>
      <c r="O27" s="46">
        <f>(VLOOKUP($A27,'The List'!$B1:$AH730,27,FALSE)-AVERAGE('The List'!AB2:AB730))/STDEV('The List'!AB2:AB730)</f>
        <v>0.525217574587645</v>
      </c>
      <c r="P27" s="46">
        <f>(VLOOKUP($A27,'The List'!$B1:$AH730,28,FALSE)-AVERAGE('The List'!AC2:AC730))/STDEV('The List'!AC2:AC730)</f>
        <v>0.248381129898997</v>
      </c>
      <c r="Q27" s="46">
        <f>(VLOOKUP($A27,'The List'!$B1:$AH730,29,FALSE)-AVERAGE('The List'!AD2:AD730))/STDEV('The List'!AD2:AD730)</f>
        <v>1.03429628778092</v>
      </c>
      <c r="R27" s="46">
        <f>(VLOOKUP($A27,'The List'!$B1:$AH730,30,FALSE)-AVERAGE('The List'!AE2:AE730))/STDEV('The List'!AE2:AE730)</f>
        <v>2.35331907899073</v>
      </c>
      <c r="S27" s="46">
        <f>(VLOOKUP($A27,'The List'!$B1:$AH730,31,FALSE)-AVERAGE('The List'!AF2:AF730))/STDEV('The List'!AF2:AF730)</f>
        <v>0.321040776296195</v>
      </c>
      <c r="T27" s="46">
        <f>(VLOOKUP($A27,'The List'!$B1:$AH730,32,FALSE)-AVERAGE('The List'!AG2:AG730))/STDEV('The List'!AG2:AG730)</f>
        <v>0.870595356118256</v>
      </c>
      <c r="U27" s="46">
        <f>(VLOOKUP($A27,'The List'!$B1:$AH730,33,FALSE)-AVERAGE('The List'!AH2:AH730))/STDEV('The List'!AH2:AH730)</f>
        <v>0.5050772633730169</v>
      </c>
      <c r="V27" s="46"/>
      <c r="W27" s="48"/>
      <c r="X27" s="46"/>
      <c r="Y27" s="46"/>
      <c r="Z27" s="46"/>
      <c r="AA27" s="46"/>
      <c r="AB27" s="46"/>
      <c r="AC27" s="46"/>
      <c r="AD27" s="46"/>
      <c r="AE27" s="46"/>
    </row>
    <row r="28" ht="21.25" customHeight="1">
      <c r="A28" t="s" s="8">
        <v>144</v>
      </c>
      <c r="B28" t="s" s="42">
        <f>VLOOKUP(A28,'Player Data'!A1:B734,2,FALSE)</f>
        <v>115</v>
      </c>
      <c r="C28" s="44">
        <f>((E28)*'Settings'!$C$12)+(F28*'Settings'!$C$2)+(G28*'Settings'!$C$3)+(H28*'Settings'!$C$4)+(I28*'Settings'!$C$5)+(K28*'Settings'!$C$9)+(N28*'Settings'!$C$6)+(J28*'Settings'!$C$8)+(O28*'Settings'!$C$7)+(P28*'Settings'!$C$14)+(Q28*'Settings'!$C$15)+(R28*'Settings'!$C$16)+(S28*'Settings'!$C$17)+(T28*'Settings'!$C$18)+(U28*'Settings'!$C$19)+(L28*'Settings'!$C$10)+('Settings'!$C$11*M28)</f>
        <v>10.1078611649642</v>
      </c>
      <c r="D28" s="48">
        <f>IF('Settings'!$E$12="YES",VLOOKUP(A28,'Player Data'!A1:E734,5,FALSE),82)</f>
        <v>81.16035714285709</v>
      </c>
      <c r="E28" s="46">
        <f>(VLOOKUP($A28,'The List'!$B1:$AH730,17,FALSE)-AVERAGE('The List'!R2:R730))/STDEV('The List'!R2:R730)</f>
        <v>0.555048438270438</v>
      </c>
      <c r="F28" s="46">
        <f>(VLOOKUP($A28,'The List'!$B1:$AH730,18,FALSE)-AVERAGE('The List'!S2:S730))/STDEV('The List'!S2:S730)</f>
        <v>2.42697671154454</v>
      </c>
      <c r="G28" s="46">
        <f>(VLOOKUP($A28,'The List'!$B1:$AH730,19,FALSE)-AVERAGE('The List'!T2:T730))/STDEV('The List'!T2:T730)</f>
        <v>1.951711190848</v>
      </c>
      <c r="H28" s="46">
        <f>(VLOOKUP($A28,'The List'!$B1:$AH730,20,FALSE)-AVERAGE('The List'!U2:U730))/STDEV('The List'!U2:U730)</f>
        <v>2.30752737496096</v>
      </c>
      <c r="I28" s="46">
        <f>(VLOOKUP($A28,'The List'!$B1:$AH730,21,FALSE)-AVERAGE('The List'!V2:V730))/STDEV('The List'!V2:V730)</f>
        <v>2.48264040612332</v>
      </c>
      <c r="J28" s="46">
        <f>(VLOOKUP($A28,'The List'!$B1:$AH730,22,FALSE)-AVERAGE('The List'!W2:W730))/STDEV('The List'!W2:W730)</f>
        <v>2.39339613125899</v>
      </c>
      <c r="K28" s="46">
        <f>(VLOOKUP($A28,'The List'!$B1:$AH730,23,FALSE)-AVERAGE('The List'!X2:X730))/STDEV('The List'!X2:X730)</f>
        <v>2.46304859280392</v>
      </c>
      <c r="L28" s="46">
        <f>(VLOOKUP($A28,'The List'!$B1:$AH730,24,FALSE)-AVERAGE('The List'!Y2:Y730))/STDEV('The List'!Y2:Y730)</f>
        <v>-0.429380662273959</v>
      </c>
      <c r="M28" s="46">
        <f>(VLOOKUP($A28,'The List'!$B1:$AH730,25,FALSE)-AVERAGE('The List'!Z2:Z730))/STDEV('The List'!Z2:Z730)</f>
        <v>-0.59468831685404</v>
      </c>
      <c r="N28" s="46">
        <f>(VLOOKUP($A28,'The List'!$B1:$AH730,26,FALSE)-AVERAGE('The List'!AA2:AA730))/STDEV('The List'!AA2:AA730)</f>
        <v>-0.786900409217844</v>
      </c>
      <c r="O28" s="46">
        <f>(VLOOKUP($A28,'The List'!$B1:$AH730,27,FALSE)-AVERAGE('The List'!AB2:AB730))/STDEV('The List'!AB2:AB730)</f>
        <v>-1.41660449880134</v>
      </c>
      <c r="P28" s="46">
        <f>(VLOOKUP($A28,'The List'!$B1:$AH730,28,FALSE)-AVERAGE('The List'!AC2:AC730))/STDEV('The List'!AC2:AC730)</f>
        <v>1.57038467286225</v>
      </c>
      <c r="Q28" s="46">
        <f>(VLOOKUP($A28,'The List'!$B1:$AH730,29,FALSE)-AVERAGE('The List'!AD2:AD730))/STDEV('The List'!AD2:AD730)</f>
        <v>-0.36314868595126</v>
      </c>
      <c r="R28" s="46">
        <f>(VLOOKUP($A28,'The List'!$B1:$AH730,30,FALSE)-AVERAGE('The List'!AE2:AE730))/STDEV('The List'!AE2:AE730)</f>
        <v>2.70692087224862</v>
      </c>
      <c r="S28" s="46">
        <f>(VLOOKUP($A28,'The List'!$B1:$AH730,31,FALSE)-AVERAGE('The List'!AF2:AF730))/STDEV('The List'!AF2:AF730)</f>
        <v>-0.418574203991071</v>
      </c>
      <c r="T28" s="46">
        <f>(VLOOKUP($A28,'The List'!$B1:$AH730,32,FALSE)-AVERAGE('The List'!AG2:AG730))/STDEV('The List'!AG2:AG730)</f>
        <v>-0.44512551039287</v>
      </c>
      <c r="U28" s="46">
        <f>(VLOOKUP($A28,'The List'!$B1:$AH730,33,FALSE)-AVERAGE('The List'!AH2:AH730))/STDEV('The List'!AH2:AH730)</f>
        <v>0.945107984348881</v>
      </c>
      <c r="V28" s="46"/>
      <c r="W28" s="48"/>
      <c r="X28" s="46"/>
      <c r="Y28" s="46"/>
      <c r="Z28" s="46"/>
      <c r="AA28" s="46"/>
      <c r="AB28" s="46"/>
      <c r="AC28" s="46"/>
      <c r="AD28" s="46"/>
      <c r="AE28" s="46"/>
    </row>
    <row r="29" ht="21.25" customHeight="1">
      <c r="A29" t="s" s="8">
        <v>186</v>
      </c>
      <c r="B29" t="s" s="42">
        <f>VLOOKUP(A29,'Player Data'!A1:B734,2,FALSE)</f>
        <v>156</v>
      </c>
      <c r="C29" s="44">
        <f>((E29)*'Settings'!$C$12)+(F29*'Settings'!$C$2)+(G29*'Settings'!$C$3)+(H29*'Settings'!$C$4)+(I29*'Settings'!$C$5)+(K29*'Settings'!$C$9)+(N29*'Settings'!$C$6)+(J29*'Settings'!$C$8)+(O29*'Settings'!$C$7)+(P29*'Settings'!$C$14)+(Q29*'Settings'!$C$15)+(R29*'Settings'!$C$16)+(S29*'Settings'!$C$17)+(T29*'Settings'!$C$18)+(U29*'Settings'!$C$19)+(L29*'Settings'!$C$10)+('Settings'!$C$11*M29)</f>
        <v>6.58013071104636</v>
      </c>
      <c r="D29" s="48">
        <f>IF('Settings'!$E$12="YES",VLOOKUP(A29,'Player Data'!A1:E734,5,FALSE),82)</f>
        <v>81.1382142857143</v>
      </c>
      <c r="E29" s="46">
        <f>(VLOOKUP($A29,'The List'!$B1:$AH730,17,FALSE)-AVERAGE('The List'!R2:R730))/STDEV('The List'!R2:R730)</f>
        <v>0.971604408876301</v>
      </c>
      <c r="F29" s="46">
        <f>(VLOOKUP($A29,'The List'!$B1:$AH730,18,FALSE)-AVERAGE('The List'!S2:S730))/STDEV('The List'!S2:S730)</f>
        <v>1.44632451307631</v>
      </c>
      <c r="G29" s="46">
        <f>(VLOOKUP($A29,'The List'!$B1:$AH730,19,FALSE)-AVERAGE('The List'!T2:T730))/STDEV('The List'!T2:T730)</f>
        <v>2.06727644055054</v>
      </c>
      <c r="H29" s="46">
        <f>(VLOOKUP($A29,'The List'!$B1:$AH730,20,FALSE)-AVERAGE('The List'!U2:U730))/STDEV('The List'!U2:U730)</f>
        <v>1.93255541448186</v>
      </c>
      <c r="I29" s="46">
        <f>(VLOOKUP($A29,'The List'!$B1:$AH730,21,FALSE)-AVERAGE('The List'!V2:V730))/STDEV('The List'!V2:V730)</f>
        <v>1.25738391426196</v>
      </c>
      <c r="J29" s="46">
        <f>(VLOOKUP($A29,'The List'!$B1:$AH730,22,FALSE)-AVERAGE('The List'!W2:W730))/STDEV('The List'!W2:W730)</f>
        <v>1.6993134502717</v>
      </c>
      <c r="K29" s="46">
        <f>(VLOOKUP($A29,'The List'!$B1:$AH730,23,FALSE)-AVERAGE('The List'!X2:X730))/STDEV('The List'!X2:X730)</f>
        <v>2.31701980073356</v>
      </c>
      <c r="L29" s="46">
        <f>(VLOOKUP($A29,'The List'!$B1:$AH730,24,FALSE)-AVERAGE('The List'!Y2:Y730))/STDEV('The List'!Y2:Y730)</f>
        <v>2.066398323409</v>
      </c>
      <c r="M29" s="46">
        <f>(VLOOKUP($A29,'The List'!$B1:$AH730,25,FALSE)-AVERAGE('The List'!Z2:Z730))/STDEV('The List'!Z2:Z730)</f>
        <v>2.09292209933136</v>
      </c>
      <c r="N29" s="46">
        <f>(VLOOKUP($A29,'The List'!$B1:$AH730,26,FALSE)-AVERAGE('The List'!AA2:AA730))/STDEV('The List'!AA2:AA730)</f>
        <v>-0.275753827745957</v>
      </c>
      <c r="O29" s="46">
        <f>(VLOOKUP($A29,'The List'!$B1:$AH730,27,FALSE)-AVERAGE('The List'!AB2:AB730))/STDEV('The List'!AB2:AB730)</f>
        <v>1.81189444109549</v>
      </c>
      <c r="P29" s="46">
        <f>(VLOOKUP($A29,'The List'!$B1:$AH730,28,FALSE)-AVERAGE('The List'!AC2:AC730))/STDEV('The List'!AC2:AC730)</f>
        <v>-0.232120129830057</v>
      </c>
      <c r="Q29" s="46">
        <f>(VLOOKUP($A29,'The List'!$B1:$AH730,29,FALSE)-AVERAGE('The List'!AD2:AD730))/STDEV('The List'!AD2:AD730)</f>
        <v>1.54132551114259</v>
      </c>
      <c r="R29" s="46">
        <f>(VLOOKUP($A29,'The List'!$B1:$AH730,30,FALSE)-AVERAGE('The List'!AE2:AE730))/STDEV('The List'!AE2:AE730)</f>
        <v>1.34118026020904</v>
      </c>
      <c r="S29" s="46">
        <f>(VLOOKUP($A29,'The List'!$B1:$AH730,31,FALSE)-AVERAGE('The List'!AF2:AF730))/STDEV('The List'!AF2:AF730)</f>
        <v>1.85995263498912</v>
      </c>
      <c r="T29" s="46">
        <f>(VLOOKUP($A29,'The List'!$B1:$AH730,32,FALSE)-AVERAGE('The List'!AG2:AG730))/STDEV('The List'!AG2:AG730)</f>
        <v>1.5447085140035</v>
      </c>
      <c r="U29" s="46">
        <f>(VLOOKUP($A29,'The List'!$B1:$AH730,33,FALSE)-AVERAGE('The List'!AH2:AH730))/STDEV('The List'!AH2:AH730)</f>
        <v>1.21282106410233</v>
      </c>
      <c r="V29" s="46"/>
      <c r="W29" s="48"/>
      <c r="X29" s="46"/>
      <c r="Y29" s="46"/>
      <c r="Z29" s="46"/>
      <c r="AA29" s="46"/>
      <c r="AB29" s="46"/>
      <c r="AC29" s="46"/>
      <c r="AD29" s="46"/>
      <c r="AE29" s="46"/>
    </row>
    <row r="30" ht="21.25" customHeight="1">
      <c r="A30" t="s" s="8">
        <v>185</v>
      </c>
      <c r="B30" t="s" s="42">
        <f>VLOOKUP(A30,'Player Data'!A1:B734,2,FALSE)</f>
        <v>108</v>
      </c>
      <c r="C30" s="44">
        <f>((E30)*'Settings'!$C$12)+(F30*'Settings'!$C$2)+(G30*'Settings'!$C$3)+(H30*'Settings'!$C$4)+(I30*'Settings'!$C$5)+(K30*'Settings'!$C$9)+(N30*'Settings'!$C$6)+(J30*'Settings'!$C$8)+(O30*'Settings'!$C$7)+(P30*'Settings'!$C$14)+(Q30*'Settings'!$C$15)+(R30*'Settings'!$C$16)+(S30*'Settings'!$C$17)+(T30*'Settings'!$C$18)+(U30*'Settings'!$C$19)+(L30*'Settings'!$C$10)+('Settings'!$C$11*M30)</f>
        <v>8.447075415815309</v>
      </c>
      <c r="D30" s="48">
        <f>IF('Settings'!$E$12="YES",VLOOKUP(A30,'Player Data'!A1:E734,5,FALSE),82)</f>
        <v>78.8317857142857</v>
      </c>
      <c r="E30" s="46">
        <f>(VLOOKUP($A30,'The List'!$B1:$AH730,17,FALSE)-AVERAGE('The List'!R2:R730))/STDEV('The List'!R2:R730)</f>
        <v>0.854364760142407</v>
      </c>
      <c r="F30" s="46">
        <f>(VLOOKUP($A30,'The List'!$B1:$AH730,18,FALSE)-AVERAGE('The List'!S2:S730))/STDEV('The List'!S2:S730)</f>
        <v>1.31682346500866</v>
      </c>
      <c r="G30" s="46">
        <f>(VLOOKUP($A30,'The List'!$B1:$AH730,19,FALSE)-AVERAGE('The List'!T2:T730))/STDEV('The List'!T2:T730)</f>
        <v>2.16223803287604</v>
      </c>
      <c r="H30" s="46">
        <f>(VLOOKUP($A30,'The List'!$B1:$AH730,20,FALSE)-AVERAGE('The List'!U2:U730))/STDEV('The List'!U2:U730)</f>
        <v>1.93217241390112</v>
      </c>
      <c r="I30" s="46">
        <f>(VLOOKUP($A30,'The List'!$B1:$AH730,21,FALSE)-AVERAGE('The List'!V2:V730))/STDEV('The List'!V2:V730)</f>
        <v>1.02931339561655</v>
      </c>
      <c r="J30" s="46">
        <f>(VLOOKUP($A30,'The List'!$B1:$AH730,22,FALSE)-AVERAGE('The List'!W2:W730))/STDEV('The List'!W2:W730)</f>
        <v>1.99081461245274</v>
      </c>
      <c r="K30" s="46">
        <f>(VLOOKUP($A30,'The List'!$B1:$AH730,23,FALSE)-AVERAGE('The List'!X2:X730))/STDEV('The List'!X2:X730)</f>
        <v>3.23821597478541</v>
      </c>
      <c r="L30" s="46">
        <f>(VLOOKUP($A30,'The List'!$B1:$AH730,24,FALSE)-AVERAGE('The List'!Y2:Y730))/STDEV('The List'!Y2:Y730)</f>
        <v>2.0104437243176</v>
      </c>
      <c r="M30" s="46">
        <f>(VLOOKUP($A30,'The List'!$B1:$AH730,25,FALSE)-AVERAGE('The List'!Z2:Z730))/STDEV('The List'!Z2:Z730)</f>
        <v>3.19814963020643</v>
      </c>
      <c r="N30" s="46">
        <f>(VLOOKUP($A30,'The List'!$B1:$AH730,26,FALSE)-AVERAGE('The List'!AA2:AA730))/STDEV('The List'!AA2:AA730)</f>
        <v>-0.713209348987311</v>
      </c>
      <c r="O30" s="46">
        <f>(VLOOKUP($A30,'The List'!$B1:$AH730,27,FALSE)-AVERAGE('The List'!AB2:AB730))/STDEV('The List'!AB2:AB730)</f>
        <v>-0.85045515416434</v>
      </c>
      <c r="P30" s="46">
        <f>(VLOOKUP($A30,'The List'!$B1:$AH730,28,FALSE)-AVERAGE('The List'!AC2:AC730))/STDEV('The List'!AC2:AC730)</f>
        <v>1.41369389651596</v>
      </c>
      <c r="Q30" s="46">
        <f>(VLOOKUP($A30,'The List'!$B1:$AH730,29,FALSE)-AVERAGE('The List'!AD2:AD730))/STDEV('The List'!AD2:AD730)</f>
        <v>-0.0222712415062491</v>
      </c>
      <c r="R30" s="46">
        <f>(VLOOKUP($A30,'The List'!$B1:$AH730,30,FALSE)-AVERAGE('The List'!AE2:AE730))/STDEV('The List'!AE2:AE730)</f>
        <v>1.50627812169984</v>
      </c>
      <c r="S30" s="46">
        <f>(VLOOKUP($A30,'The List'!$B1:$AH730,31,FALSE)-AVERAGE('The List'!AF2:AF730))/STDEV('The List'!AF2:AF730)</f>
        <v>0.733257102486171</v>
      </c>
      <c r="T30" s="46">
        <f>(VLOOKUP($A30,'The List'!$B1:$AH730,32,FALSE)-AVERAGE('The List'!AG2:AG730))/STDEV('The List'!AG2:AG730)</f>
        <v>1.12925005852747</v>
      </c>
      <c r="U30" s="46">
        <f>(VLOOKUP($A30,'The List'!$B1:$AH730,33,FALSE)-AVERAGE('The List'!AH2:AH730))/STDEV('The List'!AH2:AH730)</f>
        <v>0.748893966377993</v>
      </c>
      <c r="V30" s="46"/>
      <c r="W30" s="48"/>
      <c r="X30" s="46"/>
      <c r="Y30" s="46"/>
      <c r="Z30" s="46"/>
      <c r="AA30" s="46"/>
      <c r="AB30" s="46"/>
      <c r="AC30" s="46"/>
      <c r="AD30" s="46"/>
      <c r="AE30" s="46"/>
    </row>
    <row r="31" ht="21.25" customHeight="1">
      <c r="A31" t="s" s="8">
        <v>286</v>
      </c>
      <c r="B31" t="s" s="42">
        <f>VLOOKUP(A31,'Player Data'!A1:B734,2,FALSE)</f>
        <v>194</v>
      </c>
      <c r="C31" s="44">
        <f>((E31)*'Settings'!$C$12)+(F31*'Settings'!$C$2)+(G31*'Settings'!$C$3)+(H31*'Settings'!$C$4)+(I31*'Settings'!$C$5)+(K31*'Settings'!$C$9)+(N31*'Settings'!$C$6)+(J31*'Settings'!$C$8)+(O31*'Settings'!$C$7)+(P31*'Settings'!$C$14)+(Q31*'Settings'!$C$15)+(R31*'Settings'!$C$16)+(S31*'Settings'!$C$17)+(T31*'Settings'!$C$18)+(U31*'Settings'!$C$19)+(L31*'Settings'!$C$10)+('Settings'!$C$11*M31)</f>
        <v>3.09437473900614</v>
      </c>
      <c r="D31" s="48">
        <f>IF('Settings'!$E$12="YES",VLOOKUP(A31,'Player Data'!A1:E734,5,FALSE),82)</f>
        <v>76.40000000000001</v>
      </c>
      <c r="E31" s="46">
        <f>(VLOOKUP($A31,'The List'!$B1:$AH730,17,FALSE)-AVERAGE('The List'!R2:R730))/STDEV('The List'!R2:R730)</f>
        <v>0.793432319648714</v>
      </c>
      <c r="F31" s="46">
        <f>(VLOOKUP($A31,'The List'!$B1:$AH730,18,FALSE)-AVERAGE('The List'!S2:S730))/STDEV('The List'!S2:S730)</f>
        <v>0.866509165991615</v>
      </c>
      <c r="G31" s="46">
        <f>(VLOOKUP($A31,'The List'!$B1:$AH730,19,FALSE)-AVERAGE('The List'!T2:T730))/STDEV('The List'!T2:T730)</f>
        <v>2.30066401859919</v>
      </c>
      <c r="H31" s="46">
        <f>(VLOOKUP($A31,'The List'!$B1:$AH730,20,FALSE)-AVERAGE('The List'!U2:U730))/STDEV('The List'!U2:U730)</f>
        <v>1.81260817725208</v>
      </c>
      <c r="I31" s="46">
        <f>(VLOOKUP($A31,'The List'!$B1:$AH730,21,FALSE)-AVERAGE('The List'!V2:V730))/STDEV('The List'!V2:V730)</f>
        <v>-0.131401815174823</v>
      </c>
      <c r="J31" s="46">
        <f>(VLOOKUP($A31,'The List'!$B1:$AH730,22,FALSE)-AVERAGE('The List'!W2:W730))/STDEV('The List'!W2:W730)</f>
        <v>0.823916181743788</v>
      </c>
      <c r="K31" s="46">
        <f>(VLOOKUP($A31,'The List'!$B1:$AH730,23,FALSE)-AVERAGE('The List'!X2:X730))/STDEV('The List'!X2:X730)</f>
        <v>1.54561388412048</v>
      </c>
      <c r="L31" s="46">
        <f>(VLOOKUP($A31,'The List'!$B1:$AH730,24,FALSE)-AVERAGE('The List'!Y2:Y730))/STDEV('The List'!Y2:Y730)</f>
        <v>1.59087968436696</v>
      </c>
      <c r="M31" s="46">
        <f>(VLOOKUP($A31,'The List'!$B1:$AH730,25,FALSE)-AVERAGE('The List'!Z2:Z730))/STDEV('The List'!Z2:Z730)</f>
        <v>0.672373851038121</v>
      </c>
      <c r="N31" s="46">
        <f>(VLOOKUP($A31,'The List'!$B1:$AH730,26,FALSE)-AVERAGE('The List'!AA2:AA730))/STDEV('The List'!AA2:AA730)</f>
        <v>-0.732253497598055</v>
      </c>
      <c r="O31" s="46">
        <f>(VLOOKUP($A31,'The List'!$B1:$AH730,27,FALSE)-AVERAGE('The List'!AB2:AB730))/STDEV('The List'!AB2:AB730)</f>
        <v>-1.46229582613091</v>
      </c>
      <c r="P31" s="46">
        <f>(VLOOKUP($A31,'The List'!$B1:$AH730,28,FALSE)-AVERAGE('The List'!AC2:AC730))/STDEV('The List'!AC2:AC730)</f>
        <v>-0.754757016932267</v>
      </c>
      <c r="Q31" s="46">
        <f>(VLOOKUP($A31,'The List'!$B1:$AH730,29,FALSE)-AVERAGE('The List'!AD2:AD730))/STDEV('The List'!AD2:AD730)</f>
        <v>-0.454229462045719</v>
      </c>
      <c r="R31" s="46">
        <f>(VLOOKUP($A31,'The List'!$B1:$AH730,30,FALSE)-AVERAGE('The List'!AE2:AE730))/STDEV('The List'!AE2:AE730)</f>
        <v>0.434447674193238</v>
      </c>
      <c r="S31" s="46">
        <f>(VLOOKUP($A31,'The List'!$B1:$AH730,31,FALSE)-AVERAGE('The List'!AF2:AF730))/STDEV('The List'!AF2:AF730)</f>
        <v>2.57636927889215</v>
      </c>
      <c r="T31" s="46">
        <f>(VLOOKUP($A31,'The List'!$B1:$AH730,32,FALSE)-AVERAGE('The List'!AG2:AG730))/STDEV('The List'!AG2:AG730)</f>
        <v>2.6067911477719</v>
      </c>
      <c r="U31" s="46">
        <f>(VLOOKUP($A31,'The List'!$B1:$AH730,33,FALSE)-AVERAGE('The List'!AH2:AH730))/STDEV('The List'!AH2:AH730)</f>
        <v>1.05235370998717</v>
      </c>
      <c r="V31" s="46"/>
      <c r="W31" s="50"/>
      <c r="X31" s="48"/>
      <c r="Y31" s="48"/>
      <c r="Z31" s="48"/>
      <c r="AA31" s="48"/>
      <c r="AB31" s="48"/>
      <c r="AC31" s="51"/>
      <c r="AD31" s="52"/>
      <c r="AE31" s="46"/>
    </row>
    <row r="32" ht="21.25" customHeight="1">
      <c r="A32" t="s" s="8">
        <v>210</v>
      </c>
      <c r="B32" t="s" s="42">
        <f>VLOOKUP(A32,'Player Data'!A1:B734,2,FALSE)</f>
        <v>136</v>
      </c>
      <c r="C32" s="44">
        <f>((E32)*'Settings'!$C$12)+(F32*'Settings'!$C$2)+(G32*'Settings'!$C$3)+(H32*'Settings'!$C$4)+(I32*'Settings'!$C$5)+(K32*'Settings'!$C$9)+(N32*'Settings'!$C$6)+(J32*'Settings'!$C$8)+(O32*'Settings'!$C$7)+(P32*'Settings'!$C$14)+(Q32*'Settings'!$C$15)+(R32*'Settings'!$C$16)+(S32*'Settings'!$C$17)+(T32*'Settings'!$C$18)+(U32*'Settings'!$C$19)+(L32*'Settings'!$C$10)+('Settings'!$C$11*M32)</f>
        <v>8.47737890282724</v>
      </c>
      <c r="D32" s="48">
        <f>IF('Settings'!$E$12="YES",VLOOKUP(A32,'Player Data'!A1:E734,5,FALSE),82)</f>
        <v>77.9610714285714</v>
      </c>
      <c r="E32" s="46">
        <f>(VLOOKUP($A32,'The List'!$B1:$AH730,17,FALSE)-AVERAGE('The List'!R2:R730))/STDEV('The List'!R2:R730)</f>
        <v>0.524587428997121</v>
      </c>
      <c r="F32" s="46">
        <f>(VLOOKUP($A32,'The List'!$B1:$AH730,18,FALSE)-AVERAGE('The List'!S2:S730))/STDEV('The List'!S2:S730)</f>
        <v>2.32739920081236</v>
      </c>
      <c r="G32" s="46">
        <f>(VLOOKUP($A32,'The List'!$B1:$AH730,19,FALSE)-AVERAGE('The List'!T2:T730))/STDEV('The List'!T2:T730)</f>
        <v>1.33420726930064</v>
      </c>
      <c r="H32" s="46">
        <f>(VLOOKUP($A32,'The List'!$B1:$AH730,20,FALSE)-AVERAGE('The List'!U2:U730))/STDEV('The List'!U2:U730)</f>
        <v>1.8815345591201</v>
      </c>
      <c r="I32" s="46">
        <f>(VLOOKUP($A32,'The List'!$B1:$AH730,21,FALSE)-AVERAGE('The List'!V2:V730))/STDEV('The List'!V2:V730)</f>
        <v>1.17985706874149</v>
      </c>
      <c r="J32" s="46">
        <f>(VLOOKUP($A32,'The List'!$B1:$AH730,22,FALSE)-AVERAGE('The List'!W2:W730))/STDEV('The List'!W2:W730)</f>
        <v>2.07163628343067</v>
      </c>
      <c r="K32" s="46">
        <f>(VLOOKUP($A32,'The List'!$B1:$AH730,23,FALSE)-AVERAGE('The List'!X2:X730))/STDEV('The List'!X2:X730)</f>
        <v>1.87439999677605</v>
      </c>
      <c r="L32" s="46">
        <f>(VLOOKUP($A32,'The List'!$B1:$AH730,24,FALSE)-AVERAGE('The List'!Y2:Y730))/STDEV('The List'!Y2:Y730)</f>
        <v>4.83962513985113</v>
      </c>
      <c r="M32" s="46">
        <f>(VLOOKUP($A32,'The List'!$B1:$AH730,25,FALSE)-AVERAGE('The List'!Z2:Z730))/STDEV('The List'!Z2:Z730)</f>
        <v>3.0981754918102</v>
      </c>
      <c r="N32" s="46">
        <f>(VLOOKUP($A32,'The List'!$B1:$AH730,26,FALSE)-AVERAGE('The List'!AA2:AA730))/STDEV('The List'!AA2:AA730)</f>
        <v>-0.264858587367961</v>
      </c>
      <c r="O32" s="46">
        <f>(VLOOKUP($A32,'The List'!$B1:$AH730,27,FALSE)-AVERAGE('The List'!AB2:AB730))/STDEV('The List'!AB2:AB730)</f>
        <v>-0.577546211488752</v>
      </c>
      <c r="P32" s="46">
        <f>(VLOOKUP($A32,'The List'!$B1:$AH730,28,FALSE)-AVERAGE('The List'!AC2:AC730))/STDEV('The List'!AC2:AC730)</f>
        <v>2.02637395456466</v>
      </c>
      <c r="Q32" s="46">
        <f>(VLOOKUP($A32,'The List'!$B1:$AH730,29,FALSE)-AVERAGE('The List'!AD2:AD730))/STDEV('The List'!AD2:AD730)</f>
        <v>-0.162904637185322</v>
      </c>
      <c r="R32" s="46">
        <f>(VLOOKUP($A32,'The List'!$B1:$AH730,30,FALSE)-AVERAGE('The List'!AE2:AE730))/STDEV('The List'!AE2:AE730)</f>
        <v>2.58734129306744</v>
      </c>
      <c r="S32" s="46">
        <f>(VLOOKUP($A32,'The List'!$B1:$AH730,31,FALSE)-AVERAGE('The List'!AF2:AF730))/STDEV('The List'!AF2:AF730)</f>
        <v>0.962057167936711</v>
      </c>
      <c r="T32" s="46">
        <f>(VLOOKUP($A32,'The List'!$B1:$AH730,32,FALSE)-AVERAGE('The List'!AG2:AG730))/STDEV('The List'!AG2:AG730)</f>
        <v>0.875291153468776</v>
      </c>
      <c r="U32" s="46">
        <f>(VLOOKUP($A32,'The List'!$B1:$AH730,33,FALSE)-AVERAGE('The List'!AH2:AH730))/STDEV('The List'!AH2:AH730)</f>
        <v>1.11107959856687</v>
      </c>
      <c r="V32" s="46"/>
      <c r="W32" s="48"/>
      <c r="X32" s="46"/>
      <c r="Y32" s="46"/>
      <c r="Z32" s="46"/>
      <c r="AA32" s="46"/>
      <c r="AB32" s="46"/>
      <c r="AC32" s="46"/>
      <c r="AD32" s="46"/>
      <c r="AE32" s="46"/>
    </row>
    <row r="33" ht="21.25" customHeight="1">
      <c r="A33" t="s" s="8">
        <v>239</v>
      </c>
      <c r="B33" t="s" s="42">
        <f>VLOOKUP(A33,'Player Data'!A1:B734,2,FALSE)</f>
        <v>225</v>
      </c>
      <c r="C33" s="44">
        <f>((E33)*'Settings'!$C$12)+(F33*'Settings'!$C$2)+(G33*'Settings'!$C$3)+(H33*'Settings'!$C$4)+(I33*'Settings'!$C$5)+(K33*'Settings'!$C$9)+(N33*'Settings'!$C$6)+(J33*'Settings'!$C$8)+(O33*'Settings'!$C$7)+(P33*'Settings'!$C$14)+(Q33*'Settings'!$C$15)+(R33*'Settings'!$C$16)+(S33*'Settings'!$C$17)+(T33*'Settings'!$C$18)+(U33*'Settings'!$C$19)+(L33*'Settings'!$C$10)+('Settings'!$C$11*M33)</f>
        <v>5.57064864773065</v>
      </c>
      <c r="D33" s="48">
        <f>IF('Settings'!$E$12="YES",VLOOKUP(A33,'Player Data'!A1:E734,5,FALSE),82)</f>
        <v>78</v>
      </c>
      <c r="E33" s="46">
        <f>(VLOOKUP($A33,'The List'!$B1:$AH730,17,FALSE)-AVERAGE('The List'!R2:R730))/STDEV('The List'!R2:R730)</f>
        <v>0.679063732001328</v>
      </c>
      <c r="F33" s="46">
        <f>(VLOOKUP($A33,'The List'!$B1:$AH730,18,FALSE)-AVERAGE('The List'!S2:S730))/STDEV('The List'!S2:S730)</f>
        <v>1.76930563299632</v>
      </c>
      <c r="G33" s="46">
        <f>(VLOOKUP($A33,'The List'!$B1:$AH730,19,FALSE)-AVERAGE('The List'!T2:T730))/STDEV('The List'!T2:T730)</f>
        <v>1.45835402227699</v>
      </c>
      <c r="H33" s="46">
        <f>(VLOOKUP($A33,'The List'!$B1:$AH730,20,FALSE)-AVERAGE('The List'!U2:U730))/STDEV('The List'!U2:U730)</f>
        <v>1.7041256342722</v>
      </c>
      <c r="I33" s="46">
        <f>(VLOOKUP($A33,'The List'!$B1:$AH730,21,FALSE)-AVERAGE('The List'!V2:V730))/STDEV('The List'!V2:V730)</f>
        <v>1.27909759769486</v>
      </c>
      <c r="J33" s="46">
        <f>(VLOOKUP($A33,'The List'!$B1:$AH730,22,FALSE)-AVERAGE('The List'!W2:W730))/STDEV('The List'!W2:W730)</f>
        <v>1.94301312276772</v>
      </c>
      <c r="K33" s="46">
        <f>(VLOOKUP($A33,'The List'!$B1:$AH730,23,FALSE)-AVERAGE('The List'!X2:X730))/STDEV('The List'!X2:X730)</f>
        <v>1.60915201112741</v>
      </c>
      <c r="L33" s="46">
        <f>(VLOOKUP($A33,'The List'!$B1:$AH730,24,FALSE)-AVERAGE('The List'!Y2:Y730))/STDEV('The List'!Y2:Y730)</f>
        <v>-0.542843480388394</v>
      </c>
      <c r="M33" s="46">
        <f>(VLOOKUP($A33,'The List'!$B1:$AH730,25,FALSE)-AVERAGE('The List'!Z2:Z730))/STDEV('The List'!Z2:Z730)</f>
        <v>-0.72177514995105</v>
      </c>
      <c r="N33" s="46">
        <f>(VLOOKUP($A33,'The List'!$B1:$AH730,26,FALSE)-AVERAGE('The List'!AA2:AA730))/STDEV('The List'!AA2:AA730)</f>
        <v>-0.599266281138351</v>
      </c>
      <c r="O33" s="46">
        <f>(VLOOKUP($A33,'The List'!$B1:$AH730,27,FALSE)-AVERAGE('The List'!AB2:AB730))/STDEV('The List'!AB2:AB730)</f>
        <v>-1.028550606262</v>
      </c>
      <c r="P33" s="46">
        <f>(VLOOKUP($A33,'The List'!$B1:$AH730,28,FALSE)-AVERAGE('The List'!AC2:AC730))/STDEV('The List'!AC2:AC730)</f>
        <v>0.0540056647734255</v>
      </c>
      <c r="Q33" s="46">
        <f>(VLOOKUP($A33,'The List'!$B1:$AH730,29,FALSE)-AVERAGE('The List'!AD2:AD730))/STDEV('The List'!AD2:AD730)</f>
        <v>-0.588893950672862</v>
      </c>
      <c r="R33" s="46">
        <f>(VLOOKUP($A33,'The List'!$B1:$AH730,30,FALSE)-AVERAGE('The List'!AE2:AE730))/STDEV('The List'!AE2:AE730)</f>
        <v>1.15251115709203</v>
      </c>
      <c r="S33" s="46">
        <f>(VLOOKUP($A33,'The List'!$B1:$AH730,31,FALSE)-AVERAGE('The List'!AF2:AF730))/STDEV('The List'!AF2:AF730)</f>
        <v>0.709698822307826</v>
      </c>
      <c r="T33" s="46">
        <f>(VLOOKUP($A33,'The List'!$B1:$AH730,32,FALSE)-AVERAGE('The List'!AG2:AG730))/STDEV('The List'!AG2:AG730)</f>
        <v>1.31618536172579</v>
      </c>
      <c r="U33" s="46">
        <f>(VLOOKUP($A33,'The List'!$B1:$AH730,33,FALSE)-AVERAGE('The List'!AH2:AH730))/STDEV('The List'!AH2:AH730)</f>
        <v>0.615377892960761</v>
      </c>
      <c r="V33" s="46"/>
      <c r="W33" s="48"/>
      <c r="X33" s="48"/>
      <c r="Y33" s="48"/>
      <c r="Z33" s="48"/>
      <c r="AA33" s="48"/>
      <c r="AB33" s="48"/>
      <c r="AC33" s="51"/>
      <c r="AD33" s="52"/>
      <c r="AE33" s="46"/>
    </row>
    <row r="34" ht="21.25" customHeight="1">
      <c r="A34" t="s" s="8">
        <v>182</v>
      </c>
      <c r="B34" t="s" s="42">
        <f>VLOOKUP(A34,'Player Data'!A1:B734,2,FALSE)</f>
        <v>170</v>
      </c>
      <c r="C34" s="44">
        <f>((E34)*'Settings'!$C$12)+(F34*'Settings'!$C$2)+(G34*'Settings'!$C$3)+(H34*'Settings'!$C$4)+(I34*'Settings'!$C$5)+(K34*'Settings'!$C$9)+(N34*'Settings'!$C$6)+(J34*'Settings'!$C$8)+(O34*'Settings'!$C$7)+(P34*'Settings'!$C$14)+(Q34*'Settings'!$C$15)+(R34*'Settings'!$C$16)+(S34*'Settings'!$C$17)+(T34*'Settings'!$C$18)+(U34*'Settings'!$C$19)+(L34*'Settings'!$C$10)+('Settings'!$C$11*M34)</f>
        <v>7.93666401781686</v>
      </c>
      <c r="D34" s="48">
        <f>IF('Settings'!$E$12="YES",VLOOKUP(A34,'Player Data'!A1:E734,5,FALSE),82)</f>
        <v>80.495</v>
      </c>
      <c r="E34" s="46">
        <f>(VLOOKUP($A34,'The List'!$B1:$AH730,17,FALSE)-AVERAGE('The List'!R2:R730))/STDEV('The List'!R2:R730)</f>
        <v>0.936995746983283</v>
      </c>
      <c r="F34" s="46">
        <f>(VLOOKUP($A34,'The List'!$B1:$AH730,18,FALSE)-AVERAGE('The List'!S2:S730))/STDEV('The List'!S2:S730)</f>
        <v>2.36427189329915</v>
      </c>
      <c r="G34" s="46">
        <f>(VLOOKUP($A34,'The List'!$B1:$AH730,19,FALSE)-AVERAGE('The List'!T2:T730))/STDEV('The List'!T2:T730)</f>
        <v>1.48094360884745</v>
      </c>
      <c r="H34" s="46">
        <f>(VLOOKUP($A34,'The List'!$B1:$AH730,20,FALSE)-AVERAGE('The List'!U2:U730))/STDEV('The List'!U2:U730)</f>
        <v>1.9887733983846</v>
      </c>
      <c r="I34" s="46">
        <f>(VLOOKUP($A34,'The List'!$B1:$AH730,21,FALSE)-AVERAGE('The List'!V2:V730))/STDEV('The List'!V2:V730)</f>
        <v>1.93233418794536</v>
      </c>
      <c r="J34" s="46">
        <f>(VLOOKUP($A34,'The List'!$B1:$AH730,22,FALSE)-AVERAGE('The List'!W2:W730))/STDEV('The List'!W2:W730)</f>
        <v>1.95468150878864</v>
      </c>
      <c r="K34" s="46">
        <f>(VLOOKUP($A34,'The List'!$B1:$AH730,23,FALSE)-AVERAGE('The List'!X2:X730))/STDEV('The List'!X2:X730)</f>
        <v>1.69735630532967</v>
      </c>
      <c r="L34" s="46">
        <f>(VLOOKUP($A34,'The List'!$B1:$AH730,24,FALSE)-AVERAGE('The List'!Y2:Y730))/STDEV('The List'!Y2:Y730)</f>
        <v>-0.511432256706717</v>
      </c>
      <c r="M34" s="46">
        <f>(VLOOKUP($A34,'The List'!$B1:$AH730,25,FALSE)-AVERAGE('The List'!Z2:Z730))/STDEV('The List'!Z2:Z730)</f>
        <v>-0.686569450491972</v>
      </c>
      <c r="N34" s="46">
        <f>(VLOOKUP($A34,'The List'!$B1:$AH730,26,FALSE)-AVERAGE('The List'!AA2:AA730))/STDEV('The List'!AA2:AA730)</f>
        <v>-0.378993174010056</v>
      </c>
      <c r="O34" s="46">
        <f>(VLOOKUP($A34,'The List'!$B1:$AH730,27,FALSE)-AVERAGE('The List'!AB2:AB730))/STDEV('The List'!AB2:AB730)</f>
        <v>-0.252761877235922</v>
      </c>
      <c r="P34" s="46">
        <f>(VLOOKUP($A34,'The List'!$B1:$AH730,28,FALSE)-AVERAGE('The List'!AC2:AC730))/STDEV('The List'!AC2:AC730)</f>
        <v>0.8407511964052899</v>
      </c>
      <c r="Q34" s="46">
        <f>(VLOOKUP($A34,'The List'!$B1:$AH730,29,FALSE)-AVERAGE('The List'!AD2:AD730))/STDEV('The List'!AD2:AD730)</f>
        <v>0.95527353850397</v>
      </c>
      <c r="R34" s="46">
        <f>(VLOOKUP($A34,'The List'!$B1:$AH730,30,FALSE)-AVERAGE('The List'!AE2:AE730))/STDEV('The List'!AE2:AE730)</f>
        <v>2.63828230461551</v>
      </c>
      <c r="S34" s="46">
        <f>(VLOOKUP($A34,'The List'!$B1:$AH730,31,FALSE)-AVERAGE('The List'!AF2:AF730))/STDEV('The List'!AF2:AF730)</f>
        <v>-0.51626056286474</v>
      </c>
      <c r="T34" s="46">
        <f>(VLOOKUP($A34,'The List'!$B1:$AH730,32,FALSE)-AVERAGE('The List'!AG2:AG730))/STDEV('The List'!AG2:AG730)</f>
        <v>-0.550588976694552</v>
      </c>
      <c r="U34" s="46">
        <f>(VLOOKUP($A34,'The List'!$B1:$AH730,33,FALSE)-AVERAGE('The List'!AH2:AH730))/STDEV('The List'!AH2:AH730)</f>
        <v>0.8393556948087399</v>
      </c>
      <c r="V34" s="46"/>
      <c r="W34" s="48"/>
      <c r="X34" s="46"/>
      <c r="Y34" s="46"/>
      <c r="Z34" s="46"/>
      <c r="AA34" s="46"/>
      <c r="AB34" s="46"/>
      <c r="AC34" s="46"/>
      <c r="AD34" s="46"/>
      <c r="AE34" s="46"/>
    </row>
    <row r="35" ht="21.25" customHeight="1">
      <c r="A35" t="s" s="8">
        <v>193</v>
      </c>
      <c r="B35" t="s" s="42">
        <f>VLOOKUP(A35,'Player Data'!A1:B734,2,FALSE)</f>
        <v>194</v>
      </c>
      <c r="C35" s="44">
        <f>((E35)*'Settings'!$C$12)+(F35*'Settings'!$C$2)+(G35*'Settings'!$C$3)+(H35*'Settings'!$C$4)+(I35*'Settings'!$C$5)+(K35*'Settings'!$C$9)+(N35*'Settings'!$C$6)+(J35*'Settings'!$C$8)+(O35*'Settings'!$C$7)+(P35*'Settings'!$C$14)+(Q35*'Settings'!$C$15)+(R35*'Settings'!$C$16)+(S35*'Settings'!$C$17)+(T35*'Settings'!$C$18)+(U35*'Settings'!$C$19)+(L35*'Settings'!$C$10)+('Settings'!$C$11*M35)</f>
        <v>4.96687775391134</v>
      </c>
      <c r="D35" s="48">
        <f>IF('Settings'!$E$12="YES",VLOOKUP(A35,'Player Data'!A1:E734,5,FALSE),82)</f>
        <v>80.45</v>
      </c>
      <c r="E35" s="46">
        <f>(VLOOKUP($A35,'The List'!$B1:$AH730,17,FALSE)-AVERAGE('The List'!R2:R730))/STDEV('The List'!R2:R730)</f>
        <v>0.431817452403236</v>
      </c>
      <c r="F35" s="46">
        <f>(VLOOKUP($A35,'The List'!$B1:$AH730,18,FALSE)-AVERAGE('The List'!S2:S730))/STDEV('The List'!S2:S730)</f>
        <v>1.98170709200437</v>
      </c>
      <c r="G35" s="46">
        <f>(VLOOKUP($A35,'The List'!$B1:$AH730,19,FALSE)-AVERAGE('The List'!T2:T730))/STDEV('The List'!T2:T730)</f>
        <v>1.45465552982392</v>
      </c>
      <c r="H35" s="46">
        <f>(VLOOKUP($A35,'The List'!$B1:$AH730,20,FALSE)-AVERAGE('The List'!U2:U730))/STDEV('The List'!U2:U730)</f>
        <v>1.79849248599505</v>
      </c>
      <c r="I35" s="46">
        <f>(VLOOKUP($A35,'The List'!$B1:$AH730,21,FALSE)-AVERAGE('The List'!V2:V730))/STDEV('The List'!V2:V730)</f>
        <v>1.9489487917985</v>
      </c>
      <c r="J35" s="46">
        <f>(VLOOKUP($A35,'The List'!$B1:$AH730,22,FALSE)-AVERAGE('The List'!W2:W730))/STDEV('The List'!W2:W730)</f>
        <v>1.82572280356915</v>
      </c>
      <c r="K35" s="46">
        <f>(VLOOKUP($A35,'The List'!$B1:$AH730,23,FALSE)-AVERAGE('The List'!X2:X730))/STDEV('The List'!X2:X730)</f>
        <v>1.62609024429416</v>
      </c>
      <c r="L35" s="46">
        <f>(VLOOKUP($A35,'The List'!$B1:$AH730,24,FALSE)-AVERAGE('The List'!Y2:Y730))/STDEV('The List'!Y2:Y730)</f>
        <v>-0.514595017330314</v>
      </c>
      <c r="M35" s="46">
        <f>(VLOOKUP($A35,'The List'!$B1:$AH730,25,FALSE)-AVERAGE('The List'!Z2:Z730))/STDEV('The List'!Z2:Z730)</f>
        <v>-0.6901953932253611</v>
      </c>
      <c r="N35" s="46">
        <f>(VLOOKUP($A35,'The List'!$B1:$AH730,26,FALSE)-AVERAGE('The List'!AA2:AA730))/STDEV('The List'!AA2:AA730)</f>
        <v>-0.661978294908541</v>
      </c>
      <c r="O35" s="46">
        <f>(VLOOKUP($A35,'The List'!$B1:$AH730,27,FALSE)-AVERAGE('The List'!AB2:AB730))/STDEV('The List'!AB2:AB730)</f>
        <v>-1.52748738076922</v>
      </c>
      <c r="P35" s="46">
        <f>(VLOOKUP($A35,'The List'!$B1:$AH730,28,FALSE)-AVERAGE('The List'!AC2:AC730))/STDEV('The List'!AC2:AC730)</f>
        <v>-1.38254560910107</v>
      </c>
      <c r="Q35" s="46">
        <f>(VLOOKUP($A35,'The List'!$B1:$AH730,29,FALSE)-AVERAGE('The List'!AD2:AD730))/STDEV('The List'!AD2:AD730)</f>
        <v>-0.364005847367346</v>
      </c>
      <c r="R35" s="46">
        <f>(VLOOKUP($A35,'The List'!$B1:$AH730,30,FALSE)-AVERAGE('The List'!AE2:AE730))/STDEV('The List'!AE2:AE730)</f>
        <v>1.26949860341092</v>
      </c>
      <c r="S35" s="46">
        <f>(VLOOKUP($A35,'The List'!$B1:$AH730,31,FALSE)-AVERAGE('The List'!AF2:AF730))/STDEV('The List'!AF2:AF730)</f>
        <v>-0.526731393069486</v>
      </c>
      <c r="T35" s="46">
        <f>(VLOOKUP($A35,'The List'!$B1:$AH730,32,FALSE)-AVERAGE('The List'!AG2:AG730))/STDEV('The List'!AG2:AG730)</f>
        <v>-0.552263073711817</v>
      </c>
      <c r="U35" s="46">
        <f>(VLOOKUP($A35,'The List'!$B1:$AH730,33,FALSE)-AVERAGE('The List'!AH2:AH730))/STDEV('The List'!AH2:AH730)</f>
        <v>0.548008641282685</v>
      </c>
      <c r="V35" s="46"/>
      <c r="W35" s="50"/>
      <c r="X35" s="48"/>
      <c r="Y35" s="48"/>
      <c r="Z35" s="48"/>
      <c r="AA35" s="48"/>
      <c r="AB35" s="48"/>
      <c r="AC35" s="51"/>
      <c r="AD35" s="52"/>
      <c r="AE35" s="46"/>
    </row>
    <row r="36" ht="21.25" customHeight="1">
      <c r="A36" t="s" s="8">
        <v>165</v>
      </c>
      <c r="B36" t="s" s="42">
        <f>VLOOKUP(A36,'Player Data'!A1:B734,2,FALSE)</f>
        <v>166</v>
      </c>
      <c r="C36" s="44">
        <f>((E36)*'Settings'!$C$12)+(F36*'Settings'!$C$2)+(G36*'Settings'!$C$3)+(H36*'Settings'!$C$4)+(I36*'Settings'!$C$5)+(K36*'Settings'!$C$9)+(N36*'Settings'!$C$6)+(J36*'Settings'!$C$8)+(O36*'Settings'!$C$7)+(P36*'Settings'!$C$14)+(Q36*'Settings'!$C$15)+(R36*'Settings'!$C$16)+(S36*'Settings'!$C$17)+(T36*'Settings'!$C$18)+(U36*'Settings'!$C$19)+(L36*'Settings'!$C$10)+('Settings'!$C$11*M36)</f>
        <v>7.17379043498783</v>
      </c>
      <c r="D36" s="48">
        <f>IF('Settings'!$E$12="YES",VLOOKUP(A36,'Player Data'!A1:E734,5,FALSE),82)</f>
        <v>78.1342857142857</v>
      </c>
      <c r="E36" s="46">
        <f>(VLOOKUP($A36,'The List'!$B1:$AH730,17,FALSE)-AVERAGE('The List'!R2:R730))/STDEV('The List'!R2:R730)</f>
        <v>1.01503684390313</v>
      </c>
      <c r="F36" s="46">
        <f>(VLOOKUP($A36,'The List'!$B1:$AH730,18,FALSE)-AVERAGE('The List'!S2:S730))/STDEV('The List'!S2:S730)</f>
        <v>2.84774948024711</v>
      </c>
      <c r="G36" s="46">
        <f>(VLOOKUP($A36,'The List'!$B1:$AH730,19,FALSE)-AVERAGE('The List'!T2:T730))/STDEV('The List'!T2:T730)</f>
        <v>0.935333530196674</v>
      </c>
      <c r="H36" s="46">
        <f>(VLOOKUP($A36,'The List'!$B1:$AH730,20,FALSE)-AVERAGE('The List'!U2:U730))/STDEV('The List'!U2:U730)</f>
        <v>1.8724039547619</v>
      </c>
      <c r="I36" s="46">
        <f>(VLOOKUP($A36,'The List'!$B1:$AH730,21,FALSE)-AVERAGE('The List'!V2:V730))/STDEV('The List'!V2:V730)</f>
        <v>3.04085796466256</v>
      </c>
      <c r="J36" s="46">
        <f>(VLOOKUP($A36,'The List'!$B1:$AH730,22,FALSE)-AVERAGE('The List'!W2:W730))/STDEV('The List'!W2:W730)</f>
        <v>3.21707201092357</v>
      </c>
      <c r="K36" s="46">
        <f>(VLOOKUP($A36,'The List'!$B1:$AH730,23,FALSE)-AVERAGE('The List'!X2:X730))/STDEV('The List'!X2:X730)</f>
        <v>1.88498552445531</v>
      </c>
      <c r="L36" s="46">
        <f>(VLOOKUP($A36,'The List'!$B1:$AH730,24,FALSE)-AVERAGE('The List'!Y2:Y730))/STDEV('The List'!Y2:Y730)</f>
        <v>-0.529888574643618</v>
      </c>
      <c r="M36" s="46">
        <f>(VLOOKUP($A36,'The List'!$B1:$AH730,25,FALSE)-AVERAGE('The List'!Z2:Z730))/STDEV('The List'!Z2:Z730)</f>
        <v>-0.712105934360505</v>
      </c>
      <c r="N36" s="46">
        <f>(VLOOKUP($A36,'The List'!$B1:$AH730,26,FALSE)-AVERAGE('The List'!AA2:AA730))/STDEV('The List'!AA2:AA730)</f>
        <v>-0.827567464291041</v>
      </c>
      <c r="O36" s="46">
        <f>(VLOOKUP($A36,'The List'!$B1:$AH730,27,FALSE)-AVERAGE('The List'!AB2:AB730))/STDEV('The List'!AB2:AB730)</f>
        <v>1.80296699995687</v>
      </c>
      <c r="P36" s="46">
        <f>(VLOOKUP($A36,'The List'!$B1:$AH730,28,FALSE)-AVERAGE('The List'!AC2:AC730))/STDEV('The List'!AC2:AC730)</f>
        <v>-0.707568600282781</v>
      </c>
      <c r="Q36" s="46">
        <f>(VLOOKUP($A36,'The List'!$B1:$AH730,29,FALSE)-AVERAGE('The List'!AD2:AD730))/STDEV('The List'!AD2:AD730)</f>
        <v>-0.017000000717528</v>
      </c>
      <c r="R36" s="46">
        <f>(VLOOKUP($A36,'The List'!$B1:$AH730,30,FALSE)-AVERAGE('The List'!AE2:AE730))/STDEV('The List'!AE2:AE730)</f>
        <v>2.13186923462063</v>
      </c>
      <c r="S36" s="46">
        <f>(VLOOKUP($A36,'The List'!$B1:$AH730,31,FALSE)-AVERAGE('The List'!AF2:AF730))/STDEV('The List'!AF2:AF730)</f>
        <v>-0.541635146079244</v>
      </c>
      <c r="T36" s="46">
        <f>(VLOOKUP($A36,'The List'!$B1:$AH730,32,FALSE)-AVERAGE('The List'!AG2:AG730))/STDEV('The List'!AG2:AG730)</f>
        <v>-0.566828201938083</v>
      </c>
      <c r="U36" s="46">
        <f>(VLOOKUP($A36,'The List'!$B1:$AH730,33,FALSE)-AVERAGE('The List'!AH2:AH730))/STDEV('The List'!AH2:AH730)</f>
        <v>0.211887186797775</v>
      </c>
      <c r="V36" s="46"/>
      <c r="W36" s="50"/>
      <c r="X36" s="48"/>
      <c r="Y36" s="48"/>
      <c r="Z36" s="48"/>
      <c r="AA36" s="48"/>
      <c r="AB36" s="48"/>
      <c r="AC36" s="51"/>
      <c r="AD36" s="52"/>
      <c r="AE36" s="46"/>
    </row>
    <row r="37" ht="21.25" customHeight="1">
      <c r="A37" t="s" s="8">
        <v>203</v>
      </c>
      <c r="B37" t="s" s="42">
        <f>VLOOKUP(A37,'Player Data'!A1:B734,2,FALSE)</f>
        <v>204</v>
      </c>
      <c r="C37" s="44">
        <f>((E37)*'Settings'!$C$12)+(F37*'Settings'!$C$2)+(G37*'Settings'!$C$3)+(H37*'Settings'!$C$4)+(I37*'Settings'!$C$5)+(K37*'Settings'!$C$9)+(N37*'Settings'!$C$6)+(J37*'Settings'!$C$8)+(O37*'Settings'!$C$7)+(P37*'Settings'!$C$14)+(Q37*'Settings'!$C$15)+(R37*'Settings'!$C$16)+(S37*'Settings'!$C$17)+(T37*'Settings'!$C$18)+(U37*'Settings'!$C$19)+(L37*'Settings'!$C$10)+('Settings'!$C$11*M37)</f>
        <v>6.04159723217599</v>
      </c>
      <c r="D37" s="48">
        <f>IF('Settings'!$E$12="YES",VLOOKUP(A37,'Player Data'!A1:E734,5,FALSE),82)</f>
        <v>78.84392857142861</v>
      </c>
      <c r="E37" s="46">
        <f>(VLOOKUP($A37,'The List'!$B1:$AH730,17,FALSE)-AVERAGE('The List'!R2:R730))/STDEV('The List'!R2:R730)</f>
        <v>0.284331148520016</v>
      </c>
      <c r="F37" s="46">
        <f>(VLOOKUP($A37,'The List'!$B1:$AH730,18,FALSE)-AVERAGE('The List'!S2:S730))/STDEV('The List'!S2:S730)</f>
        <v>1.50399242830058</v>
      </c>
      <c r="G37" s="46">
        <f>(VLOOKUP($A37,'The List'!$B1:$AH730,19,FALSE)-AVERAGE('The List'!T2:T730))/STDEV('The List'!T2:T730)</f>
        <v>1.94916215283285</v>
      </c>
      <c r="H37" s="46">
        <f>(VLOOKUP($A37,'The List'!$B1:$AH730,20,FALSE)-AVERAGE('The List'!U2:U730))/STDEV('The List'!U2:U730)</f>
        <v>1.88597956655748</v>
      </c>
      <c r="I37" s="46">
        <f>(VLOOKUP($A37,'The List'!$B1:$AH730,21,FALSE)-AVERAGE('The List'!V2:V730))/STDEV('The List'!V2:V730)</f>
        <v>1.79315210455347</v>
      </c>
      <c r="J37" s="46">
        <f>(VLOOKUP($A37,'The List'!$B1:$AH730,22,FALSE)-AVERAGE('The List'!W2:W730))/STDEV('The List'!W2:W730)</f>
        <v>1.1014613139321</v>
      </c>
      <c r="K37" s="46">
        <f>(VLOOKUP($A37,'The List'!$B1:$AH730,23,FALSE)-AVERAGE('The List'!X2:X730))/STDEV('The List'!X2:X730)</f>
        <v>1.52450490626037</v>
      </c>
      <c r="L37" s="46">
        <f>(VLOOKUP($A37,'The List'!$B1:$AH730,24,FALSE)-AVERAGE('The List'!Y2:Y730))/STDEV('The List'!Y2:Y730)</f>
        <v>-0.513594785747758</v>
      </c>
      <c r="M37" s="46">
        <f>(VLOOKUP($A37,'The List'!$B1:$AH730,25,FALSE)-AVERAGE('The List'!Z2:Z730))/STDEV('The List'!Z2:Z730)</f>
        <v>-0.699723839907012</v>
      </c>
      <c r="N37" s="46">
        <f>(VLOOKUP($A37,'The List'!$B1:$AH730,26,FALSE)-AVERAGE('The List'!AA2:AA730))/STDEV('The List'!AA2:AA730)</f>
        <v>-0.941919552965569</v>
      </c>
      <c r="O37" s="46">
        <f>(VLOOKUP($A37,'The List'!$B1:$AH730,27,FALSE)-AVERAGE('The List'!AB2:AB730))/STDEV('The List'!AB2:AB730)</f>
        <v>-0.660186601375234</v>
      </c>
      <c r="P37" s="46">
        <f>(VLOOKUP($A37,'The List'!$B1:$AH730,28,FALSE)-AVERAGE('The List'!AC2:AC730))/STDEV('The List'!AC2:AC730)</f>
        <v>0.21270519319429</v>
      </c>
      <c r="Q37" s="46">
        <f>(VLOOKUP($A37,'The List'!$B1:$AH730,29,FALSE)-AVERAGE('The List'!AD2:AD730))/STDEV('The List'!AD2:AD730)</f>
        <v>1.21341064211454</v>
      </c>
      <c r="R37" s="46">
        <f>(VLOOKUP($A37,'The List'!$B1:$AH730,30,FALSE)-AVERAGE('The List'!AE2:AE730))/STDEV('The List'!AE2:AE730)</f>
        <v>1.51273660499917</v>
      </c>
      <c r="S37" s="46">
        <f>(VLOOKUP($A37,'The List'!$B1:$AH730,31,FALSE)-AVERAGE('The List'!AF2:AF730))/STDEV('The List'!AF2:AF730)</f>
        <v>-0.523555008208748</v>
      </c>
      <c r="T37" s="46">
        <f>(VLOOKUP($A37,'The List'!$B1:$AH730,32,FALSE)-AVERAGE('The List'!AG2:AG730))/STDEV('The List'!AG2:AG730)</f>
        <v>-0.54581673075427</v>
      </c>
      <c r="U37" s="46">
        <f>(VLOOKUP($A37,'The List'!$B1:$AH730,33,FALSE)-AVERAGE('The List'!AH2:AH730))/STDEV('The List'!AH2:AH730)</f>
        <v>0.521651859213851</v>
      </c>
      <c r="V37" s="46"/>
      <c r="W37" s="48"/>
      <c r="X37" s="46"/>
      <c r="Y37" s="46"/>
      <c r="Z37" s="46"/>
      <c r="AA37" s="46"/>
      <c r="AB37" s="46"/>
      <c r="AC37" s="46"/>
      <c r="AD37" s="46"/>
      <c r="AE37" s="46"/>
    </row>
    <row r="38" ht="21.25" customHeight="1">
      <c r="A38" t="s" s="8">
        <v>206</v>
      </c>
      <c r="B38" t="s" s="42">
        <f>VLOOKUP(A38,'Player Data'!A1:B734,2,FALSE)</f>
        <v>202</v>
      </c>
      <c r="C38" s="44">
        <f>((E38)*'Settings'!$C$12)+(F38*'Settings'!$C$2)+(G38*'Settings'!$C$3)+(H38*'Settings'!$C$4)+(I38*'Settings'!$C$5)+(K38*'Settings'!$C$9)+(N38*'Settings'!$C$6)+(J38*'Settings'!$C$8)+(O38*'Settings'!$C$7)+(P38*'Settings'!$C$14)+(Q38*'Settings'!$C$15)+(R38*'Settings'!$C$16)+(S38*'Settings'!$C$17)+(T38*'Settings'!$C$18)+(U38*'Settings'!$C$19)+(L38*'Settings'!$C$10)+('Settings'!$C$11*M38)</f>
        <v>8.153177769447931</v>
      </c>
      <c r="D38" s="48">
        <f>IF('Settings'!$E$12="YES",VLOOKUP(A38,'Player Data'!A1:E734,5,FALSE),82)</f>
        <v>80.375</v>
      </c>
      <c r="E38" s="46">
        <f>(VLOOKUP($A38,'The List'!$B1:$AH730,17,FALSE)-AVERAGE('The List'!R2:R730))/STDEV('The List'!R2:R730)</f>
        <v>0.942672795933871</v>
      </c>
      <c r="F38" s="46">
        <f>(VLOOKUP($A38,'The List'!$B1:$AH730,18,FALSE)-AVERAGE('The List'!S2:S730))/STDEV('The List'!S2:S730)</f>
        <v>2.43367347894596</v>
      </c>
      <c r="G38" s="46">
        <f>(VLOOKUP($A38,'The List'!$B1:$AH730,19,FALSE)-AVERAGE('The List'!T2:T730))/STDEV('The List'!T2:T730)</f>
        <v>1.36242475642918</v>
      </c>
      <c r="H38" s="46">
        <f>(VLOOKUP($A38,'The List'!$B1:$AH730,20,FALSE)-AVERAGE('The List'!U2:U730))/STDEV('The List'!U2:U730)</f>
        <v>1.94728719700899</v>
      </c>
      <c r="I38" s="46">
        <f>(VLOOKUP($A38,'The List'!$B1:$AH730,21,FALSE)-AVERAGE('The List'!V2:V730))/STDEV('The List'!V2:V730)</f>
        <v>1.72499900780855</v>
      </c>
      <c r="J38" s="46">
        <f>(VLOOKUP($A38,'The List'!$B1:$AH730,22,FALSE)-AVERAGE('The List'!W2:W730))/STDEV('The List'!W2:W730)</f>
        <v>1.88776890902215</v>
      </c>
      <c r="K38" s="46">
        <f>(VLOOKUP($A38,'The List'!$B1:$AH730,23,FALSE)-AVERAGE('The List'!X2:X730))/STDEV('The List'!X2:X730)</f>
        <v>1.44165923202335</v>
      </c>
      <c r="L38" s="46">
        <f>(VLOOKUP($A38,'The List'!$B1:$AH730,24,FALSE)-AVERAGE('The List'!Y2:Y730))/STDEV('The List'!Y2:Y730)</f>
        <v>3.41428564524221</v>
      </c>
      <c r="M38" s="46">
        <f>(VLOOKUP($A38,'The List'!$B1:$AH730,25,FALSE)-AVERAGE('The List'!Z2:Z730))/STDEV('The List'!Z2:Z730)</f>
        <v>2.97183490046908</v>
      </c>
      <c r="N38" s="46">
        <f>(VLOOKUP($A38,'The List'!$B1:$AH730,26,FALSE)-AVERAGE('The List'!AA2:AA730))/STDEV('The List'!AA2:AA730)</f>
        <v>-0.8311392571084349</v>
      </c>
      <c r="O38" s="46">
        <f>(VLOOKUP($A38,'The List'!$B1:$AH730,27,FALSE)-AVERAGE('The List'!AB2:AB730))/STDEV('The List'!AB2:AB730)</f>
        <v>-0.428308115656327</v>
      </c>
      <c r="P38" s="46">
        <f>(VLOOKUP($A38,'The List'!$B1:$AH730,28,FALSE)-AVERAGE('The List'!AC2:AC730))/STDEV('The List'!AC2:AC730)</f>
        <v>2.02156055134932</v>
      </c>
      <c r="Q38" s="46">
        <f>(VLOOKUP($A38,'The List'!$B1:$AH730,29,FALSE)-AVERAGE('The List'!AD2:AD730))/STDEV('The List'!AD2:AD730)</f>
        <v>0.902186428265205</v>
      </c>
      <c r="R38" s="46">
        <f>(VLOOKUP($A38,'The List'!$B1:$AH730,30,FALSE)-AVERAGE('The List'!AE2:AE730))/STDEV('The List'!AE2:AE730)</f>
        <v>3.1694680771306</v>
      </c>
      <c r="S38" s="46">
        <f>(VLOOKUP($A38,'The List'!$B1:$AH730,31,FALSE)-AVERAGE('The List'!AF2:AF730))/STDEV('The List'!AF2:AF730)</f>
        <v>2.32954607250187</v>
      </c>
      <c r="T38" s="46">
        <f>(VLOOKUP($A38,'The List'!$B1:$AH730,32,FALSE)-AVERAGE('The List'!AG2:AG730))/STDEV('The List'!AG2:AG730)</f>
        <v>2.19313096608248</v>
      </c>
      <c r="U38" s="46">
        <f>(VLOOKUP($A38,'The List'!$B1:$AH730,33,FALSE)-AVERAGE('The List'!AH2:AH730))/STDEV('The List'!AH2:AH730)</f>
        <v>1.11555012049423</v>
      </c>
      <c r="V38" s="46"/>
      <c r="W38" s="50"/>
      <c r="X38" s="48"/>
      <c r="Y38" s="48"/>
      <c r="Z38" s="48"/>
      <c r="AA38" s="48"/>
      <c r="AB38" s="48"/>
      <c r="AC38" s="51"/>
      <c r="AD38" s="52"/>
      <c r="AE38" s="46"/>
    </row>
    <row r="39" ht="21.25" customHeight="1">
      <c r="A39" t="s" s="8">
        <v>192</v>
      </c>
      <c r="B39" t="s" s="42">
        <f>VLOOKUP(A39,'Player Data'!A1:B734,2,FALSE)</f>
        <v>127</v>
      </c>
      <c r="C39" s="44">
        <f>((E39)*'Settings'!$C$12)+(F39*'Settings'!$C$2)+(G39*'Settings'!$C$3)+(H39*'Settings'!$C$4)+(I39*'Settings'!$C$5)+(K39*'Settings'!$C$9)+(N39*'Settings'!$C$6)+(J39*'Settings'!$C$8)+(O39*'Settings'!$C$7)+(P39*'Settings'!$C$14)+(Q39*'Settings'!$C$15)+(R39*'Settings'!$C$16)+(S39*'Settings'!$C$17)+(T39*'Settings'!$C$18)+(U39*'Settings'!$C$19)+(L39*'Settings'!$C$10)+('Settings'!$C$11*M39)</f>
        <v>7.42201412852861</v>
      </c>
      <c r="D39" s="48">
        <f>IF('Settings'!$E$12="YES",VLOOKUP(A39,'Player Data'!A1:E734,5,FALSE),82)</f>
        <v>78.47</v>
      </c>
      <c r="E39" s="46">
        <f>(VLOOKUP($A39,'The List'!$B1:$AH730,17,FALSE)-AVERAGE('The List'!R2:R730))/STDEV('The List'!R2:R730)</f>
        <v>1.01618795617131</v>
      </c>
      <c r="F39" s="46">
        <f>(VLOOKUP($A39,'The List'!$B1:$AH730,18,FALSE)-AVERAGE('The List'!S2:S730))/STDEV('The List'!S2:S730)</f>
        <v>1.77782644724548</v>
      </c>
      <c r="G39" s="46">
        <f>(VLOOKUP($A39,'The List'!$B1:$AH730,19,FALSE)-AVERAGE('The List'!T2:T730))/STDEV('The List'!T2:T730)</f>
        <v>1.95478525352207</v>
      </c>
      <c r="H39" s="46">
        <f>(VLOOKUP($A39,'The List'!$B1:$AH730,20,FALSE)-AVERAGE('The List'!U2:U730))/STDEV('The List'!U2:U730)</f>
        <v>2.01404610477672</v>
      </c>
      <c r="I39" s="46">
        <f>(VLOOKUP($A39,'The List'!$B1:$AH730,21,FALSE)-AVERAGE('The List'!V2:V730))/STDEV('The List'!V2:V730)</f>
        <v>1.86873497005024</v>
      </c>
      <c r="J39" s="46">
        <f>(VLOOKUP($A39,'The List'!$B1:$AH730,22,FALSE)-AVERAGE('The List'!W2:W730))/STDEV('The List'!W2:W730)</f>
        <v>1.49904995824021</v>
      </c>
      <c r="K39" s="46">
        <f>(VLOOKUP($A39,'The List'!$B1:$AH730,23,FALSE)-AVERAGE('The List'!X2:X730))/STDEV('The List'!X2:X730)</f>
        <v>1.42119652551432</v>
      </c>
      <c r="L39" s="46">
        <f>(VLOOKUP($A39,'The List'!$B1:$AH730,24,FALSE)-AVERAGE('The List'!Y2:Y730))/STDEV('The List'!Y2:Y730)</f>
        <v>3.49832493139773</v>
      </c>
      <c r="M39" s="46">
        <f>(VLOOKUP($A39,'The List'!$B1:$AH730,25,FALSE)-AVERAGE('The List'!Z2:Z730))/STDEV('The List'!Z2:Z730)</f>
        <v>3.38838716192245</v>
      </c>
      <c r="N39" s="46">
        <f>(VLOOKUP($A39,'The List'!$B1:$AH730,26,FALSE)-AVERAGE('The List'!AA2:AA730))/STDEV('The List'!AA2:AA730)</f>
        <v>-0.00566969263420703</v>
      </c>
      <c r="O39" s="46">
        <f>(VLOOKUP($A39,'The List'!$B1:$AH730,27,FALSE)-AVERAGE('The List'!AB2:AB730))/STDEV('The List'!AB2:AB730)</f>
        <v>-0.980308361342169</v>
      </c>
      <c r="P39" s="46">
        <f>(VLOOKUP($A39,'The List'!$B1:$AH730,28,FALSE)-AVERAGE('The List'!AC2:AC730))/STDEV('The List'!AC2:AC730)</f>
        <v>0.405140624830711</v>
      </c>
      <c r="Q39" s="46">
        <f>(VLOOKUP($A39,'The List'!$B1:$AH730,29,FALSE)-AVERAGE('The List'!AD2:AD730))/STDEV('The List'!AD2:AD730)</f>
        <v>-0.89572246942867</v>
      </c>
      <c r="R39" s="46">
        <f>(VLOOKUP($A39,'The List'!$B1:$AH730,30,FALSE)-AVERAGE('The List'!AE2:AE730))/STDEV('The List'!AE2:AE730)</f>
        <v>1.75490192149478</v>
      </c>
      <c r="S39" s="46">
        <f>(VLOOKUP($A39,'The List'!$B1:$AH730,31,FALSE)-AVERAGE('The List'!AF2:AF730))/STDEV('The List'!AF2:AF730)</f>
        <v>3.8376524425518</v>
      </c>
      <c r="T39" s="46">
        <f>(VLOOKUP($A39,'The List'!$B1:$AH730,32,FALSE)-AVERAGE('The List'!AG2:AG730))/STDEV('The List'!AG2:AG730)</f>
        <v>3.43901045971082</v>
      </c>
      <c r="U39" s="46">
        <f>(VLOOKUP($A39,'The List'!$B1:$AH730,33,FALSE)-AVERAGE('The List'!AH2:AH730))/STDEV('The List'!AH2:AH730)</f>
        <v>1.17363213247879</v>
      </c>
      <c r="V39" s="46"/>
      <c r="W39" s="50"/>
      <c r="X39" s="48"/>
      <c r="Y39" s="48"/>
      <c r="Z39" s="48"/>
      <c r="AA39" s="48"/>
      <c r="AB39" s="48"/>
      <c r="AC39" s="51"/>
      <c r="AD39" s="52"/>
      <c r="AE39" s="46"/>
    </row>
    <row r="40" ht="21.25" customHeight="1">
      <c r="A40" t="s" s="8">
        <v>209</v>
      </c>
      <c r="B40" t="s" s="42">
        <f>VLOOKUP(A40,'Player Data'!A1:B734,2,FALSE)</f>
        <v>139</v>
      </c>
      <c r="C40" s="44">
        <f>((E40)*'Settings'!$C$12)+(F40*'Settings'!$C$2)+(G40*'Settings'!$C$3)+(H40*'Settings'!$C$4)+(I40*'Settings'!$C$5)+(K40*'Settings'!$C$9)+(N40*'Settings'!$C$6)+(J40*'Settings'!$C$8)+(O40*'Settings'!$C$7)+(P40*'Settings'!$C$14)+(Q40*'Settings'!$C$15)+(R40*'Settings'!$C$16)+(S40*'Settings'!$C$17)+(T40*'Settings'!$C$18)+(U40*'Settings'!$C$19)+(L40*'Settings'!$C$10)+('Settings'!$C$11*M40)</f>
        <v>6.35565197395985</v>
      </c>
      <c r="D40" s="48">
        <f>IF('Settings'!$E$12="YES",VLOOKUP(A40,'Player Data'!A1:E734,5,FALSE),82)</f>
        <v>76.48999999999999</v>
      </c>
      <c r="E40" s="46">
        <f>(VLOOKUP($A40,'The List'!$B1:$AH730,17,FALSE)-AVERAGE('The List'!R2:R730))/STDEV('The List'!R2:R730)</f>
        <v>0.940817973946072</v>
      </c>
      <c r="F40" s="46">
        <f>(VLOOKUP($A40,'The List'!$B1:$AH730,18,FALSE)-AVERAGE('The List'!S2:S730))/STDEV('The List'!S2:S730)</f>
        <v>1.86513285731981</v>
      </c>
      <c r="G40" s="46">
        <f>(VLOOKUP($A40,'The List'!$B1:$AH730,19,FALSE)-AVERAGE('The List'!T2:T730))/STDEV('The List'!T2:T730)</f>
        <v>1.44793186604443</v>
      </c>
      <c r="H40" s="46">
        <f>(VLOOKUP($A40,'The List'!$B1:$AH730,20,FALSE)-AVERAGE('The List'!U2:U730))/STDEV('The List'!U2:U730)</f>
        <v>1.74130382088944</v>
      </c>
      <c r="I40" s="46">
        <f>(VLOOKUP($A40,'The List'!$B1:$AH730,21,FALSE)-AVERAGE('The List'!V2:V730))/STDEV('The List'!V2:V730)</f>
        <v>1.67129282129049</v>
      </c>
      <c r="J40" s="46">
        <f>(VLOOKUP($A40,'The List'!$B1:$AH730,22,FALSE)-AVERAGE('The List'!W2:W730))/STDEV('The List'!W2:W730)</f>
        <v>1.25448999069653</v>
      </c>
      <c r="K40" s="46">
        <f>(VLOOKUP($A40,'The List'!$B1:$AH730,23,FALSE)-AVERAGE('The List'!X2:X730))/STDEV('The List'!X2:X730)</f>
        <v>1.18832930217223</v>
      </c>
      <c r="L40" s="46">
        <f>(VLOOKUP($A40,'The List'!$B1:$AH730,24,FALSE)-AVERAGE('The List'!Y2:Y730))/STDEV('The List'!Y2:Y730)</f>
        <v>1.35101841662247</v>
      </c>
      <c r="M40" s="46">
        <f>(VLOOKUP($A40,'The List'!$B1:$AH730,25,FALSE)-AVERAGE('The List'!Z2:Z730))/STDEV('The List'!Z2:Z730)</f>
        <v>0.56163306351786</v>
      </c>
      <c r="N40" s="46">
        <f>(VLOOKUP($A40,'The List'!$B1:$AH730,26,FALSE)-AVERAGE('The List'!AA2:AA730))/STDEV('The List'!AA2:AA730)</f>
        <v>-0.120654783511929</v>
      </c>
      <c r="O40" s="46">
        <f>(VLOOKUP($A40,'The List'!$B1:$AH730,27,FALSE)-AVERAGE('The List'!AB2:AB730))/STDEV('The List'!AB2:AB730)</f>
        <v>-0.641621540726347</v>
      </c>
      <c r="P40" s="46">
        <f>(VLOOKUP($A40,'The List'!$B1:$AH730,28,FALSE)-AVERAGE('The List'!AC2:AC730))/STDEV('The List'!AC2:AC730)</f>
        <v>0.303619910644816</v>
      </c>
      <c r="Q40" s="46">
        <f>(VLOOKUP($A40,'The List'!$B1:$AH730,29,FALSE)-AVERAGE('The List'!AD2:AD730))/STDEV('The List'!AD2:AD730)</f>
        <v>-0.14576204986638</v>
      </c>
      <c r="R40" s="46">
        <f>(VLOOKUP($A40,'The List'!$B1:$AH730,30,FALSE)-AVERAGE('The List'!AE2:AE730))/STDEV('The List'!AE2:AE730)</f>
        <v>1.4484750265539</v>
      </c>
      <c r="S40" s="46">
        <f>(VLOOKUP($A40,'The List'!$B1:$AH730,31,FALSE)-AVERAGE('The List'!AF2:AF730))/STDEV('The List'!AF2:AF730)</f>
        <v>-0.409697088244234</v>
      </c>
      <c r="T40" s="46">
        <f>(VLOOKUP($A40,'The List'!$B1:$AH730,32,FALSE)-AVERAGE('The List'!AG2:AG730))/STDEV('The List'!AG2:AG730)</f>
        <v>-0.37475262593237</v>
      </c>
      <c r="U40" s="46">
        <f>(VLOOKUP($A40,'The List'!$B1:$AH730,33,FALSE)-AVERAGE('The List'!AH2:AH730))/STDEV('The List'!AH2:AH730)</f>
        <v>0.599344423984126</v>
      </c>
      <c r="V40" s="46"/>
      <c r="W40" s="50"/>
      <c r="X40" s="48"/>
      <c r="Y40" s="48"/>
      <c r="Z40" s="48"/>
      <c r="AA40" s="48"/>
      <c r="AB40" s="48"/>
      <c r="AC40" s="51"/>
      <c r="AD40" s="52"/>
      <c r="AE40" s="46"/>
    </row>
    <row r="41" ht="21.25" customHeight="1">
      <c r="A41" t="s" s="8">
        <v>221</v>
      </c>
      <c r="B41" t="s" s="42">
        <f>VLOOKUP(A41,'Player Data'!A1:B734,2,FALSE)</f>
        <v>189</v>
      </c>
      <c r="C41" s="44">
        <f>((E41)*'Settings'!$C$12)+(F41*'Settings'!$C$2)+(G41*'Settings'!$C$3)+(H41*'Settings'!$C$4)+(I41*'Settings'!$C$5)+(K41*'Settings'!$C$9)+(N41*'Settings'!$C$6)+(J41*'Settings'!$C$8)+(O41*'Settings'!$C$7)+(P41*'Settings'!$C$14)+(Q41*'Settings'!$C$15)+(R41*'Settings'!$C$16)+(S41*'Settings'!$C$17)+(T41*'Settings'!$C$18)+(U41*'Settings'!$C$19)+(L41*'Settings'!$C$10)+('Settings'!$C$11*M41)</f>
        <v>4.21121454432261</v>
      </c>
      <c r="D41" s="48">
        <f>IF('Settings'!$E$12="YES",VLOOKUP(A41,'Player Data'!A1:E734,5,FALSE),82)</f>
        <v>74.38</v>
      </c>
      <c r="E41" s="46">
        <f>(VLOOKUP($A41,'The List'!$B1:$AH730,17,FALSE)-AVERAGE('The List'!R2:R730))/STDEV('The List'!R2:R730)</f>
        <v>0.726757353721307</v>
      </c>
      <c r="F41" s="46">
        <f>(VLOOKUP($A41,'The List'!$B1:$AH730,18,FALSE)-AVERAGE('The List'!S2:S730))/STDEV('The List'!S2:S730)</f>
        <v>1.79860219936258</v>
      </c>
      <c r="G41" s="46">
        <f>(VLOOKUP($A41,'The List'!$B1:$AH730,19,FALSE)-AVERAGE('The List'!T2:T730))/STDEV('The List'!T2:T730)</f>
        <v>1.25447380581997</v>
      </c>
      <c r="H41" s="46">
        <f>(VLOOKUP($A41,'The List'!$B1:$AH730,20,FALSE)-AVERAGE('The List'!U2:U730))/STDEV('The List'!U2:U730)</f>
        <v>1.59176668582217</v>
      </c>
      <c r="I41" s="46">
        <f>(VLOOKUP($A41,'The List'!$B1:$AH730,21,FALSE)-AVERAGE('The List'!V2:V730))/STDEV('The List'!V2:V730)</f>
        <v>1.6474854679616</v>
      </c>
      <c r="J41" s="46">
        <f>(VLOOKUP($A41,'The List'!$B1:$AH730,22,FALSE)-AVERAGE('The List'!W2:W730))/STDEV('The List'!W2:W730)</f>
        <v>1.85930320100598</v>
      </c>
      <c r="K41" s="46">
        <f>(VLOOKUP($A41,'The List'!$B1:$AH730,23,FALSE)-AVERAGE('The List'!X2:X730))/STDEV('The List'!X2:X730)</f>
        <v>1.34977773095176</v>
      </c>
      <c r="L41" s="46">
        <f>(VLOOKUP($A41,'The List'!$B1:$AH730,24,FALSE)-AVERAGE('The List'!Y2:Y730))/STDEV('The List'!Y2:Y730)</f>
        <v>-0.536590541604671</v>
      </c>
      <c r="M41" s="46">
        <f>(VLOOKUP($A41,'The List'!$B1:$AH730,25,FALSE)-AVERAGE('The List'!Z2:Z730))/STDEV('The List'!Z2:Z730)</f>
        <v>-0.714781024295412</v>
      </c>
      <c r="N41" s="46">
        <f>(VLOOKUP($A41,'The List'!$B1:$AH730,26,FALSE)-AVERAGE('The List'!AA2:AA730))/STDEV('The List'!AA2:AA730)</f>
        <v>-0.701472999920854</v>
      </c>
      <c r="O41" s="46">
        <f>(VLOOKUP($A41,'The List'!$B1:$AH730,27,FALSE)-AVERAGE('The List'!AB2:AB730))/STDEV('The List'!AB2:AB730)</f>
        <v>-0.972594780491379</v>
      </c>
      <c r="P41" s="46">
        <f>(VLOOKUP($A41,'The List'!$B1:$AH730,28,FALSE)-AVERAGE('The List'!AC2:AC730))/STDEV('The List'!AC2:AC730)</f>
        <v>-1.13765165985245</v>
      </c>
      <c r="Q41" s="46">
        <f>(VLOOKUP($A41,'The List'!$B1:$AH730,29,FALSE)-AVERAGE('The List'!AD2:AD730))/STDEV('The List'!AD2:AD730)</f>
        <v>-0.207791433585644</v>
      </c>
      <c r="R41" s="46">
        <f>(VLOOKUP($A41,'The List'!$B1:$AH730,30,FALSE)-AVERAGE('The List'!AE2:AE730))/STDEV('The List'!AE2:AE730)</f>
        <v>0.973013421735352</v>
      </c>
      <c r="S41" s="46">
        <f>(VLOOKUP($A41,'The List'!$B1:$AH730,31,FALSE)-AVERAGE('The List'!AF2:AF730))/STDEV('The List'!AF2:AF730)</f>
        <v>-0.403987402736869</v>
      </c>
      <c r="T41" s="46">
        <f>(VLOOKUP($A41,'The List'!$B1:$AH730,32,FALSE)-AVERAGE('The List'!AG2:AG730))/STDEV('The List'!AG2:AG730)</f>
        <v>-0.281691601172429</v>
      </c>
      <c r="U41" s="46">
        <f>(VLOOKUP($A41,'The List'!$B1:$AH730,33,FALSE)-AVERAGE('The List'!AH2:AH730))/STDEV('The List'!AH2:AH730)</f>
        <v>0.276988827432889</v>
      </c>
      <c r="V41" s="46"/>
      <c r="W41" s="48"/>
      <c r="X41" s="46"/>
      <c r="Y41" s="46"/>
      <c r="Z41" s="46"/>
      <c r="AA41" s="46"/>
      <c r="AB41" s="46"/>
      <c r="AC41" s="46"/>
      <c r="AD41" s="46"/>
      <c r="AE41" s="46"/>
    </row>
    <row r="42" ht="21.25" customHeight="1">
      <c r="A42" t="s" s="8">
        <v>253</v>
      </c>
      <c r="B42" t="s" s="42">
        <f>VLOOKUP(A42,'Player Data'!A1:B734,2,FALSE)</f>
        <v>238</v>
      </c>
      <c r="C42" s="44">
        <f>((E42)*'Settings'!$C$12)+(F42*'Settings'!$C$2)+(G42*'Settings'!$C$3)+(H42*'Settings'!$C$4)+(I42*'Settings'!$C$5)+(K42*'Settings'!$C$9)+(N42*'Settings'!$C$6)+(J42*'Settings'!$C$8)+(O42*'Settings'!$C$7)+(P42*'Settings'!$C$14)+(Q42*'Settings'!$C$15)+(R42*'Settings'!$C$16)+(S42*'Settings'!$C$17)+(T42*'Settings'!$C$18)+(U42*'Settings'!$C$19)+(L42*'Settings'!$C$10)+('Settings'!$C$11*M42)</f>
        <v>5.30764858263421</v>
      </c>
      <c r="D42" s="48">
        <f>IF('Settings'!$E$12="YES",VLOOKUP(A42,'Player Data'!A1:E734,5,FALSE),82)</f>
        <v>80.7</v>
      </c>
      <c r="E42" s="46">
        <f>(VLOOKUP($A42,'The List'!$B1:$AH730,17,FALSE)-AVERAGE('The List'!R2:R730))/STDEV('The List'!R2:R730)</f>
        <v>0.410957412156063</v>
      </c>
      <c r="F42" s="46">
        <f>(VLOOKUP($A42,'The List'!$B1:$AH730,18,FALSE)-AVERAGE('The List'!S2:S730))/STDEV('The List'!S2:S730)</f>
        <v>0.817929064403923</v>
      </c>
      <c r="G42" s="46">
        <f>(VLOOKUP($A42,'The List'!$B1:$AH730,19,FALSE)-AVERAGE('The List'!T2:T730))/STDEV('The List'!T2:T730)</f>
        <v>2.34722568133708</v>
      </c>
      <c r="H42" s="46">
        <f>(VLOOKUP($A42,'The List'!$B1:$AH730,20,FALSE)-AVERAGE('The List'!U2:U730))/STDEV('The List'!U2:U730)</f>
        <v>1.81920790980819</v>
      </c>
      <c r="I42" s="46">
        <f>(VLOOKUP($A42,'The List'!$B1:$AH730,21,FALSE)-AVERAGE('The List'!V2:V730))/STDEV('The List'!V2:V730)</f>
        <v>0.510474594500124</v>
      </c>
      <c r="J42" s="46">
        <f>(VLOOKUP($A42,'The List'!$B1:$AH730,22,FALSE)-AVERAGE('The List'!W2:W730))/STDEV('The List'!W2:W730)</f>
        <v>0.6183556136399579</v>
      </c>
      <c r="K42" s="46">
        <f>(VLOOKUP($A42,'The List'!$B1:$AH730,23,FALSE)-AVERAGE('The List'!X2:X730))/STDEV('The List'!X2:X730)</f>
        <v>1.60827858449961</v>
      </c>
      <c r="L42" s="46">
        <f>(VLOOKUP($A42,'The List'!$B1:$AH730,24,FALSE)-AVERAGE('The List'!Y2:Y730))/STDEV('The List'!Y2:Y730)</f>
        <v>-0.222255986015852</v>
      </c>
      <c r="M42" s="46">
        <f>(VLOOKUP($A42,'The List'!$B1:$AH730,25,FALSE)-AVERAGE('The List'!Z2:Z730))/STDEV('The List'!Z2:Z730)</f>
        <v>-0.381633759044325</v>
      </c>
      <c r="N42" s="46">
        <f>(VLOOKUP($A42,'The List'!$B1:$AH730,26,FALSE)-AVERAGE('The List'!AA2:AA730))/STDEV('The List'!AA2:AA730)</f>
        <v>-0.792999424488005</v>
      </c>
      <c r="O42" s="46">
        <f>(VLOOKUP($A42,'The List'!$B1:$AH730,27,FALSE)-AVERAGE('The List'!AB2:AB730))/STDEV('The List'!AB2:AB730)</f>
        <v>-0.257127662680997</v>
      </c>
      <c r="P42" s="46">
        <f>(VLOOKUP($A42,'The List'!$B1:$AH730,28,FALSE)-AVERAGE('The List'!AC2:AC730))/STDEV('The List'!AC2:AC730)</f>
        <v>0.816740082381481</v>
      </c>
      <c r="Q42" s="46">
        <f>(VLOOKUP($A42,'The List'!$B1:$AH730,29,FALSE)-AVERAGE('The List'!AD2:AD730))/STDEV('The List'!AD2:AD730)</f>
        <v>0.357624611186685</v>
      </c>
      <c r="R42" s="46">
        <f>(VLOOKUP($A42,'The List'!$B1:$AH730,30,FALSE)-AVERAGE('The List'!AE2:AE730))/STDEV('The List'!AE2:AE730)</f>
        <v>1.11356052650188</v>
      </c>
      <c r="S42" s="46">
        <f>(VLOOKUP($A42,'The List'!$B1:$AH730,31,FALSE)-AVERAGE('The List'!AF2:AF730))/STDEV('The List'!AF2:AF730)</f>
        <v>-0.510549095460019</v>
      </c>
      <c r="T42" s="46">
        <f>(VLOOKUP($A42,'The List'!$B1:$AH730,32,FALSE)-AVERAGE('The List'!AG2:AG730))/STDEV('The List'!AG2:AG730)</f>
        <v>-0.511225947488458</v>
      </c>
      <c r="U42" s="46">
        <f>(VLOOKUP($A42,'The List'!$B1:$AH730,33,FALSE)-AVERAGE('The List'!AH2:AH730))/STDEV('The List'!AH2:AH730)</f>
        <v>0.354893701654105</v>
      </c>
      <c r="V42" s="46"/>
      <c r="W42" s="50"/>
      <c r="X42" s="48"/>
      <c r="Y42" s="48"/>
      <c r="Z42" s="48"/>
      <c r="AA42" s="48"/>
      <c r="AB42" s="48"/>
      <c r="AC42" s="51"/>
      <c r="AD42" s="52"/>
      <c r="AE42" s="46"/>
    </row>
    <row r="43" ht="21.25" customHeight="1">
      <c r="A43" t="s" s="8">
        <v>140</v>
      </c>
      <c r="B43" t="s" s="42">
        <f>VLOOKUP(A43,'Player Data'!A1:B734,2,FALSE)</f>
        <v>141</v>
      </c>
      <c r="C43" s="44">
        <f>((E43)*'Settings'!$C$12)+(F43*'Settings'!$C$2)+(G43*'Settings'!$C$3)+(H43*'Settings'!$C$4)+(I43*'Settings'!$C$5)+(K43*'Settings'!$C$9)+(N43*'Settings'!$C$6)+(J43*'Settings'!$C$8)+(O43*'Settings'!$C$7)+(P43*'Settings'!$C$14)+(Q43*'Settings'!$C$15)+(R43*'Settings'!$C$16)+(S43*'Settings'!$C$17)+(T43*'Settings'!$C$18)+(U43*'Settings'!$C$19)+(L43*'Settings'!$C$10)+('Settings'!$C$11*M43)</f>
        <v>8.0894770954341</v>
      </c>
      <c r="D43" s="48">
        <f>IF('Settings'!$E$12="YES",VLOOKUP(A43,'Player Data'!A1:E734,5,FALSE),82)</f>
        <v>77.04428571428571</v>
      </c>
      <c r="E43" s="46">
        <f>(VLOOKUP($A43,'The List'!$B1:$AH730,17,FALSE)-AVERAGE('The List'!R2:R730))/STDEV('The List'!R2:R730)</f>
        <v>2.58369426744653</v>
      </c>
      <c r="F43" s="46">
        <f>(VLOOKUP($A43,'The List'!$B1:$AH730,18,FALSE)-AVERAGE('The List'!S2:S730))/STDEV('The List'!S2:S730)</f>
        <v>0.69794485383309</v>
      </c>
      <c r="G43" s="46">
        <f>(VLOOKUP($A43,'The List'!$B1:$AH730,19,FALSE)-AVERAGE('The List'!T2:T730))/STDEV('The List'!T2:T730)</f>
        <v>2.67449139108441</v>
      </c>
      <c r="H43" s="46">
        <f>(VLOOKUP($A43,'The List'!$B1:$AH730,20,FALSE)-AVERAGE('The List'!U2:U730))/STDEV('The List'!U2:U730)</f>
        <v>1.96636769621533</v>
      </c>
      <c r="I43" s="46">
        <f>(VLOOKUP($A43,'The List'!$B1:$AH730,21,FALSE)-AVERAGE('The List'!V2:V730))/STDEV('The List'!V2:V730)</f>
        <v>1.2788366217413</v>
      </c>
      <c r="J43" s="46">
        <f>(VLOOKUP($A43,'The List'!$B1:$AH730,22,FALSE)-AVERAGE('The List'!W2:W730))/STDEV('The List'!W2:W730)</f>
        <v>0.454391000781011</v>
      </c>
      <c r="K43" s="46">
        <f>(VLOOKUP($A43,'The List'!$B1:$AH730,23,FALSE)-AVERAGE('The List'!X2:X730))/STDEV('The List'!X2:X730)</f>
        <v>1.83554645157079</v>
      </c>
      <c r="L43" s="46">
        <f>(VLOOKUP($A43,'The List'!$B1:$AH730,24,FALSE)-AVERAGE('The List'!Y2:Y730))/STDEV('The List'!Y2:Y730)</f>
        <v>-0.514361654701763</v>
      </c>
      <c r="M43" s="46">
        <f>(VLOOKUP($A43,'The List'!$B1:$AH730,25,FALSE)-AVERAGE('The List'!Z2:Z730))/STDEV('The List'!Z2:Z730)</f>
        <v>-0.5650606149668</v>
      </c>
      <c r="N43" s="46">
        <f>(VLOOKUP($A43,'The List'!$B1:$AH730,26,FALSE)-AVERAGE('The List'!AA2:AA730))/STDEV('The List'!AA2:AA730)</f>
        <v>0.850156117097189</v>
      </c>
      <c r="O43" s="46">
        <f>(VLOOKUP($A43,'The List'!$B1:$AH730,27,FALSE)-AVERAGE('The List'!AB2:AB730))/STDEV('The List'!AB2:AB730)</f>
        <v>-0.988416408586171</v>
      </c>
      <c r="P43" s="46">
        <f>(VLOOKUP($A43,'The List'!$B1:$AH730,28,FALSE)-AVERAGE('The List'!AC2:AC730))/STDEV('The List'!AC2:AC730)</f>
        <v>0.752501660107322</v>
      </c>
      <c r="Q43" s="46">
        <f>(VLOOKUP($A43,'The List'!$B1:$AH730,29,FALSE)-AVERAGE('The List'!AD2:AD730))/STDEV('The List'!AD2:AD730)</f>
        <v>-0.161017377771021</v>
      </c>
      <c r="R43" s="46">
        <f>(VLOOKUP($A43,'The List'!$B1:$AH730,30,FALSE)-AVERAGE('The List'!AE2:AE730))/STDEV('The List'!AE2:AE730)</f>
        <v>0.426052255476912</v>
      </c>
      <c r="S43" s="46">
        <f>(VLOOKUP($A43,'The List'!$B1:$AH730,31,FALSE)-AVERAGE('The List'!AF2:AF730))/STDEV('The List'!AF2:AF730)</f>
        <v>-0.5569063253591</v>
      </c>
      <c r="T43" s="46">
        <f>(VLOOKUP($A43,'The List'!$B1:$AH730,32,FALSE)-AVERAGE('The List'!AG2:AG730))/STDEV('The List'!AG2:AG730)</f>
        <v>-0.596838130759743</v>
      </c>
      <c r="U43" s="46">
        <f>(VLOOKUP($A43,'The List'!$B1:$AH730,33,FALSE)-AVERAGE('The List'!AH2:AH730))/STDEV('The List'!AH2:AH730)</f>
        <v>-1.2363238714826</v>
      </c>
      <c r="V43" s="46"/>
      <c r="W43" s="50"/>
      <c r="X43" s="48"/>
      <c r="Y43" s="48"/>
      <c r="Z43" s="48"/>
      <c r="AA43" s="48"/>
      <c r="AB43" s="48"/>
      <c r="AC43" s="51"/>
      <c r="AD43" s="52"/>
      <c r="AE43" s="46"/>
    </row>
    <row r="44" ht="21.25" customHeight="1">
      <c r="A44" t="s" s="8">
        <v>281</v>
      </c>
      <c r="B44" t="s" s="42">
        <f>VLOOKUP(A44,'Player Data'!A1:B734,2,FALSE)</f>
        <v>196</v>
      </c>
      <c r="C44" s="44">
        <f>((E44)*'Settings'!$C$12)+(F44*'Settings'!$C$2)+(G44*'Settings'!$C$3)+(H44*'Settings'!$C$4)+(I44*'Settings'!$C$5)+(K44*'Settings'!$C$9)+(N44*'Settings'!$C$6)+(J44*'Settings'!$C$8)+(O44*'Settings'!$C$7)+(P44*'Settings'!$C$14)+(Q44*'Settings'!$C$15)+(R44*'Settings'!$C$16)+(S44*'Settings'!$C$17)+(T44*'Settings'!$C$18)+(U44*'Settings'!$C$19)+(L44*'Settings'!$C$10)+('Settings'!$C$11*M44)</f>
        <v>3.27875412338532</v>
      </c>
      <c r="D44" s="48">
        <f>IF('Settings'!$E$12="YES",VLOOKUP(A44,'Player Data'!A1:E734,5,FALSE),82)</f>
        <v>75.4592857142857</v>
      </c>
      <c r="E44" s="46">
        <f>(VLOOKUP($A44,'The List'!$B1:$AH730,17,FALSE)-AVERAGE('The List'!R2:R730))/STDEV('The List'!R2:R730)</f>
        <v>0.892496314811506</v>
      </c>
      <c r="F44" s="46">
        <f>(VLOOKUP($A44,'The List'!$B1:$AH730,18,FALSE)-AVERAGE('The List'!S2:S730))/STDEV('The List'!S2:S730)</f>
        <v>1.36620508691219</v>
      </c>
      <c r="G44" s="46">
        <f>(VLOOKUP($A44,'The List'!$B1:$AH730,19,FALSE)-AVERAGE('The List'!T2:T730))/STDEV('The List'!T2:T730)</f>
        <v>1.53149844773084</v>
      </c>
      <c r="H44" s="46">
        <f>(VLOOKUP($A44,'The List'!$B1:$AH730,20,FALSE)-AVERAGE('The List'!U2:U730))/STDEV('The List'!U2:U730)</f>
        <v>1.56579937824626</v>
      </c>
      <c r="I44" s="46">
        <f>(VLOOKUP($A44,'The List'!$B1:$AH730,21,FALSE)-AVERAGE('The List'!V2:V730))/STDEV('The List'!V2:V730)</f>
        <v>0.61290004890607</v>
      </c>
      <c r="J44" s="46">
        <f>(VLOOKUP($A44,'The List'!$B1:$AH730,22,FALSE)-AVERAGE('The List'!W2:W730))/STDEV('The List'!W2:W730)</f>
        <v>1.18063619117325</v>
      </c>
      <c r="K44" s="46">
        <f>(VLOOKUP($A44,'The List'!$B1:$AH730,23,FALSE)-AVERAGE('The List'!X2:X730))/STDEV('The List'!X2:X730)</f>
        <v>0.7533990106176059</v>
      </c>
      <c r="L44" s="46">
        <f>(VLOOKUP($A44,'The List'!$B1:$AH730,24,FALSE)-AVERAGE('The List'!Y2:Y730))/STDEV('The List'!Y2:Y730)</f>
        <v>-0.351330783846442</v>
      </c>
      <c r="M44" s="46">
        <f>(VLOOKUP($A44,'The List'!$B1:$AH730,25,FALSE)-AVERAGE('The List'!Z2:Z730))/STDEV('The List'!Z2:Z730)</f>
        <v>0.0506861347237</v>
      </c>
      <c r="N44" s="46">
        <f>(VLOOKUP($A44,'The List'!$B1:$AH730,26,FALSE)-AVERAGE('The List'!AA2:AA730))/STDEV('The List'!AA2:AA730)</f>
        <v>-0.623255838777742</v>
      </c>
      <c r="O44" s="46">
        <f>(VLOOKUP($A44,'The List'!$B1:$AH730,27,FALSE)-AVERAGE('The List'!AB2:AB730))/STDEV('The List'!AB2:AB730)</f>
        <v>-1.4952812009857</v>
      </c>
      <c r="P44" s="46">
        <f>(VLOOKUP($A44,'The List'!$B1:$AH730,28,FALSE)-AVERAGE('The List'!AC2:AC730))/STDEV('The List'!AC2:AC730)</f>
        <v>-0.361992632003641</v>
      </c>
      <c r="Q44" s="46">
        <f>(VLOOKUP($A44,'The List'!$B1:$AH730,29,FALSE)-AVERAGE('The List'!AD2:AD730))/STDEV('The List'!AD2:AD730)</f>
        <v>-0.406705319550912</v>
      </c>
      <c r="R44" s="46">
        <f>(VLOOKUP($A44,'The List'!$B1:$AH730,30,FALSE)-AVERAGE('The List'!AE2:AE730))/STDEV('The List'!AE2:AE730)</f>
        <v>1.00128513776395</v>
      </c>
      <c r="S44" s="46">
        <f>(VLOOKUP($A44,'The List'!$B1:$AH730,31,FALSE)-AVERAGE('The List'!AF2:AF730))/STDEV('The List'!AF2:AF730)</f>
        <v>-0.0530041341720279</v>
      </c>
      <c r="T44" s="46">
        <f>(VLOOKUP($A44,'The List'!$B1:$AH730,32,FALSE)-AVERAGE('The List'!AG2:AG730))/STDEV('The List'!AG2:AG730)</f>
        <v>0.08186557533382741</v>
      </c>
      <c r="U44" s="46">
        <f>(VLOOKUP($A44,'The List'!$B1:$AH730,33,FALSE)-AVERAGE('The List'!AH2:AH730))/STDEV('The List'!AH2:AH730)</f>
        <v>0.737451113612011</v>
      </c>
      <c r="V44" s="46"/>
      <c r="W44" s="48"/>
      <c r="X44" s="46"/>
      <c r="Y44" s="46"/>
      <c r="Z44" s="46"/>
      <c r="AA44" s="46"/>
      <c r="AB44" s="46"/>
      <c r="AC44" s="46"/>
      <c r="AD44" s="46"/>
      <c r="AE44" s="46"/>
    </row>
    <row r="45" ht="21.25" customHeight="1">
      <c r="A45" t="s" s="8">
        <v>223</v>
      </c>
      <c r="B45" t="s" s="42">
        <f>VLOOKUP(A45,'Player Data'!A1:B734,2,FALSE)</f>
        <v>122</v>
      </c>
      <c r="C45" s="44">
        <f>((E45)*'Settings'!$C$12)+(F45*'Settings'!$C$2)+(G45*'Settings'!$C$3)+(H45*'Settings'!$C$4)+(I45*'Settings'!$C$5)+(K45*'Settings'!$C$9)+(N45*'Settings'!$C$6)+(J45*'Settings'!$C$8)+(O45*'Settings'!$C$7)+(P45*'Settings'!$C$14)+(Q45*'Settings'!$C$15)+(R45*'Settings'!$C$16)+(S45*'Settings'!$C$17)+(T45*'Settings'!$C$18)+(U45*'Settings'!$C$19)+(L45*'Settings'!$C$10)+('Settings'!$C$11*M45)</f>
        <v>7.19169678900462</v>
      </c>
      <c r="D45" s="48">
        <f>IF('Settings'!$E$12="YES",VLOOKUP(A45,'Player Data'!A1:E734,5,FALSE),82)</f>
        <v>78.3432142857143</v>
      </c>
      <c r="E45" s="46">
        <f>(VLOOKUP($A45,'The List'!$B1:$AH730,17,FALSE)-AVERAGE('The List'!R2:R730))/STDEV('The List'!R2:R730)</f>
        <v>0.5988067740215089</v>
      </c>
      <c r="F45" s="46">
        <f>(VLOOKUP($A45,'The List'!$B1:$AH730,18,FALSE)-AVERAGE('The List'!S2:S730))/STDEV('The List'!S2:S730)</f>
        <v>1.2667984271222</v>
      </c>
      <c r="G45" s="46">
        <f>(VLOOKUP($A45,'The List'!$B1:$AH730,19,FALSE)-AVERAGE('The List'!T2:T730))/STDEV('The List'!T2:T730)</f>
        <v>1.79852060195543</v>
      </c>
      <c r="H45" s="46">
        <f>(VLOOKUP($A45,'The List'!$B1:$AH730,20,FALSE)-AVERAGE('The List'!U2:U730))/STDEV('The List'!U2:U730)</f>
        <v>1.68518300279798</v>
      </c>
      <c r="I45" s="46">
        <f>(VLOOKUP($A45,'The List'!$B1:$AH730,21,FALSE)-AVERAGE('The List'!V2:V730))/STDEV('The List'!V2:V730)</f>
        <v>1.32390790798926</v>
      </c>
      <c r="J45" s="46">
        <f>(VLOOKUP($A45,'The List'!$B1:$AH730,22,FALSE)-AVERAGE('The List'!W2:W730))/STDEV('The List'!W2:W730)</f>
        <v>1.2550085076086</v>
      </c>
      <c r="K45" s="46">
        <f>(VLOOKUP($A45,'The List'!$B1:$AH730,23,FALSE)-AVERAGE('The List'!X2:X730))/STDEV('The List'!X2:X730)</f>
        <v>1.93928954742092</v>
      </c>
      <c r="L45" s="46">
        <f>(VLOOKUP($A45,'The List'!$B1:$AH730,24,FALSE)-AVERAGE('The List'!Y2:Y730))/STDEV('The List'!Y2:Y730)</f>
        <v>1.32410225299478</v>
      </c>
      <c r="M45" s="46">
        <f>(VLOOKUP($A45,'The List'!$B1:$AH730,25,FALSE)-AVERAGE('The List'!Z2:Z730))/STDEV('The List'!Z2:Z730)</f>
        <v>1.54461988682312</v>
      </c>
      <c r="N45" s="46">
        <f>(VLOOKUP($A45,'The List'!$B1:$AH730,26,FALSE)-AVERAGE('The List'!AA2:AA730))/STDEV('The List'!AA2:AA730)</f>
        <v>-0.876201267052432</v>
      </c>
      <c r="O45" s="46">
        <f>(VLOOKUP($A45,'The List'!$B1:$AH730,27,FALSE)-AVERAGE('The List'!AB2:AB730))/STDEV('The List'!AB2:AB730)</f>
        <v>-0.0864944232134941</v>
      </c>
      <c r="P45" s="46">
        <f>(VLOOKUP($A45,'The List'!$B1:$AH730,28,FALSE)-AVERAGE('The List'!AC2:AC730))/STDEV('The List'!AC2:AC730)</f>
        <v>1.73938157156924</v>
      </c>
      <c r="Q45" s="46">
        <f>(VLOOKUP($A45,'The List'!$B1:$AH730,29,FALSE)-AVERAGE('The List'!AD2:AD730))/STDEV('The List'!AD2:AD730)</f>
        <v>2.67599731500617</v>
      </c>
      <c r="R45" s="46">
        <f>(VLOOKUP($A45,'The List'!$B1:$AH730,30,FALSE)-AVERAGE('The List'!AE2:AE730))/STDEV('The List'!AE2:AE730)</f>
        <v>1.61466851755483</v>
      </c>
      <c r="S45" s="46">
        <f>(VLOOKUP($A45,'The List'!$B1:$AH730,31,FALSE)-AVERAGE('The List'!AF2:AF730))/STDEV('The List'!AF2:AF730)</f>
        <v>-0.45513257907416</v>
      </c>
      <c r="T45" s="46">
        <f>(VLOOKUP($A45,'The List'!$B1:$AH730,32,FALSE)-AVERAGE('The List'!AG2:AG730))/STDEV('The List'!AG2:AG730)</f>
        <v>-0.407134918527916</v>
      </c>
      <c r="U45" s="46">
        <f>(VLOOKUP($A45,'The List'!$B1:$AH730,33,FALSE)-AVERAGE('The List'!AH2:AH730))/STDEV('The List'!AH2:AH730)</f>
        <v>0.371057234246751</v>
      </c>
      <c r="V45" s="46"/>
      <c r="W45" s="48"/>
      <c r="X45" s="46"/>
      <c r="Y45" s="46"/>
      <c r="Z45" s="46"/>
      <c r="AA45" s="46"/>
      <c r="AB45" s="46"/>
      <c r="AC45" s="46"/>
      <c r="AD45" s="46"/>
      <c r="AE45" s="46"/>
    </row>
    <row r="46" ht="21.25" customHeight="1">
      <c r="A46" t="s" s="8">
        <v>217</v>
      </c>
      <c r="B46" t="s" s="42">
        <f>VLOOKUP(A46,'Player Data'!A1:B734,2,FALSE)</f>
        <v>218</v>
      </c>
      <c r="C46" s="44">
        <f>((E46)*'Settings'!$C$12)+(F46*'Settings'!$C$2)+(G46*'Settings'!$C$3)+(H46*'Settings'!$C$4)+(I46*'Settings'!$C$5)+(K46*'Settings'!$C$9)+(N46*'Settings'!$C$6)+(J46*'Settings'!$C$8)+(O46*'Settings'!$C$7)+(P46*'Settings'!$C$14)+(Q46*'Settings'!$C$15)+(R46*'Settings'!$C$16)+(S46*'Settings'!$C$17)+(T46*'Settings'!$C$18)+(U46*'Settings'!$C$19)+(L46*'Settings'!$C$10)+('Settings'!$C$11*M46)</f>
        <v>7.64825685043151</v>
      </c>
      <c r="D46" s="48">
        <f>IF('Settings'!$E$12="YES",VLOOKUP(A46,'Player Data'!A1:E734,5,FALSE),82)</f>
        <v>72.43000000000001</v>
      </c>
      <c r="E46" s="46">
        <f>(VLOOKUP($A46,'The List'!$B1:$AH730,17,FALSE)-AVERAGE('The List'!R2:R730))/STDEV('The List'!R2:R730)</f>
        <v>0.750483453170076</v>
      </c>
      <c r="F46" s="46">
        <f>(VLOOKUP($A46,'The List'!$B1:$AH730,18,FALSE)-AVERAGE('The List'!S2:S730))/STDEV('The List'!S2:S730)</f>
        <v>1.55293325913508</v>
      </c>
      <c r="G46" s="46">
        <f>(VLOOKUP($A46,'The List'!$B1:$AH730,19,FALSE)-AVERAGE('The List'!T2:T730))/STDEV('The List'!T2:T730)</f>
        <v>1.42917757718535</v>
      </c>
      <c r="H46" s="46">
        <f>(VLOOKUP($A46,'The List'!$B1:$AH730,20,FALSE)-AVERAGE('The List'!U2:U730))/STDEV('The List'!U2:U730)</f>
        <v>1.58768496975297</v>
      </c>
      <c r="I46" s="46">
        <f>(VLOOKUP($A46,'The List'!$B1:$AH730,21,FALSE)-AVERAGE('The List'!V2:V730))/STDEV('The List'!V2:V730)</f>
        <v>1.95597913261743</v>
      </c>
      <c r="J46" s="46">
        <f>(VLOOKUP($A46,'The List'!$B1:$AH730,22,FALSE)-AVERAGE('The List'!W2:W730))/STDEV('The List'!W2:W730)</f>
        <v>0.495563389383927</v>
      </c>
      <c r="K46" s="46">
        <f>(VLOOKUP($A46,'The List'!$B1:$AH730,23,FALSE)-AVERAGE('The List'!X2:X730))/STDEV('The List'!X2:X730)</f>
        <v>1.24757412174177</v>
      </c>
      <c r="L46" s="46">
        <f>(VLOOKUP($A46,'The List'!$B1:$AH730,24,FALSE)-AVERAGE('The List'!Y2:Y730))/STDEV('The List'!Y2:Y730)</f>
        <v>-0.300388182576956</v>
      </c>
      <c r="M46" s="46">
        <f>(VLOOKUP($A46,'The List'!$B1:$AH730,25,FALSE)-AVERAGE('The List'!Z2:Z730))/STDEV('The List'!Z2:Z730)</f>
        <v>-0.450338110877292</v>
      </c>
      <c r="N46" s="46">
        <f>(VLOOKUP($A46,'The List'!$B1:$AH730,26,FALSE)-AVERAGE('The List'!AA2:AA730))/STDEV('The List'!AA2:AA730)</f>
        <v>0.0145074748858534</v>
      </c>
      <c r="O46" s="46">
        <f>(VLOOKUP($A46,'The List'!$B1:$AH730,27,FALSE)-AVERAGE('The List'!AB2:AB730))/STDEV('The List'!AB2:AB730)</f>
        <v>-0.450036575683529</v>
      </c>
      <c r="P46" s="46">
        <f>(VLOOKUP($A46,'The List'!$B1:$AH730,28,FALSE)-AVERAGE('The List'!AC2:AC730))/STDEV('The List'!AC2:AC730)</f>
        <v>1.44808528486603</v>
      </c>
      <c r="Q46" s="46">
        <f>(VLOOKUP($A46,'The List'!$B1:$AH730,29,FALSE)-AVERAGE('The List'!AD2:AD730))/STDEV('The List'!AD2:AD730)</f>
        <v>-1.00829093130521</v>
      </c>
      <c r="R46" s="46">
        <f>(VLOOKUP($A46,'The List'!$B1:$AH730,30,FALSE)-AVERAGE('The List'!AE2:AE730))/STDEV('The List'!AE2:AE730)</f>
        <v>1.84470814261389</v>
      </c>
      <c r="S46" s="46">
        <f>(VLOOKUP($A46,'The List'!$B1:$AH730,31,FALSE)-AVERAGE('The List'!AF2:AF730))/STDEV('The List'!AF2:AF730)</f>
        <v>1.50821068120872</v>
      </c>
      <c r="T46" s="46">
        <f>(VLOOKUP($A46,'The List'!$B1:$AH730,32,FALSE)-AVERAGE('The List'!AG2:AG730))/STDEV('The List'!AG2:AG730)</f>
        <v>1.87885415439082</v>
      </c>
      <c r="U46" s="46">
        <f>(VLOOKUP($A46,'The List'!$B1:$AH730,33,FALSE)-AVERAGE('The List'!AH2:AH730))/STDEV('The List'!AH2:AH730)</f>
        <v>0.872489057662964</v>
      </c>
      <c r="V46" s="46"/>
      <c r="W46" s="50"/>
      <c r="X46" s="48"/>
      <c r="Y46" s="48"/>
      <c r="Z46" s="48"/>
      <c r="AA46" s="48"/>
      <c r="AB46" s="48"/>
      <c r="AC46" s="51"/>
      <c r="AD46" s="52"/>
      <c r="AE46" s="46"/>
    </row>
    <row r="47" ht="21.25" customHeight="1">
      <c r="A47" t="s" s="8">
        <v>241</v>
      </c>
      <c r="B47" t="s" s="42">
        <f>VLOOKUP(A47,'Player Data'!A1:B734,2,FALSE)</f>
        <v>234</v>
      </c>
      <c r="C47" s="44">
        <f>((E47)*'Settings'!$C$12)+(F47*'Settings'!$C$2)+(G47*'Settings'!$C$3)+(H47*'Settings'!$C$4)+(I47*'Settings'!$C$5)+(K47*'Settings'!$C$9)+(N47*'Settings'!$C$6)+(J47*'Settings'!$C$8)+(O47*'Settings'!$C$7)+(P47*'Settings'!$C$14)+(Q47*'Settings'!$C$15)+(R47*'Settings'!$C$16)+(S47*'Settings'!$C$17)+(T47*'Settings'!$C$18)+(U47*'Settings'!$C$19)+(L47*'Settings'!$C$10)+('Settings'!$C$11*M47)</f>
        <v>3.02880325371513</v>
      </c>
      <c r="D47" s="48">
        <f>IF('Settings'!$E$12="YES",VLOOKUP(A47,'Player Data'!A1:E734,5,FALSE),82)</f>
        <v>78.47</v>
      </c>
      <c r="E47" s="46">
        <f>(VLOOKUP($A47,'The List'!$B1:$AH730,17,FALSE)-AVERAGE('The List'!R2:R730))/STDEV('The List'!R2:R730)</f>
        <v>0.879927991036121</v>
      </c>
      <c r="F47" s="46">
        <f>(VLOOKUP($A47,'The List'!$B1:$AH730,18,FALSE)-AVERAGE('The List'!S2:S730))/STDEV('The List'!S2:S730)</f>
        <v>1.89579305606749</v>
      </c>
      <c r="G47" s="46">
        <f>(VLOOKUP($A47,'The List'!$B1:$AH730,19,FALSE)-AVERAGE('The List'!T2:T730))/STDEV('The List'!T2:T730)</f>
        <v>1.3237990703685</v>
      </c>
      <c r="H47" s="46">
        <f>(VLOOKUP($A47,'The List'!$B1:$AH730,20,FALSE)-AVERAGE('The List'!U2:U730))/STDEV('The List'!U2:U730)</f>
        <v>1.67872858925866</v>
      </c>
      <c r="I47" s="46">
        <f>(VLOOKUP($A47,'The List'!$B1:$AH730,21,FALSE)-AVERAGE('The List'!V2:V730))/STDEV('The List'!V2:V730)</f>
        <v>1.36628202202223</v>
      </c>
      <c r="J47" s="46">
        <f>(VLOOKUP($A47,'The List'!$B1:$AH730,22,FALSE)-AVERAGE('The List'!W2:W730))/STDEV('The List'!W2:W730)</f>
        <v>1.36860601207017</v>
      </c>
      <c r="K47" s="46">
        <f>(VLOOKUP($A47,'The List'!$B1:$AH730,23,FALSE)-AVERAGE('The List'!X2:X730))/STDEV('The List'!X2:X730)</f>
        <v>0.960990396538512</v>
      </c>
      <c r="L47" s="46">
        <f>(VLOOKUP($A47,'The List'!$B1:$AH730,24,FALSE)-AVERAGE('The List'!Y2:Y730))/STDEV('The List'!Y2:Y730)</f>
        <v>-0.410238220483326</v>
      </c>
      <c r="M47" s="46">
        <f>(VLOOKUP($A47,'The List'!$B1:$AH730,25,FALSE)-AVERAGE('The List'!Z2:Z730))/STDEV('The List'!Z2:Z730)</f>
        <v>-0.575352784947315</v>
      </c>
      <c r="N47" s="46">
        <f>(VLOOKUP($A47,'The List'!$B1:$AH730,26,FALSE)-AVERAGE('The List'!AA2:AA730))/STDEV('The List'!AA2:AA730)</f>
        <v>-0.788839002327846</v>
      </c>
      <c r="O47" s="46">
        <f>(VLOOKUP($A47,'The List'!$B1:$AH730,27,FALSE)-AVERAGE('The List'!AB2:AB730))/STDEV('The List'!AB2:AB730)</f>
        <v>-1.58235066724739</v>
      </c>
      <c r="P47" s="46">
        <f>(VLOOKUP($A47,'The List'!$B1:$AH730,28,FALSE)-AVERAGE('The List'!AC2:AC730))/STDEV('The List'!AC2:AC730)</f>
        <v>-1.72922228895376</v>
      </c>
      <c r="Q47" s="46">
        <f>(VLOOKUP($A47,'The List'!$B1:$AH730,29,FALSE)-AVERAGE('The List'!AD2:AD730))/STDEV('The List'!AD2:AD730)</f>
        <v>-0.0417828295613634</v>
      </c>
      <c r="R47" s="46">
        <f>(VLOOKUP($A47,'The List'!$B1:$AH730,30,FALSE)-AVERAGE('The List'!AE2:AE730))/STDEV('The List'!AE2:AE730)</f>
        <v>0.806249567105634</v>
      </c>
      <c r="S47" s="46">
        <f>(VLOOKUP($A47,'The List'!$B1:$AH730,31,FALSE)-AVERAGE('The List'!AF2:AF730))/STDEV('The List'!AF2:AF730)</f>
        <v>-0.545242857879665</v>
      </c>
      <c r="T47" s="46">
        <f>(VLOOKUP($A47,'The List'!$B1:$AH730,32,FALSE)-AVERAGE('The List'!AG2:AG730))/STDEV('The List'!AG2:AG730)</f>
        <v>-0.5920287144481871</v>
      </c>
      <c r="U47" s="46">
        <f>(VLOOKUP($A47,'The List'!$B1:$AH730,33,FALSE)-AVERAGE('The List'!AH2:AH730))/STDEV('The List'!AH2:AH730)</f>
        <v>1.39007077220777</v>
      </c>
      <c r="V47" s="46"/>
      <c r="W47" s="48"/>
      <c r="X47" s="46"/>
      <c r="Y47" s="46"/>
      <c r="Z47" s="46"/>
      <c r="AA47" s="46"/>
      <c r="AB47" s="46"/>
      <c r="AC47" s="46"/>
      <c r="AD47" s="46"/>
      <c r="AE47" s="46"/>
    </row>
    <row r="48" ht="21.25" customHeight="1">
      <c r="A48" t="s" s="8">
        <v>198</v>
      </c>
      <c r="B48" t="s" s="42">
        <f>VLOOKUP(A48,'Player Data'!A1:B734,2,FALSE)</f>
        <v>108</v>
      </c>
      <c r="C48" s="44">
        <f>((E48)*'Settings'!$C$12)+(F48*'Settings'!$C$2)+(G48*'Settings'!$C$3)+(H48*'Settings'!$C$4)+(I48*'Settings'!$C$5)+(K48*'Settings'!$C$9)+(N48*'Settings'!$C$6)+(J48*'Settings'!$C$8)+(O48*'Settings'!$C$7)+(P48*'Settings'!$C$14)+(Q48*'Settings'!$C$15)+(R48*'Settings'!$C$16)+(S48*'Settings'!$C$17)+(T48*'Settings'!$C$18)+(U48*'Settings'!$C$19)+(L48*'Settings'!$C$10)+('Settings'!$C$11*M48)</f>
        <v>7.90186134607692</v>
      </c>
      <c r="D48" s="48">
        <f>IF('Settings'!$E$12="YES",VLOOKUP(A48,'Player Data'!A1:E734,5,FALSE),82)</f>
        <v>78.7689285714286</v>
      </c>
      <c r="E48" s="46">
        <f>(VLOOKUP($A48,'The List'!$B1:$AH730,17,FALSE)-AVERAGE('The List'!R2:R730))/STDEV('The List'!R2:R730)</f>
        <v>0.974821051555062</v>
      </c>
      <c r="F48" s="46">
        <f>(VLOOKUP($A48,'The List'!$B1:$AH730,18,FALSE)-AVERAGE('The List'!S2:S730))/STDEV('The List'!S2:S730)</f>
        <v>1.96758827085699</v>
      </c>
      <c r="G48" s="46">
        <f>(VLOOKUP($A48,'The List'!$B1:$AH730,19,FALSE)-AVERAGE('The List'!T2:T730))/STDEV('The List'!T2:T730)</f>
        <v>1.28930855305326</v>
      </c>
      <c r="H48" s="46">
        <f>(VLOOKUP($A48,'The List'!$B1:$AH730,20,FALSE)-AVERAGE('The List'!U2:U730))/STDEV('The List'!U2:U730)</f>
        <v>1.6901339012985</v>
      </c>
      <c r="I48" s="46">
        <f>(VLOOKUP($A48,'The List'!$B1:$AH730,21,FALSE)-AVERAGE('The List'!V2:V730))/STDEV('The List'!V2:V730)</f>
        <v>2.15826085543503</v>
      </c>
      <c r="J48" s="46">
        <f>(VLOOKUP($A48,'The List'!$B1:$AH730,22,FALSE)-AVERAGE('The List'!W2:W730))/STDEV('The List'!W2:W730)</f>
        <v>2.51802912546818</v>
      </c>
      <c r="K48" s="46">
        <f>(VLOOKUP($A48,'The List'!$B1:$AH730,23,FALSE)-AVERAGE('The List'!X2:X730))/STDEV('The List'!X2:X730)</f>
        <v>1.50594076017818</v>
      </c>
      <c r="L48" s="46">
        <f>(VLOOKUP($A48,'The List'!$B1:$AH730,24,FALSE)-AVERAGE('The List'!Y2:Y730))/STDEV('The List'!Y2:Y730)</f>
        <v>-0.233790876887658</v>
      </c>
      <c r="M48" s="46">
        <f>(VLOOKUP($A48,'The List'!$B1:$AH730,25,FALSE)-AVERAGE('The List'!Z2:Z730))/STDEV('The List'!Z2:Z730)</f>
        <v>-0.0691526824412434</v>
      </c>
      <c r="N48" s="46">
        <f>(VLOOKUP($A48,'The List'!$B1:$AH730,26,FALSE)-AVERAGE('The List'!AA2:AA730))/STDEV('The List'!AA2:AA730)</f>
        <v>-0.909766093569548</v>
      </c>
      <c r="O48" s="46">
        <f>(VLOOKUP($A48,'The List'!$B1:$AH730,27,FALSE)-AVERAGE('The List'!AB2:AB730))/STDEV('The List'!AB2:AB730)</f>
        <v>-0.292024899577931</v>
      </c>
      <c r="P48" s="46">
        <f>(VLOOKUP($A48,'The List'!$B1:$AH730,28,FALSE)-AVERAGE('The List'!AC2:AC730))/STDEV('The List'!AC2:AC730)</f>
        <v>1.89052900012301</v>
      </c>
      <c r="Q48" s="46">
        <f>(VLOOKUP($A48,'The List'!$B1:$AH730,29,FALSE)-AVERAGE('The List'!AD2:AD730))/STDEV('The List'!AD2:AD730)</f>
        <v>0.681268900225467</v>
      </c>
      <c r="R48" s="46">
        <f>(VLOOKUP($A48,'The List'!$B1:$AH730,30,FALSE)-AVERAGE('The List'!AE2:AE730))/STDEV('The List'!AE2:AE730)</f>
        <v>2.17657023010665</v>
      </c>
      <c r="S48" s="46">
        <f>(VLOOKUP($A48,'The List'!$B1:$AH730,31,FALSE)-AVERAGE('The List'!AF2:AF730))/STDEV('The List'!AF2:AF730)</f>
        <v>-0.484736108025344</v>
      </c>
      <c r="T48" s="46">
        <f>(VLOOKUP($A48,'The List'!$B1:$AH730,32,FALSE)-AVERAGE('The List'!AG2:AG730))/STDEV('The List'!AG2:AG730)</f>
        <v>-0.514529466234052</v>
      </c>
      <c r="U48" s="46">
        <f>(VLOOKUP($A48,'The List'!$B1:$AH730,33,FALSE)-AVERAGE('The List'!AH2:AH730))/STDEV('The List'!AH2:AH730)</f>
        <v>0.876808836363038</v>
      </c>
      <c r="V48" s="46"/>
      <c r="W48" s="50"/>
      <c r="X48" s="48"/>
      <c r="Y48" s="48"/>
      <c r="Z48" s="48"/>
      <c r="AA48" s="48"/>
      <c r="AB48" s="48"/>
      <c r="AC48" s="51"/>
      <c r="AD48" s="52"/>
      <c r="AE48" s="46"/>
    </row>
    <row r="49" ht="21.25" customHeight="1">
      <c r="A49" t="s" s="8">
        <v>130</v>
      </c>
      <c r="B49" t="s" s="42">
        <f>VLOOKUP(A49,'Player Data'!A1:B734,2,FALSE)</f>
        <v>131</v>
      </c>
      <c r="C49" s="44">
        <f>((E49)*'Settings'!$C$12)+(F49*'Settings'!$C$2)+(G49*'Settings'!$C$3)+(H49*'Settings'!$C$4)+(I49*'Settings'!$C$5)+(K49*'Settings'!$C$9)+(N49*'Settings'!$C$6)+(J49*'Settings'!$C$8)+(O49*'Settings'!$C$7)+(P49*'Settings'!$C$14)+(Q49*'Settings'!$C$15)+(R49*'Settings'!$C$16)+(S49*'Settings'!$C$17)+(T49*'Settings'!$C$18)+(U49*'Settings'!$C$19)+(L49*'Settings'!$C$10)+('Settings'!$C$11*M49)</f>
        <v>9.996865642536029</v>
      </c>
      <c r="D49" s="48">
        <f>IF('Settings'!$E$12="YES",VLOOKUP(A49,'Player Data'!A1:E734,5,FALSE),82)</f>
        <v>77.92107142857139</v>
      </c>
      <c r="E49" s="46">
        <f>(VLOOKUP($A49,'The List'!$B1:$AH730,17,FALSE)-AVERAGE('The List'!R2:R730))/STDEV('The List'!R2:R730)</f>
        <v>2.34599418137884</v>
      </c>
      <c r="F49" s="46">
        <f>(VLOOKUP($A49,'The List'!$B1:$AH730,18,FALSE)-AVERAGE('The List'!S2:S730))/STDEV('The List'!S2:S730)</f>
        <v>0.526918103960082</v>
      </c>
      <c r="G49" s="46">
        <f>(VLOOKUP($A49,'The List'!$B1:$AH730,19,FALSE)-AVERAGE('The List'!T2:T730))/STDEV('The List'!T2:T730)</f>
        <v>2.24376244512477</v>
      </c>
      <c r="H49" s="46">
        <f>(VLOOKUP($A49,'The List'!$B1:$AH730,20,FALSE)-AVERAGE('The List'!U2:U730))/STDEV('The List'!U2:U730)</f>
        <v>1.62300836114063</v>
      </c>
      <c r="I49" s="46">
        <f>(VLOOKUP($A49,'The List'!$B1:$AH730,21,FALSE)-AVERAGE('The List'!V2:V730))/STDEV('The List'!V2:V730)</f>
        <v>2.47791174283273</v>
      </c>
      <c r="J49" s="46">
        <f>(VLOOKUP($A49,'The List'!$B1:$AH730,22,FALSE)-AVERAGE('The List'!W2:W730))/STDEV('The List'!W2:W730)</f>
        <v>1.44493116467852</v>
      </c>
      <c r="K49" s="46">
        <f>(VLOOKUP($A49,'The List'!$B1:$AH730,23,FALSE)-AVERAGE('The List'!X2:X730))/STDEV('The List'!X2:X730)</f>
        <v>2.13422558806762</v>
      </c>
      <c r="L49" s="46">
        <f>(VLOOKUP($A49,'The List'!$B1:$AH730,24,FALSE)-AVERAGE('The List'!Y2:Y730))/STDEV('The List'!Y2:Y730)</f>
        <v>-0.494507099821457</v>
      </c>
      <c r="M49" s="46">
        <f>(VLOOKUP($A49,'The List'!$B1:$AH730,25,FALSE)-AVERAGE('The List'!Z2:Z730))/STDEV('The List'!Z2:Z730)</f>
        <v>-0.455990574680399</v>
      </c>
      <c r="N49" s="46">
        <f>(VLOOKUP($A49,'The List'!$B1:$AH730,26,FALSE)-AVERAGE('The List'!AA2:AA730))/STDEV('The List'!AA2:AA730)</f>
        <v>2.27502199865456</v>
      </c>
      <c r="O49" s="46">
        <f>(VLOOKUP($A49,'The List'!$B1:$AH730,27,FALSE)-AVERAGE('The List'!AB2:AB730))/STDEV('The List'!AB2:AB730)</f>
        <v>-0.478636189477363</v>
      </c>
      <c r="P49" s="46">
        <f>(VLOOKUP($A49,'The List'!$B1:$AH730,28,FALSE)-AVERAGE('The List'!AC2:AC730))/STDEV('The List'!AC2:AC730)</f>
        <v>0.33902576389627</v>
      </c>
      <c r="Q49" s="46">
        <f>(VLOOKUP($A49,'The List'!$B1:$AH730,29,FALSE)-AVERAGE('The List'!AD2:AD730))/STDEV('The List'!AD2:AD730)</f>
        <v>0.837874517673481</v>
      </c>
      <c r="R49" s="46">
        <f>(VLOOKUP($A49,'The List'!$B1:$AH730,30,FALSE)-AVERAGE('The List'!AE2:AE730))/STDEV('The List'!AE2:AE730)</f>
        <v>0.5472418756797029</v>
      </c>
      <c r="S49" s="46">
        <f>(VLOOKUP($A49,'The List'!$B1:$AH730,31,FALSE)-AVERAGE('The List'!AF2:AF730))/STDEV('The List'!AF2:AF730)</f>
        <v>-0.5569063253591</v>
      </c>
      <c r="T49" s="46">
        <f>(VLOOKUP($A49,'The List'!$B1:$AH730,32,FALSE)-AVERAGE('The List'!AG2:AG730))/STDEV('The List'!AG2:AG730)</f>
        <v>-0.600856269042678</v>
      </c>
      <c r="U49" s="46">
        <f>(VLOOKUP($A49,'The List'!$B1:$AH730,33,FALSE)-AVERAGE('The List'!AH2:AH730))/STDEV('The List'!AH2:AH730)</f>
        <v>-1.2363238714826</v>
      </c>
      <c r="V49" s="46"/>
      <c r="W49" s="50"/>
      <c r="X49" s="48"/>
      <c r="Y49" s="48"/>
      <c r="Z49" s="48"/>
      <c r="AA49" s="48"/>
      <c r="AB49" s="48"/>
      <c r="AC49" s="51"/>
      <c r="AD49" s="52"/>
      <c r="AE49" s="46"/>
    </row>
    <row r="50" ht="21.25" customHeight="1">
      <c r="A50" t="s" s="8">
        <v>155</v>
      </c>
      <c r="B50" t="s" s="42">
        <f>VLOOKUP(A50,'Player Data'!A1:B734,2,FALSE)</f>
        <v>156</v>
      </c>
      <c r="C50" s="44">
        <f>((E50)*'Settings'!$C$12)+(F50*'Settings'!$C$2)+(G50*'Settings'!$C$3)+(H50*'Settings'!$C$4)+(I50*'Settings'!$C$5)+(K50*'Settings'!$C$9)+(N50*'Settings'!$C$6)+(J50*'Settings'!$C$8)+(O50*'Settings'!$C$7)+(P50*'Settings'!$C$14)+(Q50*'Settings'!$C$15)+(R50*'Settings'!$C$16)+(S50*'Settings'!$C$17)+(T50*'Settings'!$C$18)+(U50*'Settings'!$C$19)+(L50*'Settings'!$C$10)+('Settings'!$C$11*M50)</f>
        <v>6.69025559351849</v>
      </c>
      <c r="D50" s="48">
        <f>IF('Settings'!$E$12="YES",VLOOKUP(A50,'Player Data'!A1:E734,5,FALSE),82)</f>
        <v>80.495</v>
      </c>
      <c r="E50" s="46">
        <f>(VLOOKUP($A50,'The List'!$B1:$AH730,17,FALSE)-AVERAGE('The List'!R2:R730))/STDEV('The List'!R2:R730)</f>
        <v>2.34127480028274</v>
      </c>
      <c r="F50" s="46">
        <f>(VLOOKUP($A50,'The List'!$B1:$AH730,18,FALSE)-AVERAGE('The List'!S2:S730))/STDEV('The List'!S2:S730)</f>
        <v>-0.511757059721756</v>
      </c>
      <c r="G50" s="46">
        <f>(VLOOKUP($A50,'The List'!$B1:$AH730,19,FALSE)-AVERAGE('The List'!T2:T730))/STDEV('The List'!T2:T730)</f>
        <v>3.18106461456627</v>
      </c>
      <c r="H50" s="46">
        <f>(VLOOKUP($A50,'The List'!$B1:$AH730,20,FALSE)-AVERAGE('The List'!U2:U730))/STDEV('The List'!U2:U730)</f>
        <v>1.72822479817169</v>
      </c>
      <c r="I50" s="46">
        <f>(VLOOKUP($A50,'The List'!$B1:$AH730,21,FALSE)-AVERAGE('The List'!V2:V730))/STDEV('The List'!V2:V730)</f>
        <v>0.480279755581271</v>
      </c>
      <c r="J50" s="46">
        <f>(VLOOKUP($A50,'The List'!$B1:$AH730,22,FALSE)-AVERAGE('The List'!W2:W730))/STDEV('The List'!W2:W730)</f>
        <v>-0.365178084861522</v>
      </c>
      <c r="K50" s="46">
        <f>(VLOOKUP($A50,'The List'!$B1:$AH730,23,FALSE)-AVERAGE('The List'!X2:X730))/STDEV('The List'!X2:X730)</f>
        <v>2.68130250372137</v>
      </c>
      <c r="L50" s="46">
        <f>(VLOOKUP($A50,'The List'!$B1:$AH730,24,FALSE)-AVERAGE('The List'!Y2:Y730))/STDEV('The List'!Y2:Y730)</f>
        <v>-0.498802085345359</v>
      </c>
      <c r="M50" s="46">
        <f>(VLOOKUP($A50,'The List'!$B1:$AH730,25,FALSE)-AVERAGE('The List'!Z2:Z730))/STDEV('The List'!Z2:Z730)</f>
        <v>-0.00200471617567619</v>
      </c>
      <c r="N50" s="46">
        <f>(VLOOKUP($A50,'The List'!$B1:$AH730,26,FALSE)-AVERAGE('The List'!AA2:AA730))/STDEV('The List'!AA2:AA730)</f>
        <v>0.496691843037518</v>
      </c>
      <c r="O50" s="46">
        <f>(VLOOKUP($A50,'The List'!$B1:$AH730,27,FALSE)-AVERAGE('The List'!AB2:AB730))/STDEV('The List'!AB2:AB730)</f>
        <v>-1.07211063028633</v>
      </c>
      <c r="P50" s="46">
        <f>(VLOOKUP($A50,'The List'!$B1:$AH730,28,FALSE)-AVERAGE('The List'!AC2:AC730))/STDEV('The List'!AC2:AC730)</f>
        <v>0.362673936333818</v>
      </c>
      <c r="Q50" s="46">
        <f>(VLOOKUP($A50,'The List'!$B1:$AH730,29,FALSE)-AVERAGE('The List'!AD2:AD730))/STDEV('The List'!AD2:AD730)</f>
        <v>0.276595262892257</v>
      </c>
      <c r="R50" s="46">
        <f>(VLOOKUP($A50,'The List'!$B1:$AH730,30,FALSE)-AVERAGE('The List'!AE2:AE730))/STDEV('The List'!AE2:AE730)</f>
        <v>-0.462497063040674</v>
      </c>
      <c r="S50" s="46">
        <f>(VLOOKUP($A50,'The List'!$B1:$AH730,31,FALSE)-AVERAGE('The List'!AF2:AF730))/STDEV('The List'!AF2:AF730)</f>
        <v>-0.555173152512335</v>
      </c>
      <c r="T50" s="46">
        <f>(VLOOKUP($A50,'The List'!$B1:$AH730,32,FALSE)-AVERAGE('The List'!AG2:AG730))/STDEV('The List'!AG2:AG730)</f>
        <v>-0.5987236068947031</v>
      </c>
      <c r="U50" s="46">
        <f>(VLOOKUP($A50,'The List'!$B1:$AH730,33,FALSE)-AVERAGE('The List'!AH2:AH730))/STDEV('The List'!AH2:AH730)</f>
        <v>0.845013336571224</v>
      </c>
      <c r="V50" s="46"/>
      <c r="W50" s="50"/>
      <c r="X50" s="48"/>
      <c r="Y50" s="48"/>
      <c r="Z50" s="48"/>
      <c r="AA50" s="48"/>
      <c r="AB50" s="48"/>
      <c r="AC50" s="51"/>
      <c r="AD50" s="52"/>
      <c r="AE50" s="46"/>
    </row>
    <row r="51" ht="21.25" customHeight="1">
      <c r="A51" t="s" s="8">
        <v>215</v>
      </c>
      <c r="B51" t="s" s="42">
        <f>VLOOKUP(A51,'Player Data'!A1:B734,2,FALSE)</f>
        <v>127</v>
      </c>
      <c r="C51" s="44">
        <f>((E51)*'Settings'!$C$12)+(F51*'Settings'!$C$2)+(G51*'Settings'!$C$3)+(H51*'Settings'!$C$4)+(I51*'Settings'!$C$5)+(K51*'Settings'!$C$9)+(N51*'Settings'!$C$6)+(J51*'Settings'!$C$8)+(O51*'Settings'!$C$7)+(P51*'Settings'!$C$14)+(Q51*'Settings'!$C$15)+(R51*'Settings'!$C$16)+(S51*'Settings'!$C$17)+(T51*'Settings'!$C$18)+(U51*'Settings'!$C$19)+(L51*'Settings'!$C$10)+('Settings'!$C$11*M51)</f>
        <v>5.60164737026356</v>
      </c>
      <c r="D51" s="48">
        <f>IF('Settings'!$E$12="YES",VLOOKUP(A51,'Player Data'!A1:E734,5,FALSE),82)</f>
        <v>80.34999999999999</v>
      </c>
      <c r="E51" s="46">
        <f>(VLOOKUP($A51,'The List'!$B1:$AH730,17,FALSE)-AVERAGE('The List'!R2:R730))/STDEV('The List'!R2:R730)</f>
        <v>0.315616124731829</v>
      </c>
      <c r="F51" s="46">
        <f>(VLOOKUP($A51,'The List'!$B1:$AH730,18,FALSE)-AVERAGE('The List'!S2:S730))/STDEV('The List'!S2:S730)</f>
        <v>1.58413232392679</v>
      </c>
      <c r="G51" s="46">
        <f>(VLOOKUP($A51,'The List'!$B1:$AH730,19,FALSE)-AVERAGE('The List'!T2:T730))/STDEV('The List'!T2:T730)</f>
        <v>1.62299415594967</v>
      </c>
      <c r="H51" s="46">
        <f>(VLOOKUP($A51,'The List'!$B1:$AH730,20,FALSE)-AVERAGE('The List'!U2:U730))/STDEV('The List'!U2:U730)</f>
        <v>1.72136654329771</v>
      </c>
      <c r="I51" s="46">
        <f>(VLOOKUP($A51,'The List'!$B1:$AH730,21,FALSE)-AVERAGE('The List'!V2:V730))/STDEV('The List'!V2:V730)</f>
        <v>1.27583783151206</v>
      </c>
      <c r="J51" s="46">
        <f>(VLOOKUP($A51,'The List'!$B1:$AH730,22,FALSE)-AVERAGE('The List'!W2:W730))/STDEV('The List'!W2:W730)</f>
        <v>1.20184817135836</v>
      </c>
      <c r="K51" s="46">
        <f>(VLOOKUP($A51,'The List'!$B1:$AH730,23,FALSE)-AVERAGE('The List'!X2:X730))/STDEV('The List'!X2:X730)</f>
        <v>1.55589222621906</v>
      </c>
      <c r="L51" s="46">
        <f>(VLOOKUP($A51,'The List'!$B1:$AH730,24,FALSE)-AVERAGE('The List'!Y2:Y730))/STDEV('The List'!Y2:Y730)</f>
        <v>-0.515430382593796</v>
      </c>
      <c r="M51" s="46">
        <f>(VLOOKUP($A51,'The List'!$B1:$AH730,25,FALSE)-AVERAGE('The List'!Z2:Z730))/STDEV('The List'!Z2:Z730)</f>
        <v>-0.663632242434784</v>
      </c>
      <c r="N51" s="46">
        <f>(VLOOKUP($A51,'The List'!$B1:$AH730,26,FALSE)-AVERAGE('The List'!AA2:AA730))/STDEV('The List'!AA2:AA730)</f>
        <v>-0.8311683198013839</v>
      </c>
      <c r="O51" s="46">
        <f>(VLOOKUP($A51,'The List'!$B1:$AH730,27,FALSE)-AVERAGE('The List'!AB2:AB730))/STDEV('The List'!AB2:AB730)</f>
        <v>-1.25866316290326</v>
      </c>
      <c r="P51" s="46">
        <f>(VLOOKUP($A51,'The List'!$B1:$AH730,28,FALSE)-AVERAGE('The List'!AC2:AC730))/STDEV('The List'!AC2:AC730)</f>
        <v>0.393959152457363</v>
      </c>
      <c r="Q51" s="46">
        <f>(VLOOKUP($A51,'The List'!$B1:$AH730,29,FALSE)-AVERAGE('The List'!AD2:AD730))/STDEV('The List'!AD2:AD730)</f>
        <v>-1.12349544902901</v>
      </c>
      <c r="R51" s="46">
        <f>(VLOOKUP($A51,'The List'!$B1:$AH730,30,FALSE)-AVERAGE('The List'!AE2:AE730))/STDEV('The List'!AE2:AE730)</f>
        <v>1.56965230844307</v>
      </c>
      <c r="S51" s="46">
        <f>(VLOOKUP($A51,'The List'!$B1:$AH730,31,FALSE)-AVERAGE('The List'!AF2:AF730))/STDEV('The List'!AF2:AF730)</f>
        <v>-0.5564479812159721</v>
      </c>
      <c r="T51" s="46">
        <f>(VLOOKUP($A51,'The List'!$B1:$AH730,32,FALSE)-AVERAGE('The List'!AG2:AG730))/STDEV('The List'!AG2:AG730)</f>
        <v>-0.591504455075226</v>
      </c>
      <c r="U51" s="46">
        <f>(VLOOKUP($A51,'The List'!$B1:$AH730,33,FALSE)-AVERAGE('The List'!AH2:AH730))/STDEV('The List'!AH2:AH730)</f>
        <v>-1.01492482388379</v>
      </c>
      <c r="V51" s="46"/>
      <c r="W51" s="50"/>
      <c r="X51" s="48"/>
      <c r="Y51" s="48"/>
      <c r="Z51" s="48"/>
      <c r="AA51" s="48"/>
      <c r="AB51" s="48"/>
      <c r="AC51" s="51"/>
      <c r="AD51" s="52"/>
      <c r="AE51" s="46"/>
    </row>
    <row r="52" ht="21.25" customHeight="1">
      <c r="A52" t="s" s="8">
        <v>181</v>
      </c>
      <c r="B52" t="s" s="42">
        <f>VLOOKUP(A52,'Player Data'!A1:B734,2,FALSE)</f>
        <v>115</v>
      </c>
      <c r="C52" s="44">
        <f>((E52)*'Settings'!$C$12)+(F52*'Settings'!$C$2)+(G52*'Settings'!$C$3)+(H52*'Settings'!$C$4)+(I52*'Settings'!$C$5)+(K52*'Settings'!$C$9)+(N52*'Settings'!$C$6)+(J52*'Settings'!$C$8)+(O52*'Settings'!$C$7)+(P52*'Settings'!$C$14)+(Q52*'Settings'!$C$15)+(R52*'Settings'!$C$16)+(S52*'Settings'!$C$17)+(T52*'Settings'!$C$18)+(U52*'Settings'!$C$19)+(L52*'Settings'!$C$10)+('Settings'!$C$11*M52)</f>
        <v>8.6459745473715</v>
      </c>
      <c r="D52" s="48">
        <f>IF('Settings'!$E$12="YES",VLOOKUP(A52,'Player Data'!A1:E734,5,FALSE),82)</f>
        <v>81.2625</v>
      </c>
      <c r="E52" s="46">
        <f>(VLOOKUP($A52,'The List'!$B1:$AH730,17,FALSE)-AVERAGE('The List'!R2:R730))/STDEV('The List'!R2:R730)</f>
        <v>0.299691887736275</v>
      </c>
      <c r="F52" s="46">
        <f>(VLOOKUP($A52,'The List'!$B1:$AH730,18,FALSE)-AVERAGE('The List'!S2:S730))/STDEV('The List'!S2:S730)</f>
        <v>1.69782757842777</v>
      </c>
      <c r="G52" s="46">
        <f>(VLOOKUP($A52,'The List'!$B1:$AH730,19,FALSE)-AVERAGE('The List'!T2:T730))/STDEV('The List'!T2:T730)</f>
        <v>1.58351389467553</v>
      </c>
      <c r="H52" s="46">
        <f>(VLOOKUP($A52,'The List'!$B1:$AH730,20,FALSE)-AVERAGE('The List'!U2:U730))/STDEV('The List'!U2:U730)</f>
        <v>1.74876110217379</v>
      </c>
      <c r="I52" s="46">
        <f>(VLOOKUP($A52,'The List'!$B1:$AH730,21,FALSE)-AVERAGE('The List'!V2:V730))/STDEV('The List'!V2:V730)</f>
        <v>2.15885145226222</v>
      </c>
      <c r="J52" s="46">
        <f>(VLOOKUP($A52,'The List'!$B1:$AH730,22,FALSE)-AVERAGE('The List'!W2:W730))/STDEV('The List'!W2:W730)</f>
        <v>3.06159877861286</v>
      </c>
      <c r="K52" s="46">
        <f>(VLOOKUP($A52,'The List'!$B1:$AH730,23,FALSE)-AVERAGE('The List'!X2:X730))/STDEV('The List'!X2:X730)</f>
        <v>2.5498791152794</v>
      </c>
      <c r="L52" s="46">
        <f>(VLOOKUP($A52,'The List'!$B1:$AH730,24,FALSE)-AVERAGE('The List'!Y2:Y730))/STDEV('The List'!Y2:Y730)</f>
        <v>-0.532515873619928</v>
      </c>
      <c r="M52" s="46">
        <f>(VLOOKUP($A52,'The List'!$B1:$AH730,25,FALSE)-AVERAGE('The List'!Z2:Z730))/STDEV('The List'!Z2:Z730)</f>
        <v>-0.71011031826834</v>
      </c>
      <c r="N52" s="46">
        <f>(VLOOKUP($A52,'The List'!$B1:$AH730,26,FALSE)-AVERAGE('The List'!AA2:AA730))/STDEV('The List'!AA2:AA730)</f>
        <v>-0.536857455220241</v>
      </c>
      <c r="O52" s="46">
        <f>(VLOOKUP($A52,'The List'!$B1:$AH730,27,FALSE)-AVERAGE('The List'!AB2:AB730))/STDEV('The List'!AB2:AB730)</f>
        <v>0.231892144970007</v>
      </c>
      <c r="P52" s="46">
        <f>(VLOOKUP($A52,'The List'!$B1:$AH730,28,FALSE)-AVERAGE('The List'!AC2:AC730))/STDEV('The List'!AC2:AC730)</f>
        <v>1.19275996194682</v>
      </c>
      <c r="Q52" s="46">
        <f>(VLOOKUP($A52,'The List'!$B1:$AH730,29,FALSE)-AVERAGE('The List'!AD2:AD730))/STDEV('The List'!AD2:AD730)</f>
        <v>0.0274686458739231</v>
      </c>
      <c r="R52" s="46">
        <f>(VLOOKUP($A52,'The List'!$B1:$AH730,30,FALSE)-AVERAGE('The List'!AE2:AE730))/STDEV('The List'!AE2:AE730)</f>
        <v>1.94469275875875</v>
      </c>
      <c r="S52" s="46">
        <f>(VLOOKUP($A52,'The List'!$B1:$AH730,31,FALSE)-AVERAGE('The List'!AF2:AF730))/STDEV('The List'!AF2:AF730)</f>
        <v>3.104070403968</v>
      </c>
      <c r="T52" s="46">
        <f>(VLOOKUP($A52,'The List'!$B1:$AH730,32,FALSE)-AVERAGE('The List'!AG2:AG730))/STDEV('The List'!AG2:AG730)</f>
        <v>2.11717050057443</v>
      </c>
      <c r="U52" s="46">
        <f>(VLOOKUP($A52,'The List'!$B1:$AH730,33,FALSE)-AVERAGE('The List'!AH2:AH730))/STDEV('The List'!AH2:AH730)</f>
        <v>1.41118337203802</v>
      </c>
      <c r="V52" s="46"/>
      <c r="W52" s="50"/>
      <c r="X52" s="48"/>
      <c r="Y52" s="48"/>
      <c r="Z52" s="48"/>
      <c r="AA52" s="48"/>
      <c r="AB52" s="48"/>
      <c r="AC52" s="51"/>
      <c r="AD52" s="52"/>
      <c r="AE52" s="46"/>
    </row>
    <row r="53" ht="21.25" customHeight="1">
      <c r="A53" t="s" s="8">
        <v>180</v>
      </c>
      <c r="B53" t="s" s="42">
        <f>VLOOKUP(A53,'Player Data'!A1:B734,2,FALSE)</f>
        <v>134</v>
      </c>
      <c r="C53" s="44">
        <f>((E53)*'Settings'!$C$12)+(F53*'Settings'!$C$2)+(G53*'Settings'!$C$3)+(H53*'Settings'!$C$4)+(I53*'Settings'!$C$5)+(K53*'Settings'!$C$9)+(N53*'Settings'!$C$6)+(J53*'Settings'!$C$8)+(O53*'Settings'!$C$7)+(P53*'Settings'!$C$14)+(Q53*'Settings'!$C$15)+(R53*'Settings'!$C$16)+(S53*'Settings'!$C$17)+(T53*'Settings'!$C$18)+(U53*'Settings'!$C$19)+(L53*'Settings'!$C$10)+('Settings'!$C$11*M53)</f>
        <v>7.96005453380587</v>
      </c>
      <c r="D53" s="48">
        <f>IF('Settings'!$E$12="YES",VLOOKUP(A53,'Player Data'!A1:E734,5,FALSE),82)</f>
        <v>79.09999999999999</v>
      </c>
      <c r="E53" s="46">
        <f>(VLOOKUP($A53,'The List'!$B1:$AH730,17,FALSE)-AVERAGE('The List'!R2:R730))/STDEV('The List'!R2:R730)</f>
        <v>0.701922630098745</v>
      </c>
      <c r="F53" s="46">
        <f>(VLOOKUP($A53,'The List'!$B1:$AH730,18,FALSE)-AVERAGE('The List'!S2:S730))/STDEV('The List'!S2:S730)</f>
        <v>2.06381359613619</v>
      </c>
      <c r="G53" s="46">
        <f>(VLOOKUP($A53,'The List'!$B1:$AH730,19,FALSE)-AVERAGE('The List'!T2:T730))/STDEV('The List'!T2:T730)</f>
        <v>1.43042111282188</v>
      </c>
      <c r="H53" s="46">
        <f>(VLOOKUP($A53,'The List'!$B1:$AH730,20,FALSE)-AVERAGE('The List'!U2:U730))/STDEV('The List'!U2:U730)</f>
        <v>1.82091239252598</v>
      </c>
      <c r="I53" s="46">
        <f>(VLOOKUP($A53,'The List'!$B1:$AH730,21,FALSE)-AVERAGE('The List'!V2:V730))/STDEV('The List'!V2:V730)</f>
        <v>2.08776264500225</v>
      </c>
      <c r="J53" s="46">
        <f>(VLOOKUP($A53,'The List'!$B1:$AH730,22,FALSE)-AVERAGE('The List'!W2:W730))/STDEV('The List'!W2:W730)</f>
        <v>1.69873378205127</v>
      </c>
      <c r="K53" s="46">
        <f>(VLOOKUP($A53,'The List'!$B1:$AH730,23,FALSE)-AVERAGE('The List'!X2:X730))/STDEV('The List'!X2:X730)</f>
        <v>2.10884314766295</v>
      </c>
      <c r="L53" s="46">
        <f>(VLOOKUP($A53,'The List'!$B1:$AH730,24,FALSE)-AVERAGE('The List'!Y2:Y730))/STDEV('The List'!Y2:Y730)</f>
        <v>-0.427651151595104</v>
      </c>
      <c r="M53" s="46">
        <f>(VLOOKUP($A53,'The List'!$B1:$AH730,25,FALSE)-AVERAGE('The List'!Z2:Z730))/STDEV('The List'!Z2:Z730)</f>
        <v>-0.593087442539212</v>
      </c>
      <c r="N53" s="46">
        <f>(VLOOKUP($A53,'The List'!$B1:$AH730,26,FALSE)-AVERAGE('The List'!AA2:AA730))/STDEV('The List'!AA2:AA730)</f>
        <v>-0.70843220357876</v>
      </c>
      <c r="O53" s="46">
        <f>(VLOOKUP($A53,'The List'!$B1:$AH730,27,FALSE)-AVERAGE('The List'!AB2:AB730))/STDEV('The List'!AB2:AB730)</f>
        <v>-0.55884966023724</v>
      </c>
      <c r="P53" s="46">
        <f>(VLOOKUP($A53,'The List'!$B1:$AH730,28,FALSE)-AVERAGE('The List'!AC2:AC730))/STDEV('The List'!AC2:AC730)</f>
        <v>0.977646235761357</v>
      </c>
      <c r="Q53" s="46">
        <f>(VLOOKUP($A53,'The List'!$B1:$AH730,29,FALSE)-AVERAGE('The List'!AD2:AD730))/STDEV('The List'!AD2:AD730)</f>
        <v>0.29352791670819</v>
      </c>
      <c r="R53" s="46">
        <f>(VLOOKUP($A53,'The List'!$B1:$AH730,30,FALSE)-AVERAGE('The List'!AE2:AE730))/STDEV('The List'!AE2:AE730)</f>
        <v>2.32567956969344</v>
      </c>
      <c r="S53" s="46">
        <f>(VLOOKUP($A53,'The List'!$B1:$AH730,31,FALSE)-AVERAGE('The List'!AF2:AF730))/STDEV('The List'!AF2:AF730)</f>
        <v>-0.228782613788204</v>
      </c>
      <c r="T53" s="46">
        <f>(VLOOKUP($A53,'The List'!$B1:$AH730,32,FALSE)-AVERAGE('The List'!AG2:AG730))/STDEV('The List'!AG2:AG730)</f>
        <v>-0.251850869660673</v>
      </c>
      <c r="U53" s="46">
        <f>(VLOOKUP($A53,'The List'!$B1:$AH730,33,FALSE)-AVERAGE('The List'!AH2:AH730))/STDEV('The List'!AH2:AH730)</f>
        <v>1.00918181973656</v>
      </c>
      <c r="V53" s="46"/>
      <c r="W53" s="48"/>
      <c r="X53" s="46"/>
      <c r="Y53" s="46"/>
      <c r="Z53" s="46"/>
      <c r="AA53" s="46"/>
      <c r="AB53" s="46"/>
      <c r="AC53" s="46"/>
      <c r="AD53" s="46"/>
      <c r="AE53" s="46"/>
    </row>
    <row r="54" ht="21.25" customHeight="1">
      <c r="A54" t="s" s="8">
        <v>190</v>
      </c>
      <c r="B54" t="s" s="42">
        <f>VLOOKUP(A54,'Player Data'!A1:B734,2,FALSE)</f>
        <v>184</v>
      </c>
      <c r="C54" s="44">
        <f>((E54)*'Settings'!$C$12)+(F54*'Settings'!$C$2)+(G54*'Settings'!$C$3)+(H54*'Settings'!$C$4)+(I54*'Settings'!$C$5)+(K54*'Settings'!$C$9)+(N54*'Settings'!$C$6)+(J54*'Settings'!$C$8)+(O54*'Settings'!$C$7)+(P54*'Settings'!$C$14)+(Q54*'Settings'!$C$15)+(R54*'Settings'!$C$16)+(S54*'Settings'!$C$17)+(T54*'Settings'!$C$18)+(U54*'Settings'!$C$19)+(L54*'Settings'!$C$10)+('Settings'!$C$11*M54)</f>
        <v>5.98244358498005</v>
      </c>
      <c r="D54" s="48">
        <f>IF('Settings'!$E$12="YES",VLOOKUP(A54,'Player Data'!A1:E734,5,FALSE),82)</f>
        <v>78.4053571428571</v>
      </c>
      <c r="E54" s="46">
        <f>(VLOOKUP($A54,'The List'!$B1:$AH730,17,FALSE)-AVERAGE('The List'!R2:R730))/STDEV('The List'!R2:R730)</f>
        <v>0.895146956630456</v>
      </c>
      <c r="F54" s="46">
        <f>(VLOOKUP($A54,'The List'!$B1:$AH730,18,FALSE)-AVERAGE('The List'!S2:S730))/STDEV('The List'!S2:S730)</f>
        <v>1.96824031536983</v>
      </c>
      <c r="G54" s="46">
        <f>(VLOOKUP($A54,'The List'!$B1:$AH730,19,FALSE)-AVERAGE('The List'!T2:T730))/STDEV('The List'!T2:T730)</f>
        <v>1.68851266453092</v>
      </c>
      <c r="H54" s="46">
        <f>(VLOOKUP($A54,'The List'!$B1:$AH730,20,FALSE)-AVERAGE('The List'!U2:U730))/STDEV('The List'!U2:U730)</f>
        <v>1.93653468234467</v>
      </c>
      <c r="I54" s="46">
        <f>(VLOOKUP($A54,'The List'!$B1:$AH730,21,FALSE)-AVERAGE('The List'!V2:V730))/STDEV('The List'!V2:V730)</f>
        <v>1.92602995601831</v>
      </c>
      <c r="J54" s="46">
        <f>(VLOOKUP($A54,'The List'!$B1:$AH730,22,FALSE)-AVERAGE('The List'!W2:W730))/STDEV('The List'!W2:W730)</f>
        <v>2.73874173133739</v>
      </c>
      <c r="K54" s="46">
        <f>(VLOOKUP($A54,'The List'!$B1:$AH730,23,FALSE)-AVERAGE('The List'!X2:X730))/STDEV('The List'!X2:X730)</f>
        <v>2.02421946712682</v>
      </c>
      <c r="L54" s="46">
        <f>(VLOOKUP($A54,'The List'!$B1:$AH730,24,FALSE)-AVERAGE('The List'!Y2:Y730))/STDEV('The List'!Y2:Y730)</f>
        <v>0.977400950623372</v>
      </c>
      <c r="M54" s="46">
        <f>(VLOOKUP($A54,'The List'!$B1:$AH730,25,FALSE)-AVERAGE('The List'!Z2:Z730))/STDEV('The List'!Z2:Z730)</f>
        <v>0.775754954488739</v>
      </c>
      <c r="N54" s="46">
        <f>(VLOOKUP($A54,'The List'!$B1:$AH730,26,FALSE)-AVERAGE('The List'!AA2:AA730))/STDEV('The List'!AA2:AA730)</f>
        <v>-0.755237268254339</v>
      </c>
      <c r="O54" s="46">
        <f>(VLOOKUP($A54,'The List'!$B1:$AH730,27,FALSE)-AVERAGE('The List'!AB2:AB730))/STDEV('The List'!AB2:AB730)</f>
        <v>-0.678454653587834</v>
      </c>
      <c r="P54" s="46">
        <f>(VLOOKUP($A54,'The List'!$B1:$AH730,28,FALSE)-AVERAGE('The List'!AC2:AC730))/STDEV('The List'!AC2:AC730)</f>
        <v>-0.869321549811493</v>
      </c>
      <c r="Q54" s="46">
        <f>(VLOOKUP($A54,'The List'!$B1:$AH730,29,FALSE)-AVERAGE('The List'!AD2:AD730))/STDEV('The List'!AD2:AD730)</f>
        <v>0.731001999548377</v>
      </c>
      <c r="R54" s="46">
        <f>(VLOOKUP($A54,'The List'!$B1:$AH730,30,FALSE)-AVERAGE('The List'!AE2:AE730))/STDEV('The List'!AE2:AE730)</f>
        <v>1.62604684145768</v>
      </c>
      <c r="S54" s="46">
        <f>(VLOOKUP($A54,'The List'!$B1:$AH730,31,FALSE)-AVERAGE('The List'!AF2:AF730))/STDEV('The List'!AF2:AF730)</f>
        <v>2.92908763124388</v>
      </c>
      <c r="T54" s="46">
        <f>(VLOOKUP($A54,'The List'!$B1:$AH730,32,FALSE)-AVERAGE('The List'!AG2:AG730))/STDEV('The List'!AG2:AG730)</f>
        <v>2.66979248415418</v>
      </c>
      <c r="U54" s="46">
        <f>(VLOOKUP($A54,'The List'!$B1:$AH730,33,FALSE)-AVERAGE('The List'!AH2:AH730))/STDEV('The List'!AH2:AH730)</f>
        <v>1.15069850200408</v>
      </c>
      <c r="V54" s="46"/>
      <c r="W54" s="48"/>
      <c r="X54" s="46"/>
      <c r="Y54" s="46"/>
      <c r="Z54" s="46"/>
      <c r="AA54" s="46"/>
      <c r="AB54" s="46"/>
      <c r="AC54" s="46"/>
      <c r="AD54" s="46"/>
      <c r="AE54" s="46"/>
    </row>
    <row r="55" ht="21.25" customHeight="1">
      <c r="A55" t="s" s="8">
        <v>230</v>
      </c>
      <c r="B55" t="s" s="42">
        <f>VLOOKUP(A55,'Player Data'!A1:B734,2,FALSE)</f>
        <v>164</v>
      </c>
      <c r="C55" s="44">
        <f>((E55)*'Settings'!$C$12)+(F55*'Settings'!$C$2)+(G55*'Settings'!$C$3)+(H55*'Settings'!$C$4)+(I55*'Settings'!$C$5)+(K55*'Settings'!$C$9)+(N55*'Settings'!$C$6)+(J55*'Settings'!$C$8)+(O55*'Settings'!$C$7)+(P55*'Settings'!$C$14)+(Q55*'Settings'!$C$15)+(R55*'Settings'!$C$16)+(S55*'Settings'!$C$17)+(T55*'Settings'!$C$18)+(U55*'Settings'!$C$19)+(L55*'Settings'!$C$10)+('Settings'!$C$11*M55)</f>
        <v>6.00964313038038</v>
      </c>
      <c r="D55" s="48">
        <f>IF('Settings'!$E$12="YES",VLOOKUP(A55,'Player Data'!A1:E734,5,FALSE),82)</f>
        <v>79.55</v>
      </c>
      <c r="E55" s="46">
        <f>(VLOOKUP($A55,'The List'!$B1:$AH730,17,FALSE)-AVERAGE('The List'!R2:R730))/STDEV('The List'!R2:R730)</f>
        <v>1.03879345612836</v>
      </c>
      <c r="F55" s="46">
        <f>(VLOOKUP($A55,'The List'!$B1:$AH730,18,FALSE)-AVERAGE('The List'!S2:S730))/STDEV('The List'!S2:S730)</f>
        <v>2.37013583268443</v>
      </c>
      <c r="G55" s="46">
        <f>(VLOOKUP($A55,'The List'!$B1:$AH730,19,FALSE)-AVERAGE('The List'!T2:T730))/STDEV('The List'!T2:T730)</f>
        <v>1.2003861433467</v>
      </c>
      <c r="H55" s="46">
        <f>(VLOOKUP($A55,'The List'!$B1:$AH730,20,FALSE)-AVERAGE('The List'!U2:U730))/STDEV('The List'!U2:U730)</f>
        <v>1.81848161848613</v>
      </c>
      <c r="I55" s="46">
        <f>(VLOOKUP($A55,'The List'!$B1:$AH730,21,FALSE)-AVERAGE('The List'!V2:V730))/STDEV('The List'!V2:V730)</f>
        <v>1.17551362055263</v>
      </c>
      <c r="J55" s="46">
        <f>(VLOOKUP($A55,'The List'!$B1:$AH730,22,FALSE)-AVERAGE('The List'!W2:W730))/STDEV('The List'!W2:W730)</f>
        <v>1.99748521030517</v>
      </c>
      <c r="K55" s="46">
        <f>(VLOOKUP($A55,'The List'!$B1:$AH730,23,FALSE)-AVERAGE('The List'!X2:X730))/STDEV('The List'!X2:X730)</f>
        <v>1.5449912622296</v>
      </c>
      <c r="L55" s="46">
        <f>(VLOOKUP($A55,'The List'!$B1:$AH730,24,FALSE)-AVERAGE('The List'!Y2:Y730))/STDEV('The List'!Y2:Y730)</f>
        <v>-0.470687385678092</v>
      </c>
      <c r="M55" s="46">
        <f>(VLOOKUP($A55,'The List'!$B1:$AH730,25,FALSE)-AVERAGE('The List'!Z2:Z730))/STDEV('The List'!Z2:Z730)</f>
        <v>-0.640890982517982</v>
      </c>
      <c r="N55" s="46">
        <f>(VLOOKUP($A55,'The List'!$B1:$AH730,26,FALSE)-AVERAGE('The List'!AA2:AA730))/STDEV('The List'!AA2:AA730)</f>
        <v>-0.44208470133149</v>
      </c>
      <c r="O55" s="46">
        <f>(VLOOKUP($A55,'The List'!$B1:$AH730,27,FALSE)-AVERAGE('The List'!AB2:AB730))/STDEV('The List'!AB2:AB730)</f>
        <v>-0.927441950935049</v>
      </c>
      <c r="P55" s="46">
        <f>(VLOOKUP($A55,'The List'!$B1:$AH730,28,FALSE)-AVERAGE('The List'!AC2:AC730))/STDEV('The List'!AC2:AC730)</f>
        <v>0.160700972898512</v>
      </c>
      <c r="Q55" s="46">
        <f>(VLOOKUP($A55,'The List'!$B1:$AH730,29,FALSE)-AVERAGE('The List'!AD2:AD730))/STDEV('The List'!AD2:AD730)</f>
        <v>-0.434303524525756</v>
      </c>
      <c r="R55" s="46">
        <f>(VLOOKUP($A55,'The List'!$B1:$AH730,30,FALSE)-AVERAGE('The List'!AE2:AE730))/STDEV('The List'!AE2:AE730)</f>
        <v>2.53667081836059</v>
      </c>
      <c r="S55" s="46">
        <f>(VLOOKUP($A55,'The List'!$B1:$AH730,31,FALSE)-AVERAGE('The List'!AF2:AF730))/STDEV('The List'!AF2:AF730)</f>
        <v>2.18304857134963</v>
      </c>
      <c r="T55" s="46">
        <f>(VLOOKUP($A55,'The List'!$B1:$AH730,32,FALSE)-AVERAGE('The List'!AG2:AG730))/STDEV('The List'!AG2:AG730)</f>
        <v>2.3654611985229</v>
      </c>
      <c r="U55" s="46">
        <f>(VLOOKUP($A55,'The List'!$B1:$AH730,33,FALSE)-AVERAGE('The List'!AH2:AH730))/STDEV('The List'!AH2:AH730)</f>
        <v>0.98921817827585</v>
      </c>
      <c r="V55" s="46"/>
      <c r="W55" s="50"/>
      <c r="X55" s="48"/>
      <c r="Y55" s="48"/>
      <c r="Z55" s="48"/>
      <c r="AA55" s="48"/>
      <c r="AB55" s="48"/>
      <c r="AC55" s="51"/>
      <c r="AD55" s="52"/>
      <c r="AE55" s="46"/>
    </row>
    <row r="56" ht="21.25" customHeight="1">
      <c r="A56" t="s" s="8">
        <v>235</v>
      </c>
      <c r="B56" t="s" s="42">
        <f>VLOOKUP(A56,'Player Data'!A1:B734,2,FALSE)</f>
        <v>236</v>
      </c>
      <c r="C56" s="44">
        <f>((E56)*'Settings'!$C$12)+(F56*'Settings'!$C$2)+(G56*'Settings'!$C$3)+(H56*'Settings'!$C$4)+(I56*'Settings'!$C$5)+(K56*'Settings'!$C$9)+(N56*'Settings'!$C$6)+(J56*'Settings'!$C$8)+(O56*'Settings'!$C$7)+(P56*'Settings'!$C$14)+(Q56*'Settings'!$C$15)+(R56*'Settings'!$C$16)+(S56*'Settings'!$C$17)+(T56*'Settings'!$C$18)+(U56*'Settings'!$C$19)+(L56*'Settings'!$C$10)+('Settings'!$C$11*M56)</f>
        <v>3.66835664639186</v>
      </c>
      <c r="D56" s="48">
        <f>IF('Settings'!$E$12="YES",VLOOKUP(A56,'Player Data'!A1:E734,5,FALSE),82)</f>
        <v>76.8339285714286</v>
      </c>
      <c r="E56" s="46">
        <f>(VLOOKUP($A56,'The List'!$B1:$AH730,17,FALSE)-AVERAGE('The List'!R2:R730))/STDEV('The List'!R2:R730)</f>
        <v>0.959732780093957</v>
      </c>
      <c r="F56" s="46">
        <f>(VLOOKUP($A56,'The List'!$B1:$AH730,18,FALSE)-AVERAGE('The List'!S2:S730))/STDEV('The List'!S2:S730)</f>
        <v>1.6152449613447</v>
      </c>
      <c r="G56" s="46">
        <f>(VLOOKUP($A56,'The List'!$B1:$AH730,19,FALSE)-AVERAGE('The List'!T2:T730))/STDEV('The List'!T2:T730)</f>
        <v>1.2969264209583</v>
      </c>
      <c r="H56" s="46">
        <f>(VLOOKUP($A56,'The List'!$B1:$AH730,20,FALSE)-AVERAGE('The List'!U2:U730))/STDEV('The List'!U2:U730)</f>
        <v>1.53450694441574</v>
      </c>
      <c r="I56" s="46">
        <f>(VLOOKUP($A56,'The List'!$B1:$AH730,21,FALSE)-AVERAGE('The List'!V2:V730))/STDEV('The List'!V2:V730)</f>
        <v>1.71163168744809</v>
      </c>
      <c r="J56" s="46">
        <f>(VLOOKUP($A56,'The List'!$B1:$AH730,22,FALSE)-AVERAGE('The List'!W2:W730))/STDEV('The List'!W2:W730)</f>
        <v>0.616069508433347</v>
      </c>
      <c r="K56" s="46">
        <f>(VLOOKUP($A56,'The List'!$B1:$AH730,23,FALSE)-AVERAGE('The List'!X2:X730))/STDEV('The List'!X2:X730)</f>
        <v>0.879592217566125</v>
      </c>
      <c r="L56" s="46">
        <f>(VLOOKUP($A56,'The List'!$B1:$AH730,24,FALSE)-AVERAGE('The List'!Y2:Y730))/STDEV('The List'!Y2:Y730)</f>
        <v>4.71288872177863</v>
      </c>
      <c r="M56" s="46">
        <f>(VLOOKUP($A56,'The List'!$B1:$AH730,25,FALSE)-AVERAGE('The List'!Z2:Z730))/STDEV('The List'!Z2:Z730)</f>
        <v>5.68567083895045</v>
      </c>
      <c r="N56" s="46">
        <f>(VLOOKUP($A56,'The List'!$B1:$AH730,26,FALSE)-AVERAGE('The List'!AA2:AA730))/STDEV('The List'!AA2:AA730)</f>
        <v>-0.353280579280705</v>
      </c>
      <c r="O56" s="46">
        <f>(VLOOKUP($A56,'The List'!$B1:$AH730,27,FALSE)-AVERAGE('The List'!AB2:AB730))/STDEV('The List'!AB2:AB730)</f>
        <v>-0.268003954180005</v>
      </c>
      <c r="P56" s="46">
        <f>(VLOOKUP($A56,'The List'!$B1:$AH730,28,FALSE)-AVERAGE('The List'!AC2:AC730))/STDEV('The List'!AC2:AC730)</f>
        <v>-1.48175806164465</v>
      </c>
      <c r="Q56" s="46">
        <f>(VLOOKUP($A56,'The List'!$B1:$AH730,29,FALSE)-AVERAGE('The List'!AD2:AD730))/STDEV('The List'!AD2:AD730)</f>
        <v>1.84636130380513</v>
      </c>
      <c r="R56" s="46">
        <f>(VLOOKUP($A56,'The List'!$B1:$AH730,30,FALSE)-AVERAGE('The List'!AE2:AE730))/STDEV('The List'!AE2:AE730)</f>
        <v>1.04193393101994</v>
      </c>
      <c r="S56" s="46">
        <f>(VLOOKUP($A56,'The List'!$B1:$AH730,31,FALSE)-AVERAGE('The List'!AF2:AF730))/STDEV('The List'!AF2:AF730)</f>
        <v>-0.420162921056922</v>
      </c>
      <c r="T56" s="46">
        <f>(VLOOKUP($A56,'The List'!$B1:$AH730,32,FALSE)-AVERAGE('The List'!AG2:AG730))/STDEV('The List'!AG2:AG730)</f>
        <v>-0.406524935150757</v>
      </c>
      <c r="U56" s="46">
        <f>(VLOOKUP($A56,'The List'!$B1:$AH730,33,FALSE)-AVERAGE('The List'!AH2:AH730))/STDEV('The List'!AH2:AH730)</f>
        <v>0.684558077855233</v>
      </c>
      <c r="V56" s="46"/>
      <c r="W56" s="48"/>
      <c r="X56" s="46"/>
      <c r="Y56" s="46"/>
      <c r="Z56" s="46"/>
      <c r="AA56" s="46"/>
      <c r="AB56" s="46"/>
      <c r="AC56" s="46"/>
      <c r="AD56" s="46"/>
      <c r="AE56" s="46"/>
    </row>
    <row r="57" ht="21.25" customHeight="1">
      <c r="A57" t="s" s="8">
        <v>179</v>
      </c>
      <c r="B57" t="s" s="42">
        <f>VLOOKUP(A57,'Player Data'!A1:B734,2,FALSE)</f>
        <v>173</v>
      </c>
      <c r="C57" s="44">
        <f>((E57)*'Settings'!$C$12)+(F57*'Settings'!$C$2)+(G57*'Settings'!$C$3)+(H57*'Settings'!$C$4)+(I57*'Settings'!$C$5)+(K57*'Settings'!$C$9)+(N57*'Settings'!$C$6)+(J57*'Settings'!$C$8)+(O57*'Settings'!$C$7)+(P57*'Settings'!$C$14)+(Q57*'Settings'!$C$15)+(R57*'Settings'!$C$16)+(S57*'Settings'!$C$17)+(T57*'Settings'!$C$18)+(U57*'Settings'!$C$19)+(L57*'Settings'!$C$10)+('Settings'!$C$11*M57)</f>
        <v>7.30968689676203</v>
      </c>
      <c r="D57" s="48">
        <f>IF('Settings'!$E$12="YES",VLOOKUP(A57,'Player Data'!A1:E734,5,FALSE),82)</f>
        <v>81.61750000000001</v>
      </c>
      <c r="E57" s="46">
        <f>(VLOOKUP($A57,'The List'!$B1:$AH730,17,FALSE)-AVERAGE('The List'!R2:R730))/STDEV('The List'!R2:R730)</f>
        <v>0.441418922086457</v>
      </c>
      <c r="F57" s="46">
        <f>(VLOOKUP($A57,'The List'!$B1:$AH730,18,FALSE)-AVERAGE('The List'!S2:S730))/STDEV('The List'!S2:S730)</f>
        <v>1.83751465117857</v>
      </c>
      <c r="G57" s="46">
        <f>(VLOOKUP($A57,'The List'!$B1:$AH730,19,FALSE)-AVERAGE('The List'!T2:T730))/STDEV('The List'!T2:T730)</f>
        <v>1.43678688653676</v>
      </c>
      <c r="H57" s="46">
        <f>(VLOOKUP($A57,'The List'!$B1:$AH730,20,FALSE)-AVERAGE('The List'!U2:U730))/STDEV('The List'!U2:U730)</f>
        <v>1.7218662498123</v>
      </c>
      <c r="I57" s="46">
        <f>(VLOOKUP($A57,'The List'!$B1:$AH730,21,FALSE)-AVERAGE('The List'!V2:V730))/STDEV('The List'!V2:V730)</f>
        <v>3.01179327095915</v>
      </c>
      <c r="J57" s="46">
        <f>(VLOOKUP($A57,'The List'!$B1:$AH730,22,FALSE)-AVERAGE('The List'!W2:W730))/STDEV('The List'!W2:W730)</f>
        <v>1.8513794218499</v>
      </c>
      <c r="K57" s="46">
        <f>(VLOOKUP($A57,'The List'!$B1:$AH730,23,FALSE)-AVERAGE('The List'!X2:X730))/STDEV('The List'!X2:X730)</f>
        <v>1.55966769181894</v>
      </c>
      <c r="L57" s="46">
        <f>(VLOOKUP($A57,'The List'!$B1:$AH730,24,FALSE)-AVERAGE('The List'!Y2:Y730))/STDEV('The List'!Y2:Y730)</f>
        <v>-0.497370417728048</v>
      </c>
      <c r="M57" s="46">
        <f>(VLOOKUP($A57,'The List'!$B1:$AH730,25,FALSE)-AVERAGE('The List'!Z2:Z730))/STDEV('The List'!Z2:Z730)</f>
        <v>-0.671050500331997</v>
      </c>
      <c r="N57" s="46">
        <f>(VLOOKUP($A57,'The List'!$B1:$AH730,26,FALSE)-AVERAGE('The List'!AA2:AA730))/STDEV('The List'!AA2:AA730)</f>
        <v>-1.09348549469665</v>
      </c>
      <c r="O57" s="46">
        <f>(VLOOKUP($A57,'The List'!$B1:$AH730,27,FALSE)-AVERAGE('The List'!AB2:AB730))/STDEV('The List'!AB2:AB730)</f>
        <v>3.04842708413052</v>
      </c>
      <c r="P57" s="46">
        <f>(VLOOKUP($A57,'The List'!$B1:$AH730,28,FALSE)-AVERAGE('The List'!AC2:AC730))/STDEV('The List'!AC2:AC730)</f>
        <v>0.5574098909652609</v>
      </c>
      <c r="Q57" s="46">
        <f>(VLOOKUP($A57,'The List'!$B1:$AH730,29,FALSE)-AVERAGE('The List'!AD2:AD730))/STDEV('The List'!AD2:AD730)</f>
        <v>3.93750320222667</v>
      </c>
      <c r="R57" s="46">
        <f>(VLOOKUP($A57,'The List'!$B1:$AH730,30,FALSE)-AVERAGE('The List'!AE2:AE730))/STDEV('The List'!AE2:AE730)</f>
        <v>1.88146605598738</v>
      </c>
      <c r="S57" s="46">
        <f>(VLOOKUP($A57,'The List'!$B1:$AH730,31,FALSE)-AVERAGE('The List'!AF2:AF730))/STDEV('The List'!AF2:AF730)</f>
        <v>1.02230254608601</v>
      </c>
      <c r="T57" s="46">
        <f>(VLOOKUP($A57,'The List'!$B1:$AH730,32,FALSE)-AVERAGE('The List'!AG2:AG730))/STDEV('The List'!AG2:AG730)</f>
        <v>1.13952398628119</v>
      </c>
      <c r="U57" s="46">
        <f>(VLOOKUP($A57,'The List'!$B1:$AH730,33,FALSE)-AVERAGE('The List'!AH2:AH730))/STDEV('The List'!AH2:AH730)</f>
        <v>0.969127970204562</v>
      </c>
      <c r="V57" s="46"/>
      <c r="W57" s="50"/>
      <c r="X57" s="48"/>
      <c r="Y57" s="48"/>
      <c r="Z57" s="48"/>
      <c r="AA57" s="48"/>
      <c r="AB57" s="48"/>
      <c r="AC57" s="51"/>
      <c r="AD57" s="52"/>
      <c r="AE57" s="46"/>
    </row>
    <row r="58" ht="21.25" customHeight="1">
      <c r="A58" t="s" s="8">
        <v>304</v>
      </c>
      <c r="B58" t="s" s="42">
        <f>VLOOKUP(A58,'Player Data'!A1:B734,2,FALSE)</f>
        <v>218</v>
      </c>
      <c r="C58" s="44">
        <f>((E58)*'Settings'!$C$12)+(F58*'Settings'!$C$2)+(G58*'Settings'!$C$3)+(H58*'Settings'!$C$4)+(I58*'Settings'!$C$5)+(K58*'Settings'!$C$9)+(N58*'Settings'!$C$6)+(J58*'Settings'!$C$8)+(O58*'Settings'!$C$7)+(P58*'Settings'!$C$14)+(Q58*'Settings'!$C$15)+(R58*'Settings'!$C$16)+(S58*'Settings'!$C$17)+(T58*'Settings'!$C$18)+(U58*'Settings'!$C$19)+(L58*'Settings'!$C$10)+('Settings'!$C$11*M58)</f>
        <v>4.89235352915412</v>
      </c>
      <c r="D58" s="48">
        <f>IF('Settings'!$E$12="YES",VLOOKUP(A58,'Player Data'!A1:E734,5,FALSE),82)</f>
        <v>68.7735714285714</v>
      </c>
      <c r="E58" s="46">
        <f>(VLOOKUP($A58,'The List'!$B1:$AH730,17,FALSE)-AVERAGE('The List'!R2:R730))/STDEV('The List'!R2:R730)</f>
        <v>0.867343835948975</v>
      </c>
      <c r="F58" s="46">
        <f>(VLOOKUP($A58,'The List'!$B1:$AH730,18,FALSE)-AVERAGE('The List'!S2:S730))/STDEV('The List'!S2:S730)</f>
        <v>1.06804808102285</v>
      </c>
      <c r="G58" s="46">
        <f>(VLOOKUP($A58,'The List'!$B1:$AH730,19,FALSE)-AVERAGE('The List'!T2:T730))/STDEV('The List'!T2:T730)</f>
        <v>1.15305038642315</v>
      </c>
      <c r="H58" s="46">
        <f>(VLOOKUP($A58,'The List'!$B1:$AH730,20,FALSE)-AVERAGE('The List'!U2:U730))/STDEV('The List'!U2:U730)</f>
        <v>1.1968237052228</v>
      </c>
      <c r="I58" s="46">
        <f>(VLOOKUP($A58,'The List'!$B1:$AH730,21,FALSE)-AVERAGE('The List'!V2:V730))/STDEV('The List'!V2:V730)</f>
        <v>0.632369518432857</v>
      </c>
      <c r="J58" s="46">
        <f>(VLOOKUP($A58,'The List'!$B1:$AH730,22,FALSE)-AVERAGE('The List'!W2:W730))/STDEV('The List'!W2:W730)</f>
        <v>0.8803042189993771</v>
      </c>
      <c r="K58" s="46">
        <f>(VLOOKUP($A58,'The List'!$B1:$AH730,23,FALSE)-AVERAGE('The List'!X2:X730))/STDEV('The List'!X2:X730)</f>
        <v>0.851335280248566</v>
      </c>
      <c r="L58" s="46">
        <f>(VLOOKUP($A58,'The List'!$B1:$AH730,24,FALSE)-AVERAGE('The List'!Y2:Y730))/STDEV('The List'!Y2:Y730)</f>
        <v>2.60745143316088</v>
      </c>
      <c r="M58" s="46">
        <f>(VLOOKUP($A58,'The List'!$B1:$AH730,25,FALSE)-AVERAGE('The List'!Z2:Z730))/STDEV('The List'!Z2:Z730)</f>
        <v>1.81882127564445</v>
      </c>
      <c r="N58" s="46">
        <f>(VLOOKUP($A58,'The List'!$B1:$AH730,26,FALSE)-AVERAGE('The List'!AA2:AA730))/STDEV('The List'!AA2:AA730)</f>
        <v>-0.49641182092353</v>
      </c>
      <c r="O58" s="46">
        <f>(VLOOKUP($A58,'The List'!$B1:$AH730,27,FALSE)-AVERAGE('The List'!AB2:AB730))/STDEV('The List'!AB2:AB730)</f>
        <v>-0.858888694722528</v>
      </c>
      <c r="P58" s="46">
        <f>(VLOOKUP($A58,'The List'!$B1:$AH730,28,FALSE)-AVERAGE('The List'!AC2:AC730))/STDEV('The List'!AC2:AC730)</f>
        <v>1.68396208395023</v>
      </c>
      <c r="Q58" s="46">
        <f>(VLOOKUP($A58,'The List'!$B1:$AH730,29,FALSE)-AVERAGE('The List'!AD2:AD730))/STDEV('The List'!AD2:AD730)</f>
        <v>-0.428047580619744</v>
      </c>
      <c r="R58" s="46">
        <f>(VLOOKUP($A58,'The List'!$B1:$AH730,30,FALSE)-AVERAGE('The List'!AE2:AE730))/STDEV('The List'!AE2:AE730)</f>
        <v>1.32906165729462</v>
      </c>
      <c r="S58" s="46">
        <f>(VLOOKUP($A58,'The List'!$B1:$AH730,31,FALSE)-AVERAGE('The List'!AF2:AF730))/STDEV('The List'!AF2:AF730)</f>
        <v>-0.5357854218614641</v>
      </c>
      <c r="T58" s="46">
        <f>(VLOOKUP($A58,'The List'!$B1:$AH730,32,FALSE)-AVERAGE('The List'!AG2:AG730))/STDEV('The List'!AG2:AG730)</f>
        <v>-0.533468593948389</v>
      </c>
      <c r="U58" s="46">
        <f>(VLOOKUP($A58,'The List'!$B1:$AH730,33,FALSE)-AVERAGE('The List'!AH2:AH730))/STDEV('The List'!AH2:AH730)</f>
        <v>-0.116618561749984</v>
      </c>
      <c r="V58" s="46"/>
      <c r="W58" s="48"/>
      <c r="X58" s="48"/>
      <c r="Y58" s="48"/>
      <c r="Z58" s="48"/>
      <c r="AA58" s="48"/>
      <c r="AB58" s="48"/>
      <c r="AC58" s="51"/>
      <c r="AD58" s="52"/>
      <c r="AE58" s="46"/>
    </row>
    <row r="59" ht="21.25" customHeight="1">
      <c r="A59" t="s" s="8">
        <v>250</v>
      </c>
      <c r="B59" t="s" s="42">
        <f>VLOOKUP(A59,'Player Data'!A1:B734,2,FALSE)</f>
        <v>131</v>
      </c>
      <c r="C59" s="44">
        <f>((E59)*'Settings'!$C$12)+(F59*'Settings'!$C$2)+(G59*'Settings'!$C$3)+(H59*'Settings'!$C$4)+(I59*'Settings'!$C$5)+(K59*'Settings'!$C$9)+(N59*'Settings'!$C$6)+(J59*'Settings'!$C$8)+(O59*'Settings'!$C$7)+(P59*'Settings'!$C$14)+(Q59*'Settings'!$C$15)+(R59*'Settings'!$C$16)+(S59*'Settings'!$C$17)+(T59*'Settings'!$C$18)+(U59*'Settings'!$C$19)+(L59*'Settings'!$C$10)+('Settings'!$C$11*M59)</f>
        <v>5.05410760709115</v>
      </c>
      <c r="D59" s="48">
        <f>IF('Settings'!$E$12="YES",VLOOKUP(A59,'Player Data'!A1:E734,5,FALSE),82)</f>
        <v>72.0732142857143</v>
      </c>
      <c r="E59" s="46">
        <f>(VLOOKUP($A59,'The List'!$B1:$AH730,17,FALSE)-AVERAGE('The List'!R2:R730))/STDEV('The List'!R2:R730)</f>
        <v>0.243929605002892</v>
      </c>
      <c r="F59" s="46">
        <f>(VLOOKUP($A59,'The List'!$B1:$AH730,18,FALSE)-AVERAGE('The List'!S2:S730))/STDEV('The List'!S2:S730)</f>
        <v>1.78681870534605</v>
      </c>
      <c r="G59" s="46">
        <f>(VLOOKUP($A59,'The List'!$B1:$AH730,19,FALSE)-AVERAGE('The List'!T2:T730))/STDEV('The List'!T2:T730)</f>
        <v>1.07274100416139</v>
      </c>
      <c r="H59" s="46">
        <f>(VLOOKUP($A59,'The List'!$B1:$AH730,20,FALSE)-AVERAGE('The List'!U2:U730))/STDEV('The List'!U2:U730)</f>
        <v>1.47436907613338</v>
      </c>
      <c r="I59" s="46">
        <f>(VLOOKUP($A59,'The List'!$B1:$AH730,21,FALSE)-AVERAGE('The List'!V2:V730))/STDEV('The List'!V2:V730)</f>
        <v>1.54159164068126</v>
      </c>
      <c r="J59" s="46">
        <f>(VLOOKUP($A59,'The List'!$B1:$AH730,22,FALSE)-AVERAGE('The List'!W2:W730))/STDEV('The List'!W2:W730)</f>
        <v>1.13523193415328</v>
      </c>
      <c r="K59" s="46">
        <f>(VLOOKUP($A59,'The List'!$B1:$AH730,23,FALSE)-AVERAGE('The List'!X2:X730))/STDEV('The List'!X2:X730)</f>
        <v>1.3005686214875</v>
      </c>
      <c r="L59" s="46">
        <f>(VLOOKUP($A59,'The List'!$B1:$AH730,24,FALSE)-AVERAGE('The List'!Y2:Y730))/STDEV('The List'!Y2:Y730)</f>
        <v>-0.524807573745948</v>
      </c>
      <c r="M59" s="46">
        <f>(VLOOKUP($A59,'The List'!$B1:$AH730,25,FALSE)-AVERAGE('The List'!Z2:Z730))/STDEV('The List'!Z2:Z730)</f>
        <v>-0.701553188680631</v>
      </c>
      <c r="N59" s="46">
        <f>(VLOOKUP($A59,'The List'!$B1:$AH730,26,FALSE)-AVERAGE('The List'!AA2:AA730))/STDEV('The List'!AA2:AA730)</f>
        <v>-0.616350083432387</v>
      </c>
      <c r="O59" s="46">
        <f>(VLOOKUP($A59,'The List'!$B1:$AH730,27,FALSE)-AVERAGE('The List'!AB2:AB730))/STDEV('The List'!AB2:AB730)</f>
        <v>0.43580678939617</v>
      </c>
      <c r="P59" s="46">
        <f>(VLOOKUP($A59,'The List'!$B1:$AH730,28,FALSE)-AVERAGE('The List'!AC2:AC730))/STDEV('The List'!AC2:AC730)</f>
        <v>-0.0312622811526667</v>
      </c>
      <c r="Q59" s="46">
        <f>(VLOOKUP($A59,'The List'!$B1:$AH730,29,FALSE)-AVERAGE('The List'!AD2:AD730))/STDEV('The List'!AD2:AD730)</f>
        <v>-0.291889951869359</v>
      </c>
      <c r="R59" s="46">
        <f>(VLOOKUP($A59,'The List'!$B1:$AH730,30,FALSE)-AVERAGE('The List'!AE2:AE730))/STDEV('The List'!AE2:AE730)</f>
        <v>1.74441102943976</v>
      </c>
      <c r="S59" s="46">
        <f>(VLOOKUP($A59,'The List'!$B1:$AH730,31,FALSE)-AVERAGE('The List'!AF2:AF730))/STDEV('The List'!AF2:AF730)</f>
        <v>-0.549827925435036</v>
      </c>
      <c r="T59" s="46">
        <f>(VLOOKUP($A59,'The List'!$B1:$AH730,32,FALSE)-AVERAGE('The List'!AG2:AG730))/STDEV('The List'!AG2:AG730)</f>
        <v>-0.593773217811521</v>
      </c>
      <c r="U59" s="46">
        <f>(VLOOKUP($A59,'The List'!$B1:$AH730,33,FALSE)-AVERAGE('The List'!AH2:AH730))/STDEV('The List'!AH2:AH730)</f>
        <v>1.07808925314996</v>
      </c>
      <c r="V59" s="46"/>
      <c r="W59" s="48"/>
      <c r="X59" s="46"/>
      <c r="Y59" s="46"/>
      <c r="Z59" s="46"/>
      <c r="AA59" s="46"/>
      <c r="AB59" s="46"/>
      <c r="AC59" s="46"/>
      <c r="AD59" s="46"/>
      <c r="AE59" s="46"/>
    </row>
    <row r="60" ht="21.25" customHeight="1">
      <c r="A60" t="s" s="8">
        <v>201</v>
      </c>
      <c r="B60" t="s" s="42">
        <f>VLOOKUP(A60,'Player Data'!A1:B734,2,FALSE)</f>
        <v>202</v>
      </c>
      <c r="C60" s="44">
        <f>((E60)*'Settings'!$C$12)+(F60*'Settings'!$C$2)+(G60*'Settings'!$C$3)+(H60*'Settings'!$C$4)+(I60*'Settings'!$C$5)+(K60*'Settings'!$C$9)+(N60*'Settings'!$C$6)+(J60*'Settings'!$C$8)+(O60*'Settings'!$C$7)+(P60*'Settings'!$C$14)+(Q60*'Settings'!$C$15)+(R60*'Settings'!$C$16)+(S60*'Settings'!$C$17)+(T60*'Settings'!$C$18)+(U60*'Settings'!$C$19)+(L60*'Settings'!$C$10)+('Settings'!$C$11*M60)</f>
        <v>7.99051447788819</v>
      </c>
      <c r="D60" s="48">
        <f>IF('Settings'!$E$12="YES",VLOOKUP(A60,'Player Data'!A1:E734,5,FALSE),82)</f>
        <v>78.1385714285714</v>
      </c>
      <c r="E60" s="46">
        <f>(VLOOKUP($A60,'The List'!$B1:$AH730,17,FALSE)-AVERAGE('The List'!R2:R730))/STDEV('The List'!R2:R730)</f>
        <v>0.402034480546873</v>
      </c>
      <c r="F60" s="46">
        <f>(VLOOKUP($A60,'The List'!$B1:$AH730,18,FALSE)-AVERAGE('The List'!S2:S730))/STDEV('The List'!S2:S730)</f>
        <v>1.75037461073431</v>
      </c>
      <c r="G60" s="46">
        <f>(VLOOKUP($A60,'The List'!$B1:$AH730,19,FALSE)-AVERAGE('The List'!T2:T730))/STDEV('The List'!T2:T730)</f>
        <v>1.50837725461201</v>
      </c>
      <c r="H60" s="46">
        <f>(VLOOKUP($A60,'The List'!$B1:$AH730,20,FALSE)-AVERAGE('The List'!U2:U730))/STDEV('The List'!U2:U730)</f>
        <v>1.72635030471338</v>
      </c>
      <c r="I60" s="46">
        <f>(VLOOKUP($A60,'The List'!$B1:$AH730,21,FALSE)-AVERAGE('The List'!V2:V730))/STDEV('The List'!V2:V730)</f>
        <v>1.94568225514502</v>
      </c>
      <c r="J60" s="46">
        <f>(VLOOKUP($A60,'The List'!$B1:$AH730,22,FALSE)-AVERAGE('The List'!W2:W730))/STDEV('The List'!W2:W730)</f>
        <v>1.25440040934557</v>
      </c>
      <c r="K60" s="46">
        <f>(VLOOKUP($A60,'The List'!$B1:$AH730,23,FALSE)-AVERAGE('The List'!X2:X730))/STDEV('The List'!X2:X730)</f>
        <v>1.53709047245827</v>
      </c>
      <c r="L60" s="46">
        <f>(VLOOKUP($A60,'The List'!$B1:$AH730,24,FALSE)-AVERAGE('The List'!Y2:Y730))/STDEV('The List'!Y2:Y730)</f>
        <v>-0.516563447715487</v>
      </c>
      <c r="M60" s="46">
        <f>(VLOOKUP($A60,'The List'!$B1:$AH730,25,FALSE)-AVERAGE('The List'!Z2:Z730))/STDEV('The List'!Z2:Z730)</f>
        <v>-0.692478504305267</v>
      </c>
      <c r="N60" s="46">
        <f>(VLOOKUP($A60,'The List'!$B1:$AH730,26,FALSE)-AVERAGE('The List'!AA2:AA730))/STDEV('The List'!AA2:AA730)</f>
        <v>-0.9583739796283181</v>
      </c>
      <c r="O60" s="46">
        <f>(VLOOKUP($A60,'The List'!$B1:$AH730,27,FALSE)-AVERAGE('The List'!AB2:AB730))/STDEV('The List'!AB2:AB730)</f>
        <v>1.60117153938607</v>
      </c>
      <c r="P60" s="46">
        <f>(VLOOKUP($A60,'The List'!$B1:$AH730,28,FALSE)-AVERAGE('The List'!AC2:AC730))/STDEV('The List'!AC2:AC730)</f>
        <v>2.2073638645669</v>
      </c>
      <c r="Q60" s="46">
        <f>(VLOOKUP($A60,'The List'!$B1:$AH730,29,FALSE)-AVERAGE('The List'!AD2:AD730))/STDEV('The List'!AD2:AD730)</f>
        <v>2.65747143776895</v>
      </c>
      <c r="R60" s="46">
        <f>(VLOOKUP($A60,'The List'!$B1:$AH730,30,FALSE)-AVERAGE('The List'!AE2:AE730))/STDEV('The List'!AE2:AE730)</f>
        <v>2.37170132855045</v>
      </c>
      <c r="S60" s="46">
        <f>(VLOOKUP($A60,'The List'!$B1:$AH730,31,FALSE)-AVERAGE('The List'!AF2:AF730))/STDEV('The List'!AF2:AF730)</f>
        <v>-0.544849459958528</v>
      </c>
      <c r="T60" s="46">
        <f>(VLOOKUP($A60,'The List'!$B1:$AH730,32,FALSE)-AVERAGE('The List'!AG2:AG730))/STDEV('The List'!AG2:AG730)</f>
        <v>-0.562293904249224</v>
      </c>
      <c r="U60" s="46">
        <f>(VLOOKUP($A60,'The List'!$B1:$AH730,33,FALSE)-AVERAGE('The List'!AH2:AH730))/STDEV('The List'!AH2:AH730)</f>
        <v>-0.118675105859399</v>
      </c>
      <c r="V60" s="46"/>
      <c r="W60" s="48"/>
      <c r="X60" s="48"/>
      <c r="Y60" s="48"/>
      <c r="Z60" s="48"/>
      <c r="AA60" s="48"/>
      <c r="AB60" s="48"/>
      <c r="AC60" s="51"/>
      <c r="AD60" s="52"/>
      <c r="AE60" s="46"/>
    </row>
    <row r="61" ht="21.25" customHeight="1">
      <c r="A61" t="s" s="8">
        <v>150</v>
      </c>
      <c r="B61" t="s" s="42">
        <f>VLOOKUP(A61,'Player Data'!A1:B734,2,FALSE)</f>
        <v>151</v>
      </c>
      <c r="C61" s="44">
        <f>((E61)*'Settings'!$C$12)+(F61*'Settings'!$C$2)+(G61*'Settings'!$C$3)+(H61*'Settings'!$C$4)+(I61*'Settings'!$C$5)+(K61*'Settings'!$C$9)+(N61*'Settings'!$C$6)+(J61*'Settings'!$C$8)+(O61*'Settings'!$C$7)+(P61*'Settings'!$C$14)+(Q61*'Settings'!$C$15)+(R61*'Settings'!$C$16)+(S61*'Settings'!$C$17)+(T61*'Settings'!$C$18)+(U61*'Settings'!$C$19)+(L61*'Settings'!$C$10)+('Settings'!$C$11*M61)</f>
        <v>9.385812185959811</v>
      </c>
      <c r="D61" s="48">
        <f>IF('Settings'!$E$12="YES",VLOOKUP(A61,'Player Data'!A1:E734,5,FALSE),82)</f>
        <v>81.3335714285714</v>
      </c>
      <c r="E61" s="46">
        <f>(VLOOKUP($A61,'The List'!$B1:$AH730,17,FALSE)-AVERAGE('The List'!R2:R730))/STDEV('The List'!R2:R730)</f>
        <v>2.14853771038949</v>
      </c>
      <c r="F61" s="46">
        <f>(VLOOKUP($A61,'The List'!$B1:$AH730,18,FALSE)-AVERAGE('The List'!S2:S730))/STDEV('The List'!S2:S730)</f>
        <v>-0.209401414839522</v>
      </c>
      <c r="G61" s="46">
        <f>(VLOOKUP($A61,'The List'!$B1:$AH730,19,FALSE)-AVERAGE('The List'!T2:T730))/STDEV('The List'!T2:T730)</f>
        <v>2.90464557293207</v>
      </c>
      <c r="H61" s="46">
        <f>(VLOOKUP($A61,'The List'!$B1:$AH730,20,FALSE)-AVERAGE('The List'!U2:U730))/STDEV('The List'!U2:U730)</f>
        <v>1.69539397454231</v>
      </c>
      <c r="I61" s="46">
        <f>(VLOOKUP($A61,'The List'!$B1:$AH730,21,FALSE)-AVERAGE('The List'!V2:V730))/STDEV('The List'!V2:V730)</f>
        <v>0.524312696785975</v>
      </c>
      <c r="J61" s="46">
        <f>(VLOOKUP($A61,'The List'!$B1:$AH730,22,FALSE)-AVERAGE('The List'!W2:W730))/STDEV('The List'!W2:W730)</f>
        <v>-0.371073512642483</v>
      </c>
      <c r="K61" s="46">
        <f>(VLOOKUP($A61,'The List'!$B1:$AH730,23,FALSE)-AVERAGE('The List'!X2:X730))/STDEV('The List'!X2:X730)</f>
        <v>2.49416961617403</v>
      </c>
      <c r="L61" s="46">
        <f>(VLOOKUP($A61,'The List'!$B1:$AH730,24,FALSE)-AVERAGE('The List'!Y2:Y730))/STDEV('The List'!Y2:Y730)</f>
        <v>0.273373677854838</v>
      </c>
      <c r="M61" s="46">
        <f>(VLOOKUP($A61,'The List'!$B1:$AH730,25,FALSE)-AVERAGE('The List'!Z2:Z730))/STDEV('The List'!Z2:Z730)</f>
        <v>1.91228019324113</v>
      </c>
      <c r="N61" s="46">
        <f>(VLOOKUP($A61,'The List'!$B1:$AH730,26,FALSE)-AVERAGE('The List'!AA2:AA730))/STDEV('The List'!AA2:AA730)</f>
        <v>1.80711081651221</v>
      </c>
      <c r="O61" s="46">
        <f>(VLOOKUP($A61,'The List'!$B1:$AH730,27,FALSE)-AVERAGE('The List'!AB2:AB730))/STDEV('The List'!AB2:AB730)</f>
        <v>-1.09792610441888</v>
      </c>
      <c r="P61" s="46">
        <f>(VLOOKUP($A61,'The List'!$B1:$AH730,28,FALSE)-AVERAGE('The List'!AC2:AC730))/STDEV('The List'!AC2:AC730)</f>
        <v>1.86497489839505</v>
      </c>
      <c r="Q61" s="46">
        <f>(VLOOKUP($A61,'The List'!$B1:$AH730,29,FALSE)-AVERAGE('The List'!AD2:AD730))/STDEV('The List'!AD2:AD730)</f>
        <v>0.0446381261678567</v>
      </c>
      <c r="R61" s="46">
        <f>(VLOOKUP($A61,'The List'!$B1:$AH730,30,FALSE)-AVERAGE('The List'!AE2:AE730))/STDEV('The List'!AE2:AE730)</f>
        <v>0.0198381229060304</v>
      </c>
      <c r="S61" s="46">
        <f>(VLOOKUP($A61,'The List'!$B1:$AH730,31,FALSE)-AVERAGE('The List'!AF2:AF730))/STDEV('The List'!AF2:AF730)</f>
        <v>-0.5569063253591</v>
      </c>
      <c r="T61" s="46">
        <f>(VLOOKUP($A61,'The List'!$B1:$AH730,32,FALSE)-AVERAGE('The List'!AG2:AG730))/STDEV('The List'!AG2:AG730)</f>
        <v>-0.600057642838713</v>
      </c>
      <c r="U61" s="46">
        <f>(VLOOKUP($A61,'The List'!$B1:$AH730,33,FALSE)-AVERAGE('The List'!AH2:AH730))/STDEV('The List'!AH2:AH730)</f>
        <v>-1.2363238714826</v>
      </c>
      <c r="V61" s="46"/>
      <c r="W61" s="48"/>
      <c r="X61" s="46"/>
      <c r="Y61" s="46"/>
      <c r="Z61" s="46"/>
      <c r="AA61" s="46"/>
      <c r="AB61" s="46"/>
      <c r="AC61" s="46"/>
      <c r="AD61" s="46"/>
      <c r="AE61" s="46"/>
    </row>
    <row r="62" ht="21.25" customHeight="1">
      <c r="A62" t="s" s="8">
        <v>243</v>
      </c>
      <c r="B62" t="s" s="42">
        <f>VLOOKUP(A62,'Player Data'!A1:B734,2,FALSE)</f>
        <v>170</v>
      </c>
      <c r="C62" s="44">
        <f>((E62)*'Settings'!$C$12)+(F62*'Settings'!$C$2)+(G62*'Settings'!$C$3)+(H62*'Settings'!$C$4)+(I62*'Settings'!$C$5)+(K62*'Settings'!$C$9)+(N62*'Settings'!$C$6)+(J62*'Settings'!$C$8)+(O62*'Settings'!$C$7)+(P62*'Settings'!$C$14)+(Q62*'Settings'!$C$15)+(R62*'Settings'!$C$16)+(S62*'Settings'!$C$17)+(T62*'Settings'!$C$18)+(U62*'Settings'!$C$19)+(L62*'Settings'!$C$10)+('Settings'!$C$11*M62)</f>
        <v>6.15435874869361</v>
      </c>
      <c r="D62" s="48">
        <f>IF('Settings'!$E$12="YES",VLOOKUP(A62,'Player Data'!A1:E734,5,FALSE),82)</f>
        <v>73.02464285714289</v>
      </c>
      <c r="E62" s="46">
        <f>(VLOOKUP($A62,'The List'!$B1:$AH730,17,FALSE)-AVERAGE('The List'!R2:R730))/STDEV('The List'!R2:R730)</f>
        <v>0.498764188076967</v>
      </c>
      <c r="F62" s="46">
        <f>(VLOOKUP($A62,'The List'!$B1:$AH730,18,FALSE)-AVERAGE('The List'!S2:S730))/STDEV('The List'!S2:S730)</f>
        <v>1.11897452850284</v>
      </c>
      <c r="G62" s="46">
        <f>(VLOOKUP($A62,'The List'!$B1:$AH730,19,FALSE)-AVERAGE('The List'!T2:T730))/STDEV('The List'!T2:T730)</f>
        <v>1.60603992675831</v>
      </c>
      <c r="H62" s="46">
        <f>(VLOOKUP($A62,'The List'!$B1:$AH730,20,FALSE)-AVERAGE('The List'!U2:U730))/STDEV('The List'!U2:U730)</f>
        <v>1.49925835785959</v>
      </c>
      <c r="I62" s="46">
        <f>(VLOOKUP($A62,'The List'!$B1:$AH730,21,FALSE)-AVERAGE('The List'!V2:V730))/STDEV('The List'!V2:V730)</f>
        <v>1.3303399730539</v>
      </c>
      <c r="J62" s="46">
        <f>(VLOOKUP($A62,'The List'!$B1:$AH730,22,FALSE)-AVERAGE('The List'!W2:W730))/STDEV('The List'!W2:W730)</f>
        <v>2.01897732812039</v>
      </c>
      <c r="K62" s="46">
        <f>(VLOOKUP($A62,'The List'!$B1:$AH730,23,FALSE)-AVERAGE('The List'!X2:X730))/STDEV('The List'!X2:X730)</f>
        <v>2.23820491873047</v>
      </c>
      <c r="L62" s="46">
        <f>(VLOOKUP($A62,'The List'!$B1:$AH730,24,FALSE)-AVERAGE('The List'!Y2:Y730))/STDEV('The List'!Y2:Y730)</f>
        <v>-0.531698136498907</v>
      </c>
      <c r="M62" s="46">
        <f>(VLOOKUP($A62,'The List'!$B1:$AH730,25,FALSE)-AVERAGE('The List'!Z2:Z730))/STDEV('The List'!Z2:Z730)</f>
        <v>-0.708995518556418</v>
      </c>
      <c r="N62" s="46">
        <f>(VLOOKUP($A62,'The List'!$B1:$AH730,26,FALSE)-AVERAGE('The List'!AA2:AA730))/STDEV('The List'!AA2:AA730)</f>
        <v>-0.741264511210083</v>
      </c>
      <c r="O62" s="46">
        <f>(VLOOKUP($A62,'The List'!$B1:$AH730,27,FALSE)-AVERAGE('The List'!AB2:AB730))/STDEV('The List'!AB2:AB730)</f>
        <v>-0.9016689306237921</v>
      </c>
      <c r="P62" s="46">
        <f>(VLOOKUP($A62,'The List'!$B1:$AH730,28,FALSE)-AVERAGE('The List'!AC2:AC730))/STDEV('The List'!AC2:AC730)</f>
        <v>0.602063912858173</v>
      </c>
      <c r="Q62" s="46">
        <f>(VLOOKUP($A62,'The List'!$B1:$AH730,29,FALSE)-AVERAGE('The List'!AD2:AD730))/STDEV('The List'!AD2:AD730)</f>
        <v>1.03945945559517</v>
      </c>
      <c r="R62" s="46">
        <f>(VLOOKUP($A62,'The List'!$B1:$AH730,30,FALSE)-AVERAGE('The List'!AE2:AE730))/STDEV('The List'!AE2:AE730)</f>
        <v>1.33754117973998</v>
      </c>
      <c r="S62" s="46">
        <f>(VLOOKUP($A62,'The List'!$B1:$AH730,31,FALSE)-AVERAGE('The List'!AF2:AF730))/STDEV('The List'!AF2:AF730)</f>
        <v>1.17860475265725</v>
      </c>
      <c r="T62" s="46">
        <f>(VLOOKUP($A62,'The List'!$B1:$AH730,32,FALSE)-AVERAGE('The List'!AG2:AG730))/STDEV('The List'!AG2:AG730)</f>
        <v>1.46318138887811</v>
      </c>
      <c r="U62" s="46">
        <f>(VLOOKUP($A62,'The List'!$B1:$AH730,33,FALSE)-AVERAGE('The List'!AH2:AH730))/STDEV('The List'!AH2:AH730)</f>
        <v>0.883276056617168</v>
      </c>
      <c r="V62" s="46"/>
      <c r="W62" s="50"/>
      <c r="X62" s="48"/>
      <c r="Y62" s="48"/>
      <c r="Z62" s="48"/>
      <c r="AA62" s="48"/>
      <c r="AB62" s="48"/>
      <c r="AC62" s="51"/>
      <c r="AD62" s="52"/>
      <c r="AE62" s="46"/>
    </row>
    <row r="63" ht="21.25" customHeight="1">
      <c r="A63" t="s" s="8">
        <v>226</v>
      </c>
      <c r="B63" t="s" s="42">
        <f>VLOOKUP(A63,'Player Data'!A1:B734,2,FALSE)</f>
        <v>119</v>
      </c>
      <c r="C63" s="44">
        <f>((E63)*'Settings'!$C$12)+(F63*'Settings'!$C$2)+(G63*'Settings'!$C$3)+(H63*'Settings'!$C$4)+(I63*'Settings'!$C$5)+(K63*'Settings'!$C$9)+(N63*'Settings'!$C$6)+(J63*'Settings'!$C$8)+(O63*'Settings'!$C$7)+(P63*'Settings'!$C$14)+(Q63*'Settings'!$C$15)+(R63*'Settings'!$C$16)+(S63*'Settings'!$C$17)+(T63*'Settings'!$C$18)+(U63*'Settings'!$C$19)+(L63*'Settings'!$C$10)+('Settings'!$C$11*M63)</f>
        <v>7.10854151458907</v>
      </c>
      <c r="D63" s="48">
        <f>IF('Settings'!$E$12="YES",VLOOKUP(A63,'Player Data'!A1:E734,5,FALSE),82)</f>
        <v>79.3989285714286</v>
      </c>
      <c r="E63" s="46">
        <f>(VLOOKUP($A63,'The List'!$B1:$AH730,17,FALSE)-AVERAGE('The List'!R2:R730))/STDEV('The List'!R2:R730)</f>
        <v>0.484777560229754</v>
      </c>
      <c r="F63" s="46">
        <f>(VLOOKUP($A63,'The List'!$B1:$AH730,18,FALSE)-AVERAGE('The List'!S2:S730))/STDEV('The List'!S2:S730)</f>
        <v>2.25816193878291</v>
      </c>
      <c r="G63" s="46">
        <f>(VLOOKUP($A63,'The List'!$B1:$AH730,19,FALSE)-AVERAGE('The List'!T2:T730))/STDEV('The List'!T2:T730)</f>
        <v>0.922613001707925</v>
      </c>
      <c r="H63" s="46">
        <f>(VLOOKUP($A63,'The List'!$B1:$AH730,20,FALSE)-AVERAGE('The List'!U2:U730))/STDEV('The List'!U2:U730)</f>
        <v>1.59628776018671</v>
      </c>
      <c r="I63" s="46">
        <f>(VLOOKUP($A63,'The List'!$B1:$AH730,21,FALSE)-AVERAGE('The List'!V2:V730))/STDEV('The List'!V2:V730)</f>
        <v>2.19041348667708</v>
      </c>
      <c r="J63" s="46">
        <f>(VLOOKUP($A63,'The List'!$B1:$AH730,22,FALSE)-AVERAGE('The List'!W2:W730))/STDEV('The List'!W2:W730)</f>
        <v>1.21874916397192</v>
      </c>
      <c r="K63" s="46">
        <f>(VLOOKUP($A63,'The List'!$B1:$AH730,23,FALSE)-AVERAGE('The List'!X2:X730))/STDEV('The List'!X2:X730)</f>
        <v>0.750568973796404</v>
      </c>
      <c r="L63" s="46">
        <f>(VLOOKUP($A63,'The List'!$B1:$AH730,24,FALSE)-AVERAGE('The List'!Y2:Y730))/STDEV('The List'!Y2:Y730)</f>
        <v>-0.5100638398327449</v>
      </c>
      <c r="M63" s="46">
        <f>(VLOOKUP($A63,'The List'!$B1:$AH730,25,FALSE)-AVERAGE('The List'!Z2:Z730))/STDEV('The List'!Z2:Z730)</f>
        <v>-0.695296811155743</v>
      </c>
      <c r="N63" s="46">
        <f>(VLOOKUP($A63,'The List'!$B1:$AH730,26,FALSE)-AVERAGE('The List'!AA2:AA730))/STDEV('The List'!AA2:AA730)</f>
        <v>-0.766354304050719</v>
      </c>
      <c r="O63" s="46">
        <f>(VLOOKUP($A63,'The List'!$B1:$AH730,27,FALSE)-AVERAGE('The List'!AB2:AB730))/STDEV('The List'!AB2:AB730)</f>
        <v>-1.0655361319308</v>
      </c>
      <c r="P63" s="46">
        <f>(VLOOKUP($A63,'The List'!$B1:$AH730,28,FALSE)-AVERAGE('The List'!AC2:AC730))/STDEV('The List'!AC2:AC730)</f>
        <v>1.75313841767547</v>
      </c>
      <c r="Q63" s="46">
        <f>(VLOOKUP($A63,'The List'!$B1:$AH730,29,FALSE)-AVERAGE('The List'!AD2:AD730))/STDEV('The List'!AD2:AD730)</f>
        <v>1.28060825897788</v>
      </c>
      <c r="R63" s="46">
        <f>(VLOOKUP($A63,'The List'!$B1:$AH730,30,FALSE)-AVERAGE('The List'!AE2:AE730))/STDEV('The List'!AE2:AE730)</f>
        <v>2.13276638151612</v>
      </c>
      <c r="S63" s="46">
        <f>(VLOOKUP($A63,'The List'!$B1:$AH730,31,FALSE)-AVERAGE('The List'!AF2:AF730))/STDEV('The List'!AF2:AF730)</f>
        <v>-0.43539962026887</v>
      </c>
      <c r="T63" s="46">
        <f>(VLOOKUP($A63,'The List'!$B1:$AH730,32,FALSE)-AVERAGE('The List'!AG2:AG730))/STDEV('The List'!AG2:AG730)</f>
        <v>-0.494080155747515</v>
      </c>
      <c r="U63" s="46">
        <f>(VLOOKUP($A63,'The List'!$B1:$AH730,33,FALSE)-AVERAGE('The List'!AH2:AH730))/STDEV('The List'!AH2:AH730)</f>
        <v>1.22421594002035</v>
      </c>
      <c r="V63" s="46"/>
      <c r="W63" s="48"/>
      <c r="X63" s="48"/>
      <c r="Y63" s="48"/>
      <c r="Z63" s="48"/>
      <c r="AA63" s="48"/>
      <c r="AB63" s="48"/>
      <c r="AC63" s="51"/>
      <c r="AD63" s="52"/>
      <c r="AE63" s="46"/>
    </row>
    <row r="64" ht="21.25" customHeight="1">
      <c r="A64" t="s" s="8">
        <v>233</v>
      </c>
      <c r="B64" t="s" s="42">
        <f>VLOOKUP(A64,'Player Data'!A1:B734,2,FALSE)</f>
        <v>234</v>
      </c>
      <c r="C64" s="44">
        <f>((E64)*'Settings'!$C$12)+(F64*'Settings'!$C$2)+(G64*'Settings'!$C$3)+(H64*'Settings'!$C$4)+(I64*'Settings'!$C$5)+(K64*'Settings'!$C$9)+(N64*'Settings'!$C$6)+(J64*'Settings'!$C$8)+(O64*'Settings'!$C$7)+(P64*'Settings'!$C$14)+(Q64*'Settings'!$C$15)+(R64*'Settings'!$C$16)+(S64*'Settings'!$C$17)+(T64*'Settings'!$C$18)+(U64*'Settings'!$C$19)+(L64*'Settings'!$C$10)+('Settings'!$C$11*M64)</f>
        <v>2.79390252567511</v>
      </c>
      <c r="D64" s="48">
        <f>IF('Settings'!$E$12="YES",VLOOKUP(A64,'Player Data'!A1:E734,5,FALSE),82)</f>
        <v>81.29000000000001</v>
      </c>
      <c r="E64" s="46">
        <f>(VLOOKUP($A64,'The List'!$B1:$AH730,17,FALSE)-AVERAGE('The List'!R2:R730))/STDEV('The List'!R2:R730)</f>
        <v>0.746775539420646</v>
      </c>
      <c r="F64" s="46">
        <f>(VLOOKUP($A64,'The List'!$B1:$AH730,18,FALSE)-AVERAGE('The List'!S2:S730))/STDEV('The List'!S2:S730)</f>
        <v>1.46277540639056</v>
      </c>
      <c r="G64" s="46">
        <f>(VLOOKUP($A64,'The List'!$B1:$AH730,19,FALSE)-AVERAGE('The List'!T2:T730))/STDEV('The List'!T2:T730)</f>
        <v>1.88717962169074</v>
      </c>
      <c r="H64" s="46">
        <f>(VLOOKUP($A64,'The List'!$B1:$AH730,20,FALSE)-AVERAGE('The List'!U2:U730))/STDEV('The List'!U2:U730)</f>
        <v>1.82901357918157</v>
      </c>
      <c r="I64" s="46">
        <f>(VLOOKUP($A64,'The List'!$B1:$AH730,21,FALSE)-AVERAGE('The List'!V2:V730))/STDEV('The List'!V2:V730)</f>
        <v>1.20966550311679</v>
      </c>
      <c r="J64" s="46">
        <f>(VLOOKUP($A64,'The List'!$B1:$AH730,22,FALSE)-AVERAGE('The List'!W2:W730))/STDEV('The List'!W2:W730)</f>
        <v>1.3031980075879</v>
      </c>
      <c r="K64" s="46">
        <f>(VLOOKUP($A64,'The List'!$B1:$AH730,23,FALSE)-AVERAGE('The List'!X2:X730))/STDEV('The List'!X2:X730)</f>
        <v>1.46459491357071</v>
      </c>
      <c r="L64" s="46">
        <f>(VLOOKUP($A64,'The List'!$B1:$AH730,24,FALSE)-AVERAGE('The List'!Y2:Y730))/STDEV('The List'!Y2:Y730)</f>
        <v>-0.497563546575078</v>
      </c>
      <c r="M64" s="46">
        <f>(VLOOKUP($A64,'The List'!$B1:$AH730,25,FALSE)-AVERAGE('The List'!Z2:Z730))/STDEV('The List'!Z2:Z730)</f>
        <v>-0.671665507048028</v>
      </c>
      <c r="N64" s="46">
        <f>(VLOOKUP($A64,'The List'!$B1:$AH730,26,FALSE)-AVERAGE('The List'!AA2:AA730))/STDEV('The List'!AA2:AA730)</f>
        <v>-0.7276930832633181</v>
      </c>
      <c r="O64" s="46">
        <f>(VLOOKUP($A64,'The List'!$B1:$AH730,27,FALSE)-AVERAGE('The List'!AB2:AB730))/STDEV('The List'!AB2:AB730)</f>
        <v>-0.773993477179688</v>
      </c>
      <c r="P64" s="46">
        <f>(VLOOKUP($A64,'The List'!$B1:$AH730,28,FALSE)-AVERAGE('The List'!AC2:AC730))/STDEV('The List'!AC2:AC730)</f>
        <v>-2.50261983583037</v>
      </c>
      <c r="Q64" s="46">
        <f>(VLOOKUP($A64,'The List'!$B1:$AH730,29,FALSE)-AVERAGE('The List'!AD2:AD730))/STDEV('The List'!AD2:AD730)</f>
        <v>1.45260765039555</v>
      </c>
      <c r="R64" s="46">
        <f>(VLOOKUP($A64,'The List'!$B1:$AH730,30,FALSE)-AVERAGE('The List'!AE2:AE730))/STDEV('The List'!AE2:AE730)</f>
        <v>0.536136671550613</v>
      </c>
      <c r="S64" s="46">
        <f>(VLOOKUP($A64,'The List'!$B1:$AH730,31,FALSE)-AVERAGE('The List'!AF2:AF730))/STDEV('The List'!AF2:AF730)</f>
        <v>0.633542647598631</v>
      </c>
      <c r="T64" s="46">
        <f>(VLOOKUP($A64,'The List'!$B1:$AH730,32,FALSE)-AVERAGE('The List'!AG2:AG730))/STDEV('The List'!AG2:AG730)</f>
        <v>1.19915059988144</v>
      </c>
      <c r="U64" s="46">
        <f>(VLOOKUP($A64,'The List'!$B1:$AH730,33,FALSE)-AVERAGE('The List'!AH2:AH730))/STDEV('The List'!AH2:AH730)</f>
        <v>0.616451935103343</v>
      </c>
      <c r="V64" s="46"/>
      <c r="W64" s="50"/>
      <c r="X64" s="48"/>
      <c r="Y64" s="48"/>
      <c r="Z64" s="48"/>
      <c r="AA64" s="48"/>
      <c r="AB64" s="48"/>
      <c r="AC64" s="51"/>
      <c r="AD64" s="52"/>
      <c r="AE64" s="46"/>
    </row>
    <row r="65" ht="21.25" customHeight="1">
      <c r="A65" t="s" s="8">
        <v>240</v>
      </c>
      <c r="B65" t="s" s="42">
        <f>VLOOKUP(A65,'Player Data'!A1:B734,2,FALSE)</f>
        <v>149</v>
      </c>
      <c r="C65" s="44">
        <f>((E65)*'Settings'!$C$12)+(F65*'Settings'!$C$2)+(G65*'Settings'!$C$3)+(H65*'Settings'!$C$4)+(I65*'Settings'!$C$5)+(K65*'Settings'!$C$9)+(N65*'Settings'!$C$6)+(J65*'Settings'!$C$8)+(O65*'Settings'!$C$7)+(P65*'Settings'!$C$14)+(Q65*'Settings'!$C$15)+(R65*'Settings'!$C$16)+(S65*'Settings'!$C$17)+(T65*'Settings'!$C$18)+(U65*'Settings'!$C$19)+(L65*'Settings'!$C$10)+('Settings'!$C$11*M65)</f>
        <v>5.63464338047043</v>
      </c>
      <c r="D65" s="48">
        <f>IF('Settings'!$E$12="YES",VLOOKUP(A65,'Player Data'!A1:E734,5,FALSE),82)</f>
        <v>76.3860714285714</v>
      </c>
      <c r="E65" s="46">
        <f>(VLOOKUP($A65,'The List'!$B1:$AH730,17,FALSE)-AVERAGE('The List'!R2:R730))/STDEV('The List'!R2:R730)</f>
        <v>0.609687966012503</v>
      </c>
      <c r="F65" s="46">
        <f>(VLOOKUP($A65,'The List'!$B1:$AH730,18,FALSE)-AVERAGE('The List'!S2:S730))/STDEV('The List'!S2:S730)</f>
        <v>0.796143245869509</v>
      </c>
      <c r="G65" s="46">
        <f>(VLOOKUP($A65,'The List'!$B1:$AH730,19,FALSE)-AVERAGE('The List'!T2:T730))/STDEV('The List'!T2:T730)</f>
        <v>2.01245948614509</v>
      </c>
      <c r="H65" s="46">
        <f>(VLOOKUP($A65,'The List'!$B1:$AH730,20,FALSE)-AVERAGE('The List'!U2:U730))/STDEV('The List'!U2:U730)</f>
        <v>1.60291596616849</v>
      </c>
      <c r="I65" s="46">
        <f>(VLOOKUP($A65,'The List'!$B1:$AH730,21,FALSE)-AVERAGE('The List'!V2:V730))/STDEV('The List'!V2:V730)</f>
        <v>0.994706307128208</v>
      </c>
      <c r="J65" s="46">
        <f>(VLOOKUP($A65,'The List'!$B1:$AH730,22,FALSE)-AVERAGE('The List'!W2:W730))/STDEV('The List'!W2:W730)</f>
        <v>0.371303011357328</v>
      </c>
      <c r="K65" s="46">
        <f>(VLOOKUP($A65,'The List'!$B1:$AH730,23,FALSE)-AVERAGE('The List'!X2:X730))/STDEV('The List'!X2:X730)</f>
        <v>1.74495344998521</v>
      </c>
      <c r="L65" s="46">
        <f>(VLOOKUP($A65,'The List'!$B1:$AH730,24,FALSE)-AVERAGE('The List'!Y2:Y730))/STDEV('The List'!Y2:Y730)</f>
        <v>-0.530467737746606</v>
      </c>
      <c r="M65" s="46">
        <f>(VLOOKUP($A65,'The List'!$B1:$AH730,25,FALSE)-AVERAGE('The List'!Z2:Z730))/STDEV('The List'!Z2:Z730)</f>
        <v>-0.707934555018463</v>
      </c>
      <c r="N65" s="46">
        <f>(VLOOKUP($A65,'The List'!$B1:$AH730,26,FALSE)-AVERAGE('The List'!AA2:AA730))/STDEV('The List'!AA2:AA730)</f>
        <v>-0.620784307551552</v>
      </c>
      <c r="O65" s="46">
        <f>(VLOOKUP($A65,'The List'!$B1:$AH730,27,FALSE)-AVERAGE('The List'!AB2:AB730))/STDEV('The List'!AB2:AB730)</f>
        <v>-1.0997196813713</v>
      </c>
      <c r="P65" s="46">
        <f>(VLOOKUP($A65,'The List'!$B1:$AH730,28,FALSE)-AVERAGE('The List'!AC2:AC730))/STDEV('The List'!AC2:AC730)</f>
        <v>0.707165198893967</v>
      </c>
      <c r="Q65" s="46">
        <f>(VLOOKUP($A65,'The List'!$B1:$AH730,29,FALSE)-AVERAGE('The List'!AD2:AD730))/STDEV('The List'!AD2:AD730)</f>
        <v>0.0549540396538073</v>
      </c>
      <c r="R65" s="46">
        <f>(VLOOKUP($A65,'The List'!$B1:$AH730,30,FALSE)-AVERAGE('The List'!AE2:AE730))/STDEV('The List'!AE2:AE730)</f>
        <v>0.91869622191917</v>
      </c>
      <c r="S65" s="46">
        <f>(VLOOKUP($A65,'The List'!$B1:$AH730,31,FALSE)-AVERAGE('The List'!AF2:AF730))/STDEV('The List'!AF2:AF730)</f>
        <v>0.318374676986823</v>
      </c>
      <c r="T65" s="46">
        <f>(VLOOKUP($A65,'The List'!$B1:$AH730,32,FALSE)-AVERAGE('The List'!AG2:AG730))/STDEV('The List'!AG2:AG730)</f>
        <v>0.69574211458249</v>
      </c>
      <c r="U65" s="46">
        <f>(VLOOKUP($A65,'The List'!$B1:$AH730,33,FALSE)-AVERAGE('The List'!AH2:AH730))/STDEV('The List'!AH2:AH730)</f>
        <v>0.638898711575504</v>
      </c>
      <c r="V65" s="46"/>
      <c r="W65" s="48"/>
      <c r="X65" s="46"/>
      <c r="Y65" s="46"/>
      <c r="Z65" s="46"/>
      <c r="AA65" s="46"/>
      <c r="AB65" s="46"/>
      <c r="AC65" s="46"/>
      <c r="AD65" s="46"/>
      <c r="AE65" s="46"/>
    </row>
    <row r="66" ht="21.25" customHeight="1">
      <c r="A66" t="s" s="8">
        <v>255</v>
      </c>
      <c r="B66" t="s" s="42">
        <f>VLOOKUP(A66,'Player Data'!A1:B734,2,FALSE)</f>
        <v>134</v>
      </c>
      <c r="C66" s="44">
        <f>((E66)*'Settings'!$C$12)+(F66*'Settings'!$C$2)+(G66*'Settings'!$C$3)+(H66*'Settings'!$C$4)+(I66*'Settings'!$C$5)+(K66*'Settings'!$C$9)+(N66*'Settings'!$C$6)+(J66*'Settings'!$C$8)+(O66*'Settings'!$C$7)+(P66*'Settings'!$C$14)+(Q66*'Settings'!$C$15)+(R66*'Settings'!$C$16)+(S66*'Settings'!$C$17)+(T66*'Settings'!$C$18)+(U66*'Settings'!$C$19)+(L66*'Settings'!$C$10)+('Settings'!$C$11*M66)</f>
        <v>5.26715207091269</v>
      </c>
      <c r="D66" s="48">
        <f>IF('Settings'!$E$12="YES",VLOOKUP(A66,'Player Data'!A1:E734,5,FALSE),82)</f>
        <v>78.2</v>
      </c>
      <c r="E66" s="46">
        <f>(VLOOKUP($A66,'The List'!$B1:$AH730,17,FALSE)-AVERAGE('The List'!R2:R730))/STDEV('The List'!R2:R730)</f>
        <v>0.668396538725172</v>
      </c>
      <c r="F66" s="46">
        <f>(VLOOKUP($A66,'The List'!$B1:$AH730,18,FALSE)-AVERAGE('The List'!S2:S730))/STDEV('The List'!S2:S730)</f>
        <v>0.7759077884650289</v>
      </c>
      <c r="G66" s="46">
        <f>(VLOOKUP($A66,'The List'!$B1:$AH730,19,FALSE)-AVERAGE('The List'!T2:T730))/STDEV('The List'!T2:T730)</f>
        <v>1.63844245867014</v>
      </c>
      <c r="H66" s="46">
        <f>(VLOOKUP($A66,'The List'!$B1:$AH730,20,FALSE)-AVERAGE('The List'!U2:U730))/STDEV('The List'!U2:U730)</f>
        <v>1.36313184573434</v>
      </c>
      <c r="I66" s="46">
        <f>(VLOOKUP($A66,'The List'!$B1:$AH730,21,FALSE)-AVERAGE('The List'!V2:V730))/STDEV('The List'!V2:V730)</f>
        <v>0.856728053164987</v>
      </c>
      <c r="J66" s="46">
        <f>(VLOOKUP($A66,'The List'!$B1:$AH730,22,FALSE)-AVERAGE('The List'!W2:W730))/STDEV('The List'!W2:W730)</f>
        <v>1.34557157289076</v>
      </c>
      <c r="K66" s="46">
        <f>(VLOOKUP($A66,'The List'!$B1:$AH730,23,FALSE)-AVERAGE('The List'!X2:X730))/STDEV('The List'!X2:X730)</f>
        <v>1.93690850589829</v>
      </c>
      <c r="L66" s="46">
        <f>(VLOOKUP($A66,'The List'!$B1:$AH730,24,FALSE)-AVERAGE('The List'!Y2:Y730))/STDEV('The List'!Y2:Y730)</f>
        <v>-0.468027632736337</v>
      </c>
      <c r="M66" s="46">
        <f>(VLOOKUP($A66,'The List'!$B1:$AH730,25,FALSE)-AVERAGE('The List'!Z2:Z730))/STDEV('The List'!Z2:Z730)</f>
        <v>-0.635027480802454</v>
      </c>
      <c r="N66" s="46">
        <f>(VLOOKUP($A66,'The List'!$B1:$AH730,26,FALSE)-AVERAGE('The List'!AA2:AA730))/STDEV('The List'!AA2:AA730)</f>
        <v>-0.385115455895878</v>
      </c>
      <c r="O66" s="46">
        <f>(VLOOKUP($A66,'The List'!$B1:$AH730,27,FALSE)-AVERAGE('The List'!AB2:AB730))/STDEV('The List'!AB2:AB730)</f>
        <v>-0.907722523592967</v>
      </c>
      <c r="P66" s="46">
        <f>(VLOOKUP($A66,'The List'!$B1:$AH730,28,FALSE)-AVERAGE('The List'!AC2:AC730))/STDEV('The List'!AC2:AC730)</f>
        <v>0.444280720610122</v>
      </c>
      <c r="Q66" s="46">
        <f>(VLOOKUP($A66,'The List'!$B1:$AH730,29,FALSE)-AVERAGE('The List'!AD2:AD730))/STDEV('The List'!AD2:AD730)</f>
        <v>-0.333375929515251</v>
      </c>
      <c r="R66" s="46">
        <f>(VLOOKUP($A66,'The List'!$B1:$AH730,30,FALSE)-AVERAGE('The List'!AE2:AE730))/STDEV('The List'!AE2:AE730)</f>
        <v>0.979960370225186</v>
      </c>
      <c r="S66" s="46">
        <f>(VLOOKUP($A66,'The List'!$B1:$AH730,31,FALSE)-AVERAGE('The List'!AF2:AF730))/STDEV('The List'!AF2:AF730)</f>
        <v>-0.446135675306746</v>
      </c>
      <c r="T66" s="46">
        <f>(VLOOKUP($A66,'The List'!$B1:$AH730,32,FALSE)-AVERAGE('The List'!AG2:AG730))/STDEV('The List'!AG2:AG730)</f>
        <v>-0.415563552302848</v>
      </c>
      <c r="U66" s="46">
        <f>(VLOOKUP($A66,'The List'!$B1:$AH730,33,FALSE)-AVERAGE('The List'!AH2:AH730))/STDEV('The List'!AH2:AH730)</f>
        <v>0.507157046007421</v>
      </c>
      <c r="V66" s="46"/>
      <c r="W66" s="48"/>
      <c r="X66" s="48"/>
      <c r="Y66" s="48"/>
      <c r="Z66" s="48"/>
      <c r="AA66" s="48"/>
      <c r="AB66" s="48"/>
      <c r="AC66" s="51"/>
      <c r="AD66" s="52"/>
      <c r="AE66" s="46"/>
    </row>
    <row r="67" ht="21.25" customHeight="1">
      <c r="A67" t="s" s="8">
        <v>176</v>
      </c>
      <c r="B67" t="s" s="42">
        <f>VLOOKUP(A67,'Player Data'!A1:B734,2,FALSE)</f>
        <v>127</v>
      </c>
      <c r="C67" s="44">
        <f>((E67)*'Settings'!$C$12)+(F67*'Settings'!$C$2)+(G67*'Settings'!$C$3)+(H67*'Settings'!$C$4)+(I67*'Settings'!$C$5)+(K67*'Settings'!$C$9)+(N67*'Settings'!$C$6)+(J67*'Settings'!$C$8)+(O67*'Settings'!$C$7)+(P67*'Settings'!$C$14)+(Q67*'Settings'!$C$15)+(R67*'Settings'!$C$16)+(S67*'Settings'!$C$17)+(T67*'Settings'!$C$18)+(U67*'Settings'!$C$19)+(L67*'Settings'!$C$10)+('Settings'!$C$11*M67)</f>
        <v>8.04425479570744</v>
      </c>
      <c r="D67" s="48">
        <f>IF('Settings'!$E$12="YES",VLOOKUP(A67,'Player Data'!A1:E734,5,FALSE),82)</f>
        <v>80.48999999999999</v>
      </c>
      <c r="E67" s="46">
        <f>(VLOOKUP($A67,'The List'!$B1:$AH730,17,FALSE)-AVERAGE('The List'!R2:R730))/STDEV('The List'!R2:R730)</f>
        <v>0.556943968290539</v>
      </c>
      <c r="F67" s="46">
        <f>(VLOOKUP($A67,'The List'!$B1:$AH730,18,FALSE)-AVERAGE('The List'!S2:S730))/STDEV('The List'!S2:S730)</f>
        <v>2.37633882703761</v>
      </c>
      <c r="G67" s="46">
        <f>(VLOOKUP($A67,'The List'!$B1:$AH730,19,FALSE)-AVERAGE('The List'!T2:T730))/STDEV('The List'!T2:T730)</f>
        <v>0.850017699115108</v>
      </c>
      <c r="H67" s="46">
        <f>(VLOOKUP($A67,'The List'!$B1:$AH730,20,FALSE)-AVERAGE('The List'!U2:U730))/STDEV('The List'!U2:U730)</f>
        <v>1.6053065645835</v>
      </c>
      <c r="I67" s="46">
        <f>(VLOOKUP($A67,'The List'!$B1:$AH730,21,FALSE)-AVERAGE('The List'!V2:V730))/STDEV('The List'!V2:V730)</f>
        <v>3.04310996571905</v>
      </c>
      <c r="J67" s="46">
        <f>(VLOOKUP($A67,'The List'!$B1:$AH730,22,FALSE)-AVERAGE('The List'!W2:W730))/STDEV('The List'!W2:W730)</f>
        <v>3.48059846342116</v>
      </c>
      <c r="K67" s="46">
        <f>(VLOOKUP($A67,'The List'!$B1:$AH730,23,FALSE)-AVERAGE('The List'!X2:X730))/STDEV('The List'!X2:X730)</f>
        <v>1.76381855847247</v>
      </c>
      <c r="L67" s="46">
        <f>(VLOOKUP($A67,'The List'!$B1:$AH730,24,FALSE)-AVERAGE('The List'!Y2:Y730))/STDEV('The List'!Y2:Y730)</f>
        <v>-0.459929184740772</v>
      </c>
      <c r="M67" s="46">
        <f>(VLOOKUP($A67,'The List'!$B1:$AH730,25,FALSE)-AVERAGE('The List'!Z2:Z730))/STDEV('The List'!Z2:Z730)</f>
        <v>-0.628882492023223</v>
      </c>
      <c r="N67" s="46">
        <f>(VLOOKUP($A67,'The List'!$B1:$AH730,26,FALSE)-AVERAGE('The List'!AA2:AA730))/STDEV('The List'!AA2:AA730)</f>
        <v>-0.438990397387172</v>
      </c>
      <c r="O67" s="46">
        <f>(VLOOKUP($A67,'The List'!$B1:$AH730,27,FALSE)-AVERAGE('The List'!AB2:AB730))/STDEV('The List'!AB2:AB730)</f>
        <v>1.10987531500539</v>
      </c>
      <c r="P67" s="46">
        <f>(VLOOKUP($A67,'The List'!$B1:$AH730,28,FALSE)-AVERAGE('The List'!AC2:AC730))/STDEV('The List'!AC2:AC730)</f>
        <v>0.44996014275037</v>
      </c>
      <c r="Q67" s="46">
        <f>(VLOOKUP($A67,'The List'!$B1:$AH730,29,FALSE)-AVERAGE('The List'!AD2:AD730))/STDEV('The List'!AD2:AD730)</f>
        <v>1.01313158069196</v>
      </c>
      <c r="R67" s="46">
        <f>(VLOOKUP($A67,'The List'!$B1:$AH730,30,FALSE)-AVERAGE('The List'!AE2:AE730))/STDEV('The List'!AE2:AE730)</f>
        <v>2.32732087186595</v>
      </c>
      <c r="S67" s="46">
        <f>(VLOOKUP($A67,'The List'!$B1:$AH730,31,FALSE)-AVERAGE('The List'!AF2:AF730))/STDEV('The List'!AF2:AF730)</f>
        <v>-0.454356323016655</v>
      </c>
      <c r="T67" s="46">
        <f>(VLOOKUP($A67,'The List'!$B1:$AH730,32,FALSE)-AVERAGE('The List'!AG2:AG730))/STDEV('The List'!AG2:AG730)</f>
        <v>-0.431405794599956</v>
      </c>
      <c r="U67" s="46">
        <f>(VLOOKUP($A67,'The List'!$B1:$AH730,33,FALSE)-AVERAGE('The List'!AH2:AH730))/STDEV('The List'!AH2:AH730)</f>
        <v>0.520303868001457</v>
      </c>
      <c r="V67" s="46"/>
      <c r="W67" s="48"/>
      <c r="X67" s="46"/>
      <c r="Y67" s="46"/>
      <c r="Z67" s="46"/>
      <c r="AA67" s="46"/>
      <c r="AB67" s="46"/>
      <c r="AC67" s="46"/>
      <c r="AD67" s="46"/>
      <c r="AE67" s="46"/>
    </row>
    <row r="68" ht="21.25" customHeight="1">
      <c r="A68" t="s" s="8">
        <v>232</v>
      </c>
      <c r="B68" t="s" s="42">
        <f>VLOOKUP(A68,'Player Data'!A1:B734,2,FALSE)</f>
        <v>119</v>
      </c>
      <c r="C68" s="44">
        <f>((E68)*'Settings'!$C$12)+(F68*'Settings'!$C$2)+(G68*'Settings'!$C$3)+(H68*'Settings'!$C$4)+(I68*'Settings'!$C$5)+(K68*'Settings'!$C$9)+(N68*'Settings'!$C$6)+(J68*'Settings'!$C$8)+(O68*'Settings'!$C$7)+(P68*'Settings'!$C$14)+(Q68*'Settings'!$C$15)+(R68*'Settings'!$C$16)+(S68*'Settings'!$C$17)+(T68*'Settings'!$C$18)+(U68*'Settings'!$C$19)+(L68*'Settings'!$C$10)+('Settings'!$C$11*M68)</f>
        <v>6.39061856439438</v>
      </c>
      <c r="D68" s="48">
        <f>IF('Settings'!$E$12="YES",VLOOKUP(A68,'Player Data'!A1:E734,5,FALSE),82)</f>
        <v>81.1871428571429</v>
      </c>
      <c r="E68" s="46">
        <f>(VLOOKUP($A68,'The List'!$B1:$AH730,17,FALSE)-AVERAGE('The List'!R2:R730))/STDEV('The List'!R2:R730)</f>
        <v>0.802584533909909</v>
      </c>
      <c r="F68" s="46">
        <f>(VLOOKUP($A68,'The List'!$B1:$AH730,18,FALSE)-AVERAGE('The List'!S2:S730))/STDEV('The List'!S2:S730)</f>
        <v>1.71794076349329</v>
      </c>
      <c r="G68" s="46">
        <f>(VLOOKUP($A68,'The List'!$B1:$AH730,19,FALSE)-AVERAGE('The List'!T2:T730))/STDEV('The List'!T2:T730)</f>
        <v>1.1069703601485</v>
      </c>
      <c r="H68" s="46">
        <f>(VLOOKUP($A68,'The List'!$B1:$AH730,20,FALSE)-AVERAGE('The List'!U2:U730))/STDEV('The List'!U2:U730)</f>
        <v>1.46413017926153</v>
      </c>
      <c r="I68" s="46">
        <f>(VLOOKUP($A68,'The List'!$B1:$AH730,21,FALSE)-AVERAGE('The List'!V2:V730))/STDEV('The List'!V2:V730)</f>
        <v>1.29818801964361</v>
      </c>
      <c r="J68" s="46">
        <f>(VLOOKUP($A68,'The List'!$B1:$AH730,22,FALSE)-AVERAGE('The List'!W2:W730))/STDEV('The List'!W2:W730)</f>
        <v>2.91751925222754</v>
      </c>
      <c r="K68" s="46">
        <f>(VLOOKUP($A68,'The List'!$B1:$AH730,23,FALSE)-AVERAGE('The List'!X2:X730))/STDEV('The List'!X2:X730)</f>
        <v>1.85586850268076</v>
      </c>
      <c r="L68" s="46">
        <f>(VLOOKUP($A68,'The List'!$B1:$AH730,24,FALSE)-AVERAGE('The List'!Y2:Y730))/STDEV('The List'!Y2:Y730)</f>
        <v>-0.310272135722383</v>
      </c>
      <c r="M68" s="46">
        <f>(VLOOKUP($A68,'The List'!$B1:$AH730,25,FALSE)-AVERAGE('The List'!Z2:Z730))/STDEV('The List'!Z2:Z730)</f>
        <v>2.34106386254059</v>
      </c>
      <c r="N68" s="46">
        <f>(VLOOKUP($A68,'The List'!$B1:$AH730,26,FALSE)-AVERAGE('The List'!AA2:AA730))/STDEV('The List'!AA2:AA730)</f>
        <v>-0.374792359627914</v>
      </c>
      <c r="O68" s="46">
        <f>(VLOOKUP($A68,'The List'!$B1:$AH730,27,FALSE)-AVERAGE('The List'!AB2:AB730))/STDEV('The List'!AB2:AB730)</f>
        <v>-0.698347177556242</v>
      </c>
      <c r="P68" s="46">
        <f>(VLOOKUP($A68,'The List'!$B1:$AH730,28,FALSE)-AVERAGE('The List'!AC2:AC730))/STDEV('The List'!AC2:AC730)</f>
        <v>0.786443278056135</v>
      </c>
      <c r="Q68" s="46">
        <f>(VLOOKUP($A68,'The List'!$B1:$AH730,29,FALSE)-AVERAGE('The List'!AD2:AD730))/STDEV('The List'!AD2:AD730)</f>
        <v>-0.988080021882399</v>
      </c>
      <c r="R68" s="46">
        <f>(VLOOKUP($A68,'The List'!$B1:$AH730,30,FALSE)-AVERAGE('The List'!AE2:AE730))/STDEV('The List'!AE2:AE730)</f>
        <v>1.62849113609681</v>
      </c>
      <c r="S68" s="46">
        <f>(VLOOKUP($A68,'The List'!$B1:$AH730,31,FALSE)-AVERAGE('The List'!AF2:AF730))/STDEV('The List'!AF2:AF730)</f>
        <v>0.515913369139002</v>
      </c>
      <c r="T68" s="46">
        <f>(VLOOKUP($A68,'The List'!$B1:$AH730,32,FALSE)-AVERAGE('The List'!AG2:AG730))/STDEV('The List'!AG2:AG730)</f>
        <v>0.573877825076833</v>
      </c>
      <c r="U68" s="46">
        <f>(VLOOKUP($A68,'The List'!$B1:$AH730,33,FALSE)-AVERAGE('The List'!AH2:AH730))/STDEV('The List'!AH2:AH730)</f>
        <v>0.976382539655249</v>
      </c>
      <c r="V68" s="46"/>
      <c r="W68" s="50"/>
      <c r="X68" s="48"/>
      <c r="Y68" s="48"/>
      <c r="Z68" s="48"/>
      <c r="AA68" s="48"/>
      <c r="AB68" s="48"/>
      <c r="AC68" s="51"/>
      <c r="AD68" s="52"/>
      <c r="AE68" s="46"/>
    </row>
    <row r="69" ht="21.25" customHeight="1">
      <c r="A69" t="s" s="8">
        <v>273</v>
      </c>
      <c r="B69" t="s" s="42">
        <f>VLOOKUP(A69,'Player Data'!A1:B734,2,FALSE)</f>
        <v>164</v>
      </c>
      <c r="C69" s="44">
        <f>((E69)*'Settings'!$C$12)+(F69*'Settings'!$C$2)+(G69*'Settings'!$C$3)+(H69*'Settings'!$C$4)+(I69*'Settings'!$C$5)+(K69*'Settings'!$C$9)+(N69*'Settings'!$C$6)+(J69*'Settings'!$C$8)+(O69*'Settings'!$C$7)+(P69*'Settings'!$C$14)+(Q69*'Settings'!$C$15)+(R69*'Settings'!$C$16)+(S69*'Settings'!$C$17)+(T69*'Settings'!$C$18)+(U69*'Settings'!$C$19)+(L69*'Settings'!$C$10)+('Settings'!$C$11*M69)</f>
        <v>5.08469635369281</v>
      </c>
      <c r="D69" s="48">
        <f>IF('Settings'!$E$12="YES",VLOOKUP(A69,'Player Data'!A1:E734,5,FALSE),82)</f>
        <v>71.3946428571429</v>
      </c>
      <c r="E69" s="46">
        <f>(VLOOKUP($A69,'The List'!$B1:$AH730,17,FALSE)-AVERAGE('The List'!R2:R730))/STDEV('The List'!R2:R730)</f>
        <v>0.0899245864304194</v>
      </c>
      <c r="F69" s="46">
        <f>(VLOOKUP($A69,'The List'!$B1:$AH730,18,FALSE)-AVERAGE('The List'!S2:S730))/STDEV('The List'!S2:S730)</f>
        <v>1.23735631390148</v>
      </c>
      <c r="G69" s="46">
        <f>(VLOOKUP($A69,'The List'!$B1:$AH730,19,FALSE)-AVERAGE('The List'!T2:T730))/STDEV('The List'!T2:T730)</f>
        <v>1.07317848767532</v>
      </c>
      <c r="H69" s="46">
        <f>(VLOOKUP($A69,'The List'!$B1:$AH730,20,FALSE)-AVERAGE('The List'!U2:U730))/STDEV('The List'!U2:U730)</f>
        <v>1.22462237101001</v>
      </c>
      <c r="I69" s="46">
        <f>(VLOOKUP($A69,'The List'!$B1:$AH730,21,FALSE)-AVERAGE('The List'!V2:V730))/STDEV('The List'!V2:V730)</f>
        <v>1.59955768227189</v>
      </c>
      <c r="J69" s="46">
        <f>(VLOOKUP($A69,'The List'!$B1:$AH730,22,FALSE)-AVERAGE('The List'!W2:W730))/STDEV('The List'!W2:W730)</f>
        <v>1.11775069499047</v>
      </c>
      <c r="K69" s="46">
        <f>(VLOOKUP($A69,'The List'!$B1:$AH730,23,FALSE)-AVERAGE('The List'!X2:X730))/STDEV('The List'!X2:X730)</f>
        <v>1.2156080087418</v>
      </c>
      <c r="L69" s="46">
        <f>(VLOOKUP($A69,'The List'!$B1:$AH730,24,FALSE)-AVERAGE('The List'!Y2:Y730))/STDEV('The List'!Y2:Y730)</f>
        <v>-0.542843480388394</v>
      </c>
      <c r="M69" s="46">
        <f>(VLOOKUP($A69,'The List'!$B1:$AH730,25,FALSE)-AVERAGE('The List'!Z2:Z730))/STDEV('The List'!Z2:Z730)</f>
        <v>-0.72177514995105</v>
      </c>
      <c r="N69" s="46">
        <f>(VLOOKUP($A69,'The List'!$B1:$AH730,26,FALSE)-AVERAGE('The List'!AA2:AA730))/STDEV('The List'!AA2:AA730)</f>
        <v>-0.941074514230229</v>
      </c>
      <c r="O69" s="46">
        <f>(VLOOKUP($A69,'The List'!$B1:$AH730,27,FALSE)-AVERAGE('The List'!AB2:AB730))/STDEV('The List'!AB2:AB730)</f>
        <v>-0.838247504535889</v>
      </c>
      <c r="P69" s="46">
        <f>(VLOOKUP($A69,'The List'!$B1:$AH730,28,FALSE)-AVERAGE('The List'!AC2:AC730))/STDEV('The List'!AC2:AC730)</f>
        <v>0.900070375332544</v>
      </c>
      <c r="Q69" s="46">
        <f>(VLOOKUP($A69,'The List'!$B1:$AH730,29,FALSE)-AVERAGE('The List'!AD2:AD730))/STDEV('The List'!AD2:AD730)</f>
        <v>-0.587841986423854</v>
      </c>
      <c r="R69" s="46">
        <f>(VLOOKUP($A69,'The List'!$B1:$AH730,30,FALSE)-AVERAGE('The List'!AE2:AE730))/STDEV('The List'!AE2:AE730)</f>
        <v>1.38675011656234</v>
      </c>
      <c r="S69" s="46">
        <f>(VLOOKUP($A69,'The List'!$B1:$AH730,31,FALSE)-AVERAGE('The List'!AF2:AF730))/STDEV('The List'!AF2:AF730)</f>
        <v>-0.546489648455619</v>
      </c>
      <c r="T69" s="46">
        <f>(VLOOKUP($A69,'The List'!$B1:$AH730,32,FALSE)-AVERAGE('The List'!AG2:AG730))/STDEV('The List'!AG2:AG730)</f>
        <v>-0.5958166475125291</v>
      </c>
      <c r="U69" s="46">
        <f>(VLOOKUP($A69,'The List'!$B1:$AH730,33,FALSE)-AVERAGE('The List'!AH2:AH730))/STDEV('The List'!AH2:AH730)</f>
        <v>1.85708887187888</v>
      </c>
      <c r="V69" s="46"/>
      <c r="W69" s="50"/>
      <c r="X69" s="48"/>
      <c r="Y69" s="48"/>
      <c r="Z69" s="48"/>
      <c r="AA69" s="48"/>
      <c r="AB69" s="48"/>
      <c r="AC69" s="51"/>
      <c r="AD69" s="52"/>
      <c r="AE69" s="46"/>
    </row>
    <row r="70" ht="21.25" customHeight="1">
      <c r="A70" t="s" s="8">
        <v>305</v>
      </c>
      <c r="B70" t="s" s="42">
        <f>VLOOKUP(A70,'Player Data'!A1:B734,2,FALSE)</f>
        <v>156</v>
      </c>
      <c r="C70" s="44">
        <f>((E70)*'Settings'!$C$12)+(F70*'Settings'!$C$2)+(G70*'Settings'!$C$3)+(H70*'Settings'!$C$4)+(I70*'Settings'!$C$5)+(K70*'Settings'!$C$9)+(N70*'Settings'!$C$6)+(J70*'Settings'!$C$8)+(O70*'Settings'!$C$7)+(P70*'Settings'!$C$14)+(Q70*'Settings'!$C$15)+(R70*'Settings'!$C$16)+(S70*'Settings'!$C$17)+(T70*'Settings'!$C$18)+(U70*'Settings'!$C$19)+(L70*'Settings'!$C$10)+('Settings'!$C$11*M70)</f>
        <v>3.77306136760975</v>
      </c>
      <c r="D70" s="48">
        <f>IF('Settings'!$E$12="YES",VLOOKUP(A70,'Player Data'!A1:E734,5,FALSE),82)</f>
        <v>81.61499999999999</v>
      </c>
      <c r="E70" s="46">
        <f>(VLOOKUP($A70,'The List'!$B1:$AH730,17,FALSE)-AVERAGE('The List'!R2:R730))/STDEV('The List'!R2:R730)</f>
        <v>0.08504880489801669</v>
      </c>
      <c r="F70" s="46">
        <f>(VLOOKUP($A70,'The List'!$B1:$AH730,18,FALSE)-AVERAGE('The List'!S2:S730))/STDEV('The List'!S2:S730)</f>
        <v>2.05819770523991</v>
      </c>
      <c r="G70" s="46">
        <f>(VLOOKUP($A70,'The List'!$B1:$AH730,19,FALSE)-AVERAGE('The List'!T2:T730))/STDEV('The List'!T2:T730)</f>
        <v>0.853376921776876</v>
      </c>
      <c r="H70" s="46">
        <f>(VLOOKUP($A70,'The List'!$B1:$AH730,20,FALSE)-AVERAGE('The List'!U2:U730))/STDEV('The List'!U2:U730)</f>
        <v>1.46261689024144</v>
      </c>
      <c r="I70" s="46">
        <f>(VLOOKUP($A70,'The List'!$B1:$AH730,21,FALSE)-AVERAGE('The List'!V2:V730))/STDEV('The List'!V2:V730)</f>
        <v>0.295796352957206</v>
      </c>
      <c r="J70" s="46">
        <f>(VLOOKUP($A70,'The List'!$B1:$AH730,22,FALSE)-AVERAGE('The List'!W2:W730))/STDEV('The List'!W2:W730)</f>
        <v>2.03508544613908</v>
      </c>
      <c r="K70" s="46">
        <f>(VLOOKUP($A70,'The List'!$B1:$AH730,23,FALSE)-AVERAGE('The List'!X2:X730))/STDEV('The List'!X2:X730)</f>
        <v>0.916738751338852</v>
      </c>
      <c r="L70" s="46">
        <f>(VLOOKUP($A70,'The List'!$B1:$AH730,24,FALSE)-AVERAGE('The List'!Y2:Y730))/STDEV('The List'!Y2:Y730)</f>
        <v>-0.540831414907094</v>
      </c>
      <c r="M70" s="46">
        <f>(VLOOKUP($A70,'The List'!$B1:$AH730,25,FALSE)-AVERAGE('The List'!Z2:Z730))/STDEV('The List'!Z2:Z730)</f>
        <v>-0.719523781251172</v>
      </c>
      <c r="N70" s="46">
        <f>(VLOOKUP($A70,'The List'!$B1:$AH730,26,FALSE)-AVERAGE('The List'!AA2:AA730))/STDEV('The List'!AA2:AA730)</f>
        <v>-0.963824211821052</v>
      </c>
      <c r="O70" s="46">
        <f>(VLOOKUP($A70,'The List'!$B1:$AH730,27,FALSE)-AVERAGE('The List'!AB2:AB730))/STDEV('The List'!AB2:AB730)</f>
        <v>-1.432063180253</v>
      </c>
      <c r="P70" s="46">
        <f>(VLOOKUP($A70,'The List'!$B1:$AH730,28,FALSE)-AVERAGE('The List'!AC2:AC730))/STDEV('The List'!AC2:AC730)</f>
        <v>0.612775848117956</v>
      </c>
      <c r="Q70" s="46">
        <f>(VLOOKUP($A70,'The List'!$B1:$AH730,29,FALSE)-AVERAGE('The List'!AD2:AD730))/STDEV('The List'!AD2:AD730)</f>
        <v>-1.0617169764085</v>
      </c>
      <c r="R70" s="46">
        <f>(VLOOKUP($A70,'The List'!$B1:$AH730,30,FALSE)-AVERAGE('The List'!AE2:AE730))/STDEV('The List'!AE2:AE730)</f>
        <v>1.9048042770741</v>
      </c>
      <c r="S70" s="46">
        <f>(VLOOKUP($A70,'The List'!$B1:$AH730,31,FALSE)-AVERAGE('The List'!AF2:AF730))/STDEV('The List'!AF2:AF730)</f>
        <v>-0.5569063253591</v>
      </c>
      <c r="T70" s="46">
        <f>(VLOOKUP($A70,'The List'!$B1:$AH730,32,FALSE)-AVERAGE('The List'!AG2:AG730))/STDEV('The List'!AG2:AG730)</f>
        <v>-0.59544968567079</v>
      </c>
      <c r="U70" s="46">
        <f>(VLOOKUP($A70,'The List'!$B1:$AH730,33,FALSE)-AVERAGE('The List'!AH2:AH730))/STDEV('The List'!AH2:AH730)</f>
        <v>-1.2363238714826</v>
      </c>
      <c r="V70" s="46"/>
      <c r="W70" s="50"/>
      <c r="X70" s="48"/>
      <c r="Y70" s="48"/>
      <c r="Z70" s="48"/>
      <c r="AA70" s="48"/>
      <c r="AB70" s="48"/>
      <c r="AC70" s="51"/>
      <c r="AD70" s="52"/>
      <c r="AE70" s="46"/>
    </row>
    <row r="71" ht="21.25" customHeight="1">
      <c r="A71" t="s" s="8">
        <v>252</v>
      </c>
      <c r="B71" t="s" s="42">
        <f>VLOOKUP(A71,'Player Data'!A1:B734,2,FALSE)</f>
        <v>113</v>
      </c>
      <c r="C71" s="44">
        <f>((E71)*'Settings'!$C$12)+(F71*'Settings'!$C$2)+(G71*'Settings'!$C$3)+(H71*'Settings'!$C$4)+(I71*'Settings'!$C$5)+(K71*'Settings'!$C$9)+(N71*'Settings'!$C$6)+(J71*'Settings'!$C$8)+(O71*'Settings'!$C$7)+(P71*'Settings'!$C$14)+(Q71*'Settings'!$C$15)+(R71*'Settings'!$C$16)+(S71*'Settings'!$C$17)+(T71*'Settings'!$C$18)+(U71*'Settings'!$C$19)+(L71*'Settings'!$C$10)+('Settings'!$C$11*M71)</f>
        <v>6.37758556902017</v>
      </c>
      <c r="D71" s="48">
        <f>IF('Settings'!$E$12="YES",VLOOKUP(A71,'Player Data'!A1:E734,5,FALSE),82)</f>
        <v>73.98607142857141</v>
      </c>
      <c r="E71" s="46">
        <f>(VLOOKUP($A71,'The List'!$B1:$AH730,17,FALSE)-AVERAGE('The List'!R2:R730))/STDEV('The List'!R2:R730)</f>
        <v>1.05760660885272</v>
      </c>
      <c r="F71" s="46">
        <f>(VLOOKUP($A71,'The List'!$B1:$AH730,18,FALSE)-AVERAGE('The List'!S2:S730))/STDEV('The List'!S2:S730)</f>
        <v>1.4279429673853</v>
      </c>
      <c r="G71" s="46">
        <f>(VLOOKUP($A71,'The List'!$B1:$AH730,19,FALSE)-AVERAGE('The List'!T2:T730))/STDEV('The List'!T2:T730)</f>
        <v>1.08179473143452</v>
      </c>
      <c r="H71" s="46">
        <f>(VLOOKUP($A71,'The List'!$B1:$AH730,20,FALSE)-AVERAGE('The List'!U2:U730))/STDEV('The List'!U2:U730)</f>
        <v>1.3166549217221</v>
      </c>
      <c r="I71" s="46">
        <f>(VLOOKUP($A71,'The List'!$B1:$AH730,21,FALSE)-AVERAGE('The List'!V2:V730))/STDEV('The List'!V2:V730)</f>
        <v>1.47141577626752</v>
      </c>
      <c r="J71" s="46">
        <f>(VLOOKUP($A71,'The List'!$B1:$AH730,22,FALSE)-AVERAGE('The List'!W2:W730))/STDEV('The List'!W2:W730)</f>
        <v>2.33408200152469</v>
      </c>
      <c r="K71" s="46">
        <f>(VLOOKUP($A71,'The List'!$B1:$AH730,23,FALSE)-AVERAGE('The List'!X2:X730))/STDEV('The List'!X2:X730)</f>
        <v>1.30871339347076</v>
      </c>
      <c r="L71" s="46">
        <f>(VLOOKUP($A71,'The List'!$B1:$AH730,24,FALSE)-AVERAGE('The List'!Y2:Y730))/STDEV('The List'!Y2:Y730)</f>
        <v>1.4664575784312</v>
      </c>
      <c r="M71" s="46">
        <f>(VLOOKUP($A71,'The List'!$B1:$AH730,25,FALSE)-AVERAGE('The List'!Z2:Z730))/STDEV('The List'!Z2:Z730)</f>
        <v>2.07402450207886</v>
      </c>
      <c r="N71" s="46">
        <f>(VLOOKUP($A71,'The List'!$B1:$AH730,26,FALSE)-AVERAGE('The List'!AA2:AA730))/STDEV('The List'!AA2:AA730)</f>
        <v>-0.339440629612519</v>
      </c>
      <c r="O71" s="46">
        <f>(VLOOKUP($A71,'The List'!$B1:$AH730,27,FALSE)-AVERAGE('The List'!AB2:AB730))/STDEV('The List'!AB2:AB730)</f>
        <v>-0.117917892022467</v>
      </c>
      <c r="P71" s="46">
        <f>(VLOOKUP($A71,'The List'!$B1:$AH730,28,FALSE)-AVERAGE('The List'!AC2:AC730))/STDEV('The List'!AC2:AC730)</f>
        <v>1.42715933007459</v>
      </c>
      <c r="Q71" s="46">
        <f>(VLOOKUP($A71,'The List'!$B1:$AH730,29,FALSE)-AVERAGE('The List'!AD2:AD730))/STDEV('The List'!AD2:AD730)</f>
        <v>-1.16618850258369</v>
      </c>
      <c r="R71" s="46">
        <f>(VLOOKUP($A71,'The List'!$B1:$AH730,30,FALSE)-AVERAGE('The List'!AE2:AE730))/STDEV('The List'!AE2:AE730)</f>
        <v>1.6194170160834</v>
      </c>
      <c r="S71" s="46">
        <f>(VLOOKUP($A71,'The List'!$B1:$AH730,31,FALSE)-AVERAGE('The List'!AF2:AF730))/STDEV('The List'!AF2:AF730)</f>
        <v>-0.555181357238314</v>
      </c>
      <c r="T71" s="46">
        <f>(VLOOKUP($A71,'The List'!$B1:$AH730,32,FALSE)-AVERAGE('The List'!AG2:AG730))/STDEV('The List'!AG2:AG730)</f>
        <v>-0.57269073916306</v>
      </c>
      <c r="U71" s="46">
        <f>(VLOOKUP($A71,'The List'!$B1:$AH730,33,FALSE)-AVERAGE('The List'!AH2:AH730))/STDEV('The List'!AH2:AH730)</f>
        <v>-0.963010053091959</v>
      </c>
      <c r="V71" s="46"/>
      <c r="W71" s="50"/>
      <c r="X71" s="48"/>
      <c r="Y71" s="48"/>
      <c r="Z71" s="48"/>
      <c r="AA71" s="48"/>
      <c r="AB71" s="48"/>
      <c r="AC71" s="51"/>
      <c r="AD71" s="52"/>
      <c r="AE71" s="46"/>
    </row>
    <row r="72" ht="21.25" customHeight="1">
      <c r="A72" t="s" s="8">
        <v>231</v>
      </c>
      <c r="B72" t="s" s="42">
        <f>VLOOKUP(A72,'Player Data'!A1:B734,2,FALSE)</f>
        <v>139</v>
      </c>
      <c r="C72" s="44">
        <f>((E72)*'Settings'!$C$12)+(F72*'Settings'!$C$2)+(G72*'Settings'!$C$3)+(H72*'Settings'!$C$4)+(I72*'Settings'!$C$5)+(K72*'Settings'!$C$9)+(N72*'Settings'!$C$6)+(J72*'Settings'!$C$8)+(O72*'Settings'!$C$7)+(P72*'Settings'!$C$14)+(Q72*'Settings'!$C$15)+(R72*'Settings'!$C$16)+(S72*'Settings'!$C$17)+(T72*'Settings'!$C$18)+(U72*'Settings'!$C$19)+(L72*'Settings'!$C$10)+('Settings'!$C$11*M72)</f>
        <v>5.22647385310589</v>
      </c>
      <c r="D72" s="48">
        <f>IF('Settings'!$E$12="YES",VLOOKUP(A72,'Player Data'!A1:E734,5,FALSE),82)</f>
        <v>80.48999999999999</v>
      </c>
      <c r="E72" s="46">
        <f>(VLOOKUP($A72,'The List'!$B1:$AH730,17,FALSE)-AVERAGE('The List'!R2:R730))/STDEV('The List'!R2:R730)</f>
        <v>0.424204176847455</v>
      </c>
      <c r="F72" s="46">
        <f>(VLOOKUP($A72,'The List'!$B1:$AH730,18,FALSE)-AVERAGE('The List'!S2:S730))/STDEV('The List'!S2:S730)</f>
        <v>1.79075151848054</v>
      </c>
      <c r="G72" s="46">
        <f>(VLOOKUP($A72,'The List'!$B1:$AH730,19,FALSE)-AVERAGE('The List'!T2:T730))/STDEV('The List'!T2:T730)</f>
        <v>1.1767647444143</v>
      </c>
      <c r="H72" s="46">
        <f>(VLOOKUP($A72,'The List'!$B1:$AH730,20,FALSE)-AVERAGE('The List'!U2:U730))/STDEV('The List'!U2:U730)</f>
        <v>1.54028785359624</v>
      </c>
      <c r="I72" s="46">
        <f>(VLOOKUP($A72,'The List'!$B1:$AH730,21,FALSE)-AVERAGE('The List'!V2:V730))/STDEV('The List'!V2:V730)</f>
        <v>1.98988443847702</v>
      </c>
      <c r="J72" s="46">
        <f>(VLOOKUP($A72,'The List'!$B1:$AH730,22,FALSE)-AVERAGE('The List'!W2:W730))/STDEV('The List'!W2:W730)</f>
        <v>1.33563494706351</v>
      </c>
      <c r="K72" s="46">
        <f>(VLOOKUP($A72,'The List'!$B1:$AH730,23,FALSE)-AVERAGE('The List'!X2:X730))/STDEV('The List'!X2:X730)</f>
        <v>1.16217074664478</v>
      </c>
      <c r="L72" s="46">
        <f>(VLOOKUP($A72,'The List'!$B1:$AH730,24,FALSE)-AVERAGE('The List'!Y2:Y730))/STDEV('The List'!Y2:Y730)</f>
        <v>-0.517240225464242</v>
      </c>
      <c r="M72" s="46">
        <f>(VLOOKUP($A72,'The List'!$B1:$AH730,25,FALSE)-AVERAGE('The List'!Z2:Z730))/STDEV('The List'!Z2:Z730)</f>
        <v>-0.692988312417995</v>
      </c>
      <c r="N72" s="46">
        <f>(VLOOKUP($A72,'The List'!$B1:$AH730,26,FALSE)-AVERAGE('The List'!AA2:AA730))/STDEV('The List'!AA2:AA730)</f>
        <v>-1.0334093124474</v>
      </c>
      <c r="O72" s="46">
        <f>(VLOOKUP($A72,'The List'!$B1:$AH730,27,FALSE)-AVERAGE('The List'!AB2:AB730))/STDEV('The List'!AB2:AB730)</f>
        <v>-1.27702103474408</v>
      </c>
      <c r="P72" s="46">
        <f>(VLOOKUP($A72,'The List'!$B1:$AH730,28,FALSE)-AVERAGE('The List'!AC2:AC730))/STDEV('The List'!AC2:AC730)</f>
        <v>0.140311717536646</v>
      </c>
      <c r="Q72" s="46">
        <f>(VLOOKUP($A72,'The List'!$B1:$AH730,29,FALSE)-AVERAGE('The List'!AD2:AD730))/STDEV('The List'!AD2:AD730)</f>
        <v>0.0663774093022181</v>
      </c>
      <c r="R72" s="46">
        <f>(VLOOKUP($A72,'The List'!$B1:$AH730,30,FALSE)-AVERAGE('The List'!AE2:AE730))/STDEV('The List'!AE2:AE730)</f>
        <v>1.38651277348129</v>
      </c>
      <c r="S72" s="46">
        <f>(VLOOKUP($A72,'The List'!$B1:$AH730,31,FALSE)-AVERAGE('The List'!AF2:AF730))/STDEV('The List'!AF2:AF730)</f>
        <v>0.07605551050529979</v>
      </c>
      <c r="T72" s="46">
        <f>(VLOOKUP($A72,'The List'!$B1:$AH730,32,FALSE)-AVERAGE('The List'!AG2:AG730))/STDEV('The List'!AG2:AG730)</f>
        <v>0.223991554315527</v>
      </c>
      <c r="U72" s="46">
        <f>(VLOOKUP($A72,'The List'!$B1:$AH730,33,FALSE)-AVERAGE('The List'!AH2:AH730))/STDEV('The List'!AH2:AH730)</f>
        <v>0.7807950679154499</v>
      </c>
      <c r="V72" s="46"/>
      <c r="W72" s="50"/>
      <c r="X72" s="48"/>
      <c r="Y72" s="48"/>
      <c r="Z72" s="48"/>
      <c r="AA72" s="48"/>
      <c r="AB72" s="48"/>
      <c r="AC72" s="51"/>
      <c r="AD72" s="52"/>
      <c r="AE72" s="46"/>
    </row>
    <row r="73" ht="21.25" customHeight="1">
      <c r="A73" t="s" s="8">
        <v>251</v>
      </c>
      <c r="B73" t="s" s="42">
        <f>VLOOKUP(A73,'Player Data'!A1:B734,2,FALSE)</f>
        <v>238</v>
      </c>
      <c r="C73" s="44">
        <f>((E73)*'Settings'!$C$12)+(F73*'Settings'!$C$2)+(G73*'Settings'!$C$3)+(H73*'Settings'!$C$4)+(I73*'Settings'!$C$5)+(K73*'Settings'!$C$9)+(N73*'Settings'!$C$6)+(J73*'Settings'!$C$8)+(O73*'Settings'!$C$7)+(P73*'Settings'!$C$14)+(Q73*'Settings'!$C$15)+(R73*'Settings'!$C$16)+(S73*'Settings'!$C$17)+(T73*'Settings'!$C$18)+(U73*'Settings'!$C$19)+(L73*'Settings'!$C$10)+('Settings'!$C$11*M73)</f>
        <v>6.54983777148024</v>
      </c>
      <c r="D73" s="48">
        <f>IF('Settings'!$E$12="YES",VLOOKUP(A73,'Player Data'!A1:E734,5,FALSE),82)</f>
        <v>81.51000000000001</v>
      </c>
      <c r="E73" s="46">
        <f>(VLOOKUP($A73,'The List'!$B1:$AH730,17,FALSE)-AVERAGE('The List'!R2:R730))/STDEV('The List'!R2:R730)</f>
        <v>0.786559183533741</v>
      </c>
      <c r="F73" s="46">
        <f>(VLOOKUP($A73,'The List'!$B1:$AH730,18,FALSE)-AVERAGE('The List'!S2:S730))/STDEV('The List'!S2:S730)</f>
        <v>1.63277829687604</v>
      </c>
      <c r="G73" s="46">
        <f>(VLOOKUP($A73,'The List'!$B1:$AH730,19,FALSE)-AVERAGE('The List'!T2:T730))/STDEV('The List'!T2:T730)</f>
        <v>1.33216322515704</v>
      </c>
      <c r="H73" s="46">
        <f>(VLOOKUP($A73,'The List'!$B1:$AH730,20,FALSE)-AVERAGE('The List'!U2:U730))/STDEV('The List'!U2:U730)</f>
        <v>1.56420799037311</v>
      </c>
      <c r="I73" s="46">
        <f>(VLOOKUP($A73,'The List'!$B1:$AH730,21,FALSE)-AVERAGE('The List'!V2:V730))/STDEV('The List'!V2:V730)</f>
        <v>1.22431105820902</v>
      </c>
      <c r="J73" s="46">
        <f>(VLOOKUP($A73,'The List'!$B1:$AH730,22,FALSE)-AVERAGE('The List'!W2:W730))/STDEV('The List'!W2:W730)</f>
        <v>2.14260395343011</v>
      </c>
      <c r="K73" s="46">
        <f>(VLOOKUP($A73,'The List'!$B1:$AH730,23,FALSE)-AVERAGE('The List'!X2:X730))/STDEV('The List'!X2:X730)</f>
        <v>1.45571994116567</v>
      </c>
      <c r="L73" s="46">
        <f>(VLOOKUP($A73,'The List'!$B1:$AH730,24,FALSE)-AVERAGE('The List'!Y2:Y730))/STDEV('The List'!Y2:Y730)</f>
        <v>0.92132740817093</v>
      </c>
      <c r="M73" s="46">
        <f>(VLOOKUP($A73,'The List'!$B1:$AH730,25,FALSE)-AVERAGE('The List'!Z2:Z730))/STDEV('The List'!Z2:Z730)</f>
        <v>1.80276288658811</v>
      </c>
      <c r="N73" s="46">
        <f>(VLOOKUP($A73,'The List'!$B1:$AH730,26,FALSE)-AVERAGE('The List'!AA2:AA730))/STDEV('The List'!AA2:AA730)</f>
        <v>-0.207121129421278</v>
      </c>
      <c r="O73" s="46">
        <f>(VLOOKUP($A73,'The List'!$B1:$AH730,27,FALSE)-AVERAGE('The List'!AB2:AB730))/STDEV('The List'!AB2:AB730)</f>
        <v>-0.0165941803949808</v>
      </c>
      <c r="P73" s="46">
        <f>(VLOOKUP($A73,'The List'!$B1:$AH730,28,FALSE)-AVERAGE('The List'!AC2:AC730))/STDEV('The List'!AC2:AC730)</f>
        <v>1.11198637949375</v>
      </c>
      <c r="Q73" s="46">
        <f>(VLOOKUP($A73,'The List'!$B1:$AH730,29,FALSE)-AVERAGE('The List'!AD2:AD730))/STDEV('The List'!AD2:AD730)</f>
        <v>-0.567070795547952</v>
      </c>
      <c r="R73" s="46">
        <f>(VLOOKUP($A73,'The List'!$B1:$AH730,30,FALSE)-AVERAGE('The List'!AE2:AE730))/STDEV('The List'!AE2:AE730)</f>
        <v>1.99956874501528</v>
      </c>
      <c r="S73" s="46">
        <f>(VLOOKUP($A73,'The List'!$B1:$AH730,31,FALSE)-AVERAGE('The List'!AF2:AF730))/STDEV('The List'!AF2:AF730)</f>
        <v>3.66475891135396</v>
      </c>
      <c r="T73" s="46">
        <f>(VLOOKUP($A73,'The List'!$B1:$AH730,32,FALSE)-AVERAGE('The List'!AG2:AG730))/STDEV('The List'!AG2:AG730)</f>
        <v>3.21058713690101</v>
      </c>
      <c r="U73" s="46">
        <f>(VLOOKUP($A73,'The List'!$B1:$AH730,33,FALSE)-AVERAGE('The List'!AH2:AH730))/STDEV('The List'!AH2:AH730)</f>
        <v>1.19392547535814</v>
      </c>
      <c r="V73" s="46"/>
      <c r="W73" s="50"/>
      <c r="X73" s="48"/>
      <c r="Y73" s="48"/>
      <c r="Z73" s="48"/>
      <c r="AA73" s="48"/>
      <c r="AB73" s="48"/>
      <c r="AC73" s="51"/>
      <c r="AD73" s="52"/>
      <c r="AE73" s="46"/>
    </row>
    <row r="74" ht="21.25" customHeight="1">
      <c r="A74" t="s" s="8">
        <v>268</v>
      </c>
      <c r="B74" t="s" s="42">
        <f>VLOOKUP(A74,'Player Data'!A1:B734,2,FALSE)</f>
        <v>248</v>
      </c>
      <c r="C74" s="44">
        <f>((E74)*'Settings'!$C$12)+(F74*'Settings'!$C$2)+(G74*'Settings'!$C$3)+(H74*'Settings'!$C$4)+(I74*'Settings'!$C$5)+(K74*'Settings'!$C$9)+(N74*'Settings'!$C$6)+(J74*'Settings'!$C$8)+(O74*'Settings'!$C$7)+(P74*'Settings'!$C$14)+(Q74*'Settings'!$C$15)+(R74*'Settings'!$C$16)+(S74*'Settings'!$C$17)+(T74*'Settings'!$C$18)+(U74*'Settings'!$C$19)+(L74*'Settings'!$C$10)+('Settings'!$C$11*M74)</f>
        <v>5.18746366108494</v>
      </c>
      <c r="D74" s="48">
        <f>IF('Settings'!$E$12="YES",VLOOKUP(A74,'Player Data'!A1:E734,5,FALSE),82)</f>
        <v>81.2</v>
      </c>
      <c r="E74" s="46">
        <f>(VLOOKUP($A74,'The List'!$B1:$AH730,17,FALSE)-AVERAGE('The List'!R2:R730))/STDEV('The List'!R2:R730)</f>
        <v>0.585039459697285</v>
      </c>
      <c r="F74" s="46">
        <f>(VLOOKUP($A74,'The List'!$B1:$AH730,18,FALSE)-AVERAGE('The List'!S2:S730))/STDEV('The List'!S2:S730)</f>
        <v>1.71821239017362</v>
      </c>
      <c r="G74" s="46">
        <f>(VLOOKUP($A74,'The List'!$B1:$AH730,19,FALSE)-AVERAGE('The List'!T2:T730))/STDEV('The List'!T2:T730)</f>
        <v>1.48942782157771</v>
      </c>
      <c r="H74" s="46">
        <f>(VLOOKUP($A74,'The List'!$B1:$AH730,20,FALSE)-AVERAGE('The List'!U2:U730))/STDEV('The List'!U2:U730)</f>
        <v>1.70003377292206</v>
      </c>
      <c r="I74" s="46">
        <f>(VLOOKUP($A74,'The List'!$B1:$AH730,21,FALSE)-AVERAGE('The List'!V2:V730))/STDEV('The List'!V2:V730)</f>
        <v>0.753303878227734</v>
      </c>
      <c r="J74" s="46">
        <f>(VLOOKUP($A74,'The List'!$B1:$AH730,22,FALSE)-AVERAGE('The List'!W2:W730))/STDEV('The List'!W2:W730)</f>
        <v>1.19865494462433</v>
      </c>
      <c r="K74" s="46">
        <f>(VLOOKUP($A74,'The List'!$B1:$AH730,23,FALSE)-AVERAGE('The List'!X2:X730))/STDEV('The List'!X2:X730)</f>
        <v>0.976730489547636</v>
      </c>
      <c r="L74" s="46">
        <f>(VLOOKUP($A74,'The List'!$B1:$AH730,24,FALSE)-AVERAGE('The List'!Y2:Y730))/STDEV('The List'!Y2:Y730)</f>
        <v>-0.340147923761543</v>
      </c>
      <c r="M74" s="46">
        <f>(VLOOKUP($A74,'The List'!$B1:$AH730,25,FALSE)-AVERAGE('The List'!Z2:Z730))/STDEV('The List'!Z2:Z730)</f>
        <v>0.0888739813027352</v>
      </c>
      <c r="N74" s="46">
        <f>(VLOOKUP($A74,'The List'!$B1:$AH730,26,FALSE)-AVERAGE('The List'!AA2:AA730))/STDEV('The List'!AA2:AA730)</f>
        <v>-0.223370133021402</v>
      </c>
      <c r="O74" s="46">
        <f>(VLOOKUP($A74,'The List'!$B1:$AH730,27,FALSE)-AVERAGE('The List'!AB2:AB730))/STDEV('The List'!AB2:AB730)</f>
        <v>-0.142820228120289</v>
      </c>
      <c r="P74" s="46">
        <f>(VLOOKUP($A74,'The List'!$B1:$AH730,28,FALSE)-AVERAGE('The List'!AC2:AC730))/STDEV('The List'!AC2:AC730)</f>
        <v>0.473159214579643</v>
      </c>
      <c r="Q74" s="46">
        <f>(VLOOKUP($A74,'The List'!$B1:$AH730,29,FALSE)-AVERAGE('The List'!AD2:AD730))/STDEV('The List'!AD2:AD730)</f>
        <v>-1.36316241439176</v>
      </c>
      <c r="R74" s="46">
        <f>(VLOOKUP($A74,'The List'!$B1:$AH730,30,FALSE)-AVERAGE('The List'!AE2:AE730))/STDEV('The List'!AE2:AE730)</f>
        <v>1.57204357666576</v>
      </c>
      <c r="S74" s="46">
        <f>(VLOOKUP($A74,'The List'!$B1:$AH730,31,FALSE)-AVERAGE('The List'!AF2:AF730))/STDEV('The List'!AF2:AF730)</f>
        <v>1.66636190113849</v>
      </c>
      <c r="T74" s="46">
        <f>(VLOOKUP($A74,'The List'!$B1:$AH730,32,FALSE)-AVERAGE('The List'!AG2:AG730))/STDEV('The List'!AG2:AG730)</f>
        <v>2.59859419009929</v>
      </c>
      <c r="U74" s="46">
        <f>(VLOOKUP($A74,'The List'!$B1:$AH730,33,FALSE)-AVERAGE('The List'!AH2:AH730))/STDEV('The List'!AH2:AH730)</f>
        <v>0.670725727703242</v>
      </c>
      <c r="V74" s="46"/>
      <c r="W74" s="50"/>
      <c r="X74" s="48"/>
      <c r="Y74" s="48"/>
      <c r="Z74" s="48"/>
      <c r="AA74" s="48"/>
      <c r="AB74" s="48"/>
      <c r="AC74" s="51"/>
      <c r="AD74" s="52"/>
      <c r="AE74" s="46"/>
    </row>
    <row r="75" ht="21.25" customHeight="1">
      <c r="A75" t="s" s="8">
        <v>260</v>
      </c>
      <c r="B75" t="s" s="42">
        <f>VLOOKUP(A75,'Player Data'!A1:B734,2,FALSE)</f>
        <v>149</v>
      </c>
      <c r="C75" s="44">
        <f>((E75)*'Settings'!$C$12)+(F75*'Settings'!$C$2)+(G75*'Settings'!$C$3)+(H75*'Settings'!$C$4)+(I75*'Settings'!$C$5)+(K75*'Settings'!$C$9)+(N75*'Settings'!$C$6)+(J75*'Settings'!$C$8)+(O75*'Settings'!$C$7)+(P75*'Settings'!$C$14)+(Q75*'Settings'!$C$15)+(R75*'Settings'!$C$16)+(S75*'Settings'!$C$17)+(T75*'Settings'!$C$18)+(U75*'Settings'!$C$19)+(L75*'Settings'!$C$10)+('Settings'!$C$11*M75)</f>
        <v>5.56465126732554</v>
      </c>
      <c r="D75" s="48">
        <f>IF('Settings'!$E$12="YES",VLOOKUP(A75,'Player Data'!A1:E734,5,FALSE),82)</f>
        <v>80.655</v>
      </c>
      <c r="E75" s="46">
        <f>(VLOOKUP($A75,'The List'!$B1:$AH730,17,FALSE)-AVERAGE('The List'!R2:R730))/STDEV('The List'!R2:R730)</f>
        <v>0.5914716932356709</v>
      </c>
      <c r="F75" s="46">
        <f>(VLOOKUP($A75,'The List'!$B1:$AH730,18,FALSE)-AVERAGE('The List'!S2:S730))/STDEV('The List'!S2:S730)</f>
        <v>2.14691886022869</v>
      </c>
      <c r="G75" s="46">
        <f>(VLOOKUP($A75,'The List'!$B1:$AH730,19,FALSE)-AVERAGE('The List'!T2:T730))/STDEV('The List'!T2:T730)</f>
        <v>0.799598087630535</v>
      </c>
      <c r="H75" s="46">
        <f>(VLOOKUP($A75,'The List'!$B1:$AH730,20,FALSE)-AVERAGE('The List'!U2:U730))/STDEV('The List'!U2:U730)</f>
        <v>1.46983285072658</v>
      </c>
      <c r="I75" s="46">
        <f>(VLOOKUP($A75,'The List'!$B1:$AH730,21,FALSE)-AVERAGE('The List'!V2:V730))/STDEV('The List'!V2:V730)</f>
        <v>1.41434575387382</v>
      </c>
      <c r="J75" s="46">
        <f>(VLOOKUP($A75,'The List'!$B1:$AH730,22,FALSE)-AVERAGE('The List'!W2:W730))/STDEV('The List'!W2:W730)</f>
        <v>1.83830019760481</v>
      </c>
      <c r="K75" s="46">
        <f>(VLOOKUP($A75,'The List'!$B1:$AH730,23,FALSE)-AVERAGE('The List'!X2:X730))/STDEV('The List'!X2:X730)</f>
        <v>1.15125298814758</v>
      </c>
      <c r="L75" s="46">
        <f>(VLOOKUP($A75,'The List'!$B1:$AH730,24,FALSE)-AVERAGE('The List'!Y2:Y730))/STDEV('The List'!Y2:Y730)</f>
        <v>-0.38939593235129</v>
      </c>
      <c r="M75" s="46">
        <f>(VLOOKUP($A75,'The List'!$B1:$AH730,25,FALSE)-AVERAGE('The List'!Z2:Z730))/STDEV('The List'!Z2:Z730)</f>
        <v>-0.55007925916864</v>
      </c>
      <c r="N75" s="46">
        <f>(VLOOKUP($A75,'The List'!$B1:$AH730,26,FALSE)-AVERAGE('The List'!AA2:AA730))/STDEV('The List'!AA2:AA730)</f>
        <v>-0.398778577430146</v>
      </c>
      <c r="O75" s="46">
        <f>(VLOOKUP($A75,'The List'!$B1:$AH730,27,FALSE)-AVERAGE('The List'!AB2:AB730))/STDEV('The List'!AB2:AB730)</f>
        <v>-0.875456995807977</v>
      </c>
      <c r="P75" s="46">
        <f>(VLOOKUP($A75,'The List'!$B1:$AH730,28,FALSE)-AVERAGE('The List'!AC2:AC730))/STDEV('The List'!AC2:AC730)</f>
        <v>0.451314154875064</v>
      </c>
      <c r="Q75" s="46">
        <f>(VLOOKUP($A75,'The List'!$B1:$AH730,29,FALSE)-AVERAGE('The List'!AD2:AD730))/STDEV('The List'!AD2:AD730)</f>
        <v>-0.113246517239195</v>
      </c>
      <c r="R75" s="46">
        <f>(VLOOKUP($A75,'The List'!$B1:$AH730,30,FALSE)-AVERAGE('The List'!AE2:AE730))/STDEV('The List'!AE2:AE730)</f>
        <v>2.27688994546814</v>
      </c>
      <c r="S75" s="46">
        <f>(VLOOKUP($A75,'The List'!$B1:$AH730,31,FALSE)-AVERAGE('The List'!AF2:AF730))/STDEV('The List'!AF2:AF730)</f>
        <v>1.95070364588545</v>
      </c>
      <c r="T75" s="46">
        <f>(VLOOKUP($A75,'The List'!$B1:$AH730,32,FALSE)-AVERAGE('The List'!AG2:AG730))/STDEV('The List'!AG2:AG730)</f>
        <v>2.21588079443141</v>
      </c>
      <c r="U75" s="46">
        <f>(VLOOKUP($A75,'The List'!$B1:$AH730,33,FALSE)-AVERAGE('The List'!AH2:AH730))/STDEV('The List'!AH2:AH730)</f>
        <v>0.94761411346686</v>
      </c>
      <c r="V75" s="46"/>
      <c r="W75" s="48"/>
      <c r="X75" s="46"/>
      <c r="Y75" s="46"/>
      <c r="Z75" s="46"/>
      <c r="AA75" s="46"/>
      <c r="AB75" s="46"/>
      <c r="AC75" s="46"/>
      <c r="AD75" s="46"/>
      <c r="AE75" s="46"/>
    </row>
    <row r="76" ht="21.25" customHeight="1">
      <c r="A76" t="s" s="8">
        <v>285</v>
      </c>
      <c r="B76" t="s" s="42">
        <f>VLOOKUP(A76,'Player Data'!A1:B734,2,FALSE)</f>
        <v>141</v>
      </c>
      <c r="C76" s="44">
        <f>((E76)*'Settings'!$C$12)+(F76*'Settings'!$C$2)+(G76*'Settings'!$C$3)+(H76*'Settings'!$C$4)+(I76*'Settings'!$C$5)+(K76*'Settings'!$C$9)+(N76*'Settings'!$C$6)+(J76*'Settings'!$C$8)+(O76*'Settings'!$C$7)+(P76*'Settings'!$C$14)+(Q76*'Settings'!$C$15)+(R76*'Settings'!$C$16)+(S76*'Settings'!$C$17)+(T76*'Settings'!$C$18)+(U76*'Settings'!$C$19)+(L76*'Settings'!$C$10)+('Settings'!$C$11*M76)</f>
        <v>4.67668052588961</v>
      </c>
      <c r="D76" s="48">
        <f>IF('Settings'!$E$12="YES",VLOOKUP(A76,'Player Data'!A1:E734,5,FALSE),82)</f>
        <v>80</v>
      </c>
      <c r="E76" s="46">
        <f>(VLOOKUP($A76,'The List'!$B1:$AH730,17,FALSE)-AVERAGE('The List'!R2:R730))/STDEV('The List'!R2:R730)</f>
        <v>0.8235140272465939</v>
      </c>
      <c r="F76" s="46">
        <f>(VLOOKUP($A76,'The List'!$B1:$AH730,18,FALSE)-AVERAGE('The List'!S2:S730))/STDEV('The List'!S2:S730)</f>
        <v>1.21732902449016</v>
      </c>
      <c r="G76" s="46">
        <f>(VLOOKUP($A76,'The List'!$B1:$AH730,19,FALSE)-AVERAGE('The List'!T2:T730))/STDEV('The List'!T2:T730)</f>
        <v>1.19487896240747</v>
      </c>
      <c r="H76" s="46">
        <f>(VLOOKUP($A76,'The List'!$B1:$AH730,20,FALSE)-AVERAGE('The List'!U2:U730))/STDEV('The List'!U2:U730)</f>
        <v>1.29053629574708</v>
      </c>
      <c r="I76" s="46">
        <f>(VLOOKUP($A76,'The List'!$B1:$AH730,21,FALSE)-AVERAGE('The List'!V2:V730))/STDEV('The List'!V2:V730)</f>
        <v>0.98553715714816</v>
      </c>
      <c r="J76" s="46">
        <f>(VLOOKUP($A76,'The List'!$B1:$AH730,22,FALSE)-AVERAGE('The List'!W2:W730))/STDEV('The List'!W2:W730)</f>
        <v>1.06746577532436</v>
      </c>
      <c r="K76" s="46">
        <f>(VLOOKUP($A76,'The List'!$B1:$AH730,23,FALSE)-AVERAGE('The List'!X2:X730))/STDEV('The List'!X2:X730)</f>
        <v>1.37800210165743</v>
      </c>
      <c r="L76" s="46">
        <f>(VLOOKUP($A76,'The List'!$B1:$AH730,24,FALSE)-AVERAGE('The List'!Y2:Y730))/STDEV('The List'!Y2:Y730)</f>
        <v>-0.432526463943027</v>
      </c>
      <c r="M76" s="46">
        <f>(VLOOKUP($A76,'The List'!$B1:$AH730,25,FALSE)-AVERAGE('The List'!Z2:Z730))/STDEV('The List'!Z2:Z730)</f>
        <v>-0.561930423940994</v>
      </c>
      <c r="N76" s="46">
        <f>(VLOOKUP($A76,'The List'!$B1:$AH730,26,FALSE)-AVERAGE('The List'!AA2:AA730))/STDEV('The List'!AA2:AA730)</f>
        <v>-0.130445021685406</v>
      </c>
      <c r="O76" s="46">
        <f>(VLOOKUP($A76,'The List'!$B1:$AH730,27,FALSE)-AVERAGE('The List'!AB2:AB730))/STDEV('The List'!AB2:AB730)</f>
        <v>-0.0167065325877051</v>
      </c>
      <c r="P76" s="46">
        <f>(VLOOKUP($A76,'The List'!$B1:$AH730,28,FALSE)-AVERAGE('The List'!AC2:AC730))/STDEV('The List'!AC2:AC730)</f>
        <v>0.0313783018717937</v>
      </c>
      <c r="Q76" s="46">
        <f>(VLOOKUP($A76,'The List'!$B1:$AH730,29,FALSE)-AVERAGE('The List'!AD2:AD730))/STDEV('The List'!AD2:AD730)</f>
        <v>0.502820282919289</v>
      </c>
      <c r="R76" s="46">
        <f>(VLOOKUP($A76,'The List'!$B1:$AH730,30,FALSE)-AVERAGE('The List'!AE2:AE730))/STDEV('The List'!AE2:AE730)</f>
        <v>0.845660633120327</v>
      </c>
      <c r="S76" s="46">
        <f>(VLOOKUP($A76,'The List'!$B1:$AH730,31,FALSE)-AVERAGE('The List'!AF2:AF730))/STDEV('The List'!AF2:AF730)</f>
        <v>3.34328379308446</v>
      </c>
      <c r="T76" s="46">
        <f>(VLOOKUP($A76,'The List'!$B1:$AH730,32,FALSE)-AVERAGE('The List'!AG2:AG730))/STDEV('The List'!AG2:AG730)</f>
        <v>2.89819651763588</v>
      </c>
      <c r="U76" s="46">
        <f>(VLOOKUP($A76,'The List'!$B1:$AH730,33,FALSE)-AVERAGE('The List'!AH2:AH730))/STDEV('The List'!AH2:AH730)</f>
        <v>1.20100838330965</v>
      </c>
      <c r="V76" s="46"/>
      <c r="W76" s="50"/>
      <c r="X76" s="48"/>
      <c r="Y76" s="48"/>
      <c r="Z76" s="48"/>
      <c r="AA76" s="48"/>
      <c r="AB76" s="48"/>
      <c r="AC76" s="51"/>
      <c r="AD76" s="52"/>
      <c r="AE76" s="46"/>
    </row>
    <row r="77" ht="21.25" customHeight="1">
      <c r="A77" t="s" s="8">
        <v>275</v>
      </c>
      <c r="B77" t="s" s="42">
        <f>VLOOKUP(A77,'Player Data'!A1:B734,2,FALSE)</f>
        <v>258</v>
      </c>
      <c r="C77" s="44">
        <f>((E77)*'Settings'!$C$12)+(F77*'Settings'!$C$2)+(G77*'Settings'!$C$3)+(H77*'Settings'!$C$4)+(I77*'Settings'!$C$5)+(K77*'Settings'!$C$9)+(N77*'Settings'!$C$6)+(J77*'Settings'!$C$8)+(O77*'Settings'!$C$7)+(P77*'Settings'!$C$14)+(Q77*'Settings'!$C$15)+(R77*'Settings'!$C$16)+(S77*'Settings'!$C$17)+(T77*'Settings'!$C$18)+(U77*'Settings'!$C$19)+(L77*'Settings'!$C$10)+('Settings'!$C$11*M77)</f>
        <v>2.52615937618543</v>
      </c>
      <c r="D77" s="48">
        <f>IF('Settings'!$E$12="YES",VLOOKUP(A77,'Player Data'!A1:E734,5,FALSE),82)</f>
        <v>82.03</v>
      </c>
      <c r="E77" s="46">
        <f>(VLOOKUP($A77,'The List'!$B1:$AH730,17,FALSE)-AVERAGE('The List'!R2:R730))/STDEV('The List'!R2:R730)</f>
        <v>1.2163577980907</v>
      </c>
      <c r="F77" s="46">
        <f>(VLOOKUP($A77,'The List'!$B1:$AH730,18,FALSE)-AVERAGE('The List'!S2:S730))/STDEV('The List'!S2:S730)</f>
        <v>1.31965153549661</v>
      </c>
      <c r="G77" s="46">
        <f>(VLOOKUP($A77,'The List'!$B1:$AH730,19,FALSE)-AVERAGE('The List'!T2:T730))/STDEV('The List'!T2:T730)</f>
        <v>1.48878295257504</v>
      </c>
      <c r="H77" s="46">
        <f>(VLOOKUP($A77,'The List'!$B1:$AH730,20,FALSE)-AVERAGE('The List'!U2:U730))/STDEV('The List'!U2:U730)</f>
        <v>1.51828303736333</v>
      </c>
      <c r="I77" s="46">
        <f>(VLOOKUP($A77,'The List'!$B1:$AH730,21,FALSE)-AVERAGE('The List'!V2:V730))/STDEV('The List'!V2:V730)</f>
        <v>0.7484911078994479</v>
      </c>
      <c r="J77" s="46">
        <f>(VLOOKUP($A77,'The List'!$B1:$AH730,22,FALSE)-AVERAGE('The List'!W2:W730))/STDEV('The List'!W2:W730)</f>
        <v>1.50963703723517</v>
      </c>
      <c r="K77" s="46">
        <f>(VLOOKUP($A77,'The List'!$B1:$AH730,23,FALSE)-AVERAGE('The List'!X2:X730))/STDEV('The List'!X2:X730)</f>
        <v>1.34404065690045</v>
      </c>
      <c r="L77" s="46">
        <f>(VLOOKUP($A77,'The List'!$B1:$AH730,24,FALSE)-AVERAGE('The List'!Y2:Y730))/STDEV('The List'!Y2:Y730)</f>
        <v>2.44520550018171</v>
      </c>
      <c r="M77" s="46">
        <f>(VLOOKUP($A77,'The List'!$B1:$AH730,25,FALSE)-AVERAGE('The List'!Z2:Z730))/STDEV('The List'!Z2:Z730)</f>
        <v>2.07378039453852</v>
      </c>
      <c r="N77" s="46">
        <f>(VLOOKUP($A77,'The List'!$B1:$AH730,26,FALSE)-AVERAGE('The List'!AA2:AA730))/STDEV('The List'!AA2:AA730)</f>
        <v>-0.0588681302526635</v>
      </c>
      <c r="O77" s="46">
        <f>(VLOOKUP($A77,'The List'!$B1:$AH730,27,FALSE)-AVERAGE('The List'!AB2:AB730))/STDEV('The List'!AB2:AB730)</f>
        <v>-0.590701206004826</v>
      </c>
      <c r="P77" s="46">
        <f>(VLOOKUP($A77,'The List'!$B1:$AH730,28,FALSE)-AVERAGE('The List'!AC2:AC730))/STDEV('The List'!AC2:AC730)</f>
        <v>-2.31593874643345</v>
      </c>
      <c r="Q77" s="46">
        <f>(VLOOKUP($A77,'The List'!$B1:$AH730,29,FALSE)-AVERAGE('The List'!AD2:AD730))/STDEV('The List'!AD2:AD730)</f>
        <v>-0.0054847966256034</v>
      </c>
      <c r="R77" s="46">
        <f>(VLOOKUP($A77,'The List'!$B1:$AH730,30,FALSE)-AVERAGE('The List'!AE2:AE730))/STDEV('The List'!AE2:AE730)</f>
        <v>0.558816320496914</v>
      </c>
      <c r="S77" s="46">
        <f>(VLOOKUP($A77,'The List'!$B1:$AH730,31,FALSE)-AVERAGE('The List'!AF2:AF730))/STDEV('The List'!AF2:AF730)</f>
        <v>2.72869901426453</v>
      </c>
      <c r="T77" s="46">
        <f>(VLOOKUP($A77,'The List'!$B1:$AH730,32,FALSE)-AVERAGE('The List'!AG2:AG730))/STDEV('The List'!AG2:AG730)</f>
        <v>3.19916469396448</v>
      </c>
      <c r="U77" s="46">
        <f>(VLOOKUP($A77,'The List'!$B1:$AH730,33,FALSE)-AVERAGE('The List'!AH2:AH730))/STDEV('The List'!AH2:AH730)</f>
        <v>0.914691091441722</v>
      </c>
      <c r="V77" s="46"/>
      <c r="W77" s="50"/>
      <c r="X77" s="48"/>
      <c r="Y77" s="48"/>
      <c r="Z77" s="48"/>
      <c r="AA77" s="48"/>
      <c r="AB77" s="48"/>
      <c r="AC77" s="51"/>
      <c r="AD77" s="52"/>
      <c r="AE77" s="46"/>
    </row>
    <row r="78" ht="21.25" customHeight="1">
      <c r="A78" t="s" s="8">
        <v>228</v>
      </c>
      <c r="B78" t="s" s="42">
        <f>VLOOKUP(A78,'Player Data'!A1:B734,2,FALSE)</f>
        <v>149</v>
      </c>
      <c r="C78" s="44">
        <f>((E78)*'Settings'!$C$12)+(F78*'Settings'!$C$2)+(G78*'Settings'!$C$3)+(H78*'Settings'!$C$4)+(I78*'Settings'!$C$5)+(K78*'Settings'!$C$9)+(N78*'Settings'!$C$6)+(J78*'Settings'!$C$8)+(O78*'Settings'!$C$7)+(P78*'Settings'!$C$14)+(Q78*'Settings'!$C$15)+(R78*'Settings'!$C$16)+(S78*'Settings'!$C$17)+(T78*'Settings'!$C$18)+(U78*'Settings'!$C$19)+(L78*'Settings'!$C$10)+('Settings'!$C$11*M78)</f>
        <v>6.31410716630591</v>
      </c>
      <c r="D78" s="48">
        <f>IF('Settings'!$E$12="YES",VLOOKUP(A78,'Player Data'!A1:E734,5,FALSE),82)</f>
        <v>79.8475</v>
      </c>
      <c r="E78" s="46">
        <f>(VLOOKUP($A78,'The List'!$B1:$AH730,17,FALSE)-AVERAGE('The List'!R2:R730))/STDEV('The List'!R2:R730)</f>
        <v>1.21914681938101</v>
      </c>
      <c r="F78" s="46">
        <f>(VLOOKUP($A78,'The List'!$B1:$AH730,18,FALSE)-AVERAGE('The List'!S2:S730))/STDEV('The List'!S2:S730)</f>
        <v>2.41903330520764</v>
      </c>
      <c r="G78" s="46">
        <f>(VLOOKUP($A78,'The List'!$B1:$AH730,19,FALSE)-AVERAGE('The List'!T2:T730))/STDEV('The List'!T2:T730)</f>
        <v>0.783719481250123</v>
      </c>
      <c r="H78" s="46">
        <f>(VLOOKUP($A78,'The List'!$B1:$AH730,20,FALSE)-AVERAGE('The List'!U2:U730))/STDEV('The List'!U2:U730)</f>
        <v>1.58386142850714</v>
      </c>
      <c r="I78" s="46">
        <f>(VLOOKUP($A78,'The List'!$B1:$AH730,21,FALSE)-AVERAGE('The List'!V2:V730))/STDEV('The List'!V2:V730)</f>
        <v>1.73001425246556</v>
      </c>
      <c r="J78" s="46">
        <f>(VLOOKUP($A78,'The List'!$B1:$AH730,22,FALSE)-AVERAGE('The List'!W2:W730))/STDEV('The List'!W2:W730)</f>
        <v>2.68177552499488</v>
      </c>
      <c r="K78" s="46">
        <f>(VLOOKUP($A78,'The List'!$B1:$AH730,23,FALSE)-AVERAGE('The List'!X2:X730))/STDEV('The List'!X2:X730)</f>
        <v>1.47665099974525</v>
      </c>
      <c r="L78" s="46">
        <f>(VLOOKUP($A78,'The List'!$B1:$AH730,24,FALSE)-AVERAGE('The List'!Y2:Y730))/STDEV('The List'!Y2:Y730)</f>
        <v>3.33803798905084</v>
      </c>
      <c r="M78" s="46">
        <f>(VLOOKUP($A78,'The List'!$B1:$AH730,25,FALSE)-AVERAGE('The List'!Z2:Z730))/STDEV('The List'!Z2:Z730)</f>
        <v>2.5596934821316</v>
      </c>
      <c r="N78" s="46">
        <f>(VLOOKUP($A78,'The List'!$B1:$AH730,26,FALSE)-AVERAGE('The List'!AA2:AA730))/STDEV('The List'!AA2:AA730)</f>
        <v>-0.0904666844123154</v>
      </c>
      <c r="O78" s="46">
        <f>(VLOOKUP($A78,'The List'!$B1:$AH730,27,FALSE)-AVERAGE('The List'!AB2:AB730))/STDEV('The List'!AB2:AB730)</f>
        <v>-0.349709769634549</v>
      </c>
      <c r="P78" s="46">
        <f>(VLOOKUP($A78,'The List'!$B1:$AH730,28,FALSE)-AVERAGE('The List'!AC2:AC730))/STDEV('The List'!AC2:AC730)</f>
        <v>-0.00484418795034936</v>
      </c>
      <c r="Q78" s="46">
        <f>(VLOOKUP($A78,'The List'!$B1:$AH730,29,FALSE)-AVERAGE('The List'!AD2:AD730))/STDEV('The List'!AD2:AD730)</f>
        <v>0.103805044061469</v>
      </c>
      <c r="R78" s="46">
        <f>(VLOOKUP($A78,'The List'!$B1:$AH730,30,FALSE)-AVERAGE('The List'!AE2:AE730))/STDEV('The List'!AE2:AE730)</f>
        <v>2.55049877237368</v>
      </c>
      <c r="S78" s="46">
        <f>(VLOOKUP($A78,'The List'!$B1:$AH730,31,FALSE)-AVERAGE('The List'!AF2:AF730))/STDEV('The List'!AF2:AF730)</f>
        <v>4.30800129633138</v>
      </c>
      <c r="T78" s="46">
        <f>(VLOOKUP($A78,'The List'!$B1:$AH730,32,FALSE)-AVERAGE('The List'!AG2:AG730))/STDEV('The List'!AG2:AG730)</f>
        <v>3.39046548052487</v>
      </c>
      <c r="U78" s="46">
        <f>(VLOOKUP($A78,'The List'!$B1:$AH730,33,FALSE)-AVERAGE('The List'!AH2:AH730))/STDEV('The List'!AH2:AH730)</f>
        <v>1.30088401095939</v>
      </c>
      <c r="V78" s="46"/>
      <c r="W78" s="50"/>
      <c r="X78" s="48"/>
      <c r="Y78" s="48"/>
      <c r="Z78" s="48"/>
      <c r="AA78" s="48"/>
      <c r="AB78" s="48"/>
      <c r="AC78" s="51"/>
      <c r="AD78" s="52"/>
      <c r="AE78" s="46"/>
    </row>
    <row r="79" ht="21.25" customHeight="1">
      <c r="A79" t="s" s="8">
        <v>244</v>
      </c>
      <c r="B79" t="s" s="42">
        <f>VLOOKUP(A79,'Player Data'!A1:B734,2,FALSE)</f>
        <v>136</v>
      </c>
      <c r="C79" s="44">
        <f>((E79)*'Settings'!$C$12)+(F79*'Settings'!$C$2)+(G79*'Settings'!$C$3)+(H79*'Settings'!$C$4)+(I79*'Settings'!$C$5)+(K79*'Settings'!$C$9)+(N79*'Settings'!$C$6)+(J79*'Settings'!$C$8)+(O79*'Settings'!$C$7)+(P79*'Settings'!$C$14)+(Q79*'Settings'!$C$15)+(R79*'Settings'!$C$16)+(S79*'Settings'!$C$17)+(T79*'Settings'!$C$18)+(U79*'Settings'!$C$19)+(L79*'Settings'!$C$10)+('Settings'!$C$11*M79)</f>
        <v>7.77637529810552</v>
      </c>
      <c r="D79" s="48">
        <f>IF('Settings'!$E$12="YES",VLOOKUP(A79,'Player Data'!A1:E734,5,FALSE),82)</f>
        <v>82.03</v>
      </c>
      <c r="E79" s="46">
        <f>(VLOOKUP($A79,'The List'!$B1:$AH730,17,FALSE)-AVERAGE('The List'!R2:R730))/STDEV('The List'!R2:R730)</f>
        <v>0.253737656036502</v>
      </c>
      <c r="F79" s="46">
        <f>(VLOOKUP($A79,'The List'!$B1:$AH730,18,FALSE)-AVERAGE('The List'!S2:S730))/STDEV('The List'!S2:S730)</f>
        <v>1.20612384716808</v>
      </c>
      <c r="G79" s="46">
        <f>(VLOOKUP($A79,'The List'!$B1:$AH730,19,FALSE)-AVERAGE('The List'!T2:T730))/STDEV('The List'!T2:T730)</f>
        <v>1.56729743395059</v>
      </c>
      <c r="H79" s="46">
        <f>(VLOOKUP($A79,'The List'!$B1:$AH730,20,FALSE)-AVERAGE('The List'!U2:U730))/STDEV('The List'!U2:U730)</f>
        <v>1.51502880809566</v>
      </c>
      <c r="I79" s="46">
        <f>(VLOOKUP($A79,'The List'!$B1:$AH730,21,FALSE)-AVERAGE('The List'!V2:V730))/STDEV('The List'!V2:V730)</f>
        <v>0.956653347235139</v>
      </c>
      <c r="J79" s="46">
        <f>(VLOOKUP($A79,'The List'!$B1:$AH730,22,FALSE)-AVERAGE('The List'!W2:W730))/STDEV('The List'!W2:W730)</f>
        <v>2.44942619837536</v>
      </c>
      <c r="K79" s="46">
        <f>(VLOOKUP($A79,'The List'!$B1:$AH730,23,FALSE)-AVERAGE('The List'!X2:X730))/STDEV('The List'!X2:X730)</f>
        <v>1.77463250316941</v>
      </c>
      <c r="L79" s="46">
        <f>(VLOOKUP($A79,'The List'!$B1:$AH730,24,FALSE)-AVERAGE('The List'!Y2:Y730))/STDEV('The List'!Y2:Y730)</f>
        <v>-0.447586519091353</v>
      </c>
      <c r="M79" s="46">
        <f>(VLOOKUP($A79,'The List'!$B1:$AH730,25,FALSE)-AVERAGE('The List'!Z2:Z730))/STDEV('The List'!Z2:Z730)</f>
        <v>-0.330919976607277</v>
      </c>
      <c r="N79" s="46">
        <f>(VLOOKUP($A79,'The List'!$B1:$AH730,26,FALSE)-AVERAGE('The List'!AA2:AA730))/STDEV('The List'!AA2:AA730)</f>
        <v>0.0198561414506674</v>
      </c>
      <c r="O79" s="46">
        <f>(VLOOKUP($A79,'The List'!$B1:$AH730,27,FALSE)-AVERAGE('The List'!AB2:AB730))/STDEV('The List'!AB2:AB730)</f>
        <v>0.00152723757892921</v>
      </c>
      <c r="P79" s="46">
        <f>(VLOOKUP($A79,'The List'!$B1:$AH730,28,FALSE)-AVERAGE('The List'!AC2:AC730))/STDEV('The List'!AC2:AC730)</f>
        <v>2.25181202513163</v>
      </c>
      <c r="Q79" s="46">
        <f>(VLOOKUP($A79,'The List'!$B1:$AH730,29,FALSE)-AVERAGE('The List'!AD2:AD730))/STDEV('The List'!AD2:AD730)</f>
        <v>-1.07776344796752</v>
      </c>
      <c r="R79" s="46">
        <f>(VLOOKUP($A79,'The List'!$B1:$AH730,30,FALSE)-AVERAGE('The List'!AE2:AE730))/STDEV('The List'!AE2:AE730)</f>
        <v>1.4199899048593</v>
      </c>
      <c r="S79" s="46">
        <f>(VLOOKUP($A79,'The List'!$B1:$AH730,31,FALSE)-AVERAGE('The List'!AF2:AF730))/STDEV('The List'!AF2:AF730)</f>
        <v>1.29423761080096</v>
      </c>
      <c r="T79" s="46">
        <f>(VLOOKUP($A79,'The List'!$B1:$AH730,32,FALSE)-AVERAGE('The List'!AG2:AG730))/STDEV('The List'!AG2:AG730)</f>
        <v>1.14024620096119</v>
      </c>
      <c r="U79" s="46">
        <f>(VLOOKUP($A79,'The List'!$B1:$AH730,33,FALSE)-AVERAGE('The List'!AH2:AH730))/STDEV('The List'!AH2:AH730)</f>
        <v>1.14790776428806</v>
      </c>
      <c r="V79" s="46"/>
      <c r="W79" s="50"/>
      <c r="X79" s="48"/>
      <c r="Y79" s="48"/>
      <c r="Z79" s="48"/>
      <c r="AA79" s="48"/>
      <c r="AB79" s="48"/>
      <c r="AC79" s="51"/>
      <c r="AD79" s="52"/>
      <c r="AE79" s="46"/>
    </row>
    <row r="80" ht="21.25" customHeight="1">
      <c r="A80" t="s" s="8">
        <v>208</v>
      </c>
      <c r="B80" t="s" s="42">
        <f>VLOOKUP(A80,'Player Data'!A1:B734,2,FALSE)</f>
        <v>139</v>
      </c>
      <c r="C80" s="44">
        <f>((E80)*'Settings'!$C$12)+(F80*'Settings'!$C$2)+(G80*'Settings'!$C$3)+(H80*'Settings'!$C$4)+(I80*'Settings'!$C$5)+(K80*'Settings'!$C$9)+(N80*'Settings'!$C$6)+(J80*'Settings'!$C$8)+(O80*'Settings'!$C$7)+(P80*'Settings'!$C$14)+(Q80*'Settings'!$C$15)+(R80*'Settings'!$C$16)+(S80*'Settings'!$C$17)+(T80*'Settings'!$C$18)+(U80*'Settings'!$C$19)+(L80*'Settings'!$C$10)+('Settings'!$C$11*M80)</f>
        <v>5.43262590035221</v>
      </c>
      <c r="D80" s="48">
        <f>IF('Settings'!$E$12="YES",VLOOKUP(A80,'Player Data'!A1:E734,5,FALSE),82)</f>
        <v>81.48999999999999</v>
      </c>
      <c r="E80" s="46">
        <f>(VLOOKUP($A80,'The List'!$B1:$AH730,17,FALSE)-AVERAGE('The List'!R2:R730))/STDEV('The List'!R2:R730)</f>
        <v>0.663374591087097</v>
      </c>
      <c r="F80" s="46">
        <f>(VLOOKUP($A80,'The List'!$B1:$AH730,18,FALSE)-AVERAGE('The List'!S2:S730))/STDEV('The List'!S2:S730)</f>
        <v>1.75616960210535</v>
      </c>
      <c r="G80" s="46">
        <f>(VLOOKUP($A80,'The List'!$B1:$AH730,19,FALSE)-AVERAGE('The List'!T2:T730))/STDEV('The List'!T2:T730)</f>
        <v>1.61620158015978</v>
      </c>
      <c r="H80" s="46">
        <f>(VLOOKUP($A80,'The List'!$B1:$AH730,20,FALSE)-AVERAGE('The List'!U2:U730))/STDEV('The List'!U2:U730)</f>
        <v>1.79545942150178</v>
      </c>
      <c r="I80" s="46">
        <f>(VLOOKUP($A80,'The List'!$B1:$AH730,21,FALSE)-AVERAGE('The List'!V2:V730))/STDEV('The List'!V2:V730)</f>
        <v>1.76200671651458</v>
      </c>
      <c r="J80" s="46">
        <f>(VLOOKUP($A80,'The List'!$B1:$AH730,22,FALSE)-AVERAGE('The List'!W2:W730))/STDEV('The List'!W2:W730)</f>
        <v>1.28613259689555</v>
      </c>
      <c r="K80" s="46">
        <f>(VLOOKUP($A80,'The List'!$B1:$AH730,23,FALSE)-AVERAGE('The List'!X2:X730))/STDEV('The List'!X2:X730)</f>
        <v>1.76961971852258</v>
      </c>
      <c r="L80" s="46">
        <f>(VLOOKUP($A80,'The List'!$B1:$AH730,24,FALSE)-AVERAGE('The List'!Y2:Y730))/STDEV('The List'!Y2:Y730)</f>
        <v>0.905201293240335</v>
      </c>
      <c r="M80" s="46">
        <f>(VLOOKUP($A80,'The List'!$B1:$AH730,25,FALSE)-AVERAGE('The List'!Z2:Z730))/STDEV('The List'!Z2:Z730)</f>
        <v>1.44279910993863</v>
      </c>
      <c r="N80" s="46">
        <f>(VLOOKUP($A80,'The List'!$B1:$AH730,26,FALSE)-AVERAGE('The List'!AA2:AA730))/STDEV('The List'!AA2:AA730)</f>
        <v>-0.676080894854267</v>
      </c>
      <c r="O80" s="46">
        <f>(VLOOKUP($A80,'The List'!$B1:$AH730,27,FALSE)-AVERAGE('The List'!AB2:AB730))/STDEV('The List'!AB2:AB730)</f>
        <v>-0.671786393926212</v>
      </c>
      <c r="P80" s="46">
        <f>(VLOOKUP($A80,'The List'!$B1:$AH730,28,FALSE)-AVERAGE('The List'!AC2:AC730))/STDEV('The List'!AC2:AC730)</f>
        <v>-0.795290822095811</v>
      </c>
      <c r="Q80" s="46">
        <f>(VLOOKUP($A80,'The List'!$B1:$AH730,29,FALSE)-AVERAGE('The List'!AD2:AD730))/STDEV('The List'!AD2:AD730)</f>
        <v>0.96108980725043</v>
      </c>
      <c r="R80" s="46">
        <f>(VLOOKUP($A80,'The List'!$B1:$AH730,30,FALSE)-AVERAGE('The List'!AE2:AE730))/STDEV('The List'!AE2:AE730)</f>
        <v>1.35770482934351</v>
      </c>
      <c r="S80" s="46">
        <f>(VLOOKUP($A80,'The List'!$B1:$AH730,31,FALSE)-AVERAGE('The List'!AF2:AF730))/STDEV('The List'!AF2:AF730)</f>
        <v>2.35102695835097</v>
      </c>
      <c r="T80" s="46">
        <f>(VLOOKUP($A80,'The List'!$B1:$AH730,32,FALSE)-AVERAGE('The List'!AG2:AG730))/STDEV('The List'!AG2:AG730)</f>
        <v>2.827996173956</v>
      </c>
      <c r="U80" s="46">
        <f>(VLOOKUP($A80,'The List'!$B1:$AH730,33,FALSE)-AVERAGE('The List'!AH2:AH730))/STDEV('The List'!AH2:AH730)</f>
        <v>0.892928640786801</v>
      </c>
      <c r="V80" s="46"/>
      <c r="W80" s="48"/>
      <c r="X80" s="48"/>
      <c r="Y80" s="48"/>
      <c r="Z80" s="48"/>
      <c r="AA80" s="48"/>
      <c r="AB80" s="48"/>
      <c r="AC80" s="51"/>
      <c r="AD80" s="52"/>
      <c r="AE80" s="46"/>
    </row>
    <row r="81" ht="21.25" customHeight="1">
      <c r="A81" t="s" s="8">
        <v>199</v>
      </c>
      <c r="B81" t="s" s="42">
        <f>VLOOKUP(A81,'Player Data'!A1:B734,2,FALSE)</f>
        <v>184</v>
      </c>
      <c r="C81" s="44">
        <f>((E81)*'Settings'!$C$12)+(F81*'Settings'!$C$2)+(G81*'Settings'!$C$3)+(H81*'Settings'!$C$4)+(I81*'Settings'!$C$5)+(K81*'Settings'!$C$9)+(N81*'Settings'!$C$6)+(J81*'Settings'!$C$8)+(O81*'Settings'!$C$7)+(P81*'Settings'!$C$14)+(Q81*'Settings'!$C$15)+(R81*'Settings'!$C$16)+(S81*'Settings'!$C$17)+(T81*'Settings'!$C$18)+(U81*'Settings'!$C$19)+(L81*'Settings'!$C$10)+('Settings'!$C$11*M81)</f>
        <v>5.73198421064116</v>
      </c>
      <c r="D81" s="48">
        <f>IF('Settings'!$E$12="YES",VLOOKUP(A81,'Player Data'!A1:E734,5,FALSE),82)</f>
        <v>81.4442857142857</v>
      </c>
      <c r="E81" s="46">
        <f>(VLOOKUP($A81,'The List'!$B1:$AH730,17,FALSE)-AVERAGE('The List'!R2:R730))/STDEV('The List'!R2:R730)</f>
        <v>0.504070300137242</v>
      </c>
      <c r="F81" s="46">
        <f>(VLOOKUP($A81,'The List'!$B1:$AH730,18,FALSE)-AVERAGE('The List'!S2:S730))/STDEV('The List'!S2:S730)</f>
        <v>1.98334324492271</v>
      </c>
      <c r="G81" s="46">
        <f>(VLOOKUP($A81,'The List'!$B1:$AH730,19,FALSE)-AVERAGE('The List'!T2:T730))/STDEV('The List'!T2:T730)</f>
        <v>1.15303104447594</v>
      </c>
      <c r="H81" s="46">
        <f>(VLOOKUP($A81,'The List'!$B1:$AH730,20,FALSE)-AVERAGE('The List'!U2:U730))/STDEV('The List'!U2:U730)</f>
        <v>1.61328943762522</v>
      </c>
      <c r="I81" s="46">
        <f>(VLOOKUP($A81,'The List'!$B1:$AH730,21,FALSE)-AVERAGE('The List'!V2:V730))/STDEV('The List'!V2:V730)</f>
        <v>1.9125899972862</v>
      </c>
      <c r="J81" s="46">
        <f>(VLOOKUP($A81,'The List'!$B1:$AH730,22,FALSE)-AVERAGE('The List'!W2:W730))/STDEV('The List'!W2:W730)</f>
        <v>2.33695483908305</v>
      </c>
      <c r="K81" s="46">
        <f>(VLOOKUP($A81,'The List'!$B1:$AH730,23,FALSE)-AVERAGE('The List'!X2:X730))/STDEV('The List'!X2:X730)</f>
        <v>2.02095817594362</v>
      </c>
      <c r="L81" s="46">
        <f>(VLOOKUP($A81,'The List'!$B1:$AH730,24,FALSE)-AVERAGE('The List'!Y2:Y730))/STDEV('The List'!Y2:Y730)</f>
        <v>-0.505336004470764</v>
      </c>
      <c r="M81" s="46">
        <f>(VLOOKUP($A81,'The List'!$B1:$AH730,25,FALSE)-AVERAGE('The List'!Z2:Z730))/STDEV('The List'!Z2:Z730)</f>
        <v>-0.691471186174804</v>
      </c>
      <c r="N81" s="46">
        <f>(VLOOKUP($A81,'The List'!$B1:$AH730,26,FALSE)-AVERAGE('The List'!AA2:AA730))/STDEV('The List'!AA2:AA730)</f>
        <v>-0.60869514366983</v>
      </c>
      <c r="O81" s="46">
        <f>(VLOOKUP($A81,'The List'!$B1:$AH730,27,FALSE)-AVERAGE('The List'!AB2:AB730))/STDEV('The List'!AB2:AB730)</f>
        <v>0.184275463236698</v>
      </c>
      <c r="P81" s="46">
        <f>(VLOOKUP($A81,'The List'!$B1:$AH730,28,FALSE)-AVERAGE('The List'!AC2:AC730))/STDEV('The List'!AC2:AC730)</f>
        <v>-0.729243108317481</v>
      </c>
      <c r="Q81" s="46">
        <f>(VLOOKUP($A81,'The List'!$B1:$AH730,29,FALSE)-AVERAGE('The List'!AD2:AD730))/STDEV('The List'!AD2:AD730)</f>
        <v>-0.55992671513285</v>
      </c>
      <c r="R81" s="46">
        <f>(VLOOKUP($A81,'The List'!$B1:$AH730,30,FALSE)-AVERAGE('The List'!AE2:AE730))/STDEV('The List'!AE2:AE730)</f>
        <v>1.63905234967388</v>
      </c>
      <c r="S81" s="46">
        <f>(VLOOKUP($A81,'The List'!$B1:$AH730,31,FALSE)-AVERAGE('The List'!AF2:AF730))/STDEV('The List'!AF2:AF730)</f>
        <v>-0.494682583824783</v>
      </c>
      <c r="T81" s="46">
        <f>(VLOOKUP($A81,'The List'!$B1:$AH730,32,FALSE)-AVERAGE('The List'!AG2:AG730))/STDEV('The List'!AG2:AG730)</f>
        <v>-0.519159177295218</v>
      </c>
      <c r="U81" s="46">
        <f>(VLOOKUP($A81,'The List'!$B1:$AH730,33,FALSE)-AVERAGE('The List'!AH2:AH730))/STDEV('The List'!AH2:AH730)</f>
        <v>0.772434613091541</v>
      </c>
      <c r="V81" s="46"/>
      <c r="W81" s="50"/>
      <c r="X81" s="48"/>
      <c r="Y81" s="48"/>
      <c r="Z81" s="48"/>
      <c r="AA81" s="48"/>
      <c r="AB81" s="48"/>
      <c r="AC81" s="51"/>
      <c r="AD81" s="52"/>
      <c r="AE81" s="46"/>
    </row>
    <row r="82" ht="21.25" customHeight="1">
      <c r="A82" t="s" s="8">
        <v>249</v>
      </c>
      <c r="B82" t="s" s="42">
        <f>VLOOKUP(A82,'Player Data'!A1:B734,2,FALSE)</f>
        <v>202</v>
      </c>
      <c r="C82" s="44">
        <f>((E82)*'Settings'!$C$12)+(F82*'Settings'!$C$2)+(G82*'Settings'!$C$3)+(H82*'Settings'!$C$4)+(I82*'Settings'!$C$5)+(K82*'Settings'!$C$9)+(N82*'Settings'!$C$6)+(J82*'Settings'!$C$8)+(O82*'Settings'!$C$7)+(P82*'Settings'!$C$14)+(Q82*'Settings'!$C$15)+(R82*'Settings'!$C$16)+(S82*'Settings'!$C$17)+(T82*'Settings'!$C$18)+(U82*'Settings'!$C$19)+(L82*'Settings'!$C$10)+('Settings'!$C$11*M82)</f>
        <v>6.10556114419272</v>
      </c>
      <c r="D82" s="48">
        <f>IF('Settings'!$E$12="YES",VLOOKUP(A82,'Player Data'!A1:E734,5,FALSE),82)</f>
        <v>81.0407142857143</v>
      </c>
      <c r="E82" s="46">
        <f>(VLOOKUP($A82,'The List'!$B1:$AH730,17,FALSE)-AVERAGE('The List'!R2:R730))/STDEV('The List'!R2:R730)</f>
        <v>0.505980722516018</v>
      </c>
      <c r="F82" s="46">
        <f>(VLOOKUP($A82,'The List'!$B1:$AH730,18,FALSE)-AVERAGE('The List'!S2:S730))/STDEV('The List'!S2:S730)</f>
        <v>1.22705043942396</v>
      </c>
      <c r="G82" s="46">
        <f>(VLOOKUP($A82,'The List'!$B1:$AH730,19,FALSE)-AVERAGE('The List'!T2:T730))/STDEV('The List'!T2:T730)</f>
        <v>1.41567151651659</v>
      </c>
      <c r="H82" s="46">
        <f>(VLOOKUP($A82,'The List'!$B1:$AH730,20,FALSE)-AVERAGE('The List'!U2:U730))/STDEV('The List'!U2:U730)</f>
        <v>1.43107544209373</v>
      </c>
      <c r="I82" s="46">
        <f>(VLOOKUP($A82,'The List'!$B1:$AH730,21,FALSE)-AVERAGE('The List'!V2:V730))/STDEV('The List'!V2:V730)</f>
        <v>1.52601749892377</v>
      </c>
      <c r="J82" s="46">
        <f>(VLOOKUP($A82,'The List'!$B1:$AH730,22,FALSE)-AVERAGE('The List'!W2:W730))/STDEV('The List'!W2:W730)</f>
        <v>1.16958712330641</v>
      </c>
      <c r="K82" s="46">
        <f>(VLOOKUP($A82,'The List'!$B1:$AH730,23,FALSE)-AVERAGE('The List'!X2:X730))/STDEV('The List'!X2:X730)</f>
        <v>1.4197614838304</v>
      </c>
      <c r="L82" s="46">
        <f>(VLOOKUP($A82,'The List'!$B1:$AH730,24,FALSE)-AVERAGE('The List'!Y2:Y730))/STDEV('The List'!Y2:Y730)</f>
        <v>-0.0209716391064275</v>
      </c>
      <c r="M82" s="46">
        <f>(VLOOKUP($A82,'The List'!$B1:$AH730,25,FALSE)-AVERAGE('The List'!Z2:Z730))/STDEV('The List'!Z2:Z730)</f>
        <v>0.0288794896655356</v>
      </c>
      <c r="N82" s="46">
        <f>(VLOOKUP($A82,'The List'!$B1:$AH730,26,FALSE)-AVERAGE('The List'!AA2:AA730))/STDEV('The List'!AA2:AA730)</f>
        <v>-0.896772841260168</v>
      </c>
      <c r="O82" s="46">
        <f>(VLOOKUP($A82,'The List'!$B1:$AH730,27,FALSE)-AVERAGE('The List'!AB2:AB730))/STDEV('The List'!AB2:AB730)</f>
        <v>-0.63750436968694</v>
      </c>
      <c r="P82" s="46">
        <f>(VLOOKUP($A82,'The List'!$B1:$AH730,28,FALSE)-AVERAGE('The List'!AC2:AC730))/STDEV('The List'!AC2:AC730)</f>
        <v>1.41383304675817</v>
      </c>
      <c r="Q82" s="46">
        <f>(VLOOKUP($A82,'The List'!$B1:$AH730,29,FALSE)-AVERAGE('The List'!AD2:AD730))/STDEV('The List'!AD2:AD730)</f>
        <v>0.0427017768507076</v>
      </c>
      <c r="R82" s="46">
        <f>(VLOOKUP($A82,'The List'!$B1:$AH730,30,FALSE)-AVERAGE('The List'!AE2:AE730))/STDEV('The List'!AE2:AE730)</f>
        <v>1.76070862532484</v>
      </c>
      <c r="S82" s="46">
        <f>(VLOOKUP($A82,'The List'!$B1:$AH730,31,FALSE)-AVERAGE('The List'!AF2:AF730))/STDEV('The List'!AF2:AF730)</f>
        <v>0.208235764510699</v>
      </c>
      <c r="T82" s="46">
        <f>(VLOOKUP($A82,'The List'!$B1:$AH730,32,FALSE)-AVERAGE('The List'!AG2:AG730))/STDEV('The List'!AG2:AG730)</f>
        <v>0.374569138761879</v>
      </c>
      <c r="U82" s="46">
        <f>(VLOOKUP($A82,'The List'!$B1:$AH730,33,FALSE)-AVERAGE('The List'!AH2:AH730))/STDEV('The List'!AH2:AH730)</f>
        <v>0.805353669949991</v>
      </c>
      <c r="V82" s="46"/>
      <c r="W82" s="48"/>
      <c r="X82" s="46"/>
      <c r="Y82" s="46"/>
      <c r="Z82" s="46"/>
      <c r="AA82" s="46"/>
      <c r="AB82" s="46"/>
      <c r="AC82" s="46"/>
      <c r="AD82" s="46"/>
      <c r="AE82" s="46"/>
    </row>
    <row r="83" ht="21.25" customHeight="1">
      <c r="A83" t="s" s="8">
        <v>278</v>
      </c>
      <c r="B83" t="s" s="42">
        <f>VLOOKUP(A83,'Player Data'!A1:B734,2,FALSE)</f>
        <v>248</v>
      </c>
      <c r="C83" s="44">
        <f>((E83)*'Settings'!$C$12)+(F83*'Settings'!$C$2)+(G83*'Settings'!$C$3)+(H83*'Settings'!$C$4)+(I83*'Settings'!$C$5)+(K83*'Settings'!$C$9)+(N83*'Settings'!$C$6)+(J83*'Settings'!$C$8)+(O83*'Settings'!$C$7)+(P83*'Settings'!$C$14)+(Q83*'Settings'!$C$15)+(R83*'Settings'!$C$16)+(S83*'Settings'!$C$17)+(T83*'Settings'!$C$18)+(U83*'Settings'!$C$19)+(L83*'Settings'!$C$10)+('Settings'!$C$11*M83)</f>
        <v>4.75429115398183</v>
      </c>
      <c r="D83" s="48">
        <f>IF('Settings'!$E$12="YES",VLOOKUP(A83,'Player Data'!A1:E734,5,FALSE),82)</f>
        <v>77.7</v>
      </c>
      <c r="E83" s="46">
        <f>(VLOOKUP($A83,'The List'!$B1:$AH730,17,FALSE)-AVERAGE('The List'!R2:R730))/STDEV('The List'!R2:R730)</f>
        <v>0.176761712951639</v>
      </c>
      <c r="F83" s="46">
        <f>(VLOOKUP($A83,'The List'!$B1:$AH730,18,FALSE)-AVERAGE('The List'!S2:S730))/STDEV('The List'!S2:S730)</f>
        <v>2.0490702820276</v>
      </c>
      <c r="G83" s="46">
        <f>(VLOOKUP($A83,'The List'!$B1:$AH730,19,FALSE)-AVERAGE('The List'!T2:T730))/STDEV('The List'!T2:T730)</f>
        <v>0.5838707489073</v>
      </c>
      <c r="H83" s="46">
        <f>(VLOOKUP($A83,'The List'!$B1:$AH730,20,FALSE)-AVERAGE('The List'!U2:U730))/STDEV('The List'!U2:U730)</f>
        <v>1.29231671635129</v>
      </c>
      <c r="I83" s="46">
        <f>(VLOOKUP($A83,'The List'!$B1:$AH730,21,FALSE)-AVERAGE('The List'!V2:V730))/STDEV('The List'!V2:V730)</f>
        <v>1.33556556752926</v>
      </c>
      <c r="J83" s="46">
        <f>(VLOOKUP($A83,'The List'!$B1:$AH730,22,FALSE)-AVERAGE('The List'!W2:W730))/STDEV('The List'!W2:W730)</f>
        <v>1.54573593301089</v>
      </c>
      <c r="K83" s="46">
        <f>(VLOOKUP($A83,'The List'!$B1:$AH730,23,FALSE)-AVERAGE('The List'!X2:X730))/STDEV('The List'!X2:X730)</f>
        <v>1.03133895629398</v>
      </c>
      <c r="L83" s="46">
        <f>(VLOOKUP($A83,'The List'!$B1:$AH730,24,FALSE)-AVERAGE('The List'!Y2:Y730))/STDEV('The List'!Y2:Y730)</f>
        <v>2.85470776106576</v>
      </c>
      <c r="M83" s="46">
        <f>(VLOOKUP($A83,'The List'!$B1:$AH730,25,FALSE)-AVERAGE('The List'!Z2:Z730))/STDEV('The List'!Z2:Z730)</f>
        <v>1.46945321046152</v>
      </c>
      <c r="N83" s="46">
        <f>(VLOOKUP($A83,'The List'!$B1:$AH730,26,FALSE)-AVERAGE('The List'!AA2:AA730))/STDEV('The List'!AA2:AA730)</f>
        <v>-0.724963993176365</v>
      </c>
      <c r="O83" s="46">
        <f>(VLOOKUP($A83,'The List'!$B1:$AH730,27,FALSE)-AVERAGE('The List'!AB2:AB730))/STDEV('The List'!AB2:AB730)</f>
        <v>-0.445195874028646</v>
      </c>
      <c r="P83" s="46">
        <f>(VLOOKUP($A83,'The List'!$B1:$AH730,28,FALSE)-AVERAGE('The List'!AC2:AC730))/STDEV('The List'!AC2:AC730)</f>
        <v>0.47940959240005</v>
      </c>
      <c r="Q83" s="46">
        <f>(VLOOKUP($A83,'The List'!$B1:$AH730,29,FALSE)-AVERAGE('The List'!AD2:AD730))/STDEV('The List'!AD2:AD730)</f>
        <v>-0.687382568976296</v>
      </c>
      <c r="R83" s="46">
        <f>(VLOOKUP($A83,'The List'!$B1:$AH730,30,FALSE)-AVERAGE('The List'!AE2:AE730))/STDEV('The List'!AE2:AE730)</f>
        <v>1.87466164208843</v>
      </c>
      <c r="S83" s="46">
        <f>(VLOOKUP($A83,'The List'!$B1:$AH730,31,FALSE)-AVERAGE('The List'!AF2:AF730))/STDEV('The List'!AF2:AF730)</f>
        <v>-0.23715905264343</v>
      </c>
      <c r="T83" s="46">
        <f>(VLOOKUP($A83,'The List'!$B1:$AH730,32,FALSE)-AVERAGE('The List'!AG2:AG730))/STDEV('The List'!AG2:AG730)</f>
        <v>-0.0809163082409526</v>
      </c>
      <c r="U83" s="46">
        <f>(VLOOKUP($A83,'The List'!$B1:$AH730,33,FALSE)-AVERAGE('The List'!AH2:AH730))/STDEV('The List'!AH2:AH730)</f>
        <v>0.537538197020538</v>
      </c>
      <c r="V83" s="46"/>
      <c r="W83" s="50"/>
      <c r="X83" s="48"/>
      <c r="Y83" s="48"/>
      <c r="Z83" s="48"/>
      <c r="AA83" s="48"/>
      <c r="AB83" s="48"/>
      <c r="AC83" s="51"/>
      <c r="AD83" s="52"/>
      <c r="AE83" s="46"/>
    </row>
    <row r="84" ht="21.25" customHeight="1">
      <c r="A84" t="s" s="8">
        <v>143</v>
      </c>
      <c r="B84" t="s" s="42">
        <f>VLOOKUP(A84,'Player Data'!A1:B734,2,FALSE)</f>
        <v>139</v>
      </c>
      <c r="C84" s="44">
        <f>((E84)*'Settings'!$C$12)+(F84*'Settings'!$C$2)+(G84*'Settings'!$C$3)+(H84*'Settings'!$C$4)+(I84*'Settings'!$C$5)+(K84*'Settings'!$C$9)+(N84*'Settings'!$C$6)+(J84*'Settings'!$C$8)+(O84*'Settings'!$C$7)+(P84*'Settings'!$C$14)+(Q84*'Settings'!$C$15)+(R84*'Settings'!$C$16)+(S84*'Settings'!$C$17)+(T84*'Settings'!$C$18)+(U84*'Settings'!$C$19)+(L84*'Settings'!$C$10)+('Settings'!$C$11*M84)</f>
        <v>7.72283652247541</v>
      </c>
      <c r="D84" s="48">
        <f>IF('Settings'!$E$12="YES",VLOOKUP(A84,'Player Data'!A1:E734,5,FALSE),82)</f>
        <v>81.48</v>
      </c>
      <c r="E84" s="46">
        <f>(VLOOKUP($A84,'The List'!$B1:$AH730,17,FALSE)-AVERAGE('The List'!R2:R730))/STDEV('The List'!R2:R730)</f>
        <v>2.45787363959791</v>
      </c>
      <c r="F84" s="46">
        <f>(VLOOKUP($A84,'The List'!$B1:$AH730,18,FALSE)-AVERAGE('The List'!S2:S730))/STDEV('The List'!S2:S730)</f>
        <v>0.192764994449857</v>
      </c>
      <c r="G84" s="46">
        <f>(VLOOKUP($A84,'The List'!$B1:$AH730,19,FALSE)-AVERAGE('The List'!T2:T730))/STDEV('The List'!T2:T730)</f>
        <v>2.39830328908811</v>
      </c>
      <c r="H84" s="46">
        <f>(VLOOKUP($A84,'The List'!$B1:$AH730,20,FALSE)-AVERAGE('The List'!U2:U730))/STDEV('The List'!U2:U730)</f>
        <v>1.56623439370762</v>
      </c>
      <c r="I84" s="46">
        <f>(VLOOKUP($A84,'The List'!$B1:$AH730,21,FALSE)-AVERAGE('The List'!V2:V730))/STDEV('The List'!V2:V730)</f>
        <v>1.28584089084935</v>
      </c>
      <c r="J84" s="46">
        <f>(VLOOKUP($A84,'The List'!$B1:$AH730,22,FALSE)-AVERAGE('The List'!W2:W730))/STDEV('The List'!W2:W730)</f>
        <v>0.6902396610959201</v>
      </c>
      <c r="K84" s="46">
        <f>(VLOOKUP($A84,'The List'!$B1:$AH730,23,FALSE)-AVERAGE('The List'!X2:X730))/STDEV('The List'!X2:X730)</f>
        <v>2.45665885456457</v>
      </c>
      <c r="L84" s="46">
        <f>(VLOOKUP($A84,'The List'!$B1:$AH730,24,FALSE)-AVERAGE('The List'!Y2:Y730))/STDEV('The List'!Y2:Y730)</f>
        <v>-0.497006197652513</v>
      </c>
      <c r="M84" s="46">
        <f>(VLOOKUP($A84,'The List'!$B1:$AH730,25,FALSE)-AVERAGE('The List'!Z2:Z730))/STDEV('The List'!Z2:Z730)</f>
        <v>-0.37778039417368</v>
      </c>
      <c r="N84" s="46">
        <f>(VLOOKUP($A84,'The List'!$B1:$AH730,26,FALSE)-AVERAGE('The List'!AA2:AA730))/STDEV('The List'!AA2:AA730)</f>
        <v>1.63059746244954</v>
      </c>
      <c r="O84" s="46">
        <f>(VLOOKUP($A84,'The List'!$B1:$AH730,27,FALSE)-AVERAGE('The List'!AB2:AB730))/STDEV('The List'!AB2:AB730)</f>
        <v>0.480956150905417</v>
      </c>
      <c r="P84" s="46">
        <f>(VLOOKUP($A84,'The List'!$B1:$AH730,28,FALSE)-AVERAGE('The List'!AC2:AC730))/STDEV('The List'!AC2:AC730)</f>
        <v>-0.241328968926013</v>
      </c>
      <c r="Q84" s="46">
        <f>(VLOOKUP($A84,'The List'!$B1:$AH730,29,FALSE)-AVERAGE('The List'!AD2:AD730))/STDEV('The List'!AD2:AD730)</f>
        <v>2.87307670919871</v>
      </c>
      <c r="R84" s="46">
        <f>(VLOOKUP($A84,'The List'!$B1:$AH730,30,FALSE)-AVERAGE('The List'!AE2:AE730))/STDEV('The List'!AE2:AE730)</f>
        <v>0.0553341881835721</v>
      </c>
      <c r="S84" s="46">
        <f>(VLOOKUP($A84,'The List'!$B1:$AH730,31,FALSE)-AVERAGE('The List'!AF2:AF730))/STDEV('The List'!AF2:AF730)</f>
        <v>-0.5569063253591</v>
      </c>
      <c r="T84" s="46">
        <f>(VLOOKUP($A84,'The List'!$B1:$AH730,32,FALSE)-AVERAGE('The List'!AG2:AG730))/STDEV('The List'!AG2:AG730)</f>
        <v>-0.600856269042678</v>
      </c>
      <c r="U84" s="46">
        <f>(VLOOKUP($A84,'The List'!$B1:$AH730,33,FALSE)-AVERAGE('The List'!AH2:AH730))/STDEV('The List'!AH2:AH730)</f>
        <v>-1.2363238714826</v>
      </c>
      <c r="V84" s="46"/>
      <c r="W84" s="50"/>
      <c r="X84" s="48"/>
      <c r="Y84" s="48"/>
      <c r="Z84" s="48"/>
      <c r="AA84" s="48"/>
      <c r="AB84" s="48"/>
      <c r="AC84" s="51"/>
      <c r="AD84" s="52"/>
      <c r="AE84" s="46"/>
    </row>
    <row r="85" ht="21.25" customHeight="1">
      <c r="A85" t="s" s="8">
        <v>266</v>
      </c>
      <c r="B85" t="s" s="42">
        <f>VLOOKUP(A85,'Player Data'!A1:B734,2,FALSE)</f>
        <v>204</v>
      </c>
      <c r="C85" s="44">
        <f>((E85)*'Settings'!$C$12)+(F85*'Settings'!$C$2)+(G85*'Settings'!$C$3)+(H85*'Settings'!$C$4)+(I85*'Settings'!$C$5)+(K85*'Settings'!$C$9)+(N85*'Settings'!$C$6)+(J85*'Settings'!$C$8)+(O85*'Settings'!$C$7)+(P85*'Settings'!$C$14)+(Q85*'Settings'!$C$15)+(R85*'Settings'!$C$16)+(S85*'Settings'!$C$17)+(T85*'Settings'!$C$18)+(U85*'Settings'!$C$19)+(L85*'Settings'!$C$10)+('Settings'!$C$11*M85)</f>
        <v>5.02695051357294</v>
      </c>
      <c r="D85" s="48">
        <f>IF('Settings'!$E$12="YES",VLOOKUP(A85,'Player Data'!A1:E734,5,FALSE),82)</f>
        <v>78.83071428571429</v>
      </c>
      <c r="E85" s="46">
        <f>(VLOOKUP($A85,'The List'!$B1:$AH730,17,FALSE)-AVERAGE('The List'!R2:R730))/STDEV('The List'!R2:R730)</f>
        <v>0.568529740203056</v>
      </c>
      <c r="F85" s="46">
        <f>(VLOOKUP($A85,'The List'!$B1:$AH730,18,FALSE)-AVERAGE('The List'!S2:S730))/STDEV('The List'!S2:S730)</f>
        <v>1.42421506699116</v>
      </c>
      <c r="G85" s="46">
        <f>(VLOOKUP($A85,'The List'!$B1:$AH730,19,FALSE)-AVERAGE('The List'!T2:T730))/STDEV('The List'!T2:T730)</f>
        <v>1.02615421483419</v>
      </c>
      <c r="H85" s="46">
        <f>(VLOOKUP($A85,'The List'!$B1:$AH730,20,FALSE)-AVERAGE('The List'!U2:U730))/STDEV('The List'!U2:U730)</f>
        <v>1.28065700511406</v>
      </c>
      <c r="I85" s="46">
        <f>(VLOOKUP($A85,'The List'!$B1:$AH730,21,FALSE)-AVERAGE('The List'!V2:V730))/STDEV('The List'!V2:V730)</f>
        <v>1.37667422254928</v>
      </c>
      <c r="J85" s="46">
        <f>(VLOOKUP($A85,'The List'!$B1:$AH730,22,FALSE)-AVERAGE('The List'!W2:W730))/STDEV('The List'!W2:W730)</f>
        <v>2.20958692136808</v>
      </c>
      <c r="K85" s="46">
        <f>(VLOOKUP($A85,'The List'!$B1:$AH730,23,FALSE)-AVERAGE('The List'!X2:X730))/STDEV('The List'!X2:X730)</f>
        <v>1.32234785006259</v>
      </c>
      <c r="L85" s="46">
        <f>(VLOOKUP($A85,'The List'!$B1:$AH730,24,FALSE)-AVERAGE('The List'!Y2:Y730))/STDEV('The List'!Y2:Y730)</f>
        <v>-0.482889714598371</v>
      </c>
      <c r="M85" s="46">
        <f>(VLOOKUP($A85,'The List'!$B1:$AH730,25,FALSE)-AVERAGE('The List'!Z2:Z730))/STDEV('The List'!Z2:Z730)</f>
        <v>-0.654693945306301</v>
      </c>
      <c r="N85" s="46">
        <f>(VLOOKUP($A85,'The List'!$B1:$AH730,26,FALSE)-AVERAGE('The List'!AA2:AA730))/STDEV('The List'!AA2:AA730)</f>
        <v>-0.297232984807942</v>
      </c>
      <c r="O85" s="46">
        <f>(VLOOKUP($A85,'The List'!$B1:$AH730,27,FALSE)-AVERAGE('The List'!AB2:AB730))/STDEV('The List'!AB2:AB730)</f>
        <v>-0.0645472313377826</v>
      </c>
      <c r="P85" s="46">
        <f>(VLOOKUP($A85,'The List'!$B1:$AH730,28,FALSE)-AVERAGE('The List'!AC2:AC730))/STDEV('The List'!AC2:AC730)</f>
        <v>0.174792143943666</v>
      </c>
      <c r="Q85" s="46">
        <f>(VLOOKUP($A85,'The List'!$B1:$AH730,29,FALSE)-AVERAGE('The List'!AD2:AD730))/STDEV('The List'!AD2:AD730)</f>
        <v>2.98613374938807</v>
      </c>
      <c r="R85" s="46">
        <f>(VLOOKUP($A85,'The List'!$B1:$AH730,30,FALSE)-AVERAGE('The List'!AE2:AE730))/STDEV('The List'!AE2:AE730)</f>
        <v>1.43587506228269</v>
      </c>
      <c r="S85" s="46">
        <f>(VLOOKUP($A85,'The List'!$B1:$AH730,31,FALSE)-AVERAGE('The List'!AF2:AF730))/STDEV('The List'!AF2:AF730)</f>
        <v>1.90939921013647</v>
      </c>
      <c r="T85" s="46">
        <f>(VLOOKUP($A85,'The List'!$B1:$AH730,32,FALSE)-AVERAGE('The List'!AG2:AG730))/STDEV('The List'!AG2:AG730)</f>
        <v>2.28037073146788</v>
      </c>
      <c r="U85" s="46">
        <f>(VLOOKUP($A85,'The List'!$B1:$AH730,33,FALSE)-AVERAGE('The List'!AH2:AH730))/STDEV('The List'!AH2:AH730)</f>
        <v>0.903384195866589</v>
      </c>
      <c r="V85" s="46"/>
      <c r="W85" s="50"/>
      <c r="X85" s="48"/>
      <c r="Y85" s="48"/>
      <c r="Z85" s="48"/>
      <c r="AA85" s="48"/>
      <c r="AB85" s="48"/>
      <c r="AC85" s="51"/>
      <c r="AD85" s="52"/>
      <c r="AE85" s="46"/>
    </row>
    <row r="86" ht="21.25" customHeight="1">
      <c r="A86" t="s" s="8">
        <v>288</v>
      </c>
      <c r="B86" t="s" s="42">
        <f>VLOOKUP(A86,'Player Data'!A1:B734,2,FALSE)</f>
        <v>124</v>
      </c>
      <c r="C86" s="44">
        <f>((E86)*'Settings'!$C$12)+(F86*'Settings'!$C$2)+(G86*'Settings'!$C$3)+(H86*'Settings'!$C$4)+(I86*'Settings'!$C$5)+(K86*'Settings'!$C$9)+(N86*'Settings'!$C$6)+(J86*'Settings'!$C$8)+(O86*'Settings'!$C$7)+(P86*'Settings'!$C$14)+(Q86*'Settings'!$C$15)+(R86*'Settings'!$C$16)+(S86*'Settings'!$C$17)+(T86*'Settings'!$C$18)+(U86*'Settings'!$C$19)+(L86*'Settings'!$C$10)+('Settings'!$C$11*M86)</f>
        <v>4.40064250250331</v>
      </c>
      <c r="D86" s="48">
        <f>IF('Settings'!$E$12="YES",VLOOKUP(A86,'Player Data'!A1:E734,5,FALSE),82)</f>
        <v>81.2</v>
      </c>
      <c r="E86" s="46">
        <f>(VLOOKUP($A86,'The List'!$B1:$AH730,17,FALSE)-AVERAGE('The List'!R2:R730))/STDEV('The List'!R2:R730)</f>
        <v>0.803613111136368</v>
      </c>
      <c r="F86" s="46">
        <f>(VLOOKUP($A86,'The List'!$B1:$AH730,18,FALSE)-AVERAGE('The List'!S2:S730))/STDEV('The List'!S2:S730)</f>
        <v>1.79324820757732</v>
      </c>
      <c r="G86" s="46">
        <f>(VLOOKUP($A86,'The List'!$B1:$AH730,19,FALSE)-AVERAGE('The List'!T2:T730))/STDEV('The List'!T2:T730)</f>
        <v>0.88086940726898</v>
      </c>
      <c r="H86" s="46">
        <f>(VLOOKUP($A86,'The List'!$B1:$AH730,20,FALSE)-AVERAGE('The List'!U2:U730))/STDEV('The List'!U2:U730)</f>
        <v>1.35900831101111</v>
      </c>
      <c r="I86" s="46">
        <f>(VLOOKUP($A86,'The List'!$B1:$AH730,21,FALSE)-AVERAGE('The List'!V2:V730))/STDEV('The List'!V2:V730)</f>
        <v>0.882976542506631</v>
      </c>
      <c r="J86" s="46">
        <f>(VLOOKUP($A86,'The List'!$B1:$AH730,22,FALSE)-AVERAGE('The List'!W2:W730))/STDEV('The List'!W2:W730)</f>
        <v>1.52165282911118</v>
      </c>
      <c r="K86" s="46">
        <f>(VLOOKUP($A86,'The List'!$B1:$AH730,23,FALSE)-AVERAGE('The List'!X2:X730))/STDEV('The List'!X2:X730)</f>
        <v>1.00403110302029</v>
      </c>
      <c r="L86" s="46">
        <f>(VLOOKUP($A86,'The List'!$B1:$AH730,24,FALSE)-AVERAGE('The List'!Y2:Y730))/STDEV('The List'!Y2:Y730)</f>
        <v>1.43101667399978</v>
      </c>
      <c r="M86" s="46">
        <f>(VLOOKUP($A86,'The List'!$B1:$AH730,25,FALSE)-AVERAGE('The List'!Z2:Z730))/STDEV('The List'!Z2:Z730)</f>
        <v>3.07612390565304</v>
      </c>
      <c r="N86" s="46">
        <f>(VLOOKUP($A86,'The List'!$B1:$AH730,26,FALSE)-AVERAGE('The List'!AA2:AA730))/STDEV('The List'!AA2:AA730)</f>
        <v>-0.158882592630422</v>
      </c>
      <c r="O86" s="46">
        <f>(VLOOKUP($A86,'The List'!$B1:$AH730,27,FALSE)-AVERAGE('The List'!AB2:AB730))/STDEV('The List'!AB2:AB730)</f>
        <v>-0.321345021965507</v>
      </c>
      <c r="P86" s="46">
        <f>(VLOOKUP($A86,'The List'!$B1:$AH730,28,FALSE)-AVERAGE('The List'!AC2:AC730))/STDEV('The List'!AC2:AC730)</f>
        <v>-0.00160016523949113</v>
      </c>
      <c r="Q86" s="46">
        <f>(VLOOKUP($A86,'The List'!$B1:$AH730,29,FALSE)-AVERAGE('The List'!AD2:AD730))/STDEV('The List'!AD2:AD730)</f>
        <v>0.651286541732235</v>
      </c>
      <c r="R86" s="46">
        <f>(VLOOKUP($A86,'The List'!$B1:$AH730,30,FALSE)-AVERAGE('The List'!AE2:AE730))/STDEV('The List'!AE2:AE730)</f>
        <v>1.96104336114759</v>
      </c>
      <c r="S86" s="46">
        <f>(VLOOKUP($A86,'The List'!$B1:$AH730,31,FALSE)-AVERAGE('The List'!AF2:AF730))/STDEV('The List'!AF2:AF730)</f>
        <v>-0.419332898902568</v>
      </c>
      <c r="T86" s="46">
        <f>(VLOOKUP($A86,'The List'!$B1:$AH730,32,FALSE)-AVERAGE('The List'!AG2:AG730))/STDEV('The List'!AG2:AG730)</f>
        <v>-0.329001922700545</v>
      </c>
      <c r="U86" s="46">
        <f>(VLOOKUP($A86,'The List'!$B1:$AH730,33,FALSE)-AVERAGE('The List'!AH2:AH730))/STDEV('The List'!AH2:AH730)</f>
        <v>0.332507696822597</v>
      </c>
      <c r="V86" s="46"/>
      <c r="W86" s="48"/>
      <c r="X86" s="46"/>
      <c r="Y86" s="46"/>
      <c r="Z86" s="46"/>
      <c r="AA86" s="46"/>
      <c r="AB86" s="46"/>
      <c r="AC86" s="46"/>
      <c r="AD86" s="46"/>
      <c r="AE86" s="46"/>
    </row>
    <row r="87" ht="21.25" customHeight="1">
      <c r="A87" t="s" s="8">
        <v>309</v>
      </c>
      <c r="B87" t="s" s="42">
        <f>VLOOKUP(A87,'Player Data'!A1:B734,2,FALSE)</f>
        <v>122</v>
      </c>
      <c r="C87" s="44">
        <f>((E87)*'Settings'!$C$12)+(F87*'Settings'!$C$2)+(G87*'Settings'!$C$3)+(H87*'Settings'!$C$4)+(I87*'Settings'!$C$5)+(K87*'Settings'!$C$9)+(N87*'Settings'!$C$6)+(J87*'Settings'!$C$8)+(O87*'Settings'!$C$7)+(P87*'Settings'!$C$14)+(Q87*'Settings'!$C$15)+(R87*'Settings'!$C$16)+(S87*'Settings'!$C$17)+(T87*'Settings'!$C$18)+(U87*'Settings'!$C$19)+(L87*'Settings'!$C$10)+('Settings'!$C$11*M87)</f>
        <v>4.01022660985968</v>
      </c>
      <c r="D87" s="48">
        <f>IF('Settings'!$E$12="YES",VLOOKUP(A87,'Player Data'!A1:E734,5,FALSE),82)</f>
        <v>79.5014285714286</v>
      </c>
      <c r="E87" s="46">
        <f>(VLOOKUP($A87,'The List'!$B1:$AH730,17,FALSE)-AVERAGE('The List'!R2:R730))/STDEV('The List'!R2:R730)</f>
        <v>0.95450800660019</v>
      </c>
      <c r="F87" s="46">
        <f>(VLOOKUP($A87,'The List'!$B1:$AH730,18,FALSE)-AVERAGE('The List'!S2:S730))/STDEV('The List'!S2:S730)</f>
        <v>1.23554449762349</v>
      </c>
      <c r="G87" s="46">
        <f>(VLOOKUP($A87,'The List'!$B1:$AH730,19,FALSE)-AVERAGE('The List'!T2:T730))/STDEV('The List'!T2:T730)</f>
        <v>1.18322932136103</v>
      </c>
      <c r="H87" s="46">
        <f>(VLOOKUP($A87,'The List'!$B1:$AH730,20,FALSE)-AVERAGE('The List'!U2:U730))/STDEV('The List'!U2:U730)</f>
        <v>1.29164285076079</v>
      </c>
      <c r="I87" s="46">
        <f>(VLOOKUP($A87,'The List'!$B1:$AH730,21,FALSE)-AVERAGE('The List'!V2:V730))/STDEV('The List'!V2:V730)</f>
        <v>0.694831837178797</v>
      </c>
      <c r="J87" s="46">
        <f>(VLOOKUP($A87,'The List'!$B1:$AH730,22,FALSE)-AVERAGE('The List'!W2:W730))/STDEV('The List'!W2:W730)</f>
        <v>1.09143381699601</v>
      </c>
      <c r="K87" s="46">
        <f>(VLOOKUP($A87,'The List'!$B1:$AH730,23,FALSE)-AVERAGE('The List'!X2:X730))/STDEV('The List'!X2:X730)</f>
        <v>0.883912185047047</v>
      </c>
      <c r="L87" s="46">
        <f>(VLOOKUP($A87,'The List'!$B1:$AH730,24,FALSE)-AVERAGE('The List'!Y2:Y730))/STDEV('The List'!Y2:Y730)</f>
        <v>-0.184740119896582</v>
      </c>
      <c r="M87" s="46">
        <f>(VLOOKUP($A87,'The List'!$B1:$AH730,25,FALSE)-AVERAGE('The List'!Z2:Z730))/STDEV('The List'!Z2:Z730)</f>
        <v>0.515075216266181</v>
      </c>
      <c r="N87" s="46">
        <f>(VLOOKUP($A87,'The List'!$B1:$AH730,26,FALSE)-AVERAGE('The List'!AA2:AA730))/STDEV('The List'!AA2:AA730)</f>
        <v>-0.831050405653559</v>
      </c>
      <c r="O87" s="46">
        <f>(VLOOKUP($A87,'The List'!$B1:$AH730,27,FALSE)-AVERAGE('The List'!AB2:AB730))/STDEV('The List'!AB2:AB730)</f>
        <v>-0.184787033385384</v>
      </c>
      <c r="P87" s="46">
        <f>(VLOOKUP($A87,'The List'!$B1:$AH730,28,FALSE)-AVERAGE('The List'!AC2:AC730))/STDEV('The List'!AC2:AC730)</f>
        <v>0.84375917430287</v>
      </c>
      <c r="Q87" s="46">
        <f>(VLOOKUP($A87,'The List'!$B1:$AH730,29,FALSE)-AVERAGE('The List'!AD2:AD730))/STDEV('The List'!AD2:AD730)</f>
        <v>-0.396106013417309</v>
      </c>
      <c r="R87" s="46">
        <f>(VLOOKUP($A87,'The List'!$B1:$AH730,30,FALSE)-AVERAGE('The List'!AE2:AE730))/STDEV('The List'!AE2:AE730)</f>
        <v>1.58052619932748</v>
      </c>
      <c r="S87" s="46">
        <f>(VLOOKUP($A87,'The List'!$B1:$AH730,31,FALSE)-AVERAGE('The List'!AF2:AF730))/STDEV('The List'!AF2:AF730)</f>
        <v>0.527556612801937</v>
      </c>
      <c r="T87" s="46">
        <f>(VLOOKUP($A87,'The List'!$B1:$AH730,32,FALSE)-AVERAGE('The List'!AG2:AG730))/STDEV('The List'!AG2:AG730)</f>
        <v>0.630389855166153</v>
      </c>
      <c r="U87" s="46">
        <f>(VLOOKUP($A87,'The List'!$B1:$AH730,33,FALSE)-AVERAGE('The List'!AH2:AH730))/STDEV('The List'!AH2:AH730)</f>
        <v>0.935556253666333</v>
      </c>
      <c r="V87" s="46"/>
      <c r="W87" s="50"/>
      <c r="X87" s="48"/>
      <c r="Y87" s="48"/>
      <c r="Z87" s="48"/>
      <c r="AA87" s="48"/>
      <c r="AB87" s="48"/>
      <c r="AC87" s="51"/>
      <c r="AD87" s="52"/>
      <c r="AE87" s="46"/>
    </row>
    <row r="88" ht="21.25" customHeight="1">
      <c r="A88" t="s" s="8">
        <v>257</v>
      </c>
      <c r="B88" t="s" s="42">
        <f>VLOOKUP(A88,'Player Data'!A1:B734,2,FALSE)</f>
        <v>258</v>
      </c>
      <c r="C88" s="44">
        <f>((E88)*'Settings'!$C$12)+(F88*'Settings'!$C$2)+(G88*'Settings'!$C$3)+(H88*'Settings'!$C$4)+(I88*'Settings'!$C$5)+(K88*'Settings'!$C$9)+(N88*'Settings'!$C$6)+(J88*'Settings'!$C$8)+(O88*'Settings'!$C$7)+(P88*'Settings'!$C$14)+(Q88*'Settings'!$C$15)+(R88*'Settings'!$C$16)+(S88*'Settings'!$C$17)+(T88*'Settings'!$C$18)+(U88*'Settings'!$C$19)+(L88*'Settings'!$C$10)+('Settings'!$C$11*M88)</f>
        <v>2.57954691677968</v>
      </c>
      <c r="D88" s="48">
        <f>IF('Settings'!$E$12="YES",VLOOKUP(A88,'Player Data'!A1:E734,5,FALSE),82)</f>
        <v>73.03</v>
      </c>
      <c r="E88" s="46">
        <f>(VLOOKUP($A88,'The List'!$B1:$AH730,17,FALSE)-AVERAGE('The List'!R2:R730))/STDEV('The List'!R2:R730)</f>
        <v>0.439583780167619</v>
      </c>
      <c r="F88" s="46">
        <f>(VLOOKUP($A88,'The List'!$B1:$AH730,18,FALSE)-AVERAGE('The List'!S2:S730))/STDEV('The List'!S2:S730)</f>
        <v>2.27047406120409</v>
      </c>
      <c r="G88" s="46">
        <f>(VLOOKUP($A88,'The List'!$B1:$AH730,19,FALSE)-AVERAGE('The List'!T2:T730))/STDEV('The List'!T2:T730)</f>
        <v>0.237628541856913</v>
      </c>
      <c r="H88" s="46">
        <f>(VLOOKUP($A88,'The List'!$B1:$AH730,20,FALSE)-AVERAGE('The List'!U2:U730))/STDEV('The List'!U2:U730)</f>
        <v>1.1796061065337</v>
      </c>
      <c r="I88" s="46">
        <f>(VLOOKUP($A88,'The List'!$B1:$AH730,21,FALSE)-AVERAGE('The List'!V2:V730))/STDEV('The List'!V2:V730)</f>
        <v>1.88369001783602</v>
      </c>
      <c r="J88" s="46">
        <f>(VLOOKUP($A88,'The List'!$B1:$AH730,22,FALSE)-AVERAGE('The List'!W2:W730))/STDEV('The List'!W2:W730)</f>
        <v>1.93085090374338</v>
      </c>
      <c r="K88" s="46">
        <f>(VLOOKUP($A88,'The List'!$B1:$AH730,23,FALSE)-AVERAGE('The List'!X2:X730))/STDEV('The List'!X2:X730)</f>
        <v>1.15053366218477</v>
      </c>
      <c r="L88" s="46">
        <f>(VLOOKUP($A88,'The List'!$B1:$AH730,24,FALSE)-AVERAGE('The List'!Y2:Y730))/STDEV('The List'!Y2:Y730)</f>
        <v>-0.536854953490385</v>
      </c>
      <c r="M88" s="46">
        <f>(VLOOKUP($A88,'The List'!$B1:$AH730,25,FALSE)-AVERAGE('The List'!Z2:Z730))/STDEV('The List'!Z2:Z730)</f>
        <v>-0.715012425388455</v>
      </c>
      <c r="N88" s="46">
        <f>(VLOOKUP($A88,'The List'!$B1:$AH730,26,FALSE)-AVERAGE('The List'!AA2:AA730))/STDEV('The List'!AA2:AA730)</f>
        <v>-1.04974002658109</v>
      </c>
      <c r="O88" s="46">
        <f>(VLOOKUP($A88,'The List'!$B1:$AH730,27,FALSE)-AVERAGE('The List'!AB2:AB730))/STDEV('The List'!AB2:AB730)</f>
        <v>-1.23709594830339</v>
      </c>
      <c r="P88" s="46">
        <f>(VLOOKUP($A88,'The List'!$B1:$AH730,28,FALSE)-AVERAGE('The List'!AC2:AC730))/STDEV('The List'!AC2:AC730)</f>
        <v>-1.91303933972102</v>
      </c>
      <c r="Q88" s="46">
        <f>(VLOOKUP($A88,'The List'!$B1:$AH730,29,FALSE)-AVERAGE('The List'!AD2:AD730))/STDEV('The List'!AD2:AD730)</f>
        <v>-1.19870475675595</v>
      </c>
      <c r="R88" s="46">
        <f>(VLOOKUP($A88,'The List'!$B1:$AH730,30,FALSE)-AVERAGE('The List'!AE2:AE730))/STDEV('The List'!AE2:AE730)</f>
        <v>1.19263726200928</v>
      </c>
      <c r="S88" s="46">
        <f>(VLOOKUP($A88,'The List'!$B1:$AH730,31,FALSE)-AVERAGE('The List'!AF2:AF730))/STDEV('The List'!AF2:AF730)</f>
        <v>-0.553797098893221</v>
      </c>
      <c r="T88" s="46">
        <f>(VLOOKUP($A88,'The List'!$B1:$AH730,32,FALSE)-AVERAGE('The List'!AG2:AG730))/STDEV('The List'!AG2:AG730)</f>
        <v>-0.591148451867761</v>
      </c>
      <c r="U88" s="46">
        <f>(VLOOKUP($A88,'The List'!$B1:$AH730,33,FALSE)-AVERAGE('The List'!AH2:AH730))/STDEV('The List'!AH2:AH730)</f>
        <v>-0.0982949753355534</v>
      </c>
      <c r="V88" s="46"/>
      <c r="W88" s="50"/>
      <c r="X88" s="48"/>
      <c r="Y88" s="48"/>
      <c r="Z88" s="48"/>
      <c r="AA88" s="48"/>
      <c r="AB88" s="48"/>
      <c r="AC88" s="51"/>
      <c r="AD88" s="52"/>
      <c r="AE88" s="46"/>
    </row>
    <row r="89" ht="21.25" customHeight="1">
      <c r="A89" t="s" s="8">
        <v>259</v>
      </c>
      <c r="B89" t="s" s="42">
        <f>VLOOKUP(A89,'Player Data'!A1:B734,2,FALSE)</f>
        <v>173</v>
      </c>
      <c r="C89" s="44">
        <f>((E89)*'Settings'!$C$12)+(F89*'Settings'!$C$2)+(G89*'Settings'!$C$3)+(H89*'Settings'!$C$4)+(I89*'Settings'!$C$5)+(K89*'Settings'!$C$9)+(N89*'Settings'!$C$6)+(J89*'Settings'!$C$8)+(O89*'Settings'!$C$7)+(P89*'Settings'!$C$14)+(Q89*'Settings'!$C$15)+(R89*'Settings'!$C$16)+(S89*'Settings'!$C$17)+(T89*'Settings'!$C$18)+(U89*'Settings'!$C$19)+(L89*'Settings'!$C$10)+('Settings'!$C$11*M89)</f>
        <v>4.59497297936382</v>
      </c>
      <c r="D89" s="48">
        <f>IF('Settings'!$E$12="YES",VLOOKUP(A89,'Player Data'!A1:E734,5,FALSE),82)</f>
        <v>77.08</v>
      </c>
      <c r="E89" s="46">
        <f>(VLOOKUP($A89,'The List'!$B1:$AH730,17,FALSE)-AVERAGE('The List'!R2:R730))/STDEV('The List'!R2:R730)</f>
        <v>0.477790528110787</v>
      </c>
      <c r="F89" s="46">
        <f>(VLOOKUP($A89,'The List'!$B1:$AH730,18,FALSE)-AVERAGE('The List'!S2:S730))/STDEV('The List'!S2:S730)</f>
        <v>1.07217711509266</v>
      </c>
      <c r="G89" s="46">
        <f>(VLOOKUP($A89,'The List'!$B1:$AH730,19,FALSE)-AVERAGE('The List'!T2:T730))/STDEV('The List'!T2:T730)</f>
        <v>1.14366549562273</v>
      </c>
      <c r="H89" s="46">
        <f>(VLOOKUP($A89,'The List'!$B1:$AH730,20,FALSE)-AVERAGE('The List'!U2:U730))/STDEV('The List'!U2:U730)</f>
        <v>1.19291683670876</v>
      </c>
      <c r="I89" s="46">
        <f>(VLOOKUP($A89,'The List'!$B1:$AH730,21,FALSE)-AVERAGE('The List'!V2:V730))/STDEV('The List'!V2:V730)</f>
        <v>1.383234902207</v>
      </c>
      <c r="J89" s="46">
        <f>(VLOOKUP($A89,'The List'!$B1:$AH730,22,FALSE)-AVERAGE('The List'!W2:W730))/STDEV('The List'!W2:W730)</f>
        <v>1.89779845259206</v>
      </c>
      <c r="K89" s="46">
        <f>(VLOOKUP($A89,'The List'!$B1:$AH730,23,FALSE)-AVERAGE('The List'!X2:X730))/STDEV('The List'!X2:X730)</f>
        <v>1.69803924348359</v>
      </c>
      <c r="L89" s="46">
        <f>(VLOOKUP($A89,'The List'!$B1:$AH730,24,FALSE)-AVERAGE('The List'!Y2:Y730))/STDEV('The List'!Y2:Y730)</f>
        <v>-0.5078026011969961</v>
      </c>
      <c r="M89" s="46">
        <f>(VLOOKUP($A89,'The List'!$B1:$AH730,25,FALSE)-AVERAGE('The List'!Z2:Z730))/STDEV('The List'!Z2:Z730)</f>
        <v>-0.682635253856308</v>
      </c>
      <c r="N89" s="46">
        <f>(VLOOKUP($A89,'The List'!$B1:$AH730,26,FALSE)-AVERAGE('The List'!AA2:AA730))/STDEV('The List'!AA2:AA730)</f>
        <v>-0.685862721869232</v>
      </c>
      <c r="O89" s="46">
        <f>(VLOOKUP($A89,'The List'!$B1:$AH730,27,FALSE)-AVERAGE('The List'!AB2:AB730))/STDEV('The List'!AB2:AB730)</f>
        <v>0.437388873534953</v>
      </c>
      <c r="P89" s="46">
        <f>(VLOOKUP($A89,'The List'!$B1:$AH730,28,FALSE)-AVERAGE('The List'!AC2:AC730))/STDEV('The List'!AC2:AC730)</f>
        <v>-0.0162810551729241</v>
      </c>
      <c r="Q89" s="46">
        <f>(VLOOKUP($A89,'The List'!$B1:$AH730,29,FALSE)-AVERAGE('The List'!AD2:AD730))/STDEV('The List'!AD2:AD730)</f>
        <v>-0.133186649330563</v>
      </c>
      <c r="R89" s="46">
        <f>(VLOOKUP($A89,'The List'!$B1:$AH730,30,FALSE)-AVERAGE('The List'!AE2:AE730))/STDEV('The List'!AE2:AE730)</f>
        <v>1.1325230931809</v>
      </c>
      <c r="S89" s="46">
        <f>(VLOOKUP($A89,'The List'!$B1:$AH730,31,FALSE)-AVERAGE('The List'!AF2:AF730))/STDEV('The List'!AF2:AF730)</f>
        <v>-0.489734711315846</v>
      </c>
      <c r="T89" s="46">
        <f>(VLOOKUP($A89,'The List'!$B1:$AH730,32,FALSE)-AVERAGE('The List'!AG2:AG730))/STDEV('The List'!AG2:AG730)</f>
        <v>-0.480649303551057</v>
      </c>
      <c r="U89" s="46">
        <f>(VLOOKUP($A89,'The List'!$B1:$AH730,33,FALSE)-AVERAGE('The List'!AH2:AH730))/STDEV('The List'!AH2:AH730)</f>
        <v>0.435492846361384</v>
      </c>
      <c r="V89" s="46"/>
      <c r="W89" s="50"/>
      <c r="X89" s="48"/>
      <c r="Y89" s="48"/>
      <c r="Z89" s="48"/>
      <c r="AA89" s="48"/>
      <c r="AB89" s="48"/>
      <c r="AC89" s="51"/>
      <c r="AD89" s="52"/>
      <c r="AE89" s="46"/>
    </row>
    <row r="90" ht="21.25" customHeight="1">
      <c r="A90" t="s" s="8">
        <v>310</v>
      </c>
      <c r="B90" t="s" s="42">
        <f>VLOOKUP(A90,'Player Data'!A1:B734,2,FALSE)</f>
        <v>248</v>
      </c>
      <c r="C90" s="44">
        <f>((E90)*'Settings'!$C$12)+(F90*'Settings'!$C$2)+(G90*'Settings'!$C$3)+(H90*'Settings'!$C$4)+(I90*'Settings'!$C$5)+(K90*'Settings'!$C$9)+(N90*'Settings'!$C$6)+(J90*'Settings'!$C$8)+(O90*'Settings'!$C$7)+(P90*'Settings'!$C$14)+(Q90*'Settings'!$C$15)+(R90*'Settings'!$C$16)+(S90*'Settings'!$C$17)+(T90*'Settings'!$C$18)+(U90*'Settings'!$C$19)+(L90*'Settings'!$C$10)+('Settings'!$C$11*M90)</f>
        <v>2.5994598297547</v>
      </c>
      <c r="D90" s="48">
        <f>IF('Settings'!$E$12="YES",VLOOKUP(A90,'Player Data'!A1:E734,5,FALSE),82)</f>
        <v>75.45821428571431</v>
      </c>
      <c r="E90" s="46">
        <f>(VLOOKUP($A90,'The List'!$B1:$AH730,17,FALSE)-AVERAGE('The List'!R2:R730))/STDEV('The List'!R2:R730)</f>
        <v>0.0489646022094529</v>
      </c>
      <c r="F90" s="46">
        <f>(VLOOKUP($A90,'The List'!$B1:$AH730,18,FALSE)-AVERAGE('The List'!S2:S730))/STDEV('The List'!S2:S730)</f>
        <v>0.879613005794939</v>
      </c>
      <c r="G90" s="46">
        <f>(VLOOKUP($A90,'The List'!$B1:$AH730,19,FALSE)-AVERAGE('The List'!T2:T730))/STDEV('The List'!T2:T730)</f>
        <v>1.16722242927969</v>
      </c>
      <c r="H90" s="46">
        <f>(VLOOKUP($A90,'The List'!$B1:$AH730,20,FALSE)-AVERAGE('The List'!U2:U730))/STDEV('The List'!U2:U730)</f>
        <v>1.11981884494526</v>
      </c>
      <c r="I90" s="46">
        <f>(VLOOKUP($A90,'The List'!$B1:$AH730,21,FALSE)-AVERAGE('The List'!V2:V730))/STDEV('The List'!V2:V730)</f>
        <v>0.475949553781053</v>
      </c>
      <c r="J90" s="46">
        <f>(VLOOKUP($A90,'The List'!$B1:$AH730,22,FALSE)-AVERAGE('The List'!W2:W730))/STDEV('The List'!W2:W730)</f>
        <v>0.949881483801949</v>
      </c>
      <c r="K90" s="46">
        <f>(VLOOKUP($A90,'The List'!$B1:$AH730,23,FALSE)-AVERAGE('The List'!X2:X730))/STDEV('The List'!X2:X730)</f>
        <v>1.14238357364667</v>
      </c>
      <c r="L90" s="46">
        <f>(VLOOKUP($A90,'The List'!$B1:$AH730,24,FALSE)-AVERAGE('The List'!Y2:Y730))/STDEV('The List'!Y2:Y730)</f>
        <v>-0.539935345502859</v>
      </c>
      <c r="M90" s="46">
        <f>(VLOOKUP($A90,'The List'!$B1:$AH730,25,FALSE)-AVERAGE('The List'!Z2:Z730))/STDEV('The List'!Z2:Z730)</f>
        <v>-0.718501611809103</v>
      </c>
      <c r="N90" s="46">
        <f>(VLOOKUP($A90,'The List'!$B1:$AH730,26,FALSE)-AVERAGE('The List'!AA2:AA730))/STDEV('The List'!AA2:AA730)</f>
        <v>-0.811090436854174</v>
      </c>
      <c r="O90" s="46">
        <f>(VLOOKUP($A90,'The List'!$B1:$AH730,27,FALSE)-AVERAGE('The List'!AB2:AB730))/STDEV('The List'!AB2:AB730)</f>
        <v>-1.09707115310457</v>
      </c>
      <c r="P90" s="46">
        <f>(VLOOKUP($A90,'The List'!$B1:$AH730,28,FALSE)-AVERAGE('The List'!AC2:AC730))/STDEV('The List'!AC2:AC730)</f>
        <v>-0.25461829589348</v>
      </c>
      <c r="Q90" s="46">
        <f>(VLOOKUP($A90,'The List'!$B1:$AH730,29,FALSE)-AVERAGE('The List'!AD2:AD730))/STDEV('The List'!AD2:AD730)</f>
        <v>-0.7007702746423921</v>
      </c>
      <c r="R90" s="46">
        <f>(VLOOKUP($A90,'The List'!$B1:$AH730,30,FALSE)-AVERAGE('The List'!AE2:AE730))/STDEV('The List'!AE2:AE730)</f>
        <v>0.805021451416555</v>
      </c>
      <c r="S90" s="46">
        <f>(VLOOKUP($A90,'The List'!$B1:$AH730,31,FALSE)-AVERAGE('The List'!AF2:AF730))/STDEV('The List'!AF2:AF730)</f>
        <v>-0.54149148562762</v>
      </c>
      <c r="T90" s="46">
        <f>(VLOOKUP($A90,'The List'!$B1:$AH730,32,FALSE)-AVERAGE('The List'!AG2:AG730))/STDEV('The List'!AG2:AG730)</f>
        <v>-0.559673538136181</v>
      </c>
      <c r="U90" s="46">
        <f>(VLOOKUP($A90,'The List'!$B1:$AH730,33,FALSE)-AVERAGE('The List'!AH2:AH730))/STDEV('The List'!AH2:AH730)</f>
        <v>0.0394372900531944</v>
      </c>
      <c r="V90" s="46"/>
      <c r="W90" s="48"/>
      <c r="X90" s="48"/>
      <c r="Y90" s="48"/>
      <c r="Z90" s="48"/>
      <c r="AA90" s="48"/>
      <c r="AB90" s="48"/>
      <c r="AC90" s="51"/>
      <c r="AD90" s="52"/>
      <c r="AE90" s="46"/>
    </row>
    <row r="91" ht="21.25" customHeight="1">
      <c r="A91" t="s" s="8">
        <v>284</v>
      </c>
      <c r="B91" t="s" s="42">
        <f>VLOOKUP(A91,'Player Data'!A1:B734,2,FALSE)</f>
        <v>204</v>
      </c>
      <c r="C91" s="44">
        <f>((E91)*'Settings'!$C$12)+(F91*'Settings'!$C$2)+(G91*'Settings'!$C$3)+(H91*'Settings'!$C$4)+(I91*'Settings'!$C$5)+(K91*'Settings'!$C$9)+(N91*'Settings'!$C$6)+(J91*'Settings'!$C$8)+(O91*'Settings'!$C$7)+(P91*'Settings'!$C$14)+(Q91*'Settings'!$C$15)+(R91*'Settings'!$C$16)+(S91*'Settings'!$C$17)+(T91*'Settings'!$C$18)+(U91*'Settings'!$C$19)+(L91*'Settings'!$C$10)+('Settings'!$C$11*M91)</f>
        <v>5.01129207286021</v>
      </c>
      <c r="D91" s="48">
        <f>IF('Settings'!$E$12="YES",VLOOKUP(A91,'Player Data'!A1:E734,5,FALSE),82)</f>
        <v>81.8925</v>
      </c>
      <c r="E91" s="46">
        <f>(VLOOKUP($A91,'The List'!$B1:$AH730,17,FALSE)-AVERAGE('The List'!R2:R730))/STDEV('The List'!R2:R730)</f>
        <v>1.0131295637632</v>
      </c>
      <c r="F91" s="46">
        <f>(VLOOKUP($A91,'The List'!$B1:$AH730,18,FALSE)-AVERAGE('The List'!S2:S730))/STDEV('The List'!S2:S730)</f>
        <v>0.835195432943285</v>
      </c>
      <c r="G91" s="46">
        <f>(VLOOKUP($A91,'The List'!$B1:$AH730,19,FALSE)-AVERAGE('The List'!T2:T730))/STDEV('The List'!T2:T730)</f>
        <v>1.56957202640522</v>
      </c>
      <c r="H91" s="46">
        <f>(VLOOKUP($A91,'The List'!$B1:$AH730,20,FALSE)-AVERAGE('The List'!U2:U730))/STDEV('The List'!U2:U730)</f>
        <v>1.34765119674657</v>
      </c>
      <c r="I91" s="46">
        <f>(VLOOKUP($A91,'The List'!$B1:$AH730,21,FALSE)-AVERAGE('The List'!V2:V730))/STDEV('The List'!V2:V730)</f>
        <v>0.807169120334339</v>
      </c>
      <c r="J91" s="46">
        <f>(VLOOKUP($A91,'The List'!$B1:$AH730,22,FALSE)-AVERAGE('The List'!W2:W730))/STDEV('The List'!W2:W730)</f>
        <v>0.798890565837199</v>
      </c>
      <c r="K91" s="46">
        <f>(VLOOKUP($A91,'The List'!$B1:$AH730,23,FALSE)-AVERAGE('The List'!X2:X730))/STDEV('The List'!X2:X730)</f>
        <v>1.22136733500937</v>
      </c>
      <c r="L91" s="46">
        <f>(VLOOKUP($A91,'The List'!$B1:$AH730,24,FALSE)-AVERAGE('The List'!Y2:Y730))/STDEV('The List'!Y2:Y730)</f>
        <v>-0.340564106133279</v>
      </c>
      <c r="M91" s="46">
        <f>(VLOOKUP($A91,'The List'!$B1:$AH730,25,FALSE)-AVERAGE('The List'!Z2:Z730))/STDEV('The List'!Z2:Z730)</f>
        <v>0.296998036167946</v>
      </c>
      <c r="N91" s="46">
        <f>(VLOOKUP($A91,'The List'!$B1:$AH730,26,FALSE)-AVERAGE('The List'!AA2:AA730))/STDEV('The List'!AA2:AA730)</f>
        <v>0.477538435788109</v>
      </c>
      <c r="O91" s="46">
        <f>(VLOOKUP($A91,'The List'!$B1:$AH730,27,FALSE)-AVERAGE('The List'!AB2:AB730))/STDEV('The List'!AB2:AB730)</f>
        <v>-0.438806696028471</v>
      </c>
      <c r="P91" s="46">
        <f>(VLOOKUP($A91,'The List'!$B1:$AH730,28,FALSE)-AVERAGE('The List'!AC2:AC730))/STDEV('The List'!AC2:AC730)</f>
        <v>0.100449722379886</v>
      </c>
      <c r="Q91" s="46">
        <f>(VLOOKUP($A91,'The List'!$B1:$AH730,29,FALSE)-AVERAGE('The List'!AD2:AD730))/STDEV('The List'!AD2:AD730)</f>
        <v>-1.23783101032542</v>
      </c>
      <c r="R91" s="46">
        <f>(VLOOKUP($A91,'The List'!$B1:$AH730,30,FALSE)-AVERAGE('The List'!AE2:AE730))/STDEV('The List'!AE2:AE730)</f>
        <v>0.868383771268243</v>
      </c>
      <c r="S91" s="46">
        <f>(VLOOKUP($A91,'The List'!$B1:$AH730,31,FALSE)-AVERAGE('The List'!AF2:AF730))/STDEV('The List'!AF2:AF730)</f>
        <v>3.86503062550255</v>
      </c>
      <c r="T91" s="46">
        <f>(VLOOKUP($A91,'The List'!$B1:$AH730,32,FALSE)-AVERAGE('The List'!AG2:AG730))/STDEV('The List'!AG2:AG730)</f>
        <v>2.9798566719536</v>
      </c>
      <c r="U91" s="46">
        <f>(VLOOKUP($A91,'The List'!$B1:$AH730,33,FALSE)-AVERAGE('The List'!AH2:AH730))/STDEV('The List'!AH2:AH730)</f>
        <v>1.31542679611815</v>
      </c>
      <c r="V91" s="46"/>
      <c r="W91" s="48"/>
      <c r="X91" s="46"/>
      <c r="Y91" s="46"/>
      <c r="Z91" s="46"/>
      <c r="AA91" s="46"/>
      <c r="AB91" s="46"/>
      <c r="AC91" s="46"/>
      <c r="AD91" s="46"/>
      <c r="AE91" s="46"/>
    </row>
    <row r="92" ht="21.25" customHeight="1">
      <c r="A92" t="s" s="8">
        <v>326</v>
      </c>
      <c r="B92" t="s" s="42">
        <f>VLOOKUP(A92,'Player Data'!A1:B734,2,FALSE)</f>
        <v>218</v>
      </c>
      <c r="C92" s="44">
        <f>((E92)*'Settings'!$C$12)+(F92*'Settings'!$C$2)+(G92*'Settings'!$C$3)+(H92*'Settings'!$C$4)+(I92*'Settings'!$C$5)+(K92*'Settings'!$C$9)+(N92*'Settings'!$C$6)+(J92*'Settings'!$C$8)+(O92*'Settings'!$C$7)+(P92*'Settings'!$C$14)+(Q92*'Settings'!$C$15)+(R92*'Settings'!$C$16)+(S92*'Settings'!$C$17)+(T92*'Settings'!$C$18)+(U92*'Settings'!$C$19)+(L92*'Settings'!$C$10)+('Settings'!$C$11*M92)</f>
        <v>4.34989975227573</v>
      </c>
      <c r="D92" s="48">
        <f>IF('Settings'!$E$12="YES",VLOOKUP(A92,'Player Data'!A1:E734,5,FALSE),82)</f>
        <v>80.70785714285709</v>
      </c>
      <c r="E92" s="46">
        <f>(VLOOKUP($A92,'The List'!$B1:$AH730,17,FALSE)-AVERAGE('The List'!R2:R730))/STDEV('The List'!R2:R730)</f>
        <v>0.757014615650751</v>
      </c>
      <c r="F92" s="46">
        <f>(VLOOKUP($A92,'The List'!$B1:$AH730,18,FALSE)-AVERAGE('The List'!S2:S730))/STDEV('The List'!S2:S730)</f>
        <v>0.632172061791171</v>
      </c>
      <c r="G92" s="46">
        <f>(VLOOKUP($A92,'The List'!$B1:$AH730,19,FALSE)-AVERAGE('The List'!T2:T730))/STDEV('The List'!T2:T730)</f>
        <v>1.61347835872556</v>
      </c>
      <c r="H92" s="46">
        <f>(VLOOKUP($A92,'The List'!$B1:$AH730,20,FALSE)-AVERAGE('The List'!U2:U730))/STDEV('The List'!U2:U730)</f>
        <v>1.28233916788154</v>
      </c>
      <c r="I92" s="46">
        <f>(VLOOKUP($A92,'The List'!$B1:$AH730,21,FALSE)-AVERAGE('The List'!V2:V730))/STDEV('The List'!V2:V730)</f>
        <v>0.0344508826116002</v>
      </c>
      <c r="J92" s="46">
        <f>(VLOOKUP($A92,'The List'!$B1:$AH730,22,FALSE)-AVERAGE('The List'!W2:W730))/STDEV('The List'!W2:W730)</f>
        <v>0.794714485566835</v>
      </c>
      <c r="K92" s="46">
        <f>(VLOOKUP($A92,'The List'!$B1:$AH730,23,FALSE)-AVERAGE('The List'!X2:X730))/STDEV('The List'!X2:X730)</f>
        <v>0.73123547306059</v>
      </c>
      <c r="L92" s="46">
        <f>(VLOOKUP($A92,'The List'!$B1:$AH730,24,FALSE)-AVERAGE('The List'!Y2:Y730))/STDEV('The List'!Y2:Y730)</f>
        <v>1.44848983734062</v>
      </c>
      <c r="M92" s="46">
        <f>(VLOOKUP($A92,'The List'!$B1:$AH730,25,FALSE)-AVERAGE('The List'!Z2:Z730))/STDEV('The List'!Z2:Z730)</f>
        <v>2.31164611802603</v>
      </c>
      <c r="N92" s="46">
        <f>(VLOOKUP($A92,'The List'!$B1:$AH730,26,FALSE)-AVERAGE('The List'!AA2:AA730))/STDEV('The List'!AA2:AA730)</f>
        <v>-0.186160855661678</v>
      </c>
      <c r="O92" s="46">
        <f>(VLOOKUP($A92,'The List'!$B1:$AH730,27,FALSE)-AVERAGE('The List'!AB2:AB730))/STDEV('The List'!AB2:AB730)</f>
        <v>-0.367135185869462</v>
      </c>
      <c r="P92" s="46">
        <f>(VLOOKUP($A92,'The List'!$B1:$AH730,28,FALSE)-AVERAGE('The List'!AC2:AC730))/STDEV('The List'!AC2:AC730)</f>
        <v>1.52472383174849</v>
      </c>
      <c r="Q92" s="46">
        <f>(VLOOKUP($A92,'The List'!$B1:$AH730,29,FALSE)-AVERAGE('The List'!AD2:AD730))/STDEV('The List'!AD2:AD730)</f>
        <v>-0.438219538298097</v>
      </c>
      <c r="R92" s="46">
        <f>(VLOOKUP($A92,'The List'!$B1:$AH730,30,FALSE)-AVERAGE('The List'!AE2:AE730))/STDEV('The List'!AE2:AE730)</f>
        <v>0.865533491251682</v>
      </c>
      <c r="S92" s="46">
        <f>(VLOOKUP($A92,'The List'!$B1:$AH730,31,FALSE)-AVERAGE('The List'!AF2:AF730))/STDEV('The List'!AF2:AF730)</f>
        <v>2.6691720027459</v>
      </c>
      <c r="T92" s="46">
        <f>(VLOOKUP($A92,'The List'!$B1:$AH730,32,FALSE)-AVERAGE('The List'!AG2:AG730))/STDEV('The List'!AG2:AG730)</f>
        <v>2.225791324309</v>
      </c>
      <c r="U92" s="46">
        <f>(VLOOKUP($A92,'The List'!$B1:$AH730,33,FALSE)-AVERAGE('The List'!AH2:AH730))/STDEV('The List'!AH2:AH730)</f>
        <v>1.22750907846073</v>
      </c>
      <c r="V92" s="46"/>
      <c r="W92" s="50"/>
      <c r="X92" s="48"/>
      <c r="Y92" s="48"/>
      <c r="Z92" s="48"/>
      <c r="AA92" s="48"/>
      <c r="AB92" s="48"/>
      <c r="AC92" s="51"/>
      <c r="AD92" s="52"/>
      <c r="AE92" s="46"/>
    </row>
    <row r="93" ht="21.25" customHeight="1">
      <c r="A93" t="s" s="8">
        <v>245</v>
      </c>
      <c r="B93" t="s" s="42">
        <f>VLOOKUP(A93,'Player Data'!A1:B734,2,FALSE)</f>
        <v>218</v>
      </c>
      <c r="C93" s="44">
        <f>((E93)*'Settings'!$C$12)+(F93*'Settings'!$C$2)+(G93*'Settings'!$C$3)+(H93*'Settings'!$C$4)+(I93*'Settings'!$C$5)+(K93*'Settings'!$C$9)+(N93*'Settings'!$C$6)+(J93*'Settings'!$C$8)+(O93*'Settings'!$C$7)+(P93*'Settings'!$C$14)+(Q93*'Settings'!$C$15)+(R93*'Settings'!$C$16)+(S93*'Settings'!$C$17)+(T93*'Settings'!$C$18)+(U93*'Settings'!$C$19)+(L93*'Settings'!$C$10)+('Settings'!$C$11*M93)</f>
        <v>5.97058994350369</v>
      </c>
      <c r="D93" s="48">
        <f>IF('Settings'!$E$12="YES",VLOOKUP(A93,'Player Data'!A1:E734,5,FALSE),82)</f>
        <v>79.9935714285714</v>
      </c>
      <c r="E93" s="46">
        <f>(VLOOKUP($A93,'The List'!$B1:$AH730,17,FALSE)-AVERAGE('The List'!R2:R730))/STDEV('The List'!R2:R730)</f>
        <v>0.314088345559262</v>
      </c>
      <c r="F93" s="46">
        <f>(VLOOKUP($A93,'The List'!$B1:$AH730,18,FALSE)-AVERAGE('The List'!S2:S730))/STDEV('The List'!S2:S730)</f>
        <v>1.5801817785775</v>
      </c>
      <c r="G93" s="46">
        <f>(VLOOKUP($A93,'The List'!$B1:$AH730,19,FALSE)-AVERAGE('The List'!T2:T730))/STDEV('The List'!T2:T730)</f>
        <v>0.861674661635805</v>
      </c>
      <c r="H93" s="46">
        <f>(VLOOKUP($A93,'The List'!$B1:$AH730,20,FALSE)-AVERAGE('The List'!U2:U730))/STDEV('The List'!U2:U730)</f>
        <v>1.25022550422676</v>
      </c>
      <c r="I93" s="46">
        <f>(VLOOKUP($A93,'The List'!$B1:$AH730,21,FALSE)-AVERAGE('The List'!V2:V730))/STDEV('The List'!V2:V730)</f>
        <v>2.12391950035411</v>
      </c>
      <c r="J93" s="46">
        <f>(VLOOKUP($A93,'The List'!$B1:$AH730,22,FALSE)-AVERAGE('The List'!W2:W730))/STDEV('The List'!W2:W730)</f>
        <v>1.58388401944119</v>
      </c>
      <c r="K93" s="46">
        <f>(VLOOKUP($A93,'The List'!$B1:$AH730,23,FALSE)-AVERAGE('The List'!X2:X730))/STDEV('The List'!X2:X730)</f>
        <v>1.26291999156821</v>
      </c>
      <c r="L93" s="46">
        <f>(VLOOKUP($A93,'The List'!$B1:$AH730,24,FALSE)-AVERAGE('The List'!Y2:Y730))/STDEV('The List'!Y2:Y730)</f>
        <v>-0.54157531105237</v>
      </c>
      <c r="M93" s="46">
        <f>(VLOOKUP($A93,'The List'!$B1:$AH730,25,FALSE)-AVERAGE('The List'!Z2:Z730))/STDEV('The List'!Z2:Z730)</f>
        <v>-0.720348925933224</v>
      </c>
      <c r="N93" s="46">
        <f>(VLOOKUP($A93,'The List'!$B1:$AH730,26,FALSE)-AVERAGE('The List'!AA2:AA730))/STDEV('The List'!AA2:AA730)</f>
        <v>-1.00012671719921</v>
      </c>
      <c r="O93" s="46">
        <f>(VLOOKUP($A93,'The List'!$B1:$AH730,27,FALSE)-AVERAGE('The List'!AB2:AB730))/STDEV('The List'!AB2:AB730)</f>
        <v>-0.330534410153504</v>
      </c>
      <c r="P93" s="46">
        <f>(VLOOKUP($A93,'The List'!$B1:$AH730,28,FALSE)-AVERAGE('The List'!AC2:AC730))/STDEV('The List'!AC2:AC730)</f>
        <v>1.14202072856727</v>
      </c>
      <c r="Q93" s="46">
        <f>(VLOOKUP($A93,'The List'!$B1:$AH730,29,FALSE)-AVERAGE('The List'!AD2:AD730))/STDEV('The List'!AD2:AD730)</f>
        <v>-0.115622768274713</v>
      </c>
      <c r="R93" s="46">
        <f>(VLOOKUP($A93,'The List'!$B1:$AH730,30,FALSE)-AVERAGE('The List'!AE2:AE730))/STDEV('The List'!AE2:AE730)</f>
        <v>1.87368531889166</v>
      </c>
      <c r="S93" s="46">
        <f>(VLOOKUP($A93,'The List'!$B1:$AH730,31,FALSE)-AVERAGE('The List'!AF2:AF730))/STDEV('The List'!AF2:AF730)</f>
        <v>-0.40352597043071</v>
      </c>
      <c r="T93" s="46">
        <f>(VLOOKUP($A93,'The List'!$B1:$AH730,32,FALSE)-AVERAGE('The List'!AG2:AG730))/STDEV('The List'!AG2:AG730)</f>
        <v>-0.37129701407435</v>
      </c>
      <c r="U93" s="46">
        <f>(VLOOKUP($A93,'The List'!$B1:$AH730,33,FALSE)-AVERAGE('The List'!AH2:AH730))/STDEV('The List'!AH2:AH730)</f>
        <v>0.627629002395396</v>
      </c>
      <c r="V93" s="46"/>
      <c r="W93" s="50"/>
      <c r="X93" s="48"/>
      <c r="Y93" s="48"/>
      <c r="Z93" s="48"/>
      <c r="AA93" s="48"/>
      <c r="AB93" s="48"/>
      <c r="AC93" s="51"/>
      <c r="AD93" s="52"/>
      <c r="AE93" s="46"/>
    </row>
    <row r="94" ht="21.25" customHeight="1">
      <c r="A94" t="s" s="8">
        <v>410</v>
      </c>
      <c r="B94" t="s" s="42">
        <f>VLOOKUP(A94,'Player Data'!A1:B734,2,FALSE)</f>
        <v>236</v>
      </c>
      <c r="C94" s="44">
        <f>((E94)*'Settings'!$C$12)+(F94*'Settings'!$C$2)+(G94*'Settings'!$C$3)+(H94*'Settings'!$C$4)+(I94*'Settings'!$C$5)+(K94*'Settings'!$C$9)+(N94*'Settings'!$C$6)+(J94*'Settings'!$C$8)+(O94*'Settings'!$C$7)+(P94*'Settings'!$C$14)+(Q94*'Settings'!$C$15)+(R94*'Settings'!$C$16)+(S94*'Settings'!$C$17)+(T94*'Settings'!$C$18)+(U94*'Settings'!$C$19)+(L94*'Settings'!$C$10)+('Settings'!$C$11*M94)</f>
        <v>0.20232395299415</v>
      </c>
      <c r="D94" s="48">
        <f>IF('Settings'!$E$12="YES",VLOOKUP(A94,'Player Data'!A1:E734,5,FALSE),82)</f>
        <v>58.5767857142857</v>
      </c>
      <c r="E94" s="46">
        <f>(VLOOKUP($A94,'The List'!$B1:$AH730,17,FALSE)-AVERAGE('The List'!R2:R730))/STDEV('The List'!R2:R730)</f>
        <v>1.00689631103959</v>
      </c>
      <c r="F94" s="46">
        <f>(VLOOKUP($A94,'The List'!$B1:$AH730,18,FALSE)-AVERAGE('The List'!S2:S730))/STDEV('The List'!S2:S730)</f>
        <v>0.560520376840265</v>
      </c>
      <c r="G94" s="46">
        <f>(VLOOKUP($A94,'The List'!$B1:$AH730,19,FALSE)-AVERAGE('The List'!T2:T730))/STDEV('The List'!T2:T730)</f>
        <v>0.365107819459627</v>
      </c>
      <c r="H94" s="46">
        <f>(VLOOKUP($A94,'The List'!$B1:$AH730,20,FALSE)-AVERAGE('The List'!U2:U730))/STDEV('The List'!U2:U730)</f>
        <v>0.480132184927411</v>
      </c>
      <c r="I94" s="46">
        <f>(VLOOKUP($A94,'The List'!$B1:$AH730,21,FALSE)-AVERAGE('The List'!V2:V730))/STDEV('The List'!V2:V730)</f>
        <v>0.550726124370806</v>
      </c>
      <c r="J94" s="46">
        <f>(VLOOKUP($A94,'The List'!$B1:$AH730,22,FALSE)-AVERAGE('The List'!W2:W730))/STDEV('The List'!W2:W730)</f>
        <v>0.34838056833607</v>
      </c>
      <c r="K94" s="46">
        <f>(VLOOKUP($A94,'The List'!$B1:$AH730,23,FALSE)-AVERAGE('The List'!X2:X730))/STDEV('The List'!X2:X730)</f>
        <v>0.368102478009013</v>
      </c>
      <c r="L94" s="46">
        <f>(VLOOKUP($A94,'The List'!$B1:$AH730,24,FALSE)-AVERAGE('The List'!Y2:Y730))/STDEV('The List'!Y2:Y730)</f>
        <v>-0.0269455026129728</v>
      </c>
      <c r="M94" s="46">
        <f>(VLOOKUP($A94,'The List'!$B1:$AH730,25,FALSE)-AVERAGE('The List'!Z2:Z730))/STDEV('The List'!Z2:Z730)</f>
        <v>0.542235536378598</v>
      </c>
      <c r="N94" s="46">
        <f>(VLOOKUP($A94,'The List'!$B1:$AH730,26,FALSE)-AVERAGE('The List'!AA2:AA730))/STDEV('The List'!AA2:AA730)</f>
        <v>-0.634798485114351</v>
      </c>
      <c r="O94" s="46">
        <f>(VLOOKUP($A94,'The List'!$B1:$AH730,27,FALSE)-AVERAGE('The List'!AB2:AB730))/STDEV('The List'!AB2:AB730)</f>
        <v>-0.8291178007846171</v>
      </c>
      <c r="P94" s="46">
        <f>(VLOOKUP($A94,'The List'!$B1:$AH730,28,FALSE)-AVERAGE('The List'!AC2:AC730))/STDEV('The List'!AC2:AC730)</f>
        <v>-1.00733436057121</v>
      </c>
      <c r="Q94" s="46">
        <f>(VLOOKUP($A94,'The List'!$B1:$AH730,29,FALSE)-AVERAGE('The List'!AD2:AD730))/STDEV('The List'!AD2:AD730)</f>
        <v>-2.20349239295021</v>
      </c>
      <c r="R94" s="46">
        <f>(VLOOKUP($A94,'The List'!$B1:$AH730,30,FALSE)-AVERAGE('The List'!AE2:AE730))/STDEV('The List'!AE2:AE730)</f>
        <v>0.235192816679895</v>
      </c>
      <c r="S94" s="46">
        <f>(VLOOKUP($A94,'The List'!$B1:$AH730,31,FALSE)-AVERAGE('The List'!AF2:AF730))/STDEV('The List'!AF2:AF730)</f>
        <v>2.0959473292069</v>
      </c>
      <c r="T94" s="46">
        <f>(VLOOKUP($A94,'The List'!$B1:$AH730,32,FALSE)-AVERAGE('The List'!AG2:AG730))/STDEV('The List'!AG2:AG730)</f>
        <v>1.56629555756018</v>
      </c>
      <c r="U94" s="46">
        <f>(VLOOKUP($A94,'The List'!$B1:$AH730,33,FALSE)-AVERAGE('The List'!AH2:AH730))/STDEV('The List'!AH2:AH730)</f>
        <v>1.30566016619204</v>
      </c>
      <c r="V94" s="46"/>
      <c r="W94" s="50"/>
      <c r="X94" s="48"/>
      <c r="Y94" s="48"/>
      <c r="Z94" s="48"/>
      <c r="AA94" s="48"/>
      <c r="AB94" s="48"/>
      <c r="AC94" s="51"/>
      <c r="AD94" s="52"/>
      <c r="AE94" s="46"/>
    </row>
    <row r="95" ht="21.25" customHeight="1">
      <c r="A95" t="s" s="8">
        <v>289</v>
      </c>
      <c r="B95" t="s" s="42">
        <f>VLOOKUP(A95,'Player Data'!A1:B734,2,FALSE)</f>
        <v>173</v>
      </c>
      <c r="C95" s="44">
        <f>((E95)*'Settings'!$C$12)+(F95*'Settings'!$C$2)+(G95*'Settings'!$C$3)+(H95*'Settings'!$C$4)+(I95*'Settings'!$C$5)+(K95*'Settings'!$C$9)+(N95*'Settings'!$C$6)+(J95*'Settings'!$C$8)+(O95*'Settings'!$C$7)+(P95*'Settings'!$C$14)+(Q95*'Settings'!$C$15)+(R95*'Settings'!$C$16)+(S95*'Settings'!$C$17)+(T95*'Settings'!$C$18)+(U95*'Settings'!$C$19)+(L95*'Settings'!$C$10)+('Settings'!$C$11*M95)</f>
        <v>4.24477425595924</v>
      </c>
      <c r="D95" s="48">
        <f>IF('Settings'!$E$12="YES",VLOOKUP(A95,'Player Data'!A1:E734,5,FALSE),82)</f>
        <v>80.77464285714289</v>
      </c>
      <c r="E95" s="46">
        <f>(VLOOKUP($A95,'The List'!$B1:$AH730,17,FALSE)-AVERAGE('The List'!R2:R730))/STDEV('The List'!R2:R730)</f>
        <v>0.455359079821621</v>
      </c>
      <c r="F95" s="46">
        <f>(VLOOKUP($A95,'The List'!$B1:$AH730,18,FALSE)-AVERAGE('The List'!S2:S730))/STDEV('The List'!S2:S730)</f>
        <v>1.2146438515862</v>
      </c>
      <c r="G95" s="46">
        <f>(VLOOKUP($A95,'The List'!$B1:$AH730,19,FALSE)-AVERAGE('The List'!T2:T730))/STDEV('The List'!T2:T730)</f>
        <v>1.11998545203287</v>
      </c>
      <c r="H95" s="46">
        <f>(VLOOKUP($A95,'The List'!$B1:$AH730,20,FALSE)-AVERAGE('The List'!U2:U730))/STDEV('The List'!U2:U730)</f>
        <v>1.24314362345301</v>
      </c>
      <c r="I95" s="46">
        <f>(VLOOKUP($A95,'The List'!$B1:$AH730,21,FALSE)-AVERAGE('The List'!V2:V730))/STDEV('The List'!V2:V730)</f>
        <v>1.14599838005372</v>
      </c>
      <c r="J95" s="46">
        <f>(VLOOKUP($A95,'The List'!$B1:$AH730,22,FALSE)-AVERAGE('The List'!W2:W730))/STDEV('The List'!W2:W730)</f>
        <v>0.290403799876425</v>
      </c>
      <c r="K95" s="46">
        <f>(VLOOKUP($A95,'The List'!$B1:$AH730,23,FALSE)-AVERAGE('The List'!X2:X730))/STDEV('The List'!X2:X730)</f>
        <v>0.748676453423864</v>
      </c>
      <c r="L95" s="46">
        <f>(VLOOKUP($A95,'The List'!$B1:$AH730,24,FALSE)-AVERAGE('The List'!Y2:Y730))/STDEV('The List'!Y2:Y730)</f>
        <v>-0.396007739890977</v>
      </c>
      <c r="M95" s="46">
        <f>(VLOOKUP($A95,'The List'!$B1:$AH730,25,FALSE)-AVERAGE('The List'!Z2:Z730))/STDEV('The List'!Z2:Z730)</f>
        <v>-0.554755135457748</v>
      </c>
      <c r="N95" s="46">
        <f>(VLOOKUP($A95,'The List'!$B1:$AH730,26,FALSE)-AVERAGE('The List'!AA2:AA730))/STDEV('The List'!AA2:AA730)</f>
        <v>-0.821296662335712</v>
      </c>
      <c r="O95" s="46">
        <f>(VLOOKUP($A95,'The List'!$B1:$AH730,27,FALSE)-AVERAGE('The List'!AB2:AB730))/STDEV('The List'!AB2:AB730)</f>
        <v>-0.38635226083533</v>
      </c>
      <c r="P95" s="46">
        <f>(VLOOKUP($A95,'The List'!$B1:$AH730,28,FALSE)-AVERAGE('The List'!AC2:AC730))/STDEV('The List'!AC2:AC730)</f>
        <v>0.8367667811982979</v>
      </c>
      <c r="Q95" s="46">
        <f>(VLOOKUP($A95,'The List'!$B1:$AH730,29,FALSE)-AVERAGE('The List'!AD2:AD730))/STDEV('The List'!AD2:AD730)</f>
        <v>-0.133039201162272</v>
      </c>
      <c r="R95" s="46">
        <f>(VLOOKUP($A95,'The List'!$B1:$AH730,30,FALSE)-AVERAGE('The List'!AE2:AE730))/STDEV('The List'!AE2:AE730)</f>
        <v>1.27193799797771</v>
      </c>
      <c r="S95" s="46">
        <f>(VLOOKUP($A95,'The List'!$B1:$AH730,31,FALSE)-AVERAGE('The List'!AF2:AF730))/STDEV('The List'!AF2:AF730)</f>
        <v>2.89635656073983</v>
      </c>
      <c r="T95" s="46">
        <f>(VLOOKUP($A95,'The List'!$B1:$AH730,32,FALSE)-AVERAGE('The List'!AG2:AG730))/STDEV('The List'!AG2:AG730)</f>
        <v>1.89375508676077</v>
      </c>
      <c r="U95" s="46">
        <f>(VLOOKUP($A95,'The List'!$B1:$AH730,33,FALSE)-AVERAGE('The List'!AH2:AH730))/STDEV('The List'!AH2:AH730)</f>
        <v>1.44108754764205</v>
      </c>
      <c r="V95" s="46"/>
      <c r="W95" s="50"/>
      <c r="X95" s="48"/>
      <c r="Y95" s="48"/>
      <c r="Z95" s="48"/>
      <c r="AA95" s="48"/>
      <c r="AB95" s="48"/>
      <c r="AC95" s="51"/>
      <c r="AD95" s="52"/>
      <c r="AE95" s="46"/>
    </row>
    <row r="96" ht="21.25" customHeight="1">
      <c r="A96" t="s" s="8">
        <v>152</v>
      </c>
      <c r="B96" t="s" s="42">
        <f>VLOOKUP(A96,'Player Data'!A1:B734,2,FALSE)</f>
        <v>136</v>
      </c>
      <c r="C96" s="44">
        <f>((E96)*'Settings'!$C$12)+(F96*'Settings'!$C$2)+(G96*'Settings'!$C$3)+(H96*'Settings'!$C$4)+(I96*'Settings'!$C$5)+(K96*'Settings'!$C$9)+(N96*'Settings'!$C$6)+(J96*'Settings'!$C$8)+(O96*'Settings'!$C$7)+(P96*'Settings'!$C$14)+(Q96*'Settings'!$C$15)+(R96*'Settings'!$C$16)+(S96*'Settings'!$C$17)+(T96*'Settings'!$C$18)+(U96*'Settings'!$C$19)+(L96*'Settings'!$C$10)+('Settings'!$C$11*M96)</f>
        <v>8.980945742692001</v>
      </c>
      <c r="D96" s="48">
        <f>IF('Settings'!$E$12="YES",VLOOKUP(A96,'Player Data'!A1:E734,5,FALSE),82)</f>
        <v>79.7010714285714</v>
      </c>
      <c r="E96" s="46">
        <f>(VLOOKUP($A96,'The List'!$B1:$AH730,17,FALSE)-AVERAGE('The List'!R2:R730))/STDEV('The List'!R2:R730)</f>
        <v>2.45502430060291</v>
      </c>
      <c r="F96" s="46">
        <f>(VLOOKUP($A96,'The List'!$B1:$AH730,18,FALSE)-AVERAGE('The List'!S2:S730))/STDEV('The List'!S2:S730)</f>
        <v>-0.170150354344228</v>
      </c>
      <c r="G96" s="46">
        <f>(VLOOKUP($A96,'The List'!$B1:$AH730,19,FALSE)-AVERAGE('The List'!T2:T730))/STDEV('The List'!T2:T730)</f>
        <v>2.48583315157147</v>
      </c>
      <c r="H96" s="46">
        <f>(VLOOKUP($A96,'The List'!$B1:$AH730,20,FALSE)-AVERAGE('The List'!U2:U730))/STDEV('The List'!U2:U730)</f>
        <v>1.45506164124199</v>
      </c>
      <c r="I96" s="46">
        <f>(VLOOKUP($A96,'The List'!$B1:$AH730,21,FALSE)-AVERAGE('The List'!V2:V730))/STDEV('The List'!V2:V730)</f>
        <v>1.2703976220444</v>
      </c>
      <c r="J96" s="46">
        <f>(VLOOKUP($A96,'The List'!$B1:$AH730,22,FALSE)-AVERAGE('The List'!W2:W730))/STDEV('The List'!W2:W730)</f>
        <v>0.290287673376428</v>
      </c>
      <c r="K96" s="46">
        <f>(VLOOKUP($A96,'The List'!$B1:$AH730,23,FALSE)-AVERAGE('The List'!X2:X730))/STDEV('The List'!X2:X730)</f>
        <v>2.38194190251628</v>
      </c>
      <c r="L96" s="46">
        <f>(VLOOKUP($A96,'The List'!$B1:$AH730,24,FALSE)-AVERAGE('The List'!Y2:Y730))/STDEV('The List'!Y2:Y730)</f>
        <v>-0.48585158950951</v>
      </c>
      <c r="M96" s="46">
        <f>(VLOOKUP($A96,'The List'!$B1:$AH730,25,FALSE)-AVERAGE('The List'!Z2:Z730))/STDEV('The List'!Z2:Z730)</f>
        <v>-0.0597845157705958</v>
      </c>
      <c r="N96" s="46">
        <f>(VLOOKUP($A96,'The List'!$B1:$AH730,26,FALSE)-AVERAGE('The List'!AA2:AA730))/STDEV('The List'!AA2:AA730)</f>
        <v>1.17285651589987</v>
      </c>
      <c r="O96" s="46">
        <f>(VLOOKUP($A96,'The List'!$B1:$AH730,27,FALSE)-AVERAGE('The List'!AB2:AB730))/STDEV('The List'!AB2:AB730)</f>
        <v>-0.597079674542052</v>
      </c>
      <c r="P96" s="46">
        <f>(VLOOKUP($A96,'The List'!$B1:$AH730,28,FALSE)-AVERAGE('The List'!AC2:AC730))/STDEV('The List'!AC2:AC730)</f>
        <v>1.84006690500421</v>
      </c>
      <c r="Q96" s="46">
        <f>(VLOOKUP($A96,'The List'!$B1:$AH730,29,FALSE)-AVERAGE('The List'!AD2:AD730))/STDEV('The List'!AD2:AD730)</f>
        <v>-0.00924126665271798</v>
      </c>
      <c r="R96" s="46">
        <f>(VLOOKUP($A96,'The List'!$B1:$AH730,30,FALSE)-AVERAGE('The List'!AE2:AE730))/STDEV('The List'!AE2:AE730)</f>
        <v>-0.0128388775346424</v>
      </c>
      <c r="S96" s="46">
        <f>(VLOOKUP($A96,'The List'!$B1:$AH730,31,FALSE)-AVERAGE('The List'!AF2:AF730))/STDEV('The List'!AF2:AF730)</f>
        <v>-0.5569063253591</v>
      </c>
      <c r="T96" s="46">
        <f>(VLOOKUP($A96,'The List'!$B1:$AH730,32,FALSE)-AVERAGE('The List'!AG2:AG730))/STDEV('The List'!AG2:AG730)</f>
        <v>-0.600856269042678</v>
      </c>
      <c r="U96" s="46">
        <f>(VLOOKUP($A96,'The List'!$B1:$AH730,33,FALSE)-AVERAGE('The List'!AH2:AH730))/STDEV('The List'!AH2:AH730)</f>
        <v>-1.2363238714826</v>
      </c>
      <c r="V96" s="46"/>
      <c r="W96" s="50"/>
      <c r="X96" s="48"/>
      <c r="Y96" s="48"/>
      <c r="Z96" s="48"/>
      <c r="AA96" s="48"/>
      <c r="AB96" s="48"/>
      <c r="AC96" s="51"/>
      <c r="AD96" s="52"/>
      <c r="AE96" s="46"/>
    </row>
    <row r="97" ht="21.25" customHeight="1">
      <c r="A97" t="s" s="8">
        <v>207</v>
      </c>
      <c r="B97" t="s" s="42">
        <f>VLOOKUP(A97,'Player Data'!A1:B734,2,FALSE)</f>
        <v>119</v>
      </c>
      <c r="C97" s="44">
        <f>((E97)*'Settings'!$C$12)+(F97*'Settings'!$C$2)+(G97*'Settings'!$C$3)+(H97*'Settings'!$C$4)+(I97*'Settings'!$C$5)+(K97*'Settings'!$C$9)+(N97*'Settings'!$C$6)+(J97*'Settings'!$C$8)+(O97*'Settings'!$C$7)+(P97*'Settings'!$C$14)+(Q97*'Settings'!$C$15)+(R97*'Settings'!$C$16)+(S97*'Settings'!$C$17)+(T97*'Settings'!$C$18)+(U97*'Settings'!$C$19)+(L97*'Settings'!$C$10)+('Settings'!$C$11*M97)</f>
        <v>5.58945965215708</v>
      </c>
      <c r="D97" s="48">
        <f>IF('Settings'!$E$12="YES",VLOOKUP(A97,'Player Data'!A1:E734,5,FALSE),82)</f>
        <v>70</v>
      </c>
      <c r="E97" s="46">
        <f>(VLOOKUP($A97,'The List'!$B1:$AH730,17,FALSE)-AVERAGE('The List'!R2:R730))/STDEV('The List'!R2:R730)</f>
        <v>1.9738481812267</v>
      </c>
      <c r="F97" s="46">
        <f>(VLOOKUP($A97,'The List'!$B1:$AH730,18,FALSE)-AVERAGE('The List'!S2:S730))/STDEV('The List'!S2:S730)</f>
        <v>-0.0894350794296169</v>
      </c>
      <c r="G97" s="46">
        <f>(VLOOKUP($A97,'The List'!$B1:$AH730,19,FALSE)-AVERAGE('The List'!T2:T730))/STDEV('The List'!T2:T730)</f>
        <v>1.42144428090684</v>
      </c>
      <c r="H97" s="46">
        <f>(VLOOKUP($A97,'The List'!$B1:$AH730,20,FALSE)-AVERAGE('The List'!U2:U730))/STDEV('The List'!U2:U730)</f>
        <v>0.835606961349406</v>
      </c>
      <c r="I97" s="46">
        <f>(VLOOKUP($A97,'The List'!$B1:$AH730,21,FALSE)-AVERAGE('The List'!V2:V730))/STDEV('The List'!V2:V730)</f>
        <v>1.05987928296585</v>
      </c>
      <c r="J97" s="46">
        <f>(VLOOKUP($A97,'The List'!$B1:$AH730,22,FALSE)-AVERAGE('The List'!W2:W730))/STDEV('The List'!W2:W730)</f>
        <v>-0.056049024611242</v>
      </c>
      <c r="K97" s="46">
        <f>(VLOOKUP($A97,'The List'!$B1:$AH730,23,FALSE)-AVERAGE('The List'!X2:X730))/STDEV('The List'!X2:X730)</f>
        <v>1.59226937743121</v>
      </c>
      <c r="L97" s="46">
        <f>(VLOOKUP($A97,'The List'!$B1:$AH730,24,FALSE)-AVERAGE('The List'!Y2:Y730))/STDEV('The List'!Y2:Y730)</f>
        <v>-0.325760885930829</v>
      </c>
      <c r="M97" s="46">
        <f>(VLOOKUP($A97,'The List'!$B1:$AH730,25,FALSE)-AVERAGE('The List'!Z2:Z730))/STDEV('The List'!Z2:Z730)</f>
        <v>-0.528750254911865</v>
      </c>
      <c r="N97" s="46">
        <f>(VLOOKUP($A97,'The List'!$B1:$AH730,26,FALSE)-AVERAGE('The List'!AA2:AA730))/STDEV('The List'!AA2:AA730)</f>
        <v>0.632021662799004</v>
      </c>
      <c r="O97" s="46">
        <f>(VLOOKUP($A97,'The List'!$B1:$AH730,27,FALSE)-AVERAGE('The List'!AB2:AB730))/STDEV('The List'!AB2:AB730)</f>
        <v>-0.295379250768618</v>
      </c>
      <c r="P97" s="46">
        <f>(VLOOKUP($A97,'The List'!$B1:$AH730,28,FALSE)-AVERAGE('The List'!AC2:AC730))/STDEV('The List'!AC2:AC730)</f>
        <v>0.973280127483789</v>
      </c>
      <c r="Q97" s="46">
        <f>(VLOOKUP($A97,'The List'!$B1:$AH730,29,FALSE)-AVERAGE('The List'!AD2:AD730))/STDEV('The List'!AD2:AD730)</f>
        <v>1.3698166037886</v>
      </c>
      <c r="R97" s="46">
        <f>(VLOOKUP($A97,'The List'!$B1:$AH730,30,FALSE)-AVERAGE('The List'!AE2:AE730))/STDEV('The List'!AE2:AE730)</f>
        <v>-0.0586232134402272</v>
      </c>
      <c r="S97" s="46">
        <f>(VLOOKUP($A97,'The List'!$B1:$AH730,31,FALSE)-AVERAGE('The List'!AF2:AF730))/STDEV('The List'!AF2:AF730)</f>
        <v>-0.5569063253591</v>
      </c>
      <c r="T97" s="46">
        <f>(VLOOKUP($A97,'The List'!$B1:$AH730,32,FALSE)-AVERAGE('The List'!AG2:AG730))/STDEV('The List'!AG2:AG730)</f>
        <v>-0.600856269042678</v>
      </c>
      <c r="U97" s="46">
        <f>(VLOOKUP($A97,'The List'!$B1:$AH730,33,FALSE)-AVERAGE('The List'!AH2:AH730))/STDEV('The List'!AH2:AH730)</f>
        <v>-1.2363238714826</v>
      </c>
      <c r="V97" s="46"/>
      <c r="W97" s="50"/>
      <c r="X97" s="48"/>
      <c r="Y97" s="48"/>
      <c r="Z97" s="48"/>
      <c r="AA97" s="48"/>
      <c r="AB97" s="48"/>
      <c r="AC97" s="51"/>
      <c r="AD97" s="52"/>
      <c r="AE97" s="46"/>
    </row>
    <row r="98" ht="21.25" customHeight="1">
      <c r="A98" t="s" s="8">
        <v>300</v>
      </c>
      <c r="B98" t="s" s="42">
        <f>VLOOKUP(A98,'Player Data'!A1:B734,2,FALSE)</f>
        <v>113</v>
      </c>
      <c r="C98" s="44">
        <f>((E98)*'Settings'!$C$12)+(F98*'Settings'!$C$2)+(G98*'Settings'!$C$3)+(H98*'Settings'!$C$4)+(I98*'Settings'!$C$5)+(K98*'Settings'!$C$9)+(N98*'Settings'!$C$6)+(J98*'Settings'!$C$8)+(O98*'Settings'!$C$7)+(P98*'Settings'!$C$14)+(Q98*'Settings'!$C$15)+(R98*'Settings'!$C$16)+(S98*'Settings'!$C$17)+(T98*'Settings'!$C$18)+(U98*'Settings'!$C$19)+(L98*'Settings'!$C$10)+('Settings'!$C$11*M98)</f>
        <v>5.12322940850465</v>
      </c>
      <c r="D98" s="48">
        <f>IF('Settings'!$E$12="YES",VLOOKUP(A98,'Player Data'!A1:E734,5,FALSE),82)</f>
        <v>76.41714285714291</v>
      </c>
      <c r="E98" s="46">
        <f>(VLOOKUP($A98,'The List'!$B1:$AH730,17,FALSE)-AVERAGE('The List'!R2:R730))/STDEV('The List'!R2:R730)</f>
        <v>0.858864641338375</v>
      </c>
      <c r="F98" s="46">
        <f>(VLOOKUP($A98,'The List'!$B1:$AH730,18,FALSE)-AVERAGE('The List'!S2:S730))/STDEV('The List'!S2:S730)</f>
        <v>1.21519632677161</v>
      </c>
      <c r="G98" s="46">
        <f>(VLOOKUP($A98,'The List'!$B1:$AH730,19,FALSE)-AVERAGE('The List'!T2:T730))/STDEV('The List'!T2:T730)</f>
        <v>0.803554555145058</v>
      </c>
      <c r="H98" s="46">
        <f>(VLOOKUP($A98,'The List'!$B1:$AH730,20,FALSE)-AVERAGE('The List'!U2:U730))/STDEV('The List'!U2:U730)</f>
        <v>1.04831952187718</v>
      </c>
      <c r="I98" s="46">
        <f>(VLOOKUP($A98,'The List'!$B1:$AH730,21,FALSE)-AVERAGE('The List'!V2:V730))/STDEV('The List'!V2:V730)</f>
        <v>0.938599944500644</v>
      </c>
      <c r="J98" s="46">
        <f>(VLOOKUP($A98,'The List'!$B1:$AH730,22,FALSE)-AVERAGE('The List'!W2:W730))/STDEV('The List'!W2:W730)</f>
        <v>1.62651195819724</v>
      </c>
      <c r="K98" s="46">
        <f>(VLOOKUP($A98,'The List'!$B1:$AH730,23,FALSE)-AVERAGE('The List'!X2:X730))/STDEV('The List'!X2:X730)</f>
        <v>1.37595252544333</v>
      </c>
      <c r="L98" s="46">
        <f>(VLOOKUP($A98,'The List'!$B1:$AH730,24,FALSE)-AVERAGE('The List'!Y2:Y730))/STDEV('The List'!Y2:Y730)</f>
        <v>2.00016141714441</v>
      </c>
      <c r="M98" s="46">
        <f>(VLOOKUP($A98,'The List'!$B1:$AH730,25,FALSE)-AVERAGE('The List'!Z2:Z730))/STDEV('The List'!Z2:Z730)</f>
        <v>1.12313442408416</v>
      </c>
      <c r="N98" s="46">
        <f>(VLOOKUP($A98,'The List'!$B1:$AH730,26,FALSE)-AVERAGE('The List'!AA2:AA730))/STDEV('The List'!AA2:AA730)</f>
        <v>-0.298290575366247</v>
      </c>
      <c r="O98" s="46">
        <f>(VLOOKUP($A98,'The List'!$B1:$AH730,27,FALSE)-AVERAGE('The List'!AB2:AB730))/STDEV('The List'!AB2:AB730)</f>
        <v>0.303202467598261</v>
      </c>
      <c r="P98" s="46">
        <f>(VLOOKUP($A98,'The List'!$B1:$AH730,28,FALSE)-AVERAGE('The List'!AC2:AC730))/STDEV('The List'!AC2:AC730)</f>
        <v>1.08821663201025</v>
      </c>
      <c r="Q98" s="46">
        <f>(VLOOKUP($A98,'The List'!$B1:$AH730,29,FALSE)-AVERAGE('The List'!AD2:AD730))/STDEV('The List'!AD2:AD730)</f>
        <v>-0.0552409389199443</v>
      </c>
      <c r="R98" s="46">
        <f>(VLOOKUP($A98,'The List'!$B1:$AH730,30,FALSE)-AVERAGE('The List'!AE2:AE730))/STDEV('The List'!AE2:AE730)</f>
        <v>1.40038926819274</v>
      </c>
      <c r="S98" s="46">
        <f>(VLOOKUP($A98,'The List'!$B1:$AH730,31,FALSE)-AVERAGE('The List'!AF2:AF730))/STDEV('The List'!AF2:AF730)</f>
        <v>-0.523126453471875</v>
      </c>
      <c r="T98" s="46">
        <f>(VLOOKUP($A98,'The List'!$B1:$AH730,32,FALSE)-AVERAGE('The List'!AG2:AG730))/STDEV('The List'!AG2:AG730)</f>
        <v>-0.488444176343297</v>
      </c>
      <c r="U98" s="46">
        <f>(VLOOKUP($A98,'The List'!$B1:$AH730,33,FALSE)-AVERAGE('The List'!AH2:AH730))/STDEV('The List'!AH2:AH730)</f>
        <v>-0.15169993759058</v>
      </c>
      <c r="V98" s="46"/>
      <c r="W98" s="50"/>
      <c r="X98" s="48"/>
      <c r="Y98" s="48"/>
      <c r="Z98" s="48"/>
      <c r="AA98" s="48"/>
      <c r="AB98" s="48"/>
      <c r="AC98" s="51"/>
      <c r="AD98" s="52"/>
      <c r="AE98" s="46"/>
    </row>
    <row r="99" ht="21.25" customHeight="1">
      <c r="A99" t="s" s="8">
        <v>147</v>
      </c>
      <c r="B99" t="s" s="42">
        <f>VLOOKUP(A99,'Player Data'!A1:B734,2,FALSE)</f>
        <v>127</v>
      </c>
      <c r="C99" s="44">
        <f>((E99)*'Settings'!$C$12)+(F99*'Settings'!$C$2)+(G99*'Settings'!$C$3)+(H99*'Settings'!$C$4)+(I99*'Settings'!$C$5)+(K99*'Settings'!$C$9)+(N99*'Settings'!$C$6)+(J99*'Settings'!$C$8)+(O99*'Settings'!$C$7)+(P99*'Settings'!$C$14)+(Q99*'Settings'!$C$15)+(R99*'Settings'!$C$16)+(S99*'Settings'!$C$17)+(T99*'Settings'!$C$18)+(U99*'Settings'!$C$19)+(L99*'Settings'!$C$10)+('Settings'!$C$11*M99)</f>
        <v>7.54466511076501</v>
      </c>
      <c r="D99" s="48">
        <f>IF('Settings'!$E$12="YES",VLOOKUP(A99,'Player Data'!A1:E734,5,FALSE),82)</f>
        <v>79.1335714285714</v>
      </c>
      <c r="E99" s="46">
        <f>(VLOOKUP($A99,'The List'!$B1:$AH730,17,FALSE)-AVERAGE('The List'!R2:R730))/STDEV('The List'!R2:R730)</f>
        <v>1.6082412187485</v>
      </c>
      <c r="F99" s="46">
        <f>(VLOOKUP($A99,'The List'!$B1:$AH730,18,FALSE)-AVERAGE('The List'!S2:S730))/STDEV('The List'!S2:S730)</f>
        <v>0.419912967760577</v>
      </c>
      <c r="G99" s="46">
        <f>(VLOOKUP($A99,'The List'!$B1:$AH730,19,FALSE)-AVERAGE('The List'!T2:T730))/STDEV('The List'!T2:T730)</f>
        <v>1.74461203077166</v>
      </c>
      <c r="H99" s="46">
        <f>(VLOOKUP($A99,'The List'!$B1:$AH730,20,FALSE)-AVERAGE('The List'!U2:U730))/STDEV('The List'!U2:U730)</f>
        <v>1.26659920833078</v>
      </c>
      <c r="I99" s="46">
        <f>(VLOOKUP($A99,'The List'!$B1:$AH730,21,FALSE)-AVERAGE('The List'!V2:V730))/STDEV('The List'!V2:V730)</f>
        <v>2.22831401782668</v>
      </c>
      <c r="J99" s="46">
        <f>(VLOOKUP($A99,'The List'!$B1:$AH730,22,FALSE)-AVERAGE('The List'!W2:W730))/STDEV('The List'!W2:W730)</f>
        <v>1.00642965270228</v>
      </c>
      <c r="K99" s="46">
        <f>(VLOOKUP($A99,'The List'!$B1:$AH730,23,FALSE)-AVERAGE('The List'!X2:X730))/STDEV('The List'!X2:X730)</f>
        <v>1.91383374792053</v>
      </c>
      <c r="L99" s="46">
        <f>(VLOOKUP($A99,'The List'!$B1:$AH730,24,FALSE)-AVERAGE('The List'!Y2:Y730))/STDEV('The List'!Y2:Y730)</f>
        <v>-0.309332463101278</v>
      </c>
      <c r="M99" s="46">
        <f>(VLOOKUP($A99,'The List'!$B1:$AH730,25,FALSE)-AVERAGE('The List'!Z2:Z730))/STDEV('The List'!Z2:Z730)</f>
        <v>-0.514670617192965</v>
      </c>
      <c r="N99" s="46">
        <f>(VLOOKUP($A99,'The List'!$B1:$AH730,26,FALSE)-AVERAGE('The List'!AA2:AA730))/STDEV('The List'!AA2:AA730)</f>
        <v>0.983875921050659</v>
      </c>
      <c r="O99" s="46">
        <f>(VLOOKUP($A99,'The List'!$B1:$AH730,27,FALSE)-AVERAGE('The List'!AB2:AB730))/STDEV('The List'!AB2:AB730)</f>
        <v>-0.308367798753279</v>
      </c>
      <c r="P99" s="46">
        <f>(VLOOKUP($A99,'The List'!$B1:$AH730,28,FALSE)-AVERAGE('The List'!AC2:AC730))/STDEV('The List'!AC2:AC730)</f>
        <v>0.2541164254349</v>
      </c>
      <c r="Q99" s="46">
        <f>(VLOOKUP($A99,'The List'!$B1:$AH730,29,FALSE)-AVERAGE('The List'!AD2:AD730))/STDEV('The List'!AD2:AD730)</f>
        <v>1.20481039382767</v>
      </c>
      <c r="R99" s="46">
        <f>(VLOOKUP($A99,'The List'!$B1:$AH730,30,FALSE)-AVERAGE('The List'!AE2:AE730))/STDEV('The List'!AE2:AE730)</f>
        <v>0.456189589276071</v>
      </c>
      <c r="S99" s="46">
        <f>(VLOOKUP($A99,'The List'!$B1:$AH730,31,FALSE)-AVERAGE('The List'!AF2:AF730))/STDEV('The List'!AF2:AF730)</f>
        <v>-0.5569063253591</v>
      </c>
      <c r="T99" s="46">
        <f>(VLOOKUP($A99,'The List'!$B1:$AH730,32,FALSE)-AVERAGE('The List'!AG2:AG730))/STDEV('The List'!AG2:AG730)</f>
        <v>-0.600856269042678</v>
      </c>
      <c r="U99" s="46">
        <f>(VLOOKUP($A99,'The List'!$B1:$AH730,33,FALSE)-AVERAGE('The List'!AH2:AH730))/STDEV('The List'!AH2:AH730)</f>
        <v>-1.2363238714826</v>
      </c>
      <c r="V99" s="46"/>
      <c r="W99" s="48"/>
      <c r="X99" s="46"/>
      <c r="Y99" s="46"/>
      <c r="Z99" s="46"/>
      <c r="AA99" s="46"/>
      <c r="AB99" s="46"/>
      <c r="AC99" s="46"/>
      <c r="AD99" s="46"/>
      <c r="AE99" s="46"/>
    </row>
    <row r="100" ht="21.25" customHeight="1">
      <c r="A100" t="s" s="8">
        <v>242</v>
      </c>
      <c r="B100" t="s" s="42">
        <f>VLOOKUP(A100,'Player Data'!A1:B734,2,FALSE)</f>
        <v>134</v>
      </c>
      <c r="C100" s="44">
        <f>((E100)*'Settings'!$C$12)+(F100*'Settings'!$C$2)+(G100*'Settings'!$C$3)+(H100*'Settings'!$C$4)+(I100*'Settings'!$C$5)+(K100*'Settings'!$C$9)+(N100*'Settings'!$C$6)+(J100*'Settings'!$C$8)+(O100*'Settings'!$C$7)+(P100*'Settings'!$C$14)+(Q100*'Settings'!$C$15)+(R100*'Settings'!$C$16)+(S100*'Settings'!$C$17)+(T100*'Settings'!$C$18)+(U100*'Settings'!$C$19)+(L100*'Settings'!$C$10)+('Settings'!$C$11*M100)</f>
        <v>6.94616677299309</v>
      </c>
      <c r="D100" s="48">
        <f>IF('Settings'!$E$12="YES",VLOOKUP(A100,'Player Data'!A1:E734,5,FALSE),82)</f>
        <v>80.63249999999999</v>
      </c>
      <c r="E100" s="46">
        <f>(VLOOKUP($A100,'The List'!$B1:$AH730,17,FALSE)-AVERAGE('The List'!R2:R730))/STDEV('The List'!R2:R730)</f>
        <v>0.787028176980905</v>
      </c>
      <c r="F100" s="46">
        <f>(VLOOKUP($A100,'The List'!$B1:$AH730,18,FALSE)-AVERAGE('The List'!S2:S730))/STDEV('The List'!S2:S730)</f>
        <v>1.55547137299084</v>
      </c>
      <c r="G100" s="46">
        <f>(VLOOKUP($A100,'The List'!$B1:$AH730,19,FALSE)-AVERAGE('The List'!T2:T730))/STDEV('The List'!T2:T730)</f>
        <v>0.957735984257736</v>
      </c>
      <c r="H100" s="46">
        <f>(VLOOKUP($A100,'The List'!$B1:$AH730,20,FALSE)-AVERAGE('The List'!U2:U730))/STDEV('The List'!U2:U730)</f>
        <v>1.29820231689768</v>
      </c>
      <c r="I100" s="46">
        <f>(VLOOKUP($A100,'The List'!$B1:$AH730,21,FALSE)-AVERAGE('The List'!V2:V730))/STDEV('The List'!V2:V730)</f>
        <v>2.03392905695572</v>
      </c>
      <c r="J100" s="46">
        <f>(VLOOKUP($A100,'The List'!$B1:$AH730,22,FALSE)-AVERAGE('The List'!W2:W730))/STDEV('The List'!W2:W730)</f>
        <v>2.71180272530841</v>
      </c>
      <c r="K100" s="46">
        <f>(VLOOKUP($A100,'The List'!$B1:$AH730,23,FALSE)-AVERAGE('The List'!X2:X730))/STDEV('The List'!X2:X730)</f>
        <v>1.60265453881808</v>
      </c>
      <c r="L100" s="46">
        <f>(VLOOKUP($A100,'The List'!$B1:$AH730,24,FALSE)-AVERAGE('The List'!Y2:Y730))/STDEV('The List'!Y2:Y730)</f>
        <v>1.47363652180765</v>
      </c>
      <c r="M100" s="46">
        <f>(VLOOKUP($A100,'The List'!$B1:$AH730,25,FALSE)-AVERAGE('The List'!Z2:Z730))/STDEV('The List'!Z2:Z730)</f>
        <v>1.19353646668162</v>
      </c>
      <c r="N100" s="46">
        <f>(VLOOKUP($A100,'The List'!$B1:$AH730,26,FALSE)-AVERAGE('The List'!AA2:AA730))/STDEV('The List'!AA2:AA730)</f>
        <v>-0.132044543537498</v>
      </c>
      <c r="O100" s="46">
        <f>(VLOOKUP($A100,'The List'!$B1:$AH730,27,FALSE)-AVERAGE('The List'!AB2:AB730))/STDEV('The List'!AB2:AB730)</f>
        <v>0.802501277993149</v>
      </c>
      <c r="P100" s="46">
        <f>(VLOOKUP($A100,'The List'!$B1:$AH730,28,FALSE)-AVERAGE('The List'!AC2:AC730))/STDEV('The List'!AC2:AC730)</f>
        <v>0.928420363508211</v>
      </c>
      <c r="Q100" s="46">
        <f>(VLOOKUP($A100,'The List'!$B1:$AH730,29,FALSE)-AVERAGE('The List'!AD2:AD730))/STDEV('The List'!AD2:AD730)</f>
        <v>0.538480064065779</v>
      </c>
      <c r="R100" s="46">
        <f>(VLOOKUP($A100,'The List'!$B1:$AH730,30,FALSE)-AVERAGE('The List'!AE2:AE730))/STDEV('The List'!AE2:AE730)</f>
        <v>1.79451814040843</v>
      </c>
      <c r="S100" s="46">
        <f>(VLOOKUP($A100,'The List'!$B1:$AH730,31,FALSE)-AVERAGE('The List'!AF2:AF730))/STDEV('The List'!AF2:AF730)</f>
        <v>2.95832031272219</v>
      </c>
      <c r="T100" s="46">
        <f>(VLOOKUP($A100,'The List'!$B1:$AH730,32,FALSE)-AVERAGE('The List'!AG2:AG730))/STDEV('The List'!AG2:AG730)</f>
        <v>3.35595786878571</v>
      </c>
      <c r="U100" s="46">
        <f>(VLOOKUP($A100,'The List'!$B1:$AH730,33,FALSE)-AVERAGE('The List'!AH2:AH730))/STDEV('The List'!AH2:AH730)</f>
        <v>0.945261306168837</v>
      </c>
      <c r="V100" s="46"/>
      <c r="W100" s="50"/>
      <c r="X100" s="48"/>
      <c r="Y100" s="48"/>
      <c r="Z100" s="48"/>
      <c r="AA100" s="48"/>
      <c r="AB100" s="48"/>
      <c r="AC100" s="51"/>
      <c r="AD100" s="52"/>
      <c r="AE100" s="46"/>
    </row>
    <row r="101" ht="21.25" customHeight="1">
      <c r="A101" t="s" s="8">
        <v>177</v>
      </c>
      <c r="B101" t="s" s="42">
        <f>VLOOKUP(A101,'Player Data'!A1:B734,2,FALSE)</f>
        <v>124</v>
      </c>
      <c r="C101" s="44">
        <f>((E101)*'Settings'!$C$12)+(F101*'Settings'!$C$2)+(G101*'Settings'!$C$3)+(H101*'Settings'!$C$4)+(I101*'Settings'!$C$5)+(K101*'Settings'!$C$9)+(N101*'Settings'!$C$6)+(J101*'Settings'!$C$8)+(O101*'Settings'!$C$7)+(P101*'Settings'!$C$14)+(Q101*'Settings'!$C$15)+(R101*'Settings'!$C$16)+(S101*'Settings'!$C$17)+(T101*'Settings'!$C$18)+(U101*'Settings'!$C$19)+(L101*'Settings'!$C$10)+('Settings'!$C$11*M101)</f>
        <v>6.48193059660054</v>
      </c>
      <c r="D101" s="48">
        <f>IF('Settings'!$E$12="YES",VLOOKUP(A101,'Player Data'!A1:E734,5,FALSE),82)</f>
        <v>81.40000000000001</v>
      </c>
      <c r="E101" s="46">
        <f>(VLOOKUP($A101,'The List'!$B1:$AH730,17,FALSE)-AVERAGE('The List'!R2:R730))/STDEV('The List'!R2:R730)</f>
        <v>2.00411100283189</v>
      </c>
      <c r="F101" s="46">
        <f>(VLOOKUP($A101,'The List'!$B1:$AH730,18,FALSE)-AVERAGE('The List'!S2:S730))/STDEV('The List'!S2:S730)</f>
        <v>-0.0215726272682715</v>
      </c>
      <c r="G101" s="46">
        <f>(VLOOKUP($A101,'The List'!$B1:$AH730,19,FALSE)-AVERAGE('The List'!T2:T730))/STDEV('The List'!T2:T730)</f>
        <v>1.91629783272632</v>
      </c>
      <c r="H101" s="46">
        <f>(VLOOKUP($A101,'The List'!$B1:$AH730,20,FALSE)-AVERAGE('The List'!U2:U730))/STDEV('The List'!U2:U730)</f>
        <v>1.17155644861261</v>
      </c>
      <c r="I101" s="46">
        <f>(VLOOKUP($A101,'The List'!$B1:$AH730,21,FALSE)-AVERAGE('The List'!V2:V730))/STDEV('The List'!V2:V730)</f>
        <v>1.12221979026733</v>
      </c>
      <c r="J101" s="46">
        <f>(VLOOKUP($A101,'The List'!$B1:$AH730,22,FALSE)-AVERAGE('The List'!W2:W730))/STDEV('The List'!W2:W730)</f>
        <v>-0.0186577070127743</v>
      </c>
      <c r="K101" s="46">
        <f>(VLOOKUP($A101,'The List'!$B1:$AH730,23,FALSE)-AVERAGE('The List'!X2:X730))/STDEV('The List'!X2:X730)</f>
        <v>1.57703458582974</v>
      </c>
      <c r="L101" s="46">
        <f>(VLOOKUP($A101,'The List'!$B1:$AH730,24,FALSE)-AVERAGE('The List'!Y2:Y730))/STDEV('The List'!Y2:Y730)</f>
        <v>0.226333791886202</v>
      </c>
      <c r="M101" s="46">
        <f>(VLOOKUP($A101,'The List'!$B1:$AH730,25,FALSE)-AVERAGE('The List'!Z2:Z730))/STDEV('The List'!Z2:Z730)</f>
        <v>0.295160853806207</v>
      </c>
      <c r="N101" s="46">
        <f>(VLOOKUP($A101,'The List'!$B1:$AH730,26,FALSE)-AVERAGE('The List'!AA2:AA730))/STDEV('The List'!AA2:AA730)</f>
        <v>1.98359554799195</v>
      </c>
      <c r="O101" s="46">
        <f>(VLOOKUP($A101,'The List'!$B1:$AH730,27,FALSE)-AVERAGE('The List'!AB2:AB730))/STDEV('The List'!AB2:AB730)</f>
        <v>0.139399738628668</v>
      </c>
      <c r="P101" s="46">
        <f>(VLOOKUP($A101,'The List'!$B1:$AH730,28,FALSE)-AVERAGE('The List'!AC2:AC730))/STDEV('The List'!AC2:AC730)</f>
        <v>-0.0956445329465328</v>
      </c>
      <c r="Q101" s="46">
        <f>(VLOOKUP($A101,'The List'!$B1:$AH730,29,FALSE)-AVERAGE('The List'!AD2:AD730))/STDEV('The List'!AD2:AD730)</f>
        <v>0.424310459358438</v>
      </c>
      <c r="R101" s="46">
        <f>(VLOOKUP($A101,'The List'!$B1:$AH730,30,FALSE)-AVERAGE('The List'!AE2:AE730))/STDEV('The List'!AE2:AE730)</f>
        <v>0.112891328784807</v>
      </c>
      <c r="S101" s="46">
        <f>(VLOOKUP($A101,'The List'!$B1:$AH730,31,FALSE)-AVERAGE('The List'!AF2:AF730))/STDEV('The List'!AF2:AF730)</f>
        <v>-0.5569063253591</v>
      </c>
      <c r="T101" s="46">
        <f>(VLOOKUP($A101,'The List'!$B1:$AH730,32,FALSE)-AVERAGE('The List'!AG2:AG730))/STDEV('The List'!AG2:AG730)</f>
        <v>-0.600856269042678</v>
      </c>
      <c r="U101" s="46">
        <f>(VLOOKUP($A101,'The List'!$B1:$AH730,33,FALSE)-AVERAGE('The List'!AH2:AH730))/STDEV('The List'!AH2:AH730)</f>
        <v>-1.2363238714826</v>
      </c>
      <c r="V101" s="46"/>
      <c r="W101" s="48"/>
      <c r="X101" s="46"/>
      <c r="Y101" s="46"/>
      <c r="Z101" s="46"/>
      <c r="AA101" s="46"/>
      <c r="AB101" s="46"/>
      <c r="AC101" s="46"/>
      <c r="AD101" s="46"/>
      <c r="AE101" s="46"/>
    </row>
    <row r="102" ht="21.25" customHeight="1">
      <c r="A102" t="s" s="8">
        <v>256</v>
      </c>
      <c r="B102" t="s" s="42">
        <f>VLOOKUP(A102,'Player Data'!A1:B734,2,FALSE)</f>
        <v>204</v>
      </c>
      <c r="C102" s="44">
        <f>((E102)*'Settings'!$C$12)+(F102*'Settings'!$C$2)+(G102*'Settings'!$C$3)+(H102*'Settings'!$C$4)+(I102*'Settings'!$C$5)+(K102*'Settings'!$C$9)+(N102*'Settings'!$C$6)+(J102*'Settings'!$C$8)+(O102*'Settings'!$C$7)+(P102*'Settings'!$C$14)+(Q102*'Settings'!$C$15)+(R102*'Settings'!$C$16)+(S102*'Settings'!$C$17)+(T102*'Settings'!$C$18)+(U102*'Settings'!$C$19)+(L102*'Settings'!$C$10)+('Settings'!$C$11*M102)</f>
        <v>4.73394617412908</v>
      </c>
      <c r="D102" s="48">
        <f>IF('Settings'!$E$12="YES",VLOOKUP(A102,'Player Data'!A1:E734,5,FALSE),82)</f>
        <v>81.48</v>
      </c>
      <c r="E102" s="46">
        <f>(VLOOKUP($A102,'The List'!$B1:$AH730,17,FALSE)-AVERAGE('The List'!R2:R730))/STDEV('The List'!R2:R730)</f>
        <v>0.615543629616365</v>
      </c>
      <c r="F102" s="46">
        <f>(VLOOKUP($A102,'The List'!$B1:$AH730,18,FALSE)-AVERAGE('The List'!S2:S730))/STDEV('The List'!S2:S730)</f>
        <v>2.22710402533895</v>
      </c>
      <c r="G102" s="46">
        <f>(VLOOKUP($A102,'The List'!$B1:$AH730,19,FALSE)-AVERAGE('The List'!T2:T730))/STDEV('The List'!T2:T730)</f>
        <v>0.245951157015017</v>
      </c>
      <c r="H102" s="46">
        <f>(VLOOKUP($A102,'The List'!$B1:$AH730,20,FALSE)-AVERAGE('The List'!U2:U730))/STDEV('The List'!U2:U730)</f>
        <v>1.16500265325388</v>
      </c>
      <c r="I102" s="46">
        <f>(VLOOKUP($A102,'The List'!$B1:$AH730,21,FALSE)-AVERAGE('The List'!V2:V730))/STDEV('The List'!V2:V730)</f>
        <v>1.82702775347994</v>
      </c>
      <c r="J102" s="46">
        <f>(VLOOKUP($A102,'The List'!$B1:$AH730,22,FALSE)-AVERAGE('The List'!W2:W730))/STDEV('The List'!W2:W730)</f>
        <v>1.66435363878398</v>
      </c>
      <c r="K102" s="46">
        <f>(VLOOKUP($A102,'The List'!$B1:$AH730,23,FALSE)-AVERAGE('The List'!X2:X730))/STDEV('The List'!X2:X730)</f>
        <v>1.18305931050286</v>
      </c>
      <c r="L102" s="46">
        <f>(VLOOKUP($A102,'The List'!$B1:$AH730,24,FALSE)-AVERAGE('The List'!Y2:Y730))/STDEV('The List'!Y2:Y730)</f>
        <v>4.09370002691437</v>
      </c>
      <c r="M102" s="46">
        <f>(VLOOKUP($A102,'The List'!$B1:$AH730,25,FALSE)-AVERAGE('The List'!Z2:Z730))/STDEV('The List'!Z2:Z730)</f>
        <v>2.23822650151011</v>
      </c>
      <c r="N102" s="46">
        <f>(VLOOKUP($A102,'The List'!$B1:$AH730,26,FALSE)-AVERAGE('The List'!AA2:AA730))/STDEV('The List'!AA2:AA730)</f>
        <v>-0.677876436034984</v>
      </c>
      <c r="O102" s="46">
        <f>(VLOOKUP($A102,'The List'!$B1:$AH730,27,FALSE)-AVERAGE('The List'!AB2:AB730))/STDEV('The List'!AB2:AB730)</f>
        <v>0.473083239709667</v>
      </c>
      <c r="P102" s="46">
        <f>(VLOOKUP($A102,'The List'!$B1:$AH730,28,FALSE)-AVERAGE('The List'!AC2:AC730))/STDEV('The List'!AC2:AC730)</f>
        <v>-0.07131963617270599</v>
      </c>
      <c r="Q102" s="46">
        <f>(VLOOKUP($A102,'The List'!$B1:$AH730,29,FALSE)-AVERAGE('The List'!AD2:AD730))/STDEV('The List'!AD2:AD730)</f>
        <v>0.975029516653806</v>
      </c>
      <c r="R102" s="46">
        <f>(VLOOKUP($A102,'The List'!$B1:$AH730,30,FALSE)-AVERAGE('The List'!AE2:AE730))/STDEV('The List'!AE2:AE730)</f>
        <v>2.20941887165085</v>
      </c>
      <c r="S102" s="46">
        <f>(VLOOKUP($A102,'The List'!$B1:$AH730,31,FALSE)-AVERAGE('The List'!AF2:AF730))/STDEV('The List'!AF2:AF730)</f>
        <v>-0.446269936877503</v>
      </c>
      <c r="T102" s="46">
        <f>(VLOOKUP($A102,'The List'!$B1:$AH730,32,FALSE)-AVERAGE('The List'!AG2:AG730))/STDEV('The List'!AG2:AG730)</f>
        <v>-0.423164202687633</v>
      </c>
      <c r="U102" s="46">
        <f>(VLOOKUP($A102,'The List'!$B1:$AH730,33,FALSE)-AVERAGE('The List'!AH2:AH730))/STDEV('The List'!AH2:AH730)</f>
        <v>0.550890228537553</v>
      </c>
      <c r="V102" s="46"/>
      <c r="W102" s="50"/>
      <c r="X102" s="48"/>
      <c r="Y102" s="48"/>
      <c r="Z102" s="48"/>
      <c r="AA102" s="48"/>
      <c r="AB102" s="48"/>
      <c r="AC102" s="51"/>
      <c r="AD102" s="52"/>
      <c r="AE102" s="46"/>
    </row>
    <row r="103" ht="21.25" customHeight="1">
      <c r="A103" t="s" s="8">
        <v>274</v>
      </c>
      <c r="B103" t="s" s="42">
        <f>VLOOKUP(A103,'Player Data'!A1:B734,2,FALSE)</f>
        <v>238</v>
      </c>
      <c r="C103" s="44">
        <f>((E103)*'Settings'!$C$12)+(F103*'Settings'!$C$2)+(G103*'Settings'!$C$3)+(H103*'Settings'!$C$4)+(I103*'Settings'!$C$5)+(K103*'Settings'!$C$9)+(N103*'Settings'!$C$6)+(J103*'Settings'!$C$8)+(O103*'Settings'!$C$7)+(P103*'Settings'!$C$14)+(Q103*'Settings'!$C$15)+(R103*'Settings'!$C$16)+(S103*'Settings'!$C$17)+(T103*'Settings'!$C$18)+(U103*'Settings'!$C$19)+(L103*'Settings'!$C$10)+('Settings'!$C$11*M103)</f>
        <v>4.99473721155809</v>
      </c>
      <c r="D103" s="48">
        <f>IF('Settings'!$E$12="YES",VLOOKUP(A103,'Player Data'!A1:E734,5,FALSE),82)</f>
        <v>80.5175</v>
      </c>
      <c r="E103" s="46">
        <f>(VLOOKUP($A103,'The List'!$B1:$AH730,17,FALSE)-AVERAGE('The List'!R2:R730))/STDEV('The List'!R2:R730)</f>
        <v>0.126616619348238</v>
      </c>
      <c r="F103" s="46">
        <f>(VLOOKUP($A103,'The List'!$B1:$AH730,18,FALSE)-AVERAGE('The List'!S2:S730))/STDEV('The List'!S2:S730)</f>
        <v>0.899252549902308</v>
      </c>
      <c r="G103" s="46">
        <f>(VLOOKUP($A103,'The List'!$B1:$AH730,19,FALSE)-AVERAGE('The List'!T2:T730))/STDEV('The List'!T2:T730)</f>
        <v>1.17100865212568</v>
      </c>
      <c r="H103" s="46">
        <f>(VLOOKUP($A103,'The List'!$B1:$AH730,20,FALSE)-AVERAGE('The List'!U2:U730))/STDEV('The List'!U2:U730)</f>
        <v>1.13108938801856</v>
      </c>
      <c r="I103" s="46">
        <f>(VLOOKUP($A103,'The List'!$B1:$AH730,21,FALSE)-AVERAGE('The List'!V2:V730))/STDEV('The List'!V2:V730)</f>
        <v>1.93255180931344</v>
      </c>
      <c r="J103" s="46">
        <f>(VLOOKUP($A103,'The List'!$B1:$AH730,22,FALSE)-AVERAGE('The List'!W2:W730))/STDEV('The List'!W2:W730)</f>
        <v>1.40160002875137</v>
      </c>
      <c r="K103" s="46">
        <f>(VLOOKUP($A103,'The List'!$B1:$AH730,23,FALSE)-AVERAGE('The List'!X2:X730))/STDEV('The List'!X2:X730)</f>
        <v>1.21345611335951</v>
      </c>
      <c r="L103" s="46">
        <f>(VLOOKUP($A103,'The List'!$B1:$AH730,24,FALSE)-AVERAGE('The List'!Y2:Y730))/STDEV('The List'!Y2:Y730)</f>
        <v>-0.490250690087363</v>
      </c>
      <c r="M103" s="46">
        <f>(VLOOKUP($A103,'The List'!$B1:$AH730,25,FALSE)-AVERAGE('The List'!Z2:Z730))/STDEV('The List'!Z2:Z730)</f>
        <v>-0.6618258536987131</v>
      </c>
      <c r="N103" s="46">
        <f>(VLOOKUP($A103,'The List'!$B1:$AH730,26,FALSE)-AVERAGE('The List'!AA2:AA730))/STDEV('The List'!AA2:AA730)</f>
        <v>-0.790530436624357</v>
      </c>
      <c r="O103" s="46">
        <f>(VLOOKUP($A103,'The List'!$B1:$AH730,27,FALSE)-AVERAGE('The List'!AB2:AB730))/STDEV('The List'!AB2:AB730)</f>
        <v>-0.192103259316803</v>
      </c>
      <c r="P103" s="46">
        <f>(VLOOKUP($A103,'The List'!$B1:$AH730,28,FALSE)-AVERAGE('The List'!AC2:AC730))/STDEV('The List'!AC2:AC730)</f>
        <v>0.568998523481504</v>
      </c>
      <c r="Q103" s="46">
        <f>(VLOOKUP($A103,'The List'!$B1:$AH730,29,FALSE)-AVERAGE('The List'!AD2:AD730))/STDEV('The List'!AD2:AD730)</f>
        <v>0.945991650113634</v>
      </c>
      <c r="R103" s="46">
        <f>(VLOOKUP($A103,'The List'!$B1:$AH730,30,FALSE)-AVERAGE('The List'!AE2:AE730))/STDEV('The List'!AE2:AE730)</f>
        <v>1.20198581260189</v>
      </c>
      <c r="S103" s="46">
        <f>(VLOOKUP($A103,'The List'!$B1:$AH730,31,FALSE)-AVERAGE('The List'!AF2:AF730))/STDEV('The List'!AF2:AF730)</f>
        <v>2.31382827417426</v>
      </c>
      <c r="T103" s="46">
        <f>(VLOOKUP($A103,'The List'!$B1:$AH730,32,FALSE)-AVERAGE('The List'!AG2:AG730))/STDEV('The List'!AG2:AG730)</f>
        <v>2.51321565099694</v>
      </c>
      <c r="U103" s="46">
        <f>(VLOOKUP($A103,'The List'!$B1:$AH730,33,FALSE)-AVERAGE('The List'!AH2:AH730))/STDEV('The List'!AH2:AH730)</f>
        <v>0.986979249284363</v>
      </c>
      <c r="V103" s="46"/>
      <c r="W103" s="48"/>
      <c r="X103" s="46"/>
      <c r="Y103" s="46"/>
      <c r="Z103" s="46"/>
      <c r="AA103" s="46"/>
      <c r="AB103" s="46"/>
      <c r="AC103" s="46"/>
      <c r="AD103" s="46"/>
      <c r="AE103" s="46"/>
    </row>
    <row r="104" ht="21.25" customHeight="1">
      <c r="A104" t="s" s="8">
        <v>333</v>
      </c>
      <c r="B104" t="s" s="42">
        <f>VLOOKUP(A104,'Player Data'!A1:B734,2,FALSE)</f>
        <v>194</v>
      </c>
      <c r="C104" s="44">
        <f>((E104)*'Settings'!$C$12)+(F104*'Settings'!$C$2)+(G104*'Settings'!$C$3)+(H104*'Settings'!$C$4)+(I104*'Settings'!$C$5)+(K104*'Settings'!$C$9)+(N104*'Settings'!$C$6)+(J104*'Settings'!$C$8)+(O104*'Settings'!$C$7)+(P104*'Settings'!$C$14)+(Q104*'Settings'!$C$15)+(R104*'Settings'!$C$16)+(S104*'Settings'!$C$17)+(T104*'Settings'!$C$18)+(U104*'Settings'!$C$19)+(L104*'Settings'!$C$10)+('Settings'!$C$11*M104)</f>
        <v>1.02928773954211</v>
      </c>
      <c r="D104" s="48">
        <f>IF('Settings'!$E$12="YES",VLOOKUP(A104,'Player Data'!A1:E734,5,FALSE),82)</f>
        <v>79.28</v>
      </c>
      <c r="E104" s="46">
        <f>(VLOOKUP($A104,'The List'!$B1:$AH730,17,FALSE)-AVERAGE('The List'!R2:R730))/STDEV('The List'!R2:R730)</f>
        <v>0.39416403172513</v>
      </c>
      <c r="F104" s="46">
        <f>(VLOOKUP($A104,'The List'!$B1:$AH730,18,FALSE)-AVERAGE('The List'!S2:S730))/STDEV('The List'!S2:S730)</f>
        <v>0.856636488580812</v>
      </c>
      <c r="G104" s="46">
        <f>(VLOOKUP($A104,'The List'!$B1:$AH730,19,FALSE)-AVERAGE('The List'!T2:T730))/STDEV('The List'!T2:T730)</f>
        <v>1.11730156767147</v>
      </c>
      <c r="H104" s="46">
        <f>(VLOOKUP($A104,'The List'!$B1:$AH730,20,FALSE)-AVERAGE('The List'!U2:U730))/STDEV('The List'!U2:U730)</f>
        <v>1.07858851376499</v>
      </c>
      <c r="I104" s="46">
        <f>(VLOOKUP($A104,'The List'!$B1:$AH730,21,FALSE)-AVERAGE('The List'!V2:V730))/STDEV('The List'!V2:V730)</f>
        <v>0.203244612665915</v>
      </c>
      <c r="J104" s="46">
        <f>(VLOOKUP($A104,'The List'!$B1:$AH730,22,FALSE)-AVERAGE('The List'!W2:W730))/STDEV('The List'!W2:W730)</f>
        <v>1.13331393988426</v>
      </c>
      <c r="K104" s="46">
        <f>(VLOOKUP($A104,'The List'!$B1:$AH730,23,FALSE)-AVERAGE('The List'!X2:X730))/STDEV('The List'!X2:X730)</f>
        <v>0.887566934174116</v>
      </c>
      <c r="L104" s="46">
        <f>(VLOOKUP($A104,'The List'!$B1:$AH730,24,FALSE)-AVERAGE('The List'!Y2:Y730))/STDEV('The List'!Y2:Y730)</f>
        <v>-0.352160984401738</v>
      </c>
      <c r="M104" s="46">
        <f>(VLOOKUP($A104,'The List'!$B1:$AH730,25,FALSE)-AVERAGE('The List'!Z2:Z730))/STDEV('The List'!Z2:Z730)</f>
        <v>-0.504934171499262</v>
      </c>
      <c r="N104" s="46">
        <f>(VLOOKUP($A104,'The List'!$B1:$AH730,26,FALSE)-AVERAGE('The List'!AA2:AA730))/STDEV('The List'!AA2:AA730)</f>
        <v>-0.59155820345121</v>
      </c>
      <c r="O104" s="46">
        <f>(VLOOKUP($A104,'The List'!$B1:$AH730,27,FALSE)-AVERAGE('The List'!AB2:AB730))/STDEV('The List'!AB2:AB730)</f>
        <v>0.831318603684017</v>
      </c>
      <c r="P104" s="46">
        <f>(VLOOKUP($A104,'The List'!$B1:$AH730,28,FALSE)-AVERAGE('The List'!AC2:AC730))/STDEV('The List'!AC2:AC730)</f>
        <v>-1.44390366009899</v>
      </c>
      <c r="Q104" s="46">
        <f>(VLOOKUP($A104,'The List'!$B1:$AH730,29,FALSE)-AVERAGE('The List'!AD2:AD730))/STDEV('The List'!AD2:AD730)</f>
        <v>0.630447271639754</v>
      </c>
      <c r="R104" s="46">
        <f>(VLOOKUP($A104,'The List'!$B1:$AH730,30,FALSE)-AVERAGE('The List'!AE2:AE730))/STDEV('The List'!AE2:AE730)</f>
        <v>0.427055095482802</v>
      </c>
      <c r="S104" s="46">
        <f>(VLOOKUP($A104,'The List'!$B1:$AH730,31,FALSE)-AVERAGE('The List'!AF2:AF730))/STDEV('The List'!AF2:AF730)</f>
        <v>1.63720626100388</v>
      </c>
      <c r="T104" s="46">
        <f>(VLOOKUP($A104,'The List'!$B1:$AH730,32,FALSE)-AVERAGE('The List'!AG2:AG730))/STDEV('The List'!AG2:AG730)</f>
        <v>1.84128050715265</v>
      </c>
      <c r="U104" s="46">
        <f>(VLOOKUP($A104,'The List'!$B1:$AH730,33,FALSE)-AVERAGE('The List'!AH2:AH730))/STDEV('The List'!AH2:AH730)</f>
        <v>0.957939338747032</v>
      </c>
      <c r="V104" s="46"/>
      <c r="W104" s="50"/>
      <c r="X104" s="48"/>
      <c r="Y104" s="48"/>
      <c r="Z104" s="48"/>
      <c r="AA104" s="48"/>
      <c r="AB104" s="48"/>
      <c r="AC104" s="51"/>
      <c r="AD104" s="52"/>
      <c r="AE104" s="46"/>
    </row>
    <row r="105" ht="21.25" customHeight="1">
      <c r="A105" t="s" s="8">
        <v>393</v>
      </c>
      <c r="B105" t="s" s="42">
        <f>VLOOKUP(A105,'Player Data'!A1:B734,2,FALSE)</f>
        <v>196</v>
      </c>
      <c r="C105" s="44">
        <f>((E105)*'Settings'!$C$12)+(F105*'Settings'!$C$2)+(G105*'Settings'!$C$3)+(H105*'Settings'!$C$4)+(I105*'Settings'!$C$5)+(K105*'Settings'!$C$9)+(N105*'Settings'!$C$6)+(J105*'Settings'!$C$8)+(O105*'Settings'!$C$7)+(P105*'Settings'!$C$14)+(Q105*'Settings'!$C$15)+(R105*'Settings'!$C$16)+(S105*'Settings'!$C$17)+(T105*'Settings'!$C$18)+(U105*'Settings'!$C$19)+(L105*'Settings'!$C$10)+('Settings'!$C$11*M105)</f>
        <v>0.25862819669197</v>
      </c>
      <c r="D105" s="48">
        <f>IF('Settings'!$E$12="YES",VLOOKUP(A105,'Player Data'!A1:E734,5,FALSE),82)</f>
        <v>74.56</v>
      </c>
      <c r="E105" s="46">
        <f>(VLOOKUP($A105,'The List'!$B1:$AH730,17,FALSE)-AVERAGE('The List'!R2:R730))/STDEV('The List'!R2:R730)</f>
        <v>0.0153936575326486</v>
      </c>
      <c r="F105" s="46">
        <f>(VLOOKUP($A105,'The List'!$B1:$AH730,18,FALSE)-AVERAGE('The List'!S2:S730))/STDEV('The List'!S2:S730)</f>
        <v>0.1624229809461</v>
      </c>
      <c r="G105" s="46">
        <f>(VLOOKUP($A105,'The List'!$B1:$AH730,19,FALSE)-AVERAGE('The List'!T2:T730))/STDEV('The List'!T2:T730)</f>
        <v>1.35173191590382</v>
      </c>
      <c r="H105" s="46">
        <f>(VLOOKUP($A105,'The List'!$B1:$AH730,20,FALSE)-AVERAGE('The List'!U2:U730))/STDEV('The List'!U2:U730)</f>
        <v>0.907230673262313</v>
      </c>
      <c r="I105" s="46">
        <f>(VLOOKUP($A105,'The List'!$B1:$AH730,21,FALSE)-AVERAGE('The List'!V2:V730))/STDEV('The List'!V2:V730)</f>
        <v>-0.699787575917407</v>
      </c>
      <c r="J105" s="46">
        <f>(VLOOKUP($A105,'The List'!$B1:$AH730,22,FALSE)-AVERAGE('The List'!W2:W730))/STDEV('The List'!W2:W730)</f>
        <v>-0.0575579813409193</v>
      </c>
      <c r="K105" s="46">
        <f>(VLOOKUP($A105,'The List'!$B1:$AH730,23,FALSE)-AVERAGE('The List'!X2:X730))/STDEV('The List'!X2:X730)</f>
        <v>0.922661093292416</v>
      </c>
      <c r="L105" s="46">
        <f>(VLOOKUP($A105,'The List'!$B1:$AH730,24,FALSE)-AVERAGE('The List'!Y2:Y730))/STDEV('The List'!Y2:Y730)</f>
        <v>-0.384071860912868</v>
      </c>
      <c r="M105" s="46">
        <f>(VLOOKUP($A105,'The List'!$B1:$AH730,25,FALSE)-AVERAGE('The List'!Z2:Z730))/STDEV('The List'!Z2:Z730)</f>
        <v>-0.549967819958831</v>
      </c>
      <c r="N105" s="46">
        <f>(VLOOKUP($A105,'The List'!$B1:$AH730,26,FALSE)-AVERAGE('The List'!AA2:AA730))/STDEV('The List'!AA2:AA730)</f>
        <v>-0.835729439777993</v>
      </c>
      <c r="O105" s="46">
        <f>(VLOOKUP($A105,'The List'!$B1:$AH730,27,FALSE)-AVERAGE('The List'!AB2:AB730))/STDEV('The List'!AB2:AB730)</f>
        <v>-1.12919565864424</v>
      </c>
      <c r="P105" s="46">
        <f>(VLOOKUP($A105,'The List'!$B1:$AH730,28,FALSE)-AVERAGE('The List'!AC2:AC730))/STDEV('The List'!AC2:AC730)</f>
        <v>-0.6426707777549659</v>
      </c>
      <c r="Q105" s="46">
        <f>(VLOOKUP($A105,'The List'!$B1:$AH730,29,FALSE)-AVERAGE('The List'!AD2:AD730))/STDEV('The List'!AD2:AD730)</f>
        <v>-0.507358492994905</v>
      </c>
      <c r="R105" s="46">
        <f>(VLOOKUP($A105,'The List'!$B1:$AH730,30,FALSE)-AVERAGE('The List'!AE2:AE730))/STDEV('The List'!AE2:AE730)</f>
        <v>0.0127681931767344</v>
      </c>
      <c r="S105" s="46">
        <f>(VLOOKUP($A105,'The List'!$B1:$AH730,31,FALSE)-AVERAGE('The List'!AF2:AF730))/STDEV('The List'!AF2:AF730)</f>
        <v>-0.5479592529194069</v>
      </c>
      <c r="T105" s="46">
        <f>(VLOOKUP($A105,'The List'!$B1:$AH730,32,FALSE)-AVERAGE('The List'!AG2:AG730))/STDEV('The List'!AG2:AG730)</f>
        <v>-0.565985274204218</v>
      </c>
      <c r="U105" s="46">
        <f>(VLOOKUP($A105,'The List'!$B1:$AH730,33,FALSE)-AVERAGE('The List'!AH2:AH730))/STDEV('The List'!AH2:AH730)</f>
        <v>-0.276547518005646</v>
      </c>
      <c r="V105" s="46"/>
      <c r="W105" s="48"/>
      <c r="X105" s="46"/>
      <c r="Y105" s="46"/>
      <c r="Z105" s="46"/>
      <c r="AA105" s="46"/>
      <c r="AB105" s="46"/>
      <c r="AC105" s="46"/>
      <c r="AD105" s="46"/>
      <c r="AE105" s="46"/>
    </row>
    <row r="106" ht="21.25" customHeight="1">
      <c r="A106" t="s" s="8">
        <v>351</v>
      </c>
      <c r="B106" t="s" s="42">
        <f>VLOOKUP(A106,'Player Data'!A1:B734,2,FALSE)</f>
        <v>131</v>
      </c>
      <c r="C106" s="44">
        <f>((E106)*'Settings'!$C$12)+(F106*'Settings'!$C$2)+(G106*'Settings'!$C$3)+(H106*'Settings'!$C$4)+(I106*'Settings'!$C$5)+(K106*'Settings'!$C$9)+(N106*'Settings'!$C$6)+(J106*'Settings'!$C$8)+(O106*'Settings'!$C$7)+(P106*'Settings'!$C$14)+(Q106*'Settings'!$C$15)+(R106*'Settings'!$C$16)+(S106*'Settings'!$C$17)+(T106*'Settings'!$C$18)+(U106*'Settings'!$C$19)+(L106*'Settings'!$C$10)+('Settings'!$C$11*M106)</f>
        <v>1.91222302738432</v>
      </c>
      <c r="D106" s="48">
        <f>IF('Settings'!$E$12="YES",VLOOKUP(A106,'Player Data'!A1:E734,5,FALSE),82)</f>
        <v>74.09</v>
      </c>
      <c r="E106" s="46">
        <f>(VLOOKUP($A106,'The List'!$B1:$AH730,17,FALSE)-AVERAGE('The List'!R2:R730))/STDEV('The List'!R2:R730)</f>
        <v>-0.208206452021281</v>
      </c>
      <c r="F106" s="46">
        <f>(VLOOKUP($A106,'The List'!$B1:$AH730,18,FALSE)-AVERAGE('The List'!S2:S730))/STDEV('The List'!S2:S730)</f>
        <v>0.782046282339792</v>
      </c>
      <c r="G106" s="46">
        <f>(VLOOKUP($A106,'The List'!$B1:$AH730,19,FALSE)-AVERAGE('The List'!T2:T730))/STDEV('The List'!T2:T730)</f>
        <v>0.854790063106851</v>
      </c>
      <c r="H106" s="46">
        <f>(VLOOKUP($A106,'The List'!$B1:$AH730,20,FALSE)-AVERAGE('The List'!U2:U730))/STDEV('The List'!U2:U730)</f>
        <v>0.882813581769254</v>
      </c>
      <c r="I106" s="46">
        <f>(VLOOKUP($A106,'The List'!$B1:$AH730,21,FALSE)-AVERAGE('The List'!V2:V730))/STDEV('The List'!V2:V730)</f>
        <v>0.183426702493198</v>
      </c>
      <c r="J106" s="46">
        <f>(VLOOKUP($A106,'The List'!$B1:$AH730,22,FALSE)-AVERAGE('The List'!W2:W730))/STDEV('The List'!W2:W730)</f>
        <v>1.25960355066895</v>
      </c>
      <c r="K106" s="46">
        <f>(VLOOKUP($A106,'The List'!$B1:$AH730,23,FALSE)-AVERAGE('The List'!X2:X730))/STDEV('The List'!X2:X730)</f>
        <v>1.14417354586418</v>
      </c>
      <c r="L106" s="46">
        <f>(VLOOKUP($A106,'The List'!$B1:$AH730,24,FALSE)-AVERAGE('The List'!Y2:Y730))/STDEV('The List'!Y2:Y730)</f>
        <v>-0.532875081731529</v>
      </c>
      <c r="M106" s="46">
        <f>(VLOOKUP($A106,'The List'!$B1:$AH730,25,FALSE)-AVERAGE('The List'!Z2:Z730))/STDEV('The List'!Z2:Z730)</f>
        <v>-0.710595047284622</v>
      </c>
      <c r="N106" s="46">
        <f>(VLOOKUP($A106,'The List'!$B1:$AH730,26,FALSE)-AVERAGE('The List'!AA2:AA730))/STDEV('The List'!AA2:AA730)</f>
        <v>-0.6539087493122619</v>
      </c>
      <c r="O106" s="46">
        <f>(VLOOKUP($A106,'The List'!$B1:$AH730,27,FALSE)-AVERAGE('The List'!AB2:AB730))/STDEV('The List'!AB2:AB730)</f>
        <v>-1.3071070172862</v>
      </c>
      <c r="P106" s="46">
        <f>(VLOOKUP($A106,'The List'!$B1:$AH730,28,FALSE)-AVERAGE('The List'!AC2:AC730))/STDEV('The List'!AC2:AC730)</f>
        <v>-0.398304817107444</v>
      </c>
      <c r="Q106" s="46">
        <f>(VLOOKUP($A106,'The List'!$B1:$AH730,29,FALSE)-AVERAGE('The List'!AD2:AD730))/STDEV('The List'!AD2:AD730)</f>
        <v>-0.943073034974688</v>
      </c>
      <c r="R106" s="46">
        <f>(VLOOKUP($A106,'The List'!$B1:$AH730,30,FALSE)-AVERAGE('The List'!AE2:AE730))/STDEV('The List'!AE2:AE730)</f>
        <v>0.789667020230944</v>
      </c>
      <c r="S106" s="46">
        <f>(VLOOKUP($A106,'The List'!$B1:$AH730,31,FALSE)-AVERAGE('The List'!AF2:AF730))/STDEV('The List'!AF2:AF730)</f>
        <v>0.7940563022085571</v>
      </c>
      <c r="T106" s="46">
        <f>(VLOOKUP($A106,'The List'!$B1:$AH730,32,FALSE)-AVERAGE('The List'!AG2:AG730))/STDEV('The List'!AG2:AG730)</f>
        <v>1.17975731139566</v>
      </c>
      <c r="U106" s="46">
        <f>(VLOOKUP($A106,'The List'!$B1:$AH730,33,FALSE)-AVERAGE('The List'!AH2:AH730))/STDEV('The List'!AH2:AH730)</f>
        <v>0.768131726718238</v>
      </c>
      <c r="V106" s="46"/>
      <c r="W106" s="48"/>
      <c r="X106" s="46"/>
      <c r="Y106" s="46"/>
      <c r="Z106" s="46"/>
      <c r="AA106" s="46"/>
      <c r="AB106" s="46"/>
      <c r="AC106" s="46"/>
      <c r="AD106" s="46"/>
      <c r="AE106" s="46"/>
    </row>
    <row r="107" ht="21.25" customHeight="1">
      <c r="A107" t="s" s="8">
        <v>222</v>
      </c>
      <c r="B107" t="s" s="42">
        <f>VLOOKUP(A107,'Player Data'!A1:B734,2,FALSE)</f>
        <v>166</v>
      </c>
      <c r="C107" s="44">
        <f>((E107)*'Settings'!$C$12)+(F107*'Settings'!$C$2)+(G107*'Settings'!$C$3)+(H107*'Settings'!$C$4)+(I107*'Settings'!$C$5)+(K107*'Settings'!$C$9)+(N107*'Settings'!$C$6)+(J107*'Settings'!$C$8)+(O107*'Settings'!$C$7)+(P107*'Settings'!$C$14)+(Q107*'Settings'!$C$15)+(R107*'Settings'!$C$16)+(S107*'Settings'!$C$17)+(T107*'Settings'!$C$18)+(U107*'Settings'!$C$19)+(L107*'Settings'!$C$10)+('Settings'!$C$11*M107)</f>
        <v>4.1984957581321</v>
      </c>
      <c r="D107" s="48">
        <f>IF('Settings'!$E$12="YES",VLOOKUP(A107,'Player Data'!A1:E734,5,FALSE),82)</f>
        <v>72.59999999999999</v>
      </c>
      <c r="E107" s="46">
        <f>(VLOOKUP($A107,'The List'!$B1:$AH730,17,FALSE)-AVERAGE('The List'!R2:R730))/STDEV('The List'!R2:R730)</f>
        <v>1.7712618774481</v>
      </c>
      <c r="F107" s="46">
        <f>(VLOOKUP($A107,'The List'!$B1:$AH730,18,FALSE)-AVERAGE('The List'!S2:S730))/STDEV('The List'!S2:S730)</f>
        <v>-0.0523968924358558</v>
      </c>
      <c r="G107" s="46">
        <f>(VLOOKUP($A107,'The List'!$B1:$AH730,19,FALSE)-AVERAGE('The List'!T2:T730))/STDEV('The List'!T2:T730)</f>
        <v>1.19073256369787</v>
      </c>
      <c r="H107" s="46">
        <f>(VLOOKUP($A107,'The List'!$B1:$AH730,20,FALSE)-AVERAGE('The List'!U2:U730))/STDEV('The List'!U2:U730)</f>
        <v>0.710229337999528</v>
      </c>
      <c r="I107" s="46">
        <f>(VLOOKUP($A107,'The List'!$B1:$AH730,21,FALSE)-AVERAGE('The List'!V2:V730))/STDEV('The List'!V2:V730)</f>
        <v>0.86267433944659</v>
      </c>
      <c r="J107" s="46">
        <f>(VLOOKUP($A107,'The List'!$B1:$AH730,22,FALSE)-AVERAGE('The List'!W2:W730))/STDEV('The List'!W2:W730)</f>
        <v>0.432436847651532</v>
      </c>
      <c r="K107" s="46">
        <f>(VLOOKUP($A107,'The List'!$B1:$AH730,23,FALSE)-AVERAGE('The List'!X2:X730))/STDEV('The List'!X2:X730)</f>
        <v>1.12936878979544</v>
      </c>
      <c r="L107" s="46">
        <f>(VLOOKUP($A107,'The List'!$B1:$AH730,24,FALSE)-AVERAGE('The List'!Y2:Y730))/STDEV('The List'!Y2:Y730)</f>
        <v>0.342740967092654</v>
      </c>
      <c r="M107" s="46">
        <f>(VLOOKUP($A107,'The List'!$B1:$AH730,25,FALSE)-AVERAGE('The List'!Z2:Z730))/STDEV('The List'!Z2:Z730)</f>
        <v>0.810734263619309</v>
      </c>
      <c r="N107" s="46">
        <f>(VLOOKUP($A107,'The List'!$B1:$AH730,26,FALSE)-AVERAGE('The List'!AA2:AA730))/STDEV('The List'!AA2:AA730)</f>
        <v>1.75624633175966</v>
      </c>
      <c r="O107" s="46">
        <f>(VLOOKUP($A107,'The List'!$B1:$AH730,27,FALSE)-AVERAGE('The List'!AB2:AB730))/STDEV('The List'!AB2:AB730)</f>
        <v>-0.140471482489945</v>
      </c>
      <c r="P107" s="46">
        <f>(VLOOKUP($A107,'The List'!$B1:$AH730,28,FALSE)-AVERAGE('The List'!AC2:AC730))/STDEV('The List'!AC2:AC730)</f>
        <v>-0.688129374131605</v>
      </c>
      <c r="Q107" s="46">
        <f>(VLOOKUP($A107,'The List'!$B1:$AH730,29,FALSE)-AVERAGE('The List'!AD2:AD730))/STDEV('The List'!AD2:AD730)</f>
        <v>-0.621436008023841</v>
      </c>
      <c r="R107" s="46">
        <f>(VLOOKUP($A107,'The List'!$B1:$AH730,30,FALSE)-AVERAGE('The List'!AE2:AE730))/STDEV('The List'!AE2:AE730)</f>
        <v>-0.18944749528853</v>
      </c>
      <c r="S107" s="46">
        <f>(VLOOKUP($A107,'The List'!$B1:$AH730,31,FALSE)-AVERAGE('The List'!AF2:AF730))/STDEV('The List'!AF2:AF730)</f>
        <v>-0.5569063253591</v>
      </c>
      <c r="T107" s="46">
        <f>(VLOOKUP($A107,'The List'!$B1:$AH730,32,FALSE)-AVERAGE('The List'!AG2:AG730))/STDEV('The List'!AG2:AG730)</f>
        <v>-0.600856269042678</v>
      </c>
      <c r="U107" s="46">
        <f>(VLOOKUP($A107,'The List'!$B1:$AH730,33,FALSE)-AVERAGE('The List'!AH2:AH730))/STDEV('The List'!AH2:AH730)</f>
        <v>-1.2363238714826</v>
      </c>
      <c r="V107" s="46"/>
      <c r="W107" s="48"/>
      <c r="X107" s="46"/>
      <c r="Y107" s="46"/>
      <c r="Z107" s="46"/>
      <c r="AA107" s="46"/>
      <c r="AB107" s="46"/>
      <c r="AC107" s="46"/>
      <c r="AD107" s="46"/>
      <c r="AE107" s="46"/>
    </row>
    <row r="108" ht="21.25" customHeight="1">
      <c r="A108" t="s" s="8">
        <v>339</v>
      </c>
      <c r="B108" t="s" s="42">
        <f>VLOOKUP(A108,'Player Data'!A1:B734,2,FALSE)</f>
        <v>173</v>
      </c>
      <c r="C108" s="44">
        <f>((E108)*'Settings'!$C$12)+(F108*'Settings'!$C$2)+(G108*'Settings'!$C$3)+(H108*'Settings'!$C$4)+(I108*'Settings'!$C$5)+(K108*'Settings'!$C$9)+(N108*'Settings'!$C$6)+(J108*'Settings'!$C$8)+(O108*'Settings'!$C$7)+(P108*'Settings'!$C$14)+(Q108*'Settings'!$C$15)+(R108*'Settings'!$C$16)+(S108*'Settings'!$C$17)+(T108*'Settings'!$C$18)+(U108*'Settings'!$C$19)+(L108*'Settings'!$C$10)+('Settings'!$C$11*M108)</f>
        <v>3.46655758576032</v>
      </c>
      <c r="D108" s="48">
        <f>IF('Settings'!$E$12="YES",VLOOKUP(A108,'Player Data'!A1:E734,5,FALSE),82)</f>
        <v>72.55249999999999</v>
      </c>
      <c r="E108" s="46">
        <f>(VLOOKUP($A108,'The List'!$B1:$AH730,17,FALSE)-AVERAGE('The List'!R2:R730))/STDEV('The List'!R2:R730)</f>
        <v>0.510565695706374</v>
      </c>
      <c r="F108" s="46">
        <f>(VLOOKUP($A108,'The List'!$B1:$AH730,18,FALSE)-AVERAGE('The List'!S2:S730))/STDEV('The List'!S2:S730)</f>
        <v>1.62790074146315</v>
      </c>
      <c r="G108" s="46">
        <f>(VLOOKUP($A108,'The List'!$B1:$AH730,19,FALSE)-AVERAGE('The List'!T2:T730))/STDEV('The List'!T2:T730)</f>
        <v>0.142081145037936</v>
      </c>
      <c r="H108" s="46">
        <f>(VLOOKUP($A108,'The List'!$B1:$AH730,20,FALSE)-AVERAGE('The List'!U2:U730))/STDEV('The List'!U2:U730)</f>
        <v>0.828318644499886</v>
      </c>
      <c r="I108" s="46">
        <f>(VLOOKUP($A108,'The List'!$B1:$AH730,21,FALSE)-AVERAGE('The List'!V2:V730))/STDEV('The List'!V2:V730)</f>
        <v>0.485729052377057</v>
      </c>
      <c r="J108" s="46">
        <f>(VLOOKUP($A108,'The List'!$B1:$AH730,22,FALSE)-AVERAGE('The List'!W2:W730))/STDEV('The List'!W2:W730)</f>
        <v>2.29145425730847</v>
      </c>
      <c r="K108" s="46">
        <f>(VLOOKUP($A108,'The List'!$B1:$AH730,23,FALSE)-AVERAGE('The List'!X2:X730))/STDEV('The List'!X2:X730)</f>
        <v>1.27725253863362</v>
      </c>
      <c r="L108" s="46">
        <f>(VLOOKUP($A108,'The List'!$B1:$AH730,24,FALSE)-AVERAGE('The List'!Y2:Y730))/STDEV('The List'!Y2:Y730)</f>
        <v>0.295377049208778</v>
      </c>
      <c r="M108" s="46">
        <f>(VLOOKUP($A108,'The List'!$B1:$AH730,25,FALSE)-AVERAGE('The List'!Z2:Z730))/STDEV('The List'!Z2:Z730)</f>
        <v>0.152587010517863</v>
      </c>
      <c r="N108" s="46">
        <f>(VLOOKUP($A108,'The List'!$B1:$AH730,26,FALSE)-AVERAGE('The List'!AA2:AA730))/STDEV('The List'!AA2:AA730)</f>
        <v>-0.322015879435213</v>
      </c>
      <c r="O108" s="46">
        <f>(VLOOKUP($A108,'The List'!$B1:$AH730,27,FALSE)-AVERAGE('The List'!AB2:AB730))/STDEV('The List'!AB2:AB730)</f>
        <v>-0.255920051072779</v>
      </c>
      <c r="P108" s="46">
        <f>(VLOOKUP($A108,'The List'!$B1:$AH730,28,FALSE)-AVERAGE('The List'!AC2:AC730))/STDEV('The List'!AC2:AC730)</f>
        <v>0.25560998768377</v>
      </c>
      <c r="Q108" s="46">
        <f>(VLOOKUP($A108,'The List'!$B1:$AH730,29,FALSE)-AVERAGE('The List'!AD2:AD730))/STDEV('The List'!AD2:AD730)</f>
        <v>-0.463874807318447</v>
      </c>
      <c r="R108" s="46">
        <f>(VLOOKUP($A108,'The List'!$B1:$AH730,30,FALSE)-AVERAGE('The List'!AE2:AE730))/STDEV('The List'!AE2:AE730)</f>
        <v>1.67634236194959</v>
      </c>
      <c r="S108" s="46">
        <f>(VLOOKUP($A108,'The List'!$B1:$AH730,31,FALSE)-AVERAGE('The List'!AF2:AF730))/STDEV('The List'!AF2:AF730)</f>
        <v>1.89232168048661</v>
      </c>
      <c r="T108" s="46">
        <f>(VLOOKUP($A108,'The List'!$B1:$AH730,32,FALSE)-AVERAGE('The List'!AG2:AG730))/STDEV('The List'!AG2:AG730)</f>
        <v>1.77239201574443</v>
      </c>
      <c r="U108" s="46">
        <f>(VLOOKUP($A108,'The List'!$B1:$AH730,33,FALSE)-AVERAGE('The List'!AH2:AH730))/STDEV('The List'!AH2:AH730)</f>
        <v>1.11437196326606</v>
      </c>
      <c r="V108" s="46"/>
      <c r="W108" s="50"/>
      <c r="X108" s="48"/>
      <c r="Y108" s="48"/>
      <c r="Z108" s="48"/>
      <c r="AA108" s="48"/>
      <c r="AB108" s="48"/>
      <c r="AC108" s="51"/>
      <c r="AD108" s="52"/>
      <c r="AE108" s="46"/>
    </row>
    <row r="109" ht="21.25" customHeight="1">
      <c r="A109" t="s" s="8">
        <v>411</v>
      </c>
      <c r="B109" t="s" s="42">
        <f>VLOOKUP(A109,'Player Data'!A1:B734,2,FALSE)</f>
        <v>141</v>
      </c>
      <c r="C109" s="44">
        <f>((E109)*'Settings'!$C$12)+(F109*'Settings'!$C$2)+(G109*'Settings'!$C$3)+(H109*'Settings'!$C$4)+(I109*'Settings'!$C$5)+(K109*'Settings'!$C$9)+(N109*'Settings'!$C$6)+(J109*'Settings'!$C$8)+(O109*'Settings'!$C$7)+(P109*'Settings'!$C$14)+(Q109*'Settings'!$C$15)+(R109*'Settings'!$C$16)+(S109*'Settings'!$C$17)+(T109*'Settings'!$C$18)+(U109*'Settings'!$C$19)+(L109*'Settings'!$C$10)+('Settings'!$C$11*M109)</f>
        <v>1.19893194855445</v>
      </c>
      <c r="D109" s="48">
        <f>IF('Settings'!$E$12="YES",VLOOKUP(A109,'Player Data'!A1:E734,5,FALSE),82)</f>
        <v>66</v>
      </c>
      <c r="E109" s="46">
        <f>(VLOOKUP($A109,'The List'!$B1:$AH730,17,FALSE)-AVERAGE('The List'!R2:R730))/STDEV('The List'!R2:R730)</f>
        <v>0.429623099878822</v>
      </c>
      <c r="F109" s="46">
        <f>(VLOOKUP($A109,'The List'!$B1:$AH730,18,FALSE)-AVERAGE('The List'!S2:S730))/STDEV('The List'!S2:S730)</f>
        <v>0.567171649506812</v>
      </c>
      <c r="G109" s="46">
        <f>(VLOOKUP($A109,'The List'!$B1:$AH730,19,FALSE)-AVERAGE('The List'!T2:T730))/STDEV('The List'!T2:T730)</f>
        <v>0.380560980150091</v>
      </c>
      <c r="H109" s="46">
        <f>(VLOOKUP($A109,'The List'!$B1:$AH730,20,FALSE)-AVERAGE('The List'!U2:U730))/STDEV('The List'!U2:U730)</f>
        <v>0.492685317840912</v>
      </c>
      <c r="I109" s="46">
        <f>(VLOOKUP($A109,'The List'!$B1:$AH730,21,FALSE)-AVERAGE('The List'!V2:V730))/STDEV('The List'!V2:V730)</f>
        <v>0.0683888799815614</v>
      </c>
      <c r="J109" s="46">
        <f>(VLOOKUP($A109,'The List'!$B1:$AH730,22,FALSE)-AVERAGE('The List'!W2:W730))/STDEV('The List'!W2:W730)</f>
        <v>0.599198466977421</v>
      </c>
      <c r="K109" s="46">
        <f>(VLOOKUP($A109,'The List'!$B1:$AH730,23,FALSE)-AVERAGE('The List'!X2:X730))/STDEV('The List'!X2:X730)</f>
        <v>1.08511770326553</v>
      </c>
      <c r="L109" s="46">
        <f>(VLOOKUP($A109,'The List'!$B1:$AH730,24,FALSE)-AVERAGE('The List'!Y2:Y730))/STDEV('The List'!Y2:Y730)</f>
        <v>-0.317873235382004</v>
      </c>
      <c r="M109" s="46">
        <f>(VLOOKUP($A109,'The List'!$B1:$AH730,25,FALSE)-AVERAGE('The List'!Z2:Z730))/STDEV('The List'!Z2:Z730)</f>
        <v>-0.477662095221037</v>
      </c>
      <c r="N109" s="46">
        <f>(VLOOKUP($A109,'The List'!$B1:$AH730,26,FALSE)-AVERAGE('The List'!AA2:AA730))/STDEV('The List'!AA2:AA730)</f>
        <v>-0.656355945131136</v>
      </c>
      <c r="O109" s="46">
        <f>(VLOOKUP($A109,'The List'!$B1:$AH730,27,FALSE)-AVERAGE('The List'!AB2:AB730))/STDEV('The List'!AB2:AB730)</f>
        <v>-0.733151762900342</v>
      </c>
      <c r="P109" s="46">
        <f>(VLOOKUP($A109,'The List'!$B1:$AH730,28,FALSE)-AVERAGE('The List'!AC2:AC730))/STDEV('The List'!AC2:AC730)</f>
        <v>-0.245951319218409</v>
      </c>
      <c r="Q109" s="46">
        <f>(VLOOKUP($A109,'The List'!$B1:$AH730,29,FALSE)-AVERAGE('The List'!AD2:AD730))/STDEV('The List'!AD2:AD730)</f>
        <v>0.0398495487063105</v>
      </c>
      <c r="R109" s="46">
        <f>(VLOOKUP($A109,'The List'!$B1:$AH730,30,FALSE)-AVERAGE('The List'!AE2:AE730))/STDEV('The List'!AE2:AE730)</f>
        <v>0.320401110897044</v>
      </c>
      <c r="S109" s="46">
        <f>(VLOOKUP($A109,'The List'!$B1:$AH730,31,FALSE)-AVERAGE('The List'!AF2:AF730))/STDEV('The List'!AF2:AF730)</f>
        <v>-0.471828274352997</v>
      </c>
      <c r="T109" s="46">
        <f>(VLOOKUP($A109,'The List'!$B1:$AH730,32,FALSE)-AVERAGE('The List'!AG2:AG730))/STDEV('The List'!AG2:AG730)</f>
        <v>-0.434754268059817</v>
      </c>
      <c r="U109" s="46">
        <f>(VLOOKUP($A109,'The List'!$B1:$AH730,33,FALSE)-AVERAGE('The List'!AH2:AH730))/STDEV('The List'!AH2:AH730)</f>
        <v>0.344894294228027</v>
      </c>
      <c r="V109" s="46"/>
      <c r="W109" s="50"/>
      <c r="X109" s="48"/>
      <c r="Y109" s="48"/>
      <c r="Z109" s="48"/>
      <c r="AA109" s="48"/>
      <c r="AB109" s="48"/>
      <c r="AC109" s="51"/>
      <c r="AD109" s="52"/>
      <c r="AE109" s="46"/>
    </row>
    <row r="110" ht="21.25" customHeight="1">
      <c r="A110" t="s" s="8">
        <v>325</v>
      </c>
      <c r="B110" t="s" s="42">
        <f>VLOOKUP(A110,'Player Data'!A1:B734,2,FALSE)</f>
        <v>292</v>
      </c>
      <c r="C110" s="44">
        <f>((E110)*'Settings'!$C$12)+(F110*'Settings'!$C$2)+(G110*'Settings'!$C$3)+(H110*'Settings'!$C$4)+(I110*'Settings'!$C$5)+(K110*'Settings'!$C$9)+(N110*'Settings'!$C$6)+(J110*'Settings'!$C$8)+(O110*'Settings'!$C$7)+(P110*'Settings'!$C$14)+(Q110*'Settings'!$C$15)+(R110*'Settings'!$C$16)+(S110*'Settings'!$C$17)+(T110*'Settings'!$C$18)+(U110*'Settings'!$C$19)+(L110*'Settings'!$C$10)+('Settings'!$C$11*M110)</f>
        <v>2.35051800602249</v>
      </c>
      <c r="D110" s="48">
        <f>IF('Settings'!$E$12="YES",VLOOKUP(A110,'Player Data'!A1:E734,5,FALSE),82)</f>
        <v>74.07428571428569</v>
      </c>
      <c r="E110" s="46">
        <f>(VLOOKUP($A110,'The List'!$B1:$AH730,17,FALSE)-AVERAGE('The List'!R2:R730))/STDEV('The List'!R2:R730)</f>
        <v>-0.08974548192506709</v>
      </c>
      <c r="F110" s="46">
        <f>(VLOOKUP($A110,'The List'!$B1:$AH730,18,FALSE)-AVERAGE('The List'!S2:S730))/STDEV('The List'!S2:S730)</f>
        <v>0.790930144251679</v>
      </c>
      <c r="G110" s="46">
        <f>(VLOOKUP($A110,'The List'!$B1:$AH730,19,FALSE)-AVERAGE('The List'!T2:T730))/STDEV('The List'!T2:T730)</f>
        <v>0.81434053181302</v>
      </c>
      <c r="H110" s="46">
        <f>(VLOOKUP($A110,'The List'!$B1:$AH730,20,FALSE)-AVERAGE('The List'!U2:U730))/STDEV('The List'!U2:U730)</f>
        <v>0.861919312724197</v>
      </c>
      <c r="I110" s="46">
        <f>(VLOOKUP($A110,'The List'!$B1:$AH730,21,FALSE)-AVERAGE('The List'!V2:V730))/STDEV('The List'!V2:V730)</f>
        <v>0.77817010764023</v>
      </c>
      <c r="J110" s="46">
        <f>(VLOOKUP($A110,'The List'!$B1:$AH730,22,FALSE)-AVERAGE('The List'!W2:W730))/STDEV('The List'!W2:W730)</f>
        <v>0.167025445314373</v>
      </c>
      <c r="K110" s="46">
        <f>(VLOOKUP($A110,'The List'!$B1:$AH730,23,FALSE)-AVERAGE('The List'!X2:X730))/STDEV('The List'!X2:X730)</f>
        <v>0.525898639828057</v>
      </c>
      <c r="L110" s="46">
        <f>(VLOOKUP($A110,'The List'!$B1:$AH730,24,FALSE)-AVERAGE('The List'!Y2:Y730))/STDEV('The List'!Y2:Y730)</f>
        <v>-0.527795689709195</v>
      </c>
      <c r="M110" s="46">
        <f>(VLOOKUP($A110,'The List'!$B1:$AH730,25,FALSE)-AVERAGE('The List'!Z2:Z730))/STDEV('The List'!Z2:Z730)</f>
        <v>-0.704725538715765</v>
      </c>
      <c r="N110" s="46">
        <f>(VLOOKUP($A110,'The List'!$B1:$AH730,26,FALSE)-AVERAGE('The List'!AA2:AA730))/STDEV('The List'!AA2:AA730)</f>
        <v>-0.522827692191917</v>
      </c>
      <c r="O110" s="46">
        <f>(VLOOKUP($A110,'The List'!$B1:$AH730,27,FALSE)-AVERAGE('The List'!AB2:AB730))/STDEV('The List'!AB2:AB730)</f>
        <v>-0.280430886540445</v>
      </c>
      <c r="P110" s="46">
        <f>(VLOOKUP($A110,'The List'!$B1:$AH730,28,FALSE)-AVERAGE('The List'!AC2:AC730))/STDEV('The List'!AC2:AC730)</f>
        <v>-0.0359937253185784</v>
      </c>
      <c r="Q110" s="46">
        <f>(VLOOKUP($A110,'The List'!$B1:$AH730,29,FALSE)-AVERAGE('The List'!AD2:AD730))/STDEV('The List'!AD2:AD730)</f>
        <v>-1.0873183167036</v>
      </c>
      <c r="R110" s="46">
        <f>(VLOOKUP($A110,'The List'!$B1:$AH730,30,FALSE)-AVERAGE('The List'!AE2:AE730))/STDEV('The List'!AE2:AE730)</f>
        <v>-1.18448477237391</v>
      </c>
      <c r="S110" s="46">
        <f>(VLOOKUP($A110,'The List'!$B1:$AH730,31,FALSE)-AVERAGE('The List'!AF2:AF730))/STDEV('The List'!AF2:AF730)</f>
        <v>-0.554302687539807</v>
      </c>
      <c r="T110" s="46">
        <f>(VLOOKUP($A110,'The List'!$B1:$AH730,32,FALSE)-AVERAGE('The List'!AG2:AG730))/STDEV('The List'!AG2:AG730)</f>
        <v>-0.586012792180762</v>
      </c>
      <c r="U110" s="46">
        <f>(VLOOKUP($A110,'The List'!$B1:$AH730,33,FALSE)-AVERAGE('The List'!AH2:AH730))/STDEV('The List'!AH2:AH730)</f>
        <v>-0.5328892264207949</v>
      </c>
      <c r="V110" s="46"/>
      <c r="W110" s="48"/>
      <c r="X110" s="46"/>
      <c r="Y110" s="46"/>
      <c r="Z110" s="46"/>
      <c r="AA110" s="46"/>
      <c r="AB110" s="46"/>
      <c r="AC110" s="46"/>
      <c r="AD110" s="46"/>
      <c r="AE110" s="46"/>
    </row>
    <row r="111" ht="21.25" customHeight="1">
      <c r="A111" t="s" s="8">
        <v>272</v>
      </c>
      <c r="B111" t="s" s="42">
        <f>VLOOKUP(A111,'Player Data'!A1:B734,2,FALSE)</f>
        <v>151</v>
      </c>
      <c r="C111" s="44">
        <f>((E111)*'Settings'!$C$12)+(F111*'Settings'!$C$2)+(G111*'Settings'!$C$3)+(H111*'Settings'!$C$4)+(I111*'Settings'!$C$5)+(K111*'Settings'!$C$9)+(N111*'Settings'!$C$6)+(J111*'Settings'!$C$8)+(O111*'Settings'!$C$7)+(P111*'Settings'!$C$14)+(Q111*'Settings'!$C$15)+(R111*'Settings'!$C$16)+(S111*'Settings'!$C$17)+(T111*'Settings'!$C$18)+(U111*'Settings'!$C$19)+(L111*'Settings'!$C$10)+('Settings'!$C$11*M111)</f>
        <v>6.41151333761591</v>
      </c>
      <c r="D111" s="48">
        <f>IF('Settings'!$E$12="YES",VLOOKUP(A111,'Player Data'!A1:E734,5,FALSE),82)</f>
        <v>80.48142857142859</v>
      </c>
      <c r="E111" s="46">
        <f>(VLOOKUP($A111,'The List'!$B1:$AH730,17,FALSE)-AVERAGE('The List'!R2:R730))/STDEV('The List'!R2:R730)</f>
        <v>0.55460054463828</v>
      </c>
      <c r="F111" s="46">
        <f>(VLOOKUP($A111,'The List'!$B1:$AH730,18,FALSE)-AVERAGE('The List'!S2:S730))/STDEV('The List'!S2:S730)</f>
        <v>2.45587243367135</v>
      </c>
      <c r="G111" s="46">
        <f>(VLOOKUP($A111,'The List'!$B1:$AH730,19,FALSE)-AVERAGE('The List'!T2:T730))/STDEV('The List'!T2:T730)</f>
        <v>-0.0785635424820556</v>
      </c>
      <c r="H111" s="46">
        <f>(VLOOKUP($A111,'The List'!$B1:$AH730,20,FALSE)-AVERAGE('The List'!U2:U730))/STDEV('The List'!U2:U730)</f>
        <v>1.06903782023226</v>
      </c>
      <c r="I111" s="46">
        <f>(VLOOKUP($A111,'The List'!$B1:$AH730,21,FALSE)-AVERAGE('The List'!V2:V730))/STDEV('The List'!V2:V730)</f>
        <v>1.62594565369352</v>
      </c>
      <c r="J111" s="46">
        <f>(VLOOKUP($A111,'The List'!$B1:$AH730,22,FALSE)-AVERAGE('The List'!W2:W730))/STDEV('The List'!W2:W730)</f>
        <v>3.15312584245282</v>
      </c>
      <c r="K111" s="46">
        <f>(VLOOKUP($A111,'The List'!$B1:$AH730,23,FALSE)-AVERAGE('The List'!X2:X730))/STDEV('The List'!X2:X730)</f>
        <v>1.63171509801589</v>
      </c>
      <c r="L111" s="46">
        <f>(VLOOKUP($A111,'The List'!$B1:$AH730,24,FALSE)-AVERAGE('The List'!Y2:Y730))/STDEV('The List'!Y2:Y730)</f>
        <v>5.43203583477379</v>
      </c>
      <c r="M111" s="46">
        <f>(VLOOKUP($A111,'The List'!$B1:$AH730,25,FALSE)-AVERAGE('The List'!Z2:Z730))/STDEV('The List'!Z2:Z730)</f>
        <v>3.0297683385922</v>
      </c>
      <c r="N111" s="46">
        <f>(VLOOKUP($A111,'The List'!$B1:$AH730,26,FALSE)-AVERAGE('The List'!AA2:AA730))/STDEV('The List'!AA2:AA730)</f>
        <v>-0.696634059088315</v>
      </c>
      <c r="O111" s="46">
        <f>(VLOOKUP($A111,'The List'!$B1:$AH730,27,FALSE)-AVERAGE('The List'!AB2:AB730))/STDEV('The List'!AB2:AB730)</f>
        <v>0.83523314998979</v>
      </c>
      <c r="P111" s="46">
        <f>(VLOOKUP($A111,'The List'!$B1:$AH730,28,FALSE)-AVERAGE('The List'!AC2:AC730))/STDEV('The List'!AC2:AC730)</f>
        <v>1.47317775380552</v>
      </c>
      <c r="Q111" s="46">
        <f>(VLOOKUP($A111,'The List'!$B1:$AH730,29,FALSE)-AVERAGE('The List'!AD2:AD730))/STDEV('The List'!AD2:AD730)</f>
        <v>0.0508189377555243</v>
      </c>
      <c r="R111" s="46">
        <f>(VLOOKUP($A111,'The List'!$B1:$AH730,30,FALSE)-AVERAGE('The List'!AE2:AE730))/STDEV('The List'!AE2:AE730)</f>
        <v>2.97509513802097</v>
      </c>
      <c r="S111" s="46">
        <f>(VLOOKUP($A111,'The List'!$B1:$AH730,31,FALSE)-AVERAGE('The List'!AF2:AF730))/STDEV('The List'!AF2:AF730)</f>
        <v>-0.335557348574352</v>
      </c>
      <c r="T111" s="46">
        <f>(VLOOKUP($A111,'The List'!$B1:$AH730,32,FALSE)-AVERAGE('The List'!AG2:AG730))/STDEV('The List'!AG2:AG730)</f>
        <v>-0.325769033044432</v>
      </c>
      <c r="U111" s="46">
        <f>(VLOOKUP($A111,'The List'!$B1:$AH730,33,FALSE)-AVERAGE('The List'!AH2:AH730))/STDEV('The List'!AH2:AH730)</f>
        <v>0.833874188625344</v>
      </c>
      <c r="V111" s="46"/>
      <c r="W111" s="48"/>
      <c r="X111" s="46"/>
      <c r="Y111" s="46"/>
      <c r="Z111" s="46"/>
      <c r="AA111" s="46"/>
      <c r="AB111" s="46"/>
      <c r="AC111" s="46"/>
      <c r="AD111" s="46"/>
      <c r="AE111" s="46"/>
    </row>
    <row r="112" ht="21.25" customHeight="1">
      <c r="A112" t="s" s="8">
        <v>295</v>
      </c>
      <c r="B112" t="s" s="42">
        <f>VLOOKUP(A112,'Player Data'!A1:B734,2,FALSE)</f>
        <v>184</v>
      </c>
      <c r="C112" s="44">
        <f>((E112)*'Settings'!$C$12)+(F112*'Settings'!$C$2)+(G112*'Settings'!$C$3)+(H112*'Settings'!$C$4)+(I112*'Settings'!$C$5)+(K112*'Settings'!$C$9)+(N112*'Settings'!$C$6)+(J112*'Settings'!$C$8)+(O112*'Settings'!$C$7)+(P112*'Settings'!$C$14)+(Q112*'Settings'!$C$15)+(R112*'Settings'!$C$16)+(S112*'Settings'!$C$17)+(T112*'Settings'!$C$18)+(U112*'Settings'!$C$19)+(L112*'Settings'!$C$10)+('Settings'!$C$11*M112)</f>
        <v>2.17108279548464</v>
      </c>
      <c r="D112" s="48">
        <f>IF('Settings'!$E$12="YES",VLOOKUP(A112,'Player Data'!A1:E734,5,FALSE),82)</f>
        <v>80.20999999999999</v>
      </c>
      <c r="E112" s="46">
        <f>(VLOOKUP($A112,'The List'!$B1:$AH730,17,FALSE)-AVERAGE('The List'!R2:R730))/STDEV('The List'!R2:R730)</f>
        <v>0.395377113216922</v>
      </c>
      <c r="F112" s="46">
        <f>(VLOOKUP($A112,'The List'!$B1:$AH730,18,FALSE)-AVERAGE('The List'!S2:S730))/STDEV('The List'!S2:S730)</f>
        <v>1.122820837712</v>
      </c>
      <c r="G112" s="46">
        <f>(VLOOKUP($A112,'The List'!$B1:$AH730,19,FALSE)-AVERAGE('The List'!T2:T730))/STDEV('The List'!T2:T730)</f>
        <v>1.10375996635364</v>
      </c>
      <c r="H112" s="46">
        <f>(VLOOKUP($A112,'The List'!$B1:$AH730,20,FALSE)-AVERAGE('The List'!U2:U730))/STDEV('The List'!U2:U730)</f>
        <v>1.19135951190685</v>
      </c>
      <c r="I112" s="46">
        <f>(VLOOKUP($A112,'The List'!$B1:$AH730,21,FALSE)-AVERAGE('The List'!V2:V730))/STDEV('The List'!V2:V730)</f>
        <v>0.590886096737032</v>
      </c>
      <c r="J112" s="46">
        <f>(VLOOKUP($A112,'The List'!$B1:$AH730,22,FALSE)-AVERAGE('The List'!W2:W730))/STDEV('The List'!W2:W730)</f>
        <v>1.12111562556683</v>
      </c>
      <c r="K112" s="46">
        <f>(VLOOKUP($A112,'The List'!$B1:$AH730,23,FALSE)-AVERAGE('The List'!X2:X730))/STDEV('The List'!X2:X730)</f>
        <v>1.56503561455989</v>
      </c>
      <c r="L112" s="46">
        <f>(VLOOKUP($A112,'The List'!$B1:$AH730,24,FALSE)-AVERAGE('The List'!Y2:Y730))/STDEV('The List'!Y2:Y730)</f>
        <v>-0.509891070573871</v>
      </c>
      <c r="M112" s="46">
        <f>(VLOOKUP($A112,'The List'!$B1:$AH730,25,FALSE)-AVERAGE('The List'!Z2:Z730))/STDEV('The List'!Z2:Z730)</f>
        <v>-0.6852283805061949</v>
      </c>
      <c r="N112" s="46">
        <f>(VLOOKUP($A112,'The List'!$B1:$AH730,26,FALSE)-AVERAGE('The List'!AA2:AA730))/STDEV('The List'!AA2:AA730)</f>
        <v>-0.891031352492577</v>
      </c>
      <c r="O112" s="46">
        <f>(VLOOKUP($A112,'The List'!$B1:$AH730,27,FALSE)-AVERAGE('The List'!AB2:AB730))/STDEV('The List'!AB2:AB730)</f>
        <v>-0.777705676351966</v>
      </c>
      <c r="P112" s="46">
        <f>(VLOOKUP($A112,'The List'!$B1:$AH730,28,FALSE)-AVERAGE('The List'!AC2:AC730))/STDEV('The List'!AC2:AC730)</f>
        <v>-1.32038836738535</v>
      </c>
      <c r="Q112" s="46">
        <f>(VLOOKUP($A112,'The List'!$B1:$AH730,29,FALSE)-AVERAGE('The List'!AD2:AD730))/STDEV('The List'!AD2:AD730)</f>
        <v>-0.472571532703579</v>
      </c>
      <c r="R112" s="46">
        <f>(VLOOKUP($A112,'The List'!$B1:$AH730,30,FALSE)-AVERAGE('The List'!AE2:AE730))/STDEV('The List'!AE2:AE730)</f>
        <v>0.898035105435711</v>
      </c>
      <c r="S112" s="46">
        <f>(VLOOKUP($A112,'The List'!$B1:$AH730,31,FALSE)-AVERAGE('The List'!AF2:AF730))/STDEV('The List'!AF2:AF730)</f>
        <v>-0.521477885143058</v>
      </c>
      <c r="T112" s="46">
        <f>(VLOOKUP($A112,'The List'!$B1:$AH730,32,FALSE)-AVERAGE('The List'!AG2:AG730))/STDEV('The List'!AG2:AG730)</f>
        <v>-0.52841601451803</v>
      </c>
      <c r="U112" s="46">
        <f>(VLOOKUP($A112,'The List'!$B1:$AH730,33,FALSE)-AVERAGE('The List'!AH2:AH730))/STDEV('The List'!AH2:AH730)</f>
        <v>0.297738729557841</v>
      </c>
      <c r="V112" s="46"/>
      <c r="W112" s="50"/>
      <c r="X112" s="48"/>
      <c r="Y112" s="48"/>
      <c r="Z112" s="48"/>
      <c r="AA112" s="48"/>
      <c r="AB112" s="48"/>
      <c r="AC112" s="51"/>
      <c r="AD112" s="52"/>
      <c r="AE112" s="46"/>
    </row>
    <row r="113" ht="21.25" customHeight="1">
      <c r="A113" t="s" s="8">
        <v>297</v>
      </c>
      <c r="B113" t="s" s="42">
        <f>VLOOKUP(A113,'Player Data'!A1:B734,2,FALSE)</f>
        <v>122</v>
      </c>
      <c r="C113" s="44">
        <f>((E113)*'Settings'!$C$12)+(F113*'Settings'!$C$2)+(G113*'Settings'!$C$3)+(H113*'Settings'!$C$4)+(I113*'Settings'!$C$5)+(K113*'Settings'!$C$9)+(N113*'Settings'!$C$6)+(J113*'Settings'!$C$8)+(O113*'Settings'!$C$7)+(P113*'Settings'!$C$14)+(Q113*'Settings'!$C$15)+(R113*'Settings'!$C$16)+(S113*'Settings'!$C$17)+(T113*'Settings'!$C$18)+(U113*'Settings'!$C$19)+(L113*'Settings'!$C$10)+('Settings'!$C$11*M113)</f>
        <v>4.87272303246251</v>
      </c>
      <c r="D113" s="48">
        <f>IF('Settings'!$E$12="YES",VLOOKUP(A113,'Player Data'!A1:E734,5,FALSE),82)</f>
        <v>75.9510714285714</v>
      </c>
      <c r="E113" s="46">
        <f>(VLOOKUP($A113,'The List'!$B1:$AH730,17,FALSE)-AVERAGE('The List'!R2:R730))/STDEV('The List'!R2:R730)</f>
        <v>0.343421273682226</v>
      </c>
      <c r="F113" s="46">
        <f>(VLOOKUP($A113,'The List'!$B1:$AH730,18,FALSE)-AVERAGE('The List'!S2:S730))/STDEV('The List'!S2:S730)</f>
        <v>1.50813991602678</v>
      </c>
      <c r="G113" s="46">
        <f>(VLOOKUP($A113,'The List'!$B1:$AH730,19,FALSE)-AVERAGE('The List'!T2:T730))/STDEV('The List'!T2:T730)</f>
        <v>0.316717322792482</v>
      </c>
      <c r="H113" s="46">
        <f>(VLOOKUP($A113,'The List'!$B1:$AH730,20,FALSE)-AVERAGE('The List'!U2:U730))/STDEV('The List'!U2:U730)</f>
        <v>0.881485975263244</v>
      </c>
      <c r="I113" s="46">
        <f>(VLOOKUP($A113,'The List'!$B1:$AH730,21,FALSE)-AVERAGE('The List'!V2:V730))/STDEV('The List'!V2:V730)</f>
        <v>1.56565013311212</v>
      </c>
      <c r="J113" s="46">
        <f>(VLOOKUP($A113,'The List'!$B1:$AH730,22,FALSE)-AVERAGE('The List'!W2:W730))/STDEV('The List'!W2:W730)</f>
        <v>1.33626388702474</v>
      </c>
      <c r="K113" s="46">
        <f>(VLOOKUP($A113,'The List'!$B1:$AH730,23,FALSE)-AVERAGE('The List'!X2:X730))/STDEV('The List'!X2:X730)</f>
        <v>0.902748294093377</v>
      </c>
      <c r="L113" s="46">
        <f>(VLOOKUP($A113,'The List'!$B1:$AH730,24,FALSE)-AVERAGE('The List'!Y2:Y730))/STDEV('The List'!Y2:Y730)</f>
        <v>-0.312646577550546</v>
      </c>
      <c r="M113" s="46">
        <f>(VLOOKUP($A113,'The List'!$B1:$AH730,25,FALSE)-AVERAGE('The List'!Z2:Z730))/STDEV('The List'!Z2:Z730)</f>
        <v>0.206919166848688</v>
      </c>
      <c r="N113" s="46">
        <f>(VLOOKUP($A113,'The List'!$B1:$AH730,26,FALSE)-AVERAGE('The List'!AA2:AA730))/STDEV('The List'!AA2:AA730)</f>
        <v>-0.749948575445774</v>
      </c>
      <c r="O113" s="46">
        <f>(VLOOKUP($A113,'The List'!$B1:$AH730,27,FALSE)-AVERAGE('The List'!AB2:AB730))/STDEV('The List'!AB2:AB730)</f>
        <v>0.0433281766115793</v>
      </c>
      <c r="P113" s="46">
        <f>(VLOOKUP($A113,'The List'!$B1:$AH730,28,FALSE)-AVERAGE('The List'!AC2:AC730))/STDEV('The List'!AC2:AC730)</f>
        <v>1.32941594188352</v>
      </c>
      <c r="Q113" s="46">
        <f>(VLOOKUP($A113,'The List'!$B1:$AH730,29,FALSE)-AVERAGE('The List'!AD2:AD730))/STDEV('The List'!AD2:AD730)</f>
        <v>-0.826736156093052</v>
      </c>
      <c r="R113" s="46">
        <f>(VLOOKUP($A113,'The List'!$B1:$AH730,30,FALSE)-AVERAGE('The List'!AE2:AE730))/STDEV('The List'!AE2:AE730)</f>
        <v>1.87831401902637</v>
      </c>
      <c r="S113" s="46">
        <f>(VLOOKUP($A113,'The List'!$B1:$AH730,31,FALSE)-AVERAGE('The List'!AF2:AF730))/STDEV('The List'!AF2:AF730)</f>
        <v>-0.51905704357808</v>
      </c>
      <c r="T113" s="46">
        <f>(VLOOKUP($A113,'The List'!$B1:$AH730,32,FALSE)-AVERAGE('The List'!AG2:AG730))/STDEV('The List'!AG2:AG730)</f>
        <v>-0.530699752742134</v>
      </c>
      <c r="U113" s="46">
        <f>(VLOOKUP($A113,'The List'!$B1:$AH730,33,FALSE)-AVERAGE('The List'!AH2:AH730))/STDEV('The List'!AH2:AH730)</f>
        <v>0.398650641446476</v>
      </c>
      <c r="V113" s="46"/>
      <c r="W113" s="50"/>
      <c r="X113" s="48"/>
      <c r="Y113" s="48"/>
      <c r="Z113" s="48"/>
      <c r="AA113" s="48"/>
      <c r="AB113" s="48"/>
      <c r="AC113" s="51"/>
      <c r="AD113" s="52"/>
      <c r="AE113" s="46"/>
    </row>
    <row r="114" ht="21.25" customHeight="1">
      <c r="A114" t="s" s="8">
        <v>290</v>
      </c>
      <c r="B114" t="s" s="42">
        <f>VLOOKUP(A114,'Player Data'!A1:B734,2,FALSE)</f>
        <v>225</v>
      </c>
      <c r="C114" s="44">
        <f>((E114)*'Settings'!$C$12)+(F114*'Settings'!$C$2)+(G114*'Settings'!$C$3)+(H114*'Settings'!$C$4)+(I114*'Settings'!$C$5)+(K114*'Settings'!$C$9)+(N114*'Settings'!$C$6)+(J114*'Settings'!$C$8)+(O114*'Settings'!$C$7)+(P114*'Settings'!$C$14)+(Q114*'Settings'!$C$15)+(R114*'Settings'!$C$16)+(S114*'Settings'!$C$17)+(T114*'Settings'!$C$18)+(U114*'Settings'!$C$19)+(L114*'Settings'!$C$10)+('Settings'!$C$11*M114)</f>
        <v>2.76328697664863</v>
      </c>
      <c r="D114" s="48">
        <f>IF('Settings'!$E$12="YES",VLOOKUP(A114,'Player Data'!A1:E734,5,FALSE),82)</f>
        <v>77.7257142857143</v>
      </c>
      <c r="E114" s="46">
        <f>(VLOOKUP($A114,'The List'!$B1:$AH730,17,FALSE)-AVERAGE('The List'!R2:R730))/STDEV('The List'!R2:R730)</f>
        <v>0.458035179548037</v>
      </c>
      <c r="F114" s="46">
        <f>(VLOOKUP($A114,'The List'!$B1:$AH730,18,FALSE)-AVERAGE('The List'!S2:S730))/STDEV('The List'!S2:S730)</f>
        <v>0.898667907398101</v>
      </c>
      <c r="G114" s="46">
        <f>(VLOOKUP($A114,'The List'!$B1:$AH730,19,FALSE)-AVERAGE('The List'!T2:T730))/STDEV('The List'!T2:T730)</f>
        <v>1.06445032920099</v>
      </c>
      <c r="H114" s="46">
        <f>(VLOOKUP($A114,'The List'!$B1:$AH730,20,FALSE)-AVERAGE('The List'!U2:U730))/STDEV('The List'!U2:U730)</f>
        <v>1.06513155843896</v>
      </c>
      <c r="I114" s="46">
        <f>(VLOOKUP($A114,'The List'!$B1:$AH730,21,FALSE)-AVERAGE('The List'!V2:V730))/STDEV('The List'!V2:V730)</f>
        <v>1.54997186124437</v>
      </c>
      <c r="J114" s="46">
        <f>(VLOOKUP($A114,'The List'!$B1:$AH730,22,FALSE)-AVERAGE('The List'!W2:W730))/STDEV('The List'!W2:W730)</f>
        <v>1.13324547656421</v>
      </c>
      <c r="K114" s="46">
        <f>(VLOOKUP($A114,'The List'!$B1:$AH730,23,FALSE)-AVERAGE('The List'!X2:X730))/STDEV('The List'!X2:X730)</f>
        <v>0.8507477677417</v>
      </c>
      <c r="L114" s="46">
        <f>(VLOOKUP($A114,'The List'!$B1:$AH730,24,FALSE)-AVERAGE('The List'!Y2:Y730))/STDEV('The List'!Y2:Y730)</f>
        <v>-0.528315884965546</v>
      </c>
      <c r="M114" s="46">
        <f>(VLOOKUP($A114,'The List'!$B1:$AH730,25,FALSE)-AVERAGE('The List'!Z2:Z730))/STDEV('The List'!Z2:Z730)</f>
        <v>-0.705234540058047</v>
      </c>
      <c r="N114" s="46">
        <f>(VLOOKUP($A114,'The List'!$B1:$AH730,26,FALSE)-AVERAGE('The List'!AA2:AA730))/STDEV('The List'!AA2:AA730)</f>
        <v>-0.447771844489473</v>
      </c>
      <c r="O114" s="46">
        <f>(VLOOKUP($A114,'The List'!$B1:$AH730,27,FALSE)-AVERAGE('The List'!AB2:AB730))/STDEV('The List'!AB2:AB730)</f>
        <v>-0.742968751750694</v>
      </c>
      <c r="P114" s="46">
        <f>(VLOOKUP($A114,'The List'!$B1:$AH730,28,FALSE)-AVERAGE('The List'!AC2:AC730))/STDEV('The List'!AC2:AC730)</f>
        <v>-1.15277904444706</v>
      </c>
      <c r="Q114" s="46">
        <f>(VLOOKUP($A114,'The List'!$B1:$AH730,29,FALSE)-AVERAGE('The List'!AD2:AD730))/STDEV('The List'!AD2:AD730)</f>
        <v>0.350831963574952</v>
      </c>
      <c r="R114" s="46">
        <f>(VLOOKUP($A114,'The List'!$B1:$AH730,30,FALSE)-AVERAGE('The List'!AE2:AE730))/STDEV('The List'!AE2:AE730)</f>
        <v>0.488637684925129</v>
      </c>
      <c r="S114" s="46">
        <f>(VLOOKUP($A114,'The List'!$B1:$AH730,31,FALSE)-AVERAGE('The List'!AF2:AF730))/STDEV('The List'!AF2:AF730)</f>
        <v>-0.512708281516545</v>
      </c>
      <c r="T114" s="46">
        <f>(VLOOKUP($A114,'The List'!$B1:$AH730,32,FALSE)-AVERAGE('The List'!AG2:AG730))/STDEV('The List'!AG2:AG730)</f>
        <v>-0.542806762699297</v>
      </c>
      <c r="U114" s="46">
        <f>(VLOOKUP($A114,'The List'!$B1:$AH730,33,FALSE)-AVERAGE('The List'!AH2:AH730))/STDEV('The List'!AH2:AH730)</f>
        <v>0.772062225932671</v>
      </c>
      <c r="V114" s="46"/>
      <c r="W114" s="50"/>
      <c r="X114" s="48"/>
      <c r="Y114" s="48"/>
      <c r="Z114" s="48"/>
      <c r="AA114" s="48"/>
      <c r="AB114" s="48"/>
      <c r="AC114" s="51"/>
      <c r="AD114" s="52"/>
      <c r="AE114" s="46"/>
    </row>
    <row r="115" ht="21.25" customHeight="1">
      <c r="A115" t="s" s="8">
        <v>301</v>
      </c>
      <c r="B115" t="s" s="42">
        <f>VLOOKUP(A115,'Player Data'!A1:B734,2,FALSE)</f>
        <v>141</v>
      </c>
      <c r="C115" s="44">
        <f>((E115)*'Settings'!$C$12)+(F115*'Settings'!$C$2)+(G115*'Settings'!$C$3)+(H115*'Settings'!$C$4)+(I115*'Settings'!$C$5)+(K115*'Settings'!$C$9)+(N115*'Settings'!$C$6)+(J115*'Settings'!$C$8)+(O115*'Settings'!$C$7)+(P115*'Settings'!$C$14)+(Q115*'Settings'!$C$15)+(R115*'Settings'!$C$16)+(S115*'Settings'!$C$17)+(T115*'Settings'!$C$18)+(U115*'Settings'!$C$19)+(L115*'Settings'!$C$10)+('Settings'!$C$11*M115)</f>
        <v>4.40114113302351</v>
      </c>
      <c r="D115" s="48">
        <f>IF('Settings'!$E$12="YES",VLOOKUP(A115,'Player Data'!A1:E734,5,FALSE),82)</f>
        <v>80.59999999999999</v>
      </c>
      <c r="E115" s="46">
        <f>(VLOOKUP($A115,'The List'!$B1:$AH730,17,FALSE)-AVERAGE('The List'!R2:R730))/STDEV('The List'!R2:R730)</f>
        <v>0.743270124296676</v>
      </c>
      <c r="F115" s="46">
        <f>(VLOOKUP($A115,'The List'!$B1:$AH730,18,FALSE)-AVERAGE('The List'!S2:S730))/STDEV('The List'!S2:S730)</f>
        <v>1.01501120326831</v>
      </c>
      <c r="G115" s="46">
        <f>(VLOOKUP($A115,'The List'!$B1:$AH730,19,FALSE)-AVERAGE('The List'!T2:T730))/STDEV('The List'!T2:T730)</f>
        <v>0.923736379225921</v>
      </c>
      <c r="H115" s="46">
        <f>(VLOOKUP($A115,'The List'!$B1:$AH730,20,FALSE)-AVERAGE('The List'!U2:U730))/STDEV('The List'!U2:U730)</f>
        <v>1.03132179074525</v>
      </c>
      <c r="I115" s="46">
        <f>(VLOOKUP($A115,'The List'!$B1:$AH730,21,FALSE)-AVERAGE('The List'!V2:V730))/STDEV('The List'!V2:V730)</f>
        <v>1.13065989994597</v>
      </c>
      <c r="J115" s="46">
        <f>(VLOOKUP($A115,'The List'!$B1:$AH730,22,FALSE)-AVERAGE('The List'!W2:W730))/STDEV('The List'!W2:W730)</f>
        <v>0.75666199624384</v>
      </c>
      <c r="K115" s="46">
        <f>(VLOOKUP($A115,'The List'!$B1:$AH730,23,FALSE)-AVERAGE('The List'!X2:X730))/STDEV('The List'!X2:X730)</f>
        <v>1.21114826672752</v>
      </c>
      <c r="L115" s="46">
        <f>(VLOOKUP($A115,'The List'!$B1:$AH730,24,FALSE)-AVERAGE('The List'!Y2:Y730))/STDEV('The List'!Y2:Y730)</f>
        <v>1.72817496342982</v>
      </c>
      <c r="M115" s="46">
        <f>(VLOOKUP($A115,'The List'!$B1:$AH730,25,FALSE)-AVERAGE('The List'!Z2:Z730))/STDEV('The List'!Z2:Z730)</f>
        <v>1.09815155434023</v>
      </c>
      <c r="N115" s="46">
        <f>(VLOOKUP($A115,'The List'!$B1:$AH730,26,FALSE)-AVERAGE('The List'!AA2:AA730))/STDEV('The List'!AA2:AA730)</f>
        <v>0.11850289270808</v>
      </c>
      <c r="O115" s="46">
        <f>(VLOOKUP($A115,'The List'!$B1:$AH730,27,FALSE)-AVERAGE('The List'!AB2:AB730))/STDEV('The List'!AB2:AB730)</f>
        <v>0.434779887000815</v>
      </c>
      <c r="P115" s="46">
        <f>(VLOOKUP($A115,'The List'!$B1:$AH730,28,FALSE)-AVERAGE('The List'!AC2:AC730))/STDEV('The List'!AC2:AC730)</f>
        <v>0.00208249114770691</v>
      </c>
      <c r="Q115" s="46">
        <f>(VLOOKUP($A115,'The List'!$B1:$AH730,29,FALSE)-AVERAGE('The List'!AD2:AD730))/STDEV('The List'!AD2:AD730)</f>
        <v>-0.441334831267378</v>
      </c>
      <c r="R115" s="46">
        <f>(VLOOKUP($A115,'The List'!$B1:$AH730,30,FALSE)-AVERAGE('The List'!AE2:AE730))/STDEV('The List'!AE2:AE730)</f>
        <v>0.682208880973439</v>
      </c>
      <c r="S115" s="46">
        <f>(VLOOKUP($A115,'The List'!$B1:$AH730,31,FALSE)-AVERAGE('The List'!AF2:AF730))/STDEV('The List'!AF2:AF730)</f>
        <v>2.6324946510905</v>
      </c>
      <c r="T115" s="46">
        <f>(VLOOKUP($A115,'The List'!$B1:$AH730,32,FALSE)-AVERAGE('The List'!AG2:AG730))/STDEV('The List'!AG2:AG730)</f>
        <v>2.99977242184364</v>
      </c>
      <c r="U115" s="46">
        <f>(VLOOKUP($A115,'The List'!$B1:$AH730,33,FALSE)-AVERAGE('The List'!AH2:AH730))/STDEV('The List'!AH2:AH730)</f>
        <v>0.941945598958177</v>
      </c>
      <c r="V115" s="46"/>
      <c r="W115" s="50"/>
      <c r="X115" s="48"/>
      <c r="Y115" s="48"/>
      <c r="Z115" s="48"/>
      <c r="AA115" s="48"/>
      <c r="AB115" s="48"/>
      <c r="AC115" s="51"/>
      <c r="AD115" s="52"/>
      <c r="AE115" s="46"/>
    </row>
    <row r="116" ht="21.25" customHeight="1">
      <c r="A116" t="s" s="8">
        <v>291</v>
      </c>
      <c r="B116" t="s" s="42">
        <f>VLOOKUP(A116,'Player Data'!A1:B734,2,FALSE)</f>
        <v>292</v>
      </c>
      <c r="C116" s="44">
        <f>((E116)*'Settings'!$C$12)+(F116*'Settings'!$C$2)+(G116*'Settings'!$C$3)+(H116*'Settings'!$C$4)+(I116*'Settings'!$C$5)+(K116*'Settings'!$C$9)+(N116*'Settings'!$C$6)+(J116*'Settings'!$C$8)+(O116*'Settings'!$C$7)+(P116*'Settings'!$C$14)+(Q116*'Settings'!$C$15)+(R116*'Settings'!$C$16)+(S116*'Settings'!$C$17)+(T116*'Settings'!$C$18)+(U116*'Settings'!$C$19)+(L116*'Settings'!$C$10)+('Settings'!$C$11*M116)</f>
        <v>2.99383724864377</v>
      </c>
      <c r="D116" s="48">
        <f>IF('Settings'!$E$12="YES",VLOOKUP(A116,'Player Data'!A1:E734,5,FALSE),82)</f>
        <v>79.88249999999999</v>
      </c>
      <c r="E116" s="46">
        <f>(VLOOKUP($A116,'The List'!$B1:$AH730,17,FALSE)-AVERAGE('The List'!R2:R730))/STDEV('The List'!R2:R730)</f>
        <v>0.0285859658274543</v>
      </c>
      <c r="F116" s="46">
        <f>(VLOOKUP($A116,'The List'!$B1:$AH730,18,FALSE)-AVERAGE('The List'!S2:S730))/STDEV('The List'!S2:S730)</f>
        <v>0.462439289112364</v>
      </c>
      <c r="G116" s="46">
        <f>(VLOOKUP($A116,'The List'!$B1:$AH730,19,FALSE)-AVERAGE('The List'!T2:T730))/STDEV('The List'!T2:T730)</f>
        <v>1.29080906097821</v>
      </c>
      <c r="H116" s="46">
        <f>(VLOOKUP($A116,'The List'!$B1:$AH730,20,FALSE)-AVERAGE('The List'!U2:U730))/STDEV('The List'!U2:U730)</f>
        <v>1.00618597120346</v>
      </c>
      <c r="I116" s="46">
        <f>(VLOOKUP($A116,'The List'!$B1:$AH730,21,FALSE)-AVERAGE('The List'!V2:V730))/STDEV('The List'!V2:V730)</f>
        <v>1.32595550135049</v>
      </c>
      <c r="J116" s="46">
        <f>(VLOOKUP($A116,'The List'!$B1:$AH730,22,FALSE)-AVERAGE('The List'!W2:W730))/STDEV('The List'!W2:W730)</f>
        <v>0.538993651572599</v>
      </c>
      <c r="K116" s="46">
        <f>(VLOOKUP($A116,'The List'!$B1:$AH730,23,FALSE)-AVERAGE('The List'!X2:X730))/STDEV('The List'!X2:X730)</f>
        <v>1.25656374939581</v>
      </c>
      <c r="L116" s="46">
        <f>(VLOOKUP($A116,'The List'!$B1:$AH730,24,FALSE)-AVERAGE('The List'!Y2:Y730))/STDEV('The List'!Y2:Y730)</f>
        <v>-0.542843480388394</v>
      </c>
      <c r="M116" s="46">
        <f>(VLOOKUP($A116,'The List'!$B1:$AH730,25,FALSE)-AVERAGE('The List'!Z2:Z730))/STDEV('The List'!Z2:Z730)</f>
        <v>-0.72177514995105</v>
      </c>
      <c r="N116" s="46">
        <f>(VLOOKUP($A116,'The List'!$B1:$AH730,26,FALSE)-AVERAGE('The List'!AA2:AA730))/STDEV('The List'!AA2:AA730)</f>
        <v>-0.998143862759763</v>
      </c>
      <c r="O116" s="46">
        <f>(VLOOKUP($A116,'The List'!$B1:$AH730,27,FALSE)-AVERAGE('The List'!AB2:AB730))/STDEV('The List'!AB2:AB730)</f>
        <v>-1.56554488741759</v>
      </c>
      <c r="P116" s="46">
        <f>(VLOOKUP($A116,'The List'!$B1:$AH730,28,FALSE)-AVERAGE('The List'!AC2:AC730))/STDEV('The List'!AC2:AC730)</f>
        <v>-0.343786489433345</v>
      </c>
      <c r="Q116" s="46">
        <f>(VLOOKUP($A116,'The List'!$B1:$AH730,29,FALSE)-AVERAGE('The List'!AD2:AD730))/STDEV('The List'!AD2:AD730)</f>
        <v>-0.979977101270625</v>
      </c>
      <c r="R116" s="46">
        <f>(VLOOKUP($A116,'The List'!$B1:$AH730,30,FALSE)-AVERAGE('The List'!AE2:AE730))/STDEV('The List'!AE2:AE730)</f>
        <v>-1.18448477237391</v>
      </c>
      <c r="S116" s="46">
        <f>(VLOOKUP($A116,'The List'!$B1:$AH730,31,FALSE)-AVERAGE('The List'!AF2:AF730))/STDEV('The List'!AF2:AF730)</f>
        <v>-0.549387571913693</v>
      </c>
      <c r="T116" s="46">
        <f>(VLOOKUP($A116,'The List'!$B1:$AH730,32,FALSE)-AVERAGE('The List'!AG2:AG730))/STDEV('The List'!AG2:AG730)</f>
        <v>-0.591416291674255</v>
      </c>
      <c r="U116" s="46">
        <f>(VLOOKUP($A116,'The List'!$B1:$AH730,33,FALSE)-AVERAGE('The List'!AH2:AH730))/STDEV('The List'!AH2:AH730)</f>
        <v>0.822436109393443</v>
      </c>
      <c r="V116" s="46"/>
      <c r="W116" s="50"/>
      <c r="X116" s="48"/>
      <c r="Y116" s="48"/>
      <c r="Z116" s="48"/>
      <c r="AA116" s="48"/>
      <c r="AB116" s="48"/>
      <c r="AC116" s="51"/>
      <c r="AD116" s="52"/>
      <c r="AE116" s="46"/>
    </row>
    <row r="117" ht="21.25" customHeight="1">
      <c r="A117" t="s" s="8">
        <v>214</v>
      </c>
      <c r="B117" t="s" s="42">
        <f>VLOOKUP(A117,'Player Data'!A1:B734,2,FALSE)</f>
        <v>122</v>
      </c>
      <c r="C117" s="44">
        <f>((E117)*'Settings'!$C$12)+(F117*'Settings'!$C$2)+(G117*'Settings'!$C$3)+(H117*'Settings'!$C$4)+(I117*'Settings'!$C$5)+(K117*'Settings'!$C$9)+(N117*'Settings'!$C$6)+(J117*'Settings'!$C$8)+(O117*'Settings'!$C$7)+(P117*'Settings'!$C$14)+(Q117*'Settings'!$C$15)+(R117*'Settings'!$C$16)+(S117*'Settings'!$C$17)+(T117*'Settings'!$C$18)+(U117*'Settings'!$C$19)+(L117*'Settings'!$C$10)+('Settings'!$C$11*M117)</f>
        <v>6.84290068227909</v>
      </c>
      <c r="D117" s="48">
        <f>IF('Settings'!$E$12="YES",VLOOKUP(A117,'Player Data'!A1:E734,5,FALSE),82)</f>
        <v>78.08535714285711</v>
      </c>
      <c r="E117" s="46">
        <f>(VLOOKUP($A117,'The List'!$B1:$AH730,17,FALSE)-AVERAGE('The List'!R2:R730))/STDEV('The List'!R2:R730)</f>
        <v>1.84517729592262</v>
      </c>
      <c r="F117" s="46">
        <f>(VLOOKUP($A117,'The List'!$B1:$AH730,18,FALSE)-AVERAGE('The List'!S2:S730))/STDEV('The List'!S2:S730)</f>
        <v>-0.393685162885777</v>
      </c>
      <c r="G117" s="46">
        <f>(VLOOKUP($A117,'The List'!$B1:$AH730,19,FALSE)-AVERAGE('The List'!T2:T730))/STDEV('The List'!T2:T730)</f>
        <v>1.81115373610203</v>
      </c>
      <c r="H117" s="46">
        <f>(VLOOKUP($A117,'The List'!$B1:$AH730,20,FALSE)-AVERAGE('The List'!U2:U730))/STDEV('The List'!U2:U730)</f>
        <v>0.93741782834097</v>
      </c>
      <c r="I117" s="46">
        <f>(VLOOKUP($A117,'The List'!$B1:$AH730,21,FALSE)-AVERAGE('The List'!V2:V730))/STDEV('The List'!V2:V730)</f>
        <v>0.16153246624709</v>
      </c>
      <c r="J117" s="46">
        <f>(VLOOKUP($A117,'The List'!$B1:$AH730,22,FALSE)-AVERAGE('The List'!W2:W730))/STDEV('The List'!W2:W730)</f>
        <v>0.086290803636995</v>
      </c>
      <c r="K117" s="46">
        <f>(VLOOKUP($A117,'The List'!$B1:$AH730,23,FALSE)-AVERAGE('The List'!X2:X730))/STDEV('The List'!X2:X730)</f>
        <v>1.35019854337263</v>
      </c>
      <c r="L117" s="46">
        <f>(VLOOKUP($A117,'The List'!$B1:$AH730,24,FALSE)-AVERAGE('The List'!Y2:Y730))/STDEV('The List'!Y2:Y730)</f>
        <v>-0.487699239130155</v>
      </c>
      <c r="M117" s="46">
        <f>(VLOOKUP($A117,'The List'!$B1:$AH730,25,FALSE)-AVERAGE('The List'!Z2:Z730))/STDEV('The List'!Z2:Z730)</f>
        <v>-0.414968273253403</v>
      </c>
      <c r="N117" s="46">
        <f>(VLOOKUP($A117,'The List'!$B1:$AH730,26,FALSE)-AVERAGE('The List'!AA2:AA730))/STDEV('The List'!AA2:AA730)</f>
        <v>2.08632837406388</v>
      </c>
      <c r="O117" s="46">
        <f>(VLOOKUP($A117,'The List'!$B1:$AH730,27,FALSE)-AVERAGE('The List'!AB2:AB730))/STDEV('The List'!AB2:AB730)</f>
        <v>0.433241573200828</v>
      </c>
      <c r="P117" s="46">
        <f>(VLOOKUP($A117,'The List'!$B1:$AH730,28,FALSE)-AVERAGE('The List'!AC2:AC730))/STDEV('The List'!AC2:AC730)</f>
        <v>1.82737272537924</v>
      </c>
      <c r="Q117" s="46">
        <f>(VLOOKUP($A117,'The List'!$B1:$AH730,29,FALSE)-AVERAGE('The List'!AD2:AD730))/STDEV('The List'!AD2:AD730)</f>
        <v>2.07535026265654</v>
      </c>
      <c r="R117" s="46">
        <f>(VLOOKUP($A117,'The List'!$B1:$AH730,30,FALSE)-AVERAGE('The List'!AE2:AE730))/STDEV('The List'!AE2:AE730)</f>
        <v>-0.1992716829467</v>
      </c>
      <c r="S117" s="46">
        <f>(VLOOKUP($A117,'The List'!$B1:$AH730,31,FALSE)-AVERAGE('The List'!AF2:AF730))/STDEV('The List'!AF2:AF730)</f>
        <v>-0.5569063253591</v>
      </c>
      <c r="T117" s="46">
        <f>(VLOOKUP($A117,'The List'!$B1:$AH730,32,FALSE)-AVERAGE('The List'!AG2:AG730))/STDEV('The List'!AG2:AG730)</f>
        <v>-0.600856269042678</v>
      </c>
      <c r="U117" s="46">
        <f>(VLOOKUP($A117,'The List'!$B1:$AH730,33,FALSE)-AVERAGE('The List'!AH2:AH730))/STDEV('The List'!AH2:AH730)</f>
        <v>-1.2363238714826</v>
      </c>
      <c r="V117" s="46"/>
      <c r="W117" s="50"/>
      <c r="X117" s="48"/>
      <c r="Y117" s="48"/>
      <c r="Z117" s="48"/>
      <c r="AA117" s="48"/>
      <c r="AB117" s="48"/>
      <c r="AC117" s="51"/>
      <c r="AD117" s="52"/>
      <c r="AE117" s="46"/>
    </row>
    <row r="118" ht="21.25" customHeight="1">
      <c r="A118" t="s" s="8">
        <v>197</v>
      </c>
      <c r="B118" t="s" s="42">
        <f>VLOOKUP(A118,'Player Data'!A1:B734,2,FALSE)</f>
        <v>124</v>
      </c>
      <c r="C118" s="44">
        <f>((E118)*'Settings'!$C$12)+(F118*'Settings'!$C$2)+(G118*'Settings'!$C$3)+(H118*'Settings'!$C$4)+(I118*'Settings'!$C$5)+(K118*'Settings'!$C$9)+(N118*'Settings'!$C$6)+(J118*'Settings'!$C$8)+(O118*'Settings'!$C$7)+(P118*'Settings'!$C$14)+(Q118*'Settings'!$C$15)+(R118*'Settings'!$C$16)+(S118*'Settings'!$C$17)+(T118*'Settings'!$C$18)+(U118*'Settings'!$C$19)+(L118*'Settings'!$C$10)+('Settings'!$C$11*M118)</f>
        <v>6.0584778541566</v>
      </c>
      <c r="D118" s="48">
        <f>IF('Settings'!$E$12="YES",VLOOKUP(A118,'Player Data'!A1:E734,5,FALSE),82)</f>
        <v>81.3</v>
      </c>
      <c r="E118" s="46">
        <f>(VLOOKUP($A118,'The List'!$B1:$AH730,17,FALSE)-AVERAGE('The List'!R2:R730))/STDEV('The List'!R2:R730)</f>
        <v>2.04720166056906</v>
      </c>
      <c r="F118" s="46">
        <f>(VLOOKUP($A118,'The List'!$B1:$AH730,18,FALSE)-AVERAGE('The List'!S2:S730))/STDEV('The List'!S2:S730)</f>
        <v>-0.355813628418064</v>
      </c>
      <c r="G118" s="46">
        <f>(VLOOKUP($A118,'The List'!$B1:$AH730,19,FALSE)-AVERAGE('The List'!T2:T730))/STDEV('The List'!T2:T730)</f>
        <v>1.94280336689349</v>
      </c>
      <c r="H118" s="46">
        <f>(VLOOKUP($A118,'The List'!$B1:$AH730,20,FALSE)-AVERAGE('The List'!U2:U730))/STDEV('The List'!U2:U730)</f>
        <v>1.03581040308643</v>
      </c>
      <c r="I118" s="46">
        <f>(VLOOKUP($A118,'The List'!$B1:$AH730,21,FALSE)-AVERAGE('The List'!V2:V730))/STDEV('The List'!V2:V730)</f>
        <v>0.584419293964655</v>
      </c>
      <c r="J118" s="46">
        <f>(VLOOKUP($A118,'The List'!$B1:$AH730,22,FALSE)-AVERAGE('The List'!W2:W730))/STDEV('The List'!W2:W730)</f>
        <v>-0.0149902937568079</v>
      </c>
      <c r="K118" s="46">
        <f>(VLOOKUP($A118,'The List'!$B1:$AH730,23,FALSE)-AVERAGE('The List'!X2:X730))/STDEV('The List'!X2:X730)</f>
        <v>1.5378576779611</v>
      </c>
      <c r="L118" s="46">
        <f>(VLOOKUP($A118,'The List'!$B1:$AH730,24,FALSE)-AVERAGE('The List'!Y2:Y730))/STDEV('The List'!Y2:Y730)</f>
        <v>-0.497576057729073</v>
      </c>
      <c r="M118" s="46">
        <f>(VLOOKUP($A118,'The List'!$B1:$AH730,25,FALSE)-AVERAGE('The List'!Z2:Z730))/STDEV('The List'!Z2:Z730)</f>
        <v>0.286231879442546</v>
      </c>
      <c r="N118" s="46">
        <f>(VLOOKUP($A118,'The List'!$B1:$AH730,26,FALSE)-AVERAGE('The List'!AA2:AA730))/STDEV('The List'!AA2:AA730)</f>
        <v>2.19195937010925</v>
      </c>
      <c r="O118" s="46">
        <f>(VLOOKUP($A118,'The List'!$B1:$AH730,27,FALSE)-AVERAGE('The List'!AB2:AB730))/STDEV('The List'!AB2:AB730)</f>
        <v>0.788691318701822</v>
      </c>
      <c r="P118" s="46">
        <f>(VLOOKUP($A118,'The List'!$B1:$AH730,28,FALSE)-AVERAGE('The List'!AC2:AC730))/STDEV('The List'!AC2:AC730)</f>
        <v>0.157251773646172</v>
      </c>
      <c r="Q118" s="46">
        <f>(VLOOKUP($A118,'The List'!$B1:$AH730,29,FALSE)-AVERAGE('The List'!AD2:AD730))/STDEV('The List'!AD2:AD730)</f>
        <v>1.7799923061884</v>
      </c>
      <c r="R118" s="46">
        <f>(VLOOKUP($A118,'The List'!$B1:$AH730,30,FALSE)-AVERAGE('The List'!AE2:AE730))/STDEV('The List'!AE2:AE730)</f>
        <v>-0.227488379070212</v>
      </c>
      <c r="S118" s="46">
        <f>(VLOOKUP($A118,'The List'!$B1:$AH730,31,FALSE)-AVERAGE('The List'!AF2:AF730))/STDEV('The List'!AF2:AF730)</f>
        <v>-0.5569063253591</v>
      </c>
      <c r="T118" s="46">
        <f>(VLOOKUP($A118,'The List'!$B1:$AH730,32,FALSE)-AVERAGE('The List'!AG2:AG730))/STDEV('The List'!AG2:AG730)</f>
        <v>-0.600856269042678</v>
      </c>
      <c r="U118" s="46">
        <f>(VLOOKUP($A118,'The List'!$B1:$AH730,33,FALSE)-AVERAGE('The List'!AH2:AH730))/STDEV('The List'!AH2:AH730)</f>
        <v>-1.2363238714826</v>
      </c>
      <c r="V118" s="46"/>
      <c r="W118" s="50"/>
      <c r="X118" s="48"/>
      <c r="Y118" s="48"/>
      <c r="Z118" s="48"/>
      <c r="AA118" s="48"/>
      <c r="AB118" s="48"/>
      <c r="AC118" s="51"/>
      <c r="AD118" s="52"/>
      <c r="AE118" s="46"/>
    </row>
    <row r="119" ht="21.25" customHeight="1">
      <c r="A119" t="s" s="8">
        <v>331</v>
      </c>
      <c r="B119" t="s" s="42">
        <f>VLOOKUP(A119,'Player Data'!A1:B734,2,FALSE)</f>
        <v>166</v>
      </c>
      <c r="C119" s="44">
        <f>((E119)*'Settings'!$C$12)+(F119*'Settings'!$C$2)+(G119*'Settings'!$C$3)+(H119*'Settings'!$C$4)+(I119*'Settings'!$C$5)+(K119*'Settings'!$C$9)+(N119*'Settings'!$C$6)+(J119*'Settings'!$C$8)+(O119*'Settings'!$C$7)+(P119*'Settings'!$C$14)+(Q119*'Settings'!$C$15)+(R119*'Settings'!$C$16)+(S119*'Settings'!$C$17)+(T119*'Settings'!$C$18)+(U119*'Settings'!$C$19)+(L119*'Settings'!$C$10)+('Settings'!$C$11*M119)</f>
        <v>1.5315118770389</v>
      </c>
      <c r="D119" s="48">
        <f>IF('Settings'!$E$12="YES",VLOOKUP(A119,'Player Data'!A1:E734,5,FALSE),82)</f>
        <v>79.2435714285714</v>
      </c>
      <c r="E119" s="46">
        <f>(VLOOKUP($A119,'The List'!$B1:$AH730,17,FALSE)-AVERAGE('The List'!R2:R730))/STDEV('The List'!R2:R730)</f>
        <v>0.474874968233053</v>
      </c>
      <c r="F119" s="46">
        <f>(VLOOKUP($A119,'The List'!$B1:$AH730,18,FALSE)-AVERAGE('The List'!S2:S730))/STDEV('The List'!S2:S730)</f>
        <v>0.237147262733495</v>
      </c>
      <c r="G119" s="46">
        <f>(VLOOKUP($A119,'The List'!$B1:$AH730,19,FALSE)-AVERAGE('The List'!T2:T730))/STDEV('The List'!T2:T730)</f>
        <v>1.3525244478616</v>
      </c>
      <c r="H119" s="46">
        <f>(VLOOKUP($A119,'The List'!$B1:$AH730,20,FALSE)-AVERAGE('The List'!U2:U730))/STDEV('The List'!U2:U730)</f>
        <v>0.941720305658457</v>
      </c>
      <c r="I119" s="46">
        <f>(VLOOKUP($A119,'The List'!$B1:$AH730,21,FALSE)-AVERAGE('The List'!V2:V730))/STDEV('The List'!V2:V730)</f>
        <v>0.6814747703106671</v>
      </c>
      <c r="J119" s="46">
        <f>(VLOOKUP($A119,'The List'!$B1:$AH730,22,FALSE)-AVERAGE('The List'!W2:W730))/STDEV('The List'!W2:W730)</f>
        <v>0.506052384660898</v>
      </c>
      <c r="K119" s="46">
        <f>(VLOOKUP($A119,'The List'!$B1:$AH730,23,FALSE)-AVERAGE('The List'!X2:X730))/STDEV('The List'!X2:X730)</f>
        <v>0.998846303626343</v>
      </c>
      <c r="L119" s="46">
        <f>(VLOOKUP($A119,'The List'!$B1:$AH730,24,FALSE)-AVERAGE('The List'!Y2:Y730))/STDEV('The List'!Y2:Y730)</f>
        <v>0.867673723157077</v>
      </c>
      <c r="M119" s="46">
        <f>(VLOOKUP($A119,'The List'!$B1:$AH730,25,FALSE)-AVERAGE('The List'!Z2:Z730))/STDEV('The List'!Z2:Z730)</f>
        <v>1.06230701182299</v>
      </c>
      <c r="N119" s="46">
        <f>(VLOOKUP($A119,'The List'!$B1:$AH730,26,FALSE)-AVERAGE('The List'!AA2:AA730))/STDEV('The List'!AA2:AA730)</f>
        <v>-0.74662829351782</v>
      </c>
      <c r="O119" s="46">
        <f>(VLOOKUP($A119,'The List'!$B1:$AH730,27,FALSE)-AVERAGE('The List'!AB2:AB730))/STDEV('The List'!AB2:AB730)</f>
        <v>-0.961218925251167</v>
      </c>
      <c r="P119" s="46">
        <f>(VLOOKUP($A119,'The List'!$B1:$AH730,28,FALSE)-AVERAGE('The List'!AC2:AC730))/STDEV('The List'!AC2:AC730)</f>
        <v>-0.991852613975382</v>
      </c>
      <c r="Q119" s="46">
        <f>(VLOOKUP($A119,'The List'!$B1:$AH730,29,FALSE)-AVERAGE('The List'!AD2:AD730))/STDEV('The List'!AD2:AD730)</f>
        <v>0.8039641545090001</v>
      </c>
      <c r="R119" s="46">
        <f>(VLOOKUP($A119,'The List'!$B1:$AH730,30,FALSE)-AVERAGE('The List'!AE2:AE730))/STDEV('The List'!AE2:AE730)</f>
        <v>0.0423075974105461</v>
      </c>
      <c r="S119" s="46">
        <f>(VLOOKUP($A119,'The List'!$B1:$AH730,31,FALSE)-AVERAGE('The List'!AF2:AF730))/STDEV('The List'!AF2:AF730)</f>
        <v>1.78949762126659</v>
      </c>
      <c r="T119" s="46">
        <f>(VLOOKUP($A119,'The List'!$B1:$AH730,32,FALSE)-AVERAGE('The List'!AG2:AG730))/STDEV('The List'!AG2:AG730)</f>
        <v>2.40692434951622</v>
      </c>
      <c r="U119" s="46">
        <f>(VLOOKUP($A119,'The List'!$B1:$AH730,33,FALSE)-AVERAGE('The List'!AH2:AH730))/STDEV('The List'!AH2:AH730)</f>
        <v>0.799195239268101</v>
      </c>
      <c r="V119" s="46"/>
      <c r="W119" s="50"/>
      <c r="X119" s="48"/>
      <c r="Y119" s="48"/>
      <c r="Z119" s="48"/>
      <c r="AA119" s="48"/>
      <c r="AB119" s="48"/>
      <c r="AC119" s="51"/>
      <c r="AD119" s="52"/>
      <c r="AE119" s="46"/>
    </row>
    <row r="120" ht="21.25" customHeight="1">
      <c r="A120" t="s" s="8">
        <v>368</v>
      </c>
      <c r="B120" t="s" s="42">
        <f>VLOOKUP(A120,'Player Data'!A1:B734,2,FALSE)</f>
        <v>131</v>
      </c>
      <c r="C120" s="44">
        <f>((E120)*'Settings'!$C$12)+(F120*'Settings'!$C$2)+(G120*'Settings'!$C$3)+(H120*'Settings'!$C$4)+(I120*'Settings'!$C$5)+(K120*'Settings'!$C$9)+(N120*'Settings'!$C$6)+(J120*'Settings'!$C$8)+(O120*'Settings'!$C$7)+(P120*'Settings'!$C$14)+(Q120*'Settings'!$C$15)+(R120*'Settings'!$C$16)+(S120*'Settings'!$C$17)+(T120*'Settings'!$C$18)+(U120*'Settings'!$C$19)+(L120*'Settings'!$C$10)+('Settings'!$C$11*M120)</f>
        <v>1.02111277426088</v>
      </c>
      <c r="D120" s="48">
        <f>IF('Settings'!$E$12="YES",VLOOKUP(A120,'Player Data'!A1:E734,5,FALSE),82)</f>
        <v>72.90000000000001</v>
      </c>
      <c r="E120" s="46">
        <f>(VLOOKUP($A120,'The List'!$B1:$AH730,17,FALSE)-AVERAGE('The List'!R2:R730))/STDEV('The List'!R2:R730)</f>
        <v>0.0375084912538087</v>
      </c>
      <c r="F120" s="46">
        <f>(VLOOKUP($A120,'The List'!$B1:$AH730,18,FALSE)-AVERAGE('The List'!S2:S730))/STDEV('The List'!S2:S730)</f>
        <v>0.827468466475356</v>
      </c>
      <c r="G120" s="46">
        <f>(VLOOKUP($A120,'The List'!$B1:$AH730,19,FALSE)-AVERAGE('The List'!T2:T730))/STDEV('The List'!T2:T730)</f>
        <v>0.378914791751045</v>
      </c>
      <c r="H120" s="46">
        <f>(VLOOKUP($A120,'The List'!$B1:$AH730,20,FALSE)-AVERAGE('The List'!U2:U730))/STDEV('The List'!U2:U730)</f>
        <v>0.610110736485144</v>
      </c>
      <c r="I120" s="46">
        <f>(VLOOKUP($A120,'The List'!$B1:$AH730,21,FALSE)-AVERAGE('The List'!V2:V730))/STDEV('The List'!V2:V730)</f>
        <v>0.496406802078884</v>
      </c>
      <c r="J120" s="46">
        <f>(VLOOKUP($A120,'The List'!$B1:$AH730,22,FALSE)-AVERAGE('The List'!W2:W730))/STDEV('The List'!W2:W730)</f>
        <v>0.159658125780198</v>
      </c>
      <c r="K120" s="46">
        <f>(VLOOKUP($A120,'The List'!$B1:$AH730,23,FALSE)-AVERAGE('The List'!X2:X730))/STDEV('The List'!X2:X730)</f>
        <v>0.370559652758674</v>
      </c>
      <c r="L120" s="46">
        <f>(VLOOKUP($A120,'The List'!$B1:$AH730,24,FALSE)-AVERAGE('The List'!Y2:Y730))/STDEV('The List'!Y2:Y730)</f>
        <v>-0.539667578347641</v>
      </c>
      <c r="M120" s="46">
        <f>(VLOOKUP($A120,'The List'!$B1:$AH730,25,FALSE)-AVERAGE('The List'!Z2:Z730))/STDEV('The List'!Z2:Z730)</f>
        <v>-0.718234868128878</v>
      </c>
      <c r="N120" s="46">
        <f>(VLOOKUP($A120,'The List'!$B1:$AH730,26,FALSE)-AVERAGE('The List'!AA2:AA730))/STDEV('The List'!AA2:AA730)</f>
        <v>-0.911899030936672</v>
      </c>
      <c r="O120" s="46">
        <f>(VLOOKUP($A120,'The List'!$B1:$AH730,27,FALSE)-AVERAGE('The List'!AB2:AB730))/STDEV('The List'!AB2:AB730)</f>
        <v>-1.00231007265616</v>
      </c>
      <c r="P120" s="46">
        <f>(VLOOKUP($A120,'The List'!$B1:$AH730,28,FALSE)-AVERAGE('The List'!AC2:AC730))/STDEV('The List'!AC2:AC730)</f>
        <v>-0.140337907866403</v>
      </c>
      <c r="Q120" s="46">
        <f>(VLOOKUP($A120,'The List'!$B1:$AH730,29,FALSE)-AVERAGE('The List'!AD2:AD730))/STDEV('The List'!AD2:AD730)</f>
        <v>-0.403452730937323</v>
      </c>
      <c r="R120" s="46">
        <f>(VLOOKUP($A120,'The List'!$B1:$AH730,30,FALSE)-AVERAGE('The List'!AE2:AE730))/STDEV('The List'!AE2:AE730)</f>
        <v>0.832827597885783</v>
      </c>
      <c r="S120" s="46">
        <f>(VLOOKUP($A120,'The List'!$B1:$AH730,31,FALSE)-AVERAGE('The List'!AF2:AF730))/STDEV('The List'!AF2:AF730)</f>
        <v>-0.5569063253591</v>
      </c>
      <c r="T120" s="46">
        <f>(VLOOKUP($A120,'The List'!$B1:$AH730,32,FALSE)-AVERAGE('The List'!AG2:AG730))/STDEV('The List'!AG2:AG730)</f>
        <v>-0.600856269042678</v>
      </c>
      <c r="U120" s="46">
        <f>(VLOOKUP($A120,'The List'!$B1:$AH730,33,FALSE)-AVERAGE('The List'!AH2:AH730))/STDEV('The List'!AH2:AH730)</f>
        <v>-1.2363238714826</v>
      </c>
      <c r="V120" s="46"/>
      <c r="W120" s="50"/>
      <c r="X120" s="48"/>
      <c r="Y120" s="48"/>
      <c r="Z120" s="48"/>
      <c r="AA120" s="48"/>
      <c r="AB120" s="48"/>
      <c r="AC120" s="51"/>
      <c r="AD120" s="52"/>
      <c r="AE120" s="46"/>
    </row>
    <row r="121" ht="21.25" customHeight="1">
      <c r="A121" t="s" s="8">
        <v>346</v>
      </c>
      <c r="B121" t="s" s="42">
        <f>VLOOKUP(A121,'Player Data'!A1:B734,2,FALSE)</f>
        <v>196</v>
      </c>
      <c r="C121" s="44">
        <f>((E121)*'Settings'!$C$12)+(F121*'Settings'!$C$2)+(G121*'Settings'!$C$3)+(H121*'Settings'!$C$4)+(I121*'Settings'!$C$5)+(K121*'Settings'!$C$9)+(N121*'Settings'!$C$6)+(J121*'Settings'!$C$8)+(O121*'Settings'!$C$7)+(P121*'Settings'!$C$14)+(Q121*'Settings'!$C$15)+(R121*'Settings'!$C$16)+(S121*'Settings'!$C$17)+(T121*'Settings'!$C$18)+(U121*'Settings'!$C$19)+(L121*'Settings'!$C$10)+('Settings'!$C$11*M121)</f>
        <v>2.3272296789995</v>
      </c>
      <c r="D121" s="48">
        <f>IF('Settings'!$E$12="YES",VLOOKUP(A121,'Player Data'!A1:E734,5,FALSE),82)</f>
        <v>78</v>
      </c>
      <c r="E121" s="46">
        <f>(VLOOKUP($A121,'The List'!$B1:$AH730,17,FALSE)-AVERAGE('The List'!R2:R730))/STDEV('The List'!R2:R730)</f>
        <v>0.27557239875381</v>
      </c>
      <c r="F121" s="46">
        <f>(VLOOKUP($A121,'The List'!$B1:$AH730,18,FALSE)-AVERAGE('The List'!S2:S730))/STDEV('The List'!S2:S730)</f>
        <v>0.802873713354652</v>
      </c>
      <c r="G121" s="46">
        <f>(VLOOKUP($A121,'The List'!$B1:$AH730,19,FALSE)-AVERAGE('The List'!T2:T730))/STDEV('The List'!T2:T730)</f>
        <v>0.848978397316945</v>
      </c>
      <c r="H121" s="46">
        <f>(VLOOKUP($A121,'The List'!$B1:$AH730,20,FALSE)-AVERAGE('The List'!U2:U730))/STDEV('The List'!U2:U730)</f>
        <v>0.888707665016888</v>
      </c>
      <c r="I121" s="46">
        <f>(VLOOKUP($A121,'The List'!$B1:$AH730,21,FALSE)-AVERAGE('The List'!V2:V730))/STDEV('The List'!V2:V730)</f>
        <v>0.474340122431132</v>
      </c>
      <c r="J121" s="46">
        <f>(VLOOKUP($A121,'The List'!$B1:$AH730,22,FALSE)-AVERAGE('The List'!W2:W730))/STDEV('The List'!W2:W730)</f>
        <v>0.908630790766746</v>
      </c>
      <c r="K121" s="46">
        <f>(VLOOKUP($A121,'The List'!$B1:$AH730,23,FALSE)-AVERAGE('The List'!X2:X730))/STDEV('The List'!X2:X730)</f>
        <v>0.8170566446575031</v>
      </c>
      <c r="L121" s="46">
        <f>(VLOOKUP($A121,'The List'!$B1:$AH730,24,FALSE)-AVERAGE('The List'!Y2:Y730))/STDEV('The List'!Y2:Y730)</f>
        <v>-0.542843480388394</v>
      </c>
      <c r="M121" s="46">
        <f>(VLOOKUP($A121,'The List'!$B1:$AH730,25,FALSE)-AVERAGE('The List'!Z2:Z730))/STDEV('The List'!Z2:Z730)</f>
        <v>-0.72177514995105</v>
      </c>
      <c r="N121" s="46">
        <f>(VLOOKUP($A121,'The List'!$B1:$AH730,26,FALSE)-AVERAGE('The List'!AA2:AA730))/STDEV('The List'!AA2:AA730)</f>
        <v>-0.621260173689148</v>
      </c>
      <c r="O121" s="46">
        <f>(VLOOKUP($A121,'The List'!$B1:$AH730,27,FALSE)-AVERAGE('The List'!AB2:AB730))/STDEV('The List'!AB2:AB730)</f>
        <v>-0.721931049543002</v>
      </c>
      <c r="P121" s="46">
        <f>(VLOOKUP($A121,'The List'!$B1:$AH730,28,FALSE)-AVERAGE('The List'!AC2:AC730))/STDEV('The List'!AC2:AC730)</f>
        <v>0.00524097492841481</v>
      </c>
      <c r="Q121" s="46">
        <f>(VLOOKUP($A121,'The List'!$B1:$AH730,29,FALSE)-AVERAGE('The List'!AD2:AD730))/STDEV('The List'!AD2:AD730)</f>
        <v>0.0266717054453815</v>
      </c>
      <c r="R121" s="46">
        <f>(VLOOKUP($A121,'The List'!$B1:$AH730,30,FALSE)-AVERAGE('The List'!AE2:AE730))/STDEV('The List'!AE2:AE730)</f>
        <v>0.538690947819315</v>
      </c>
      <c r="S121" s="46">
        <f>(VLOOKUP($A121,'The List'!$B1:$AH730,31,FALSE)-AVERAGE('The List'!AF2:AF730))/STDEV('The List'!AF2:AF730)</f>
        <v>1.43630535749725</v>
      </c>
      <c r="T121" s="46">
        <f>(VLOOKUP($A121,'The List'!$B1:$AH730,32,FALSE)-AVERAGE('The List'!AG2:AG730))/STDEV('The List'!AG2:AG730)</f>
        <v>2.29418172518615</v>
      </c>
      <c r="U121" s="46">
        <f>(VLOOKUP($A121,'The List'!$B1:$AH730,33,FALSE)-AVERAGE('The List'!AH2:AH730))/STDEV('The List'!AH2:AH730)</f>
        <v>0.660541350630112</v>
      </c>
      <c r="V121" s="46"/>
      <c r="W121" s="48"/>
      <c r="X121" s="48"/>
      <c r="Y121" s="48"/>
      <c r="Z121" s="48"/>
      <c r="AA121" s="48"/>
      <c r="AB121" s="48"/>
      <c r="AC121" s="51"/>
      <c r="AD121" s="52"/>
      <c r="AE121" s="46"/>
    </row>
    <row r="122" ht="21.25" customHeight="1">
      <c r="A122" t="s" s="8">
        <v>332</v>
      </c>
      <c r="B122" t="s" s="42">
        <f>VLOOKUP(A122,'Player Data'!A1:B734,2,FALSE)</f>
        <v>234</v>
      </c>
      <c r="C122" s="44">
        <f>((E122)*'Settings'!$C$12)+(F122*'Settings'!$C$2)+(G122*'Settings'!$C$3)+(H122*'Settings'!$C$4)+(I122*'Settings'!$C$5)+(K122*'Settings'!$C$9)+(N122*'Settings'!$C$6)+(J122*'Settings'!$C$8)+(O122*'Settings'!$C$7)+(P122*'Settings'!$C$14)+(Q122*'Settings'!$C$15)+(R122*'Settings'!$C$16)+(S122*'Settings'!$C$17)+(T122*'Settings'!$C$18)+(U122*'Settings'!$C$19)+(L122*'Settings'!$C$10)+('Settings'!$C$11*M122)</f>
        <v>0.454656114280023</v>
      </c>
      <c r="D122" s="48">
        <f>IF('Settings'!$E$12="YES",VLOOKUP(A122,'Player Data'!A1:E734,5,FALSE),82)</f>
        <v>82</v>
      </c>
      <c r="E122" s="46">
        <f>(VLOOKUP($A122,'The List'!$B1:$AH730,17,FALSE)-AVERAGE('The List'!R2:R730))/STDEV('The List'!R2:R730)</f>
        <v>0.523482616743892</v>
      </c>
      <c r="F122" s="46">
        <f>(VLOOKUP($A122,'The List'!$B1:$AH730,18,FALSE)-AVERAGE('The List'!S2:S730))/STDEV('The List'!S2:S730)</f>
        <v>1.11925338763279</v>
      </c>
      <c r="G122" s="46">
        <f>(VLOOKUP($A122,'The List'!$B1:$AH730,19,FALSE)-AVERAGE('The List'!T2:T730))/STDEV('The List'!T2:T730)</f>
        <v>0.796247725782108</v>
      </c>
      <c r="H122" s="46">
        <f>(VLOOKUP($A122,'The List'!$B1:$AH730,20,FALSE)-AVERAGE('The List'!U2:U730))/STDEV('The List'!U2:U730)</f>
        <v>1.00015899610268</v>
      </c>
      <c r="I122" s="46">
        <f>(VLOOKUP($A122,'The List'!$B1:$AH730,21,FALSE)-AVERAGE('The List'!V2:V730))/STDEV('The List'!V2:V730)</f>
        <v>0.488129411434034</v>
      </c>
      <c r="J122" s="46">
        <f>(VLOOKUP($A122,'The List'!$B1:$AH730,22,FALSE)-AVERAGE('The List'!W2:W730))/STDEV('The List'!W2:W730)</f>
        <v>0.474632443321436</v>
      </c>
      <c r="K122" s="46">
        <f>(VLOOKUP($A122,'The List'!$B1:$AH730,23,FALSE)-AVERAGE('The List'!X2:X730))/STDEV('The List'!X2:X730)</f>
        <v>0.40818923138747</v>
      </c>
      <c r="L122" s="46">
        <f>(VLOOKUP($A122,'The List'!$B1:$AH730,24,FALSE)-AVERAGE('The List'!Y2:Y730))/STDEV('The List'!Y2:Y730)</f>
        <v>0.545566095690315</v>
      </c>
      <c r="M122" s="46">
        <f>(VLOOKUP($A122,'The List'!$B1:$AH730,25,FALSE)-AVERAGE('The List'!Z2:Z730))/STDEV('The List'!Z2:Z730)</f>
        <v>0.782039372413078</v>
      </c>
      <c r="N122" s="46">
        <f>(VLOOKUP($A122,'The List'!$B1:$AH730,26,FALSE)-AVERAGE('The List'!AA2:AA730))/STDEV('The List'!AA2:AA730)</f>
        <v>-0.687415818532699</v>
      </c>
      <c r="O122" s="46">
        <f>(VLOOKUP($A122,'The List'!$B1:$AH730,27,FALSE)-AVERAGE('The List'!AB2:AB730))/STDEV('The List'!AB2:AB730)</f>
        <v>-0.350006330501315</v>
      </c>
      <c r="P122" s="46">
        <f>(VLOOKUP($A122,'The List'!$B1:$AH730,28,FALSE)-AVERAGE('The List'!AC2:AC730))/STDEV('The List'!AC2:AC730)</f>
        <v>-1.66974782342368</v>
      </c>
      <c r="Q122" s="46">
        <f>(VLOOKUP($A122,'The List'!$B1:$AH730,29,FALSE)-AVERAGE('The List'!AD2:AD730))/STDEV('The List'!AD2:AD730)</f>
        <v>1.54306147577647</v>
      </c>
      <c r="R122" s="46">
        <f>(VLOOKUP($A122,'The List'!$B1:$AH730,30,FALSE)-AVERAGE('The List'!AE2:AE730))/STDEV('The List'!AE2:AE730)</f>
        <v>0.321850424228359</v>
      </c>
      <c r="S122" s="46">
        <f>(VLOOKUP($A122,'The List'!$B1:$AH730,31,FALSE)-AVERAGE('The List'!AF2:AF730))/STDEV('The List'!AF2:AF730)</f>
        <v>-0.550224428394066</v>
      </c>
      <c r="T122" s="46">
        <f>(VLOOKUP($A122,'The List'!$B1:$AH730,32,FALSE)-AVERAGE('The List'!AG2:AG730))/STDEV('The List'!AG2:AG730)</f>
        <v>-0.587240660743893</v>
      </c>
      <c r="U122" s="46">
        <f>(VLOOKUP($A122,'The List'!$B1:$AH730,33,FALSE)-AVERAGE('The List'!AH2:AH730))/STDEV('The List'!AH2:AH730)</f>
        <v>0.301217597501125</v>
      </c>
      <c r="V122" s="46"/>
      <c r="W122" s="50"/>
      <c r="X122" s="48"/>
      <c r="Y122" s="48"/>
      <c r="Z122" s="48"/>
      <c r="AA122" s="48"/>
      <c r="AB122" s="48"/>
      <c r="AC122" s="51"/>
      <c r="AD122" s="52"/>
      <c r="AE122" s="46"/>
    </row>
    <row r="123" ht="21.25" customHeight="1">
      <c r="A123" t="s" s="8">
        <v>311</v>
      </c>
      <c r="B123" t="s" s="42">
        <f>VLOOKUP(A123,'Player Data'!A1:B734,2,FALSE)</f>
        <v>136</v>
      </c>
      <c r="C123" s="44">
        <f>((E123)*'Settings'!$C$12)+(F123*'Settings'!$C$2)+(G123*'Settings'!$C$3)+(H123*'Settings'!$C$4)+(I123*'Settings'!$C$5)+(K123*'Settings'!$C$9)+(N123*'Settings'!$C$6)+(J123*'Settings'!$C$8)+(O123*'Settings'!$C$7)+(P123*'Settings'!$C$14)+(Q123*'Settings'!$C$15)+(R123*'Settings'!$C$16)+(S123*'Settings'!$C$17)+(T123*'Settings'!$C$18)+(U123*'Settings'!$C$19)+(L123*'Settings'!$C$10)+('Settings'!$C$11*M123)</f>
        <v>4.90405162772732</v>
      </c>
      <c r="D123" s="48">
        <f>IF('Settings'!$E$12="YES",VLOOKUP(A123,'Player Data'!A1:E734,5,FALSE),82)</f>
        <v>81.4442857142857</v>
      </c>
      <c r="E123" s="46">
        <f>(VLOOKUP($A123,'The List'!$B1:$AH730,17,FALSE)-AVERAGE('The List'!R2:R730))/STDEV('The List'!R2:R730)</f>
        <v>-0.107119853834336</v>
      </c>
      <c r="F123" s="46">
        <f>(VLOOKUP($A123,'The List'!$B1:$AH730,18,FALSE)-AVERAGE('The List'!S2:S730))/STDEV('The List'!S2:S730)</f>
        <v>0.986922531300468</v>
      </c>
      <c r="G123" s="46">
        <f>(VLOOKUP($A123,'The List'!$B1:$AH730,19,FALSE)-AVERAGE('The List'!T2:T730))/STDEV('The List'!T2:T730)</f>
        <v>0.846578401447064</v>
      </c>
      <c r="H123" s="46">
        <f>(VLOOKUP($A123,'The List'!$B1:$AH730,20,FALSE)-AVERAGE('The List'!U2:U730))/STDEV('The List'!U2:U730)</f>
        <v>0.970974002500902</v>
      </c>
      <c r="I123" s="46">
        <f>(VLOOKUP($A123,'The List'!$B1:$AH730,21,FALSE)-AVERAGE('The List'!V2:V730))/STDEV('The List'!V2:V730)</f>
        <v>0.828092727142249</v>
      </c>
      <c r="J123" s="46">
        <f>(VLOOKUP($A123,'The List'!$B1:$AH730,22,FALSE)-AVERAGE('The List'!W2:W730))/STDEV('The List'!W2:W730)</f>
        <v>1.42719564586164</v>
      </c>
      <c r="K123" s="46">
        <f>(VLOOKUP($A123,'The List'!$B1:$AH730,23,FALSE)-AVERAGE('The List'!X2:X730))/STDEV('The List'!X2:X730)</f>
        <v>1.28043649937925</v>
      </c>
      <c r="L123" s="46">
        <f>(VLOOKUP($A123,'The List'!$B1:$AH730,24,FALSE)-AVERAGE('The List'!Y2:Y730))/STDEV('The List'!Y2:Y730)</f>
        <v>2.38536144821064</v>
      </c>
      <c r="M123" s="46">
        <f>(VLOOKUP($A123,'The List'!$B1:$AH730,25,FALSE)-AVERAGE('The List'!Z2:Z730))/STDEV('The List'!Z2:Z730)</f>
        <v>1.88536536374351</v>
      </c>
      <c r="N123" s="46">
        <f>(VLOOKUP($A123,'The List'!$B1:$AH730,26,FALSE)-AVERAGE('The List'!AA2:AA730))/STDEV('The List'!AA2:AA730)</f>
        <v>-0.375734357040509</v>
      </c>
      <c r="O123" s="46">
        <f>(VLOOKUP($A123,'The List'!$B1:$AH730,27,FALSE)-AVERAGE('The List'!AB2:AB730))/STDEV('The List'!AB2:AB730)</f>
        <v>0.31448913805741</v>
      </c>
      <c r="P123" s="46">
        <f>(VLOOKUP($A123,'The List'!$B1:$AH730,28,FALSE)-AVERAGE('The List'!AC2:AC730))/STDEV('The List'!AC2:AC730)</f>
        <v>1.3377558254988</v>
      </c>
      <c r="Q123" s="46">
        <f>(VLOOKUP($A123,'The List'!$B1:$AH730,29,FALSE)-AVERAGE('The List'!AD2:AD730))/STDEV('The List'!AD2:AD730)</f>
        <v>1.02214515632779</v>
      </c>
      <c r="R123" s="46">
        <f>(VLOOKUP($A123,'The List'!$B1:$AH730,30,FALSE)-AVERAGE('The List'!AE2:AE730))/STDEV('The List'!AE2:AE730)</f>
        <v>1.19178105362266</v>
      </c>
      <c r="S123" s="46">
        <f>(VLOOKUP($A123,'The List'!$B1:$AH730,31,FALSE)-AVERAGE('The List'!AF2:AF730))/STDEV('The List'!AF2:AF730)</f>
        <v>1.85407365895485</v>
      </c>
      <c r="T123" s="46">
        <f>(VLOOKUP($A123,'The List'!$B1:$AH730,32,FALSE)-AVERAGE('The List'!AG2:AG730))/STDEV('The List'!AG2:AG730)</f>
        <v>1.27324372843007</v>
      </c>
      <c r="U123" s="46">
        <f>(VLOOKUP($A123,'The List'!$B1:$AH730,33,FALSE)-AVERAGE('The List'!AH2:AH730))/STDEV('The List'!AH2:AH730)</f>
        <v>1.36068694158494</v>
      </c>
      <c r="V123" s="46"/>
      <c r="W123" s="50"/>
      <c r="X123" s="48"/>
      <c r="Y123" s="48"/>
      <c r="Z123" s="48"/>
      <c r="AA123" s="48"/>
      <c r="AB123" s="48"/>
      <c r="AC123" s="51"/>
      <c r="AD123" s="52"/>
      <c r="AE123" s="46"/>
    </row>
    <row r="124" ht="21.25" customHeight="1">
      <c r="A124" t="s" s="8">
        <v>312</v>
      </c>
      <c r="B124" t="s" s="42">
        <f>VLOOKUP(A124,'Player Data'!A1:B734,2,FALSE)</f>
        <v>127</v>
      </c>
      <c r="C124" s="44">
        <f>((E124)*'Settings'!$C$12)+(F124*'Settings'!$C$2)+(G124*'Settings'!$C$3)+(H124*'Settings'!$C$4)+(I124*'Settings'!$C$5)+(K124*'Settings'!$C$9)+(N124*'Settings'!$C$6)+(J124*'Settings'!$C$8)+(O124*'Settings'!$C$7)+(P124*'Settings'!$C$14)+(Q124*'Settings'!$C$15)+(R124*'Settings'!$C$16)+(S124*'Settings'!$C$17)+(T124*'Settings'!$C$18)+(U124*'Settings'!$C$19)+(L124*'Settings'!$C$10)+('Settings'!$C$11*M124)</f>
        <v>2.92857223973338</v>
      </c>
      <c r="D124" s="48">
        <f>IF('Settings'!$E$12="YES",VLOOKUP(A124,'Player Data'!A1:E734,5,FALSE),82)</f>
        <v>80.3442857142857</v>
      </c>
      <c r="E124" s="46">
        <f>(VLOOKUP($A124,'The List'!$B1:$AH730,17,FALSE)-AVERAGE('The List'!R2:R730))/STDEV('The List'!R2:R730)</f>
        <v>-0.047176812827085</v>
      </c>
      <c r="F124" s="46">
        <f>(VLOOKUP($A124,'The List'!$B1:$AH730,18,FALSE)-AVERAGE('The List'!S2:S730))/STDEV('The List'!S2:S730)</f>
        <v>1.14546462854552</v>
      </c>
      <c r="G124" s="46">
        <f>(VLOOKUP($A124,'The List'!$B1:$AH730,19,FALSE)-AVERAGE('The List'!T2:T730))/STDEV('The List'!T2:T730)</f>
        <v>0.465031727023916</v>
      </c>
      <c r="H124" s="46">
        <f>(VLOOKUP($A124,'The List'!$B1:$AH730,20,FALSE)-AVERAGE('The List'!U2:U730))/STDEV('The List'!U2:U730)</f>
        <v>0.807895326564791</v>
      </c>
      <c r="I124" s="46">
        <f>(VLOOKUP($A124,'The List'!$B1:$AH730,21,FALSE)-AVERAGE('The List'!V2:V730))/STDEV('The List'!V2:V730)</f>
        <v>1.61974482077372</v>
      </c>
      <c r="J124" s="46">
        <f>(VLOOKUP($A124,'The List'!$B1:$AH730,22,FALSE)-AVERAGE('The List'!W2:W730))/STDEV('The List'!W2:W730)</f>
        <v>0.729868374811954</v>
      </c>
      <c r="K124" s="46">
        <f>(VLOOKUP($A124,'The List'!$B1:$AH730,23,FALSE)-AVERAGE('The List'!X2:X730))/STDEV('The List'!X2:X730)</f>
        <v>0.47502491373858</v>
      </c>
      <c r="L124" s="46">
        <f>(VLOOKUP($A124,'The List'!$B1:$AH730,24,FALSE)-AVERAGE('The List'!Y2:Y730))/STDEV('The List'!Y2:Y730)</f>
        <v>0.239739071830165</v>
      </c>
      <c r="M124" s="46">
        <f>(VLOOKUP($A124,'The List'!$B1:$AH730,25,FALSE)-AVERAGE('The List'!Z2:Z730))/STDEV('The List'!Z2:Z730)</f>
        <v>0.120839102776725</v>
      </c>
      <c r="N124" s="46">
        <f>(VLOOKUP($A124,'The List'!$B1:$AH730,26,FALSE)-AVERAGE('The List'!AA2:AA730))/STDEV('The List'!AA2:AA730)</f>
        <v>-0.992907810199456</v>
      </c>
      <c r="O124" s="46">
        <f>(VLOOKUP($A124,'The List'!$B1:$AH730,27,FALSE)-AVERAGE('The List'!AB2:AB730))/STDEV('The List'!AB2:AB730)</f>
        <v>-0.393785623420954</v>
      </c>
      <c r="P124" s="46">
        <f>(VLOOKUP($A124,'The List'!$B1:$AH730,28,FALSE)-AVERAGE('The List'!AC2:AC730))/STDEV('The List'!AC2:AC730)</f>
        <v>0.216213959851096</v>
      </c>
      <c r="Q124" s="46">
        <f>(VLOOKUP($A124,'The List'!$B1:$AH730,29,FALSE)-AVERAGE('The List'!AD2:AD730))/STDEV('The List'!AD2:AD730)</f>
        <v>-0.357763652037026</v>
      </c>
      <c r="R124" s="46">
        <f>(VLOOKUP($A124,'The List'!$B1:$AH730,30,FALSE)-AVERAGE('The List'!AE2:AE730))/STDEV('The List'!AE2:AE730)</f>
        <v>1.15010927102238</v>
      </c>
      <c r="S124" s="46">
        <f>(VLOOKUP($A124,'The List'!$B1:$AH730,31,FALSE)-AVERAGE('The List'!AF2:AF730))/STDEV('The List'!AF2:AF730)</f>
        <v>-0.499637284428871</v>
      </c>
      <c r="T124" s="46">
        <f>(VLOOKUP($A124,'The List'!$B1:$AH730,32,FALSE)-AVERAGE('The List'!AG2:AG730))/STDEV('The List'!AG2:AG730)</f>
        <v>-0.547177337329936</v>
      </c>
      <c r="U124" s="46">
        <f>(VLOOKUP($A124,'The List'!$B1:$AH730,33,FALSE)-AVERAGE('The List'!AH2:AH730))/STDEV('The List'!AH2:AH730)</f>
        <v>1.15179544900862</v>
      </c>
      <c r="V124" s="46"/>
      <c r="W124" s="48"/>
      <c r="X124" s="46"/>
      <c r="Y124" s="46"/>
      <c r="Z124" s="46"/>
      <c r="AA124" s="46"/>
      <c r="AB124" s="46"/>
      <c r="AC124" s="46"/>
      <c r="AD124" s="46"/>
      <c r="AE124" s="46"/>
    </row>
    <row r="125" ht="21.25" customHeight="1">
      <c r="A125" t="s" s="8">
        <v>322</v>
      </c>
      <c r="B125" t="s" s="42">
        <f>VLOOKUP(A125,'Player Data'!A1:B734,2,FALSE)</f>
        <v>151</v>
      </c>
      <c r="C125" s="44">
        <f>((E125)*'Settings'!$C$12)+(F125*'Settings'!$C$2)+(G125*'Settings'!$C$3)+(H125*'Settings'!$C$4)+(I125*'Settings'!$C$5)+(K125*'Settings'!$C$9)+(N125*'Settings'!$C$6)+(J125*'Settings'!$C$8)+(O125*'Settings'!$C$7)+(P125*'Settings'!$C$14)+(Q125*'Settings'!$C$15)+(R125*'Settings'!$C$16)+(S125*'Settings'!$C$17)+(T125*'Settings'!$C$18)+(U125*'Settings'!$C$19)+(L125*'Settings'!$C$10)+('Settings'!$C$11*M125)</f>
        <v>4.21998727867727</v>
      </c>
      <c r="D125" s="48">
        <f>IF('Settings'!$E$12="YES",VLOOKUP(A125,'Player Data'!A1:E734,5,FALSE),82)</f>
        <v>80.5746428571429</v>
      </c>
      <c r="E125" s="46">
        <f>(VLOOKUP($A125,'The List'!$B1:$AH730,17,FALSE)-AVERAGE('The List'!R2:R730))/STDEV('The List'!R2:R730)</f>
        <v>0.487370574411205</v>
      </c>
      <c r="F125" s="46">
        <f>(VLOOKUP($A125,'The List'!$B1:$AH730,18,FALSE)-AVERAGE('The List'!S2:S730))/STDEV('The List'!S2:S730)</f>
        <v>0.770462485561242</v>
      </c>
      <c r="G125" s="46">
        <f>(VLOOKUP($A125,'The List'!$B1:$AH730,19,FALSE)-AVERAGE('The List'!T2:T730))/STDEV('The List'!T2:T730)</f>
        <v>0.95098285397553</v>
      </c>
      <c r="H125" s="46">
        <f>(VLOOKUP($A125,'The List'!$B1:$AH730,20,FALSE)-AVERAGE('The List'!U2:U730))/STDEV('The List'!U2:U730)</f>
        <v>0.936844313157329</v>
      </c>
      <c r="I125" s="46">
        <f>(VLOOKUP($A125,'The List'!$B1:$AH730,21,FALSE)-AVERAGE('The List'!V2:V730))/STDEV('The List'!V2:V730)</f>
        <v>1.13135756856257</v>
      </c>
      <c r="J125" s="46">
        <f>(VLOOKUP($A125,'The List'!$B1:$AH730,22,FALSE)-AVERAGE('The List'!W2:W730))/STDEV('The List'!W2:W730)</f>
        <v>0.803637133918277</v>
      </c>
      <c r="K125" s="46">
        <f>(VLOOKUP($A125,'The List'!$B1:$AH730,23,FALSE)-AVERAGE('The List'!X2:X730))/STDEV('The List'!X2:X730)</f>
        <v>0.512707760954222</v>
      </c>
      <c r="L125" s="46">
        <f>(VLOOKUP($A125,'The List'!$B1:$AH730,24,FALSE)-AVERAGE('The List'!Y2:Y730))/STDEV('The List'!Y2:Y730)</f>
        <v>-0.41556809509078</v>
      </c>
      <c r="M125" s="46">
        <f>(VLOOKUP($A125,'The List'!$B1:$AH730,25,FALSE)-AVERAGE('The List'!Z2:Z730))/STDEV('The List'!Z2:Z730)</f>
        <v>-0.577070840953992</v>
      </c>
      <c r="N125" s="46">
        <f>(VLOOKUP($A125,'The List'!$B1:$AH730,26,FALSE)-AVERAGE('The List'!AA2:AA730))/STDEV('The List'!AA2:AA730)</f>
        <v>-0.411988665779792</v>
      </c>
      <c r="O125" s="46">
        <f>(VLOOKUP($A125,'The List'!$B1:$AH730,27,FALSE)-AVERAGE('The List'!AB2:AB730))/STDEV('The List'!AB2:AB730)</f>
        <v>1.70013175959966</v>
      </c>
      <c r="P125" s="46">
        <f>(VLOOKUP($A125,'The List'!$B1:$AH730,28,FALSE)-AVERAGE('The List'!AC2:AC730))/STDEV('The List'!AC2:AC730)</f>
        <v>1.2664652754035</v>
      </c>
      <c r="Q125" s="46">
        <f>(VLOOKUP($A125,'The List'!$B1:$AH730,29,FALSE)-AVERAGE('The List'!AD2:AD730))/STDEV('The List'!AD2:AD730)</f>
        <v>1.55232279533175</v>
      </c>
      <c r="R125" s="46">
        <f>(VLOOKUP($A125,'The List'!$B1:$AH730,30,FALSE)-AVERAGE('The List'!AE2:AE730))/STDEV('The List'!AE2:AE730)</f>
        <v>1.10631172003195</v>
      </c>
      <c r="S125" s="46">
        <f>(VLOOKUP($A125,'The List'!$B1:$AH730,31,FALSE)-AVERAGE('The List'!AF2:AF730))/STDEV('The List'!AF2:AF730)</f>
        <v>2.7795327638186</v>
      </c>
      <c r="T125" s="46">
        <f>(VLOOKUP($A125,'The List'!$B1:$AH730,32,FALSE)-AVERAGE('The List'!AG2:AG730))/STDEV('The List'!AG2:AG730)</f>
        <v>2.20891695613215</v>
      </c>
      <c r="U125" s="46">
        <f>(VLOOKUP($A125,'The List'!$B1:$AH730,33,FALSE)-AVERAGE('The List'!AH2:AH730))/STDEV('The List'!AH2:AH730)</f>
        <v>1.27179175082228</v>
      </c>
      <c r="V125" s="46"/>
      <c r="W125" s="50"/>
      <c r="X125" s="48"/>
      <c r="Y125" s="48"/>
      <c r="Z125" s="48"/>
      <c r="AA125" s="48"/>
      <c r="AB125" s="48"/>
      <c r="AC125" s="51"/>
      <c r="AD125" s="52"/>
      <c r="AE125" s="46"/>
    </row>
    <row r="126" ht="21.25" customHeight="1">
      <c r="A126" t="s" s="8">
        <v>302</v>
      </c>
      <c r="B126" t="s" s="42">
        <f>VLOOKUP(A126,'Player Data'!A1:B734,2,FALSE)</f>
        <v>184</v>
      </c>
      <c r="C126" s="44">
        <f>((E126)*'Settings'!$C$12)+(F126*'Settings'!$C$2)+(G126*'Settings'!$C$3)+(H126*'Settings'!$C$4)+(I126*'Settings'!$C$5)+(K126*'Settings'!$C$9)+(N126*'Settings'!$C$6)+(J126*'Settings'!$C$8)+(O126*'Settings'!$C$7)+(P126*'Settings'!$C$14)+(Q126*'Settings'!$C$15)+(R126*'Settings'!$C$16)+(S126*'Settings'!$C$17)+(T126*'Settings'!$C$18)+(U126*'Settings'!$C$19)+(L126*'Settings'!$C$10)+('Settings'!$C$11*M126)</f>
        <v>2.86895832586876</v>
      </c>
      <c r="D126" s="48">
        <f>IF('Settings'!$E$12="YES",VLOOKUP(A126,'Player Data'!A1:E734,5,FALSE),82)</f>
        <v>79.9675</v>
      </c>
      <c r="E126" s="46">
        <f>(VLOOKUP($A126,'The List'!$B1:$AH730,17,FALSE)-AVERAGE('The List'!R2:R730))/STDEV('The List'!R2:R730)</f>
        <v>0.039474399405581</v>
      </c>
      <c r="F126" s="46">
        <f>(VLOOKUP($A126,'The List'!$B1:$AH730,18,FALSE)-AVERAGE('The List'!S2:S730))/STDEV('The List'!S2:S730)</f>
        <v>1.00384480311973</v>
      </c>
      <c r="G126" s="46">
        <f>(VLOOKUP($A126,'The List'!$B1:$AH730,19,FALSE)-AVERAGE('The List'!T2:T730))/STDEV('The List'!T2:T730)</f>
        <v>0.729584165031299</v>
      </c>
      <c r="H126" s="46">
        <f>(VLOOKUP($A126,'The List'!$B1:$AH730,20,FALSE)-AVERAGE('The List'!U2:U730))/STDEV('The List'!U2:U730)</f>
        <v>0.906548566550927</v>
      </c>
      <c r="I126" s="46">
        <f>(VLOOKUP($A126,'The List'!$B1:$AH730,21,FALSE)-AVERAGE('The List'!V2:V730))/STDEV('The List'!V2:V730)</f>
        <v>0.979262495568716</v>
      </c>
      <c r="J126" s="46">
        <f>(VLOOKUP($A126,'The List'!$B1:$AH730,22,FALSE)-AVERAGE('The List'!W2:W730))/STDEV('The List'!W2:W730)</f>
        <v>1.33224691409452</v>
      </c>
      <c r="K126" s="46">
        <f>(VLOOKUP($A126,'The List'!$B1:$AH730,23,FALSE)-AVERAGE('The List'!X2:X730))/STDEV('The List'!X2:X730)</f>
        <v>1.58119353894622</v>
      </c>
      <c r="L126" s="46">
        <f>(VLOOKUP($A126,'The List'!$B1:$AH730,24,FALSE)-AVERAGE('The List'!Y2:Y730))/STDEV('The List'!Y2:Y730)</f>
        <v>-0.539629235548595</v>
      </c>
      <c r="M126" s="46">
        <f>(VLOOKUP($A126,'The List'!$B1:$AH730,25,FALSE)-AVERAGE('The List'!Z2:Z730))/STDEV('The List'!Z2:Z730)</f>
        <v>-0.718130741932427</v>
      </c>
      <c r="N126" s="46">
        <f>(VLOOKUP($A126,'The List'!$B1:$AH730,26,FALSE)-AVERAGE('The List'!AA2:AA730))/STDEV('The List'!AA2:AA730)</f>
        <v>-0.933587994026311</v>
      </c>
      <c r="O126" s="46">
        <f>(VLOOKUP($A126,'The List'!$B1:$AH730,27,FALSE)-AVERAGE('The List'!AB2:AB730))/STDEV('The List'!AB2:AB730)</f>
        <v>0.0994306974595075</v>
      </c>
      <c r="P126" s="46">
        <f>(VLOOKUP($A126,'The List'!$B1:$AH730,28,FALSE)-AVERAGE('The List'!AC2:AC730))/STDEV('The List'!AC2:AC730)</f>
        <v>-0.491338682770891</v>
      </c>
      <c r="Q126" s="46">
        <f>(VLOOKUP($A126,'The List'!$B1:$AH730,29,FALSE)-AVERAGE('The List'!AD2:AD730))/STDEV('The List'!AD2:AD730)</f>
        <v>0.76115067280842</v>
      </c>
      <c r="R126" s="46">
        <f>(VLOOKUP($A126,'The List'!$B1:$AH730,30,FALSE)-AVERAGE('The List'!AE2:AE730))/STDEV('The List'!AE2:AE730)</f>
        <v>0.79558188336364</v>
      </c>
      <c r="S126" s="46">
        <f>(VLOOKUP($A126,'The List'!$B1:$AH730,31,FALSE)-AVERAGE('The List'!AF2:AF730))/STDEV('The List'!AF2:AF730)</f>
        <v>-0.5491627779755101</v>
      </c>
      <c r="T126" s="46">
        <f>(VLOOKUP($A126,'The List'!$B1:$AH730,32,FALSE)-AVERAGE('The List'!AG2:AG730))/STDEV('The List'!AG2:AG730)</f>
        <v>-0.559918380030584</v>
      </c>
      <c r="U126" s="46">
        <f>(VLOOKUP($A126,'The List'!$B1:$AH730,33,FALSE)-AVERAGE('The List'!AH2:AH730))/STDEV('The List'!AH2:AH730)</f>
        <v>-0.486906117783194</v>
      </c>
      <c r="V126" s="46"/>
      <c r="W126" s="48"/>
      <c r="X126" s="46"/>
      <c r="Y126" s="46"/>
      <c r="Z126" s="46"/>
      <c r="AA126" s="46"/>
      <c r="AB126" s="46"/>
      <c r="AC126" s="46"/>
      <c r="AD126" s="46"/>
      <c r="AE126" s="46"/>
    </row>
    <row r="127" ht="21.25" customHeight="1">
      <c r="A127" t="s" s="8">
        <v>191</v>
      </c>
      <c r="B127" t="s" s="42">
        <f>VLOOKUP(A127,'Player Data'!A1:B734,2,FALSE)</f>
        <v>164</v>
      </c>
      <c r="C127" s="44">
        <f>((E127)*'Settings'!$C$12)+(F127*'Settings'!$C$2)+(G127*'Settings'!$C$3)+(H127*'Settings'!$C$4)+(I127*'Settings'!$C$5)+(K127*'Settings'!$C$9)+(N127*'Settings'!$C$6)+(J127*'Settings'!$C$8)+(O127*'Settings'!$C$7)+(P127*'Settings'!$C$14)+(Q127*'Settings'!$C$15)+(R127*'Settings'!$C$16)+(S127*'Settings'!$C$17)+(T127*'Settings'!$C$18)+(U127*'Settings'!$C$19)+(L127*'Settings'!$C$10)+('Settings'!$C$11*M127)</f>
        <v>6.30164135783812</v>
      </c>
      <c r="D127" s="48">
        <f>IF('Settings'!$E$12="YES",VLOOKUP(A127,'Player Data'!A1:E734,5,FALSE),82)</f>
        <v>80.52</v>
      </c>
      <c r="E127" s="46">
        <f>(VLOOKUP($A127,'The List'!$B1:$AH730,17,FALSE)-AVERAGE('The List'!R2:R730))/STDEV('The List'!R2:R730)</f>
        <v>2.03178517971852</v>
      </c>
      <c r="F127" s="46">
        <f>(VLOOKUP($A127,'The List'!$B1:$AH730,18,FALSE)-AVERAGE('The List'!S2:S730))/STDEV('The List'!S2:S730)</f>
        <v>0.00734568123340256</v>
      </c>
      <c r="G127" s="46">
        <f>(VLOOKUP($A127,'The List'!$B1:$AH730,19,FALSE)-AVERAGE('The List'!T2:T730))/STDEV('The List'!T2:T730)</f>
        <v>1.69219952688096</v>
      </c>
      <c r="H127" s="46">
        <f>(VLOOKUP($A127,'The List'!$B1:$AH730,20,FALSE)-AVERAGE('The List'!U2:U730))/STDEV('The List'!U2:U730)</f>
        <v>1.0465611988801</v>
      </c>
      <c r="I127" s="46">
        <f>(VLOOKUP($A127,'The List'!$B1:$AH730,21,FALSE)-AVERAGE('The List'!V2:V730))/STDEV('The List'!V2:V730)</f>
        <v>0.841099898890098</v>
      </c>
      <c r="J127" s="46">
        <f>(VLOOKUP($A127,'The List'!$B1:$AH730,22,FALSE)-AVERAGE('The List'!W2:W730))/STDEV('The List'!W2:W730)</f>
        <v>0.321279850292889</v>
      </c>
      <c r="K127" s="46">
        <f>(VLOOKUP($A127,'The List'!$B1:$AH730,23,FALSE)-AVERAGE('The List'!X2:X730))/STDEV('The List'!X2:X730)</f>
        <v>1.74194841606088</v>
      </c>
      <c r="L127" s="46">
        <f>(VLOOKUP($A127,'The List'!$B1:$AH730,24,FALSE)-AVERAGE('The List'!Y2:Y730))/STDEV('The List'!Y2:Y730)</f>
        <v>-0.522885954440285</v>
      </c>
      <c r="M127" s="46">
        <f>(VLOOKUP($A127,'The List'!$B1:$AH730,25,FALSE)-AVERAGE('The List'!Z2:Z730))/STDEV('The List'!Z2:Z730)</f>
        <v>-0.676262463919185</v>
      </c>
      <c r="N127" s="46">
        <f>(VLOOKUP($A127,'The List'!$B1:$AH730,26,FALSE)-AVERAGE('The List'!AA2:AA730))/STDEV('The List'!AA2:AA730)</f>
        <v>1.46846833962981</v>
      </c>
      <c r="O127" s="46">
        <f>(VLOOKUP($A127,'The List'!$B1:$AH730,27,FALSE)-AVERAGE('The List'!AB2:AB730))/STDEV('The List'!AB2:AB730)</f>
        <v>0.372627670139609</v>
      </c>
      <c r="P127" s="46">
        <f>(VLOOKUP($A127,'The List'!$B1:$AH730,28,FALSE)-AVERAGE('The List'!AC2:AC730))/STDEV('The List'!AC2:AC730)</f>
        <v>0.550579495142973</v>
      </c>
      <c r="Q127" s="46">
        <f>(VLOOKUP($A127,'The List'!$B1:$AH730,29,FALSE)-AVERAGE('The List'!AD2:AD730))/STDEV('The List'!AD2:AD730)</f>
        <v>1.19062421020173</v>
      </c>
      <c r="R127" s="46">
        <f>(VLOOKUP($A127,'The List'!$B1:$AH730,30,FALSE)-AVERAGE('The List'!AE2:AE730))/STDEV('The List'!AE2:AE730)</f>
        <v>0.138127002810586</v>
      </c>
      <c r="S127" s="46">
        <f>(VLOOKUP($A127,'The List'!$B1:$AH730,31,FALSE)-AVERAGE('The List'!AF2:AF730))/STDEV('The List'!AF2:AF730)</f>
        <v>-0.5569063253591</v>
      </c>
      <c r="T127" s="46">
        <f>(VLOOKUP($A127,'The List'!$B1:$AH730,32,FALSE)-AVERAGE('The List'!AG2:AG730))/STDEV('The List'!AG2:AG730)</f>
        <v>-0.600856269042678</v>
      </c>
      <c r="U127" s="46">
        <f>(VLOOKUP($A127,'The List'!$B1:$AH730,33,FALSE)-AVERAGE('The List'!AH2:AH730))/STDEV('The List'!AH2:AH730)</f>
        <v>-1.2363238714826</v>
      </c>
      <c r="V127" s="46"/>
      <c r="W127" s="50"/>
      <c r="X127" s="48"/>
      <c r="Y127" s="48"/>
      <c r="Z127" s="48"/>
      <c r="AA127" s="48"/>
      <c r="AB127" s="48"/>
      <c r="AC127" s="51"/>
      <c r="AD127" s="52"/>
      <c r="AE127" s="46"/>
    </row>
    <row r="128" ht="21.25" customHeight="1">
      <c r="A128" t="s" s="8">
        <v>362</v>
      </c>
      <c r="B128" t="s" s="42">
        <f>VLOOKUP(A128,'Player Data'!A1:B734,2,FALSE)</f>
        <v>225</v>
      </c>
      <c r="C128" s="44">
        <f>((E128)*'Settings'!$C$12)+(F128*'Settings'!$C$2)+(G128*'Settings'!$C$3)+(H128*'Settings'!$C$4)+(I128*'Settings'!$C$5)+(K128*'Settings'!$C$9)+(N128*'Settings'!$C$6)+(J128*'Settings'!$C$8)+(O128*'Settings'!$C$7)+(P128*'Settings'!$C$14)+(Q128*'Settings'!$C$15)+(R128*'Settings'!$C$16)+(S128*'Settings'!$C$17)+(T128*'Settings'!$C$18)+(U128*'Settings'!$C$19)+(L128*'Settings'!$C$10)+('Settings'!$C$11*M128)</f>
        <v>0.315024793407894</v>
      </c>
      <c r="D128" s="48">
        <f>IF('Settings'!$E$12="YES",VLOOKUP(A128,'Player Data'!A1:E734,5,FALSE),82)</f>
        <v>73.375</v>
      </c>
      <c r="E128" s="46">
        <f>(VLOOKUP($A128,'The List'!$B1:$AH730,17,FALSE)-AVERAGE('The List'!R2:R730))/STDEV('The List'!R2:R730)</f>
        <v>0.193308535778326</v>
      </c>
      <c r="F128" s="46">
        <f>(VLOOKUP($A128,'The List'!$B1:$AH730,18,FALSE)-AVERAGE('The List'!S2:S730))/STDEV('The List'!S2:S730)</f>
        <v>0.827736224074766</v>
      </c>
      <c r="G128" s="46">
        <f>(VLOOKUP($A128,'The List'!$B1:$AH730,19,FALSE)-AVERAGE('The List'!T2:T730))/STDEV('The List'!T2:T730)</f>
        <v>0.50910971122614</v>
      </c>
      <c r="H128" s="46">
        <f>(VLOOKUP($A128,'The List'!$B1:$AH730,20,FALSE)-AVERAGE('The List'!U2:U730))/STDEV('The List'!U2:U730)</f>
        <v>0.690496028179217</v>
      </c>
      <c r="I128" s="46">
        <f>(VLOOKUP($A128,'The List'!$B1:$AH730,21,FALSE)-AVERAGE('The List'!V2:V730))/STDEV('The List'!V2:V730)</f>
        <v>0.340332747462825</v>
      </c>
      <c r="J128" s="46">
        <f>(VLOOKUP($A128,'The List'!$B1:$AH730,22,FALSE)-AVERAGE('The List'!W2:W730))/STDEV('The List'!W2:W730)</f>
        <v>0.261533272168458</v>
      </c>
      <c r="K128" s="46">
        <f>(VLOOKUP($A128,'The List'!$B1:$AH730,23,FALSE)-AVERAGE('The List'!X2:X730))/STDEV('The List'!X2:X730)</f>
        <v>0.686909533927427</v>
      </c>
      <c r="L128" s="46">
        <f>(VLOOKUP($A128,'The List'!$B1:$AH730,24,FALSE)-AVERAGE('The List'!Y2:Y730))/STDEV('The List'!Y2:Y730)</f>
        <v>-0.540408285265865</v>
      </c>
      <c r="M128" s="46">
        <f>(VLOOKUP($A128,'The List'!$B1:$AH730,25,FALSE)-AVERAGE('The List'!Z2:Z730))/STDEV('The List'!Z2:Z730)</f>
        <v>-0.71906604538938</v>
      </c>
      <c r="N128" s="46">
        <f>(VLOOKUP($A128,'The List'!$B1:$AH730,26,FALSE)-AVERAGE('The List'!AA2:AA730))/STDEV('The List'!AA2:AA730)</f>
        <v>-0.458701894348384</v>
      </c>
      <c r="O128" s="46">
        <f>(VLOOKUP($A128,'The List'!$B1:$AH730,27,FALSE)-AVERAGE('The List'!AB2:AB730))/STDEV('The List'!AB2:AB730)</f>
        <v>-1.11039221097441</v>
      </c>
      <c r="P128" s="46">
        <f>(VLOOKUP($A128,'The List'!$B1:$AH730,28,FALSE)-AVERAGE('The List'!AC2:AC730))/STDEV('The List'!AC2:AC730)</f>
        <v>-1.59036152893488</v>
      </c>
      <c r="Q128" s="46">
        <f>(VLOOKUP($A128,'The List'!$B1:$AH730,29,FALSE)-AVERAGE('The List'!AD2:AD730))/STDEV('The List'!AD2:AD730)</f>
        <v>-0.479419751168729</v>
      </c>
      <c r="R128" s="46">
        <f>(VLOOKUP($A128,'The List'!$B1:$AH730,30,FALSE)-AVERAGE('The List'!AE2:AE730))/STDEV('The List'!AE2:AE730)</f>
        <v>0.434551281924224</v>
      </c>
      <c r="S128" s="46">
        <f>(VLOOKUP($A128,'The List'!$B1:$AH730,31,FALSE)-AVERAGE('The List'!AF2:AF730))/STDEV('The List'!AF2:AF730)</f>
        <v>-0.427543550040335</v>
      </c>
      <c r="T128" s="46">
        <f>(VLOOKUP($A128,'The List'!$B1:$AH730,32,FALSE)-AVERAGE('The List'!AG2:AG730))/STDEV('The List'!AG2:AG730)</f>
        <v>-0.374765462431553</v>
      </c>
      <c r="U128" s="46">
        <f>(VLOOKUP($A128,'The List'!$B1:$AH730,33,FALSE)-AVERAGE('The List'!AH2:AH730))/STDEV('The List'!AH2:AH730)</f>
        <v>0.460468943949634</v>
      </c>
      <c r="V128" s="46"/>
      <c r="W128" s="50"/>
      <c r="X128" s="48"/>
      <c r="Y128" s="48"/>
      <c r="Z128" s="48"/>
      <c r="AA128" s="48"/>
      <c r="AB128" s="48"/>
      <c r="AC128" s="51"/>
      <c r="AD128" s="52"/>
      <c r="AE128" s="46"/>
    </row>
    <row r="129" ht="21.25" customHeight="1">
      <c r="A129" t="s" s="8">
        <v>315</v>
      </c>
      <c r="B129" t="s" s="42">
        <f>VLOOKUP(A129,'Player Data'!A1:B734,2,FALSE)</f>
        <v>234</v>
      </c>
      <c r="C129" s="44">
        <f>((E129)*'Settings'!$C$12)+(F129*'Settings'!$C$2)+(G129*'Settings'!$C$3)+(H129*'Settings'!$C$4)+(I129*'Settings'!$C$5)+(K129*'Settings'!$C$9)+(N129*'Settings'!$C$6)+(J129*'Settings'!$C$8)+(O129*'Settings'!$C$7)+(P129*'Settings'!$C$14)+(Q129*'Settings'!$C$15)+(R129*'Settings'!$C$16)+(S129*'Settings'!$C$17)+(T129*'Settings'!$C$18)+(U129*'Settings'!$C$19)+(L129*'Settings'!$C$10)+('Settings'!$C$11*M129)</f>
        <v>1.02723151378167</v>
      </c>
      <c r="D129" s="48">
        <f>IF('Settings'!$E$12="YES",VLOOKUP(A129,'Player Data'!A1:E734,5,FALSE),82)</f>
        <v>81.2</v>
      </c>
      <c r="E129" s="46">
        <f>(VLOOKUP($A129,'The List'!$B1:$AH730,17,FALSE)-AVERAGE('The List'!R2:R730))/STDEV('The List'!R2:R730)</f>
        <v>0.276897217825808</v>
      </c>
      <c r="F129" s="46">
        <f>(VLOOKUP($A129,'The List'!$B1:$AH730,18,FALSE)-AVERAGE('The List'!S2:S730))/STDEV('The List'!S2:S730)</f>
        <v>1.00504260835031</v>
      </c>
      <c r="G129" s="46">
        <f>(VLOOKUP($A129,'The List'!$B1:$AH730,19,FALSE)-AVERAGE('The List'!T2:T730))/STDEV('The List'!T2:T730)</f>
        <v>0.771735823314085</v>
      </c>
      <c r="H129" s="46">
        <f>(VLOOKUP($A129,'The List'!$B1:$AH730,20,FALSE)-AVERAGE('The List'!U2:U730))/STDEV('The List'!U2:U730)</f>
        <v>0.93307953525717</v>
      </c>
      <c r="I129" s="46">
        <f>(VLOOKUP($A129,'The List'!$B1:$AH730,21,FALSE)-AVERAGE('The List'!V2:V730))/STDEV('The List'!V2:V730)</f>
        <v>0.876862629732112</v>
      </c>
      <c r="J129" s="46">
        <f>(VLOOKUP($A129,'The List'!$B1:$AH730,22,FALSE)-AVERAGE('The List'!W2:W730))/STDEV('The List'!W2:W730)</f>
        <v>1.73493900948723</v>
      </c>
      <c r="K129" s="46">
        <f>(VLOOKUP($A129,'The List'!$B1:$AH730,23,FALSE)-AVERAGE('The List'!X2:X730))/STDEV('The List'!X2:X730)</f>
        <v>1.24505268236346</v>
      </c>
      <c r="L129" s="46">
        <f>(VLOOKUP($A129,'The List'!$B1:$AH730,24,FALSE)-AVERAGE('The List'!Y2:Y730))/STDEV('The List'!Y2:Y730)</f>
        <v>-0.501421742292407</v>
      </c>
      <c r="M129" s="46">
        <f>(VLOOKUP($A129,'The List'!$B1:$AH730,25,FALSE)-AVERAGE('The List'!Z2:Z730))/STDEV('The List'!Z2:Z730)</f>
        <v>-0.675695239971122</v>
      </c>
      <c r="N129" s="46">
        <f>(VLOOKUP($A129,'The List'!$B1:$AH730,26,FALSE)-AVERAGE('The List'!AA2:AA730))/STDEV('The List'!AA2:AA730)</f>
        <v>-0.45478609996141</v>
      </c>
      <c r="O129" s="46">
        <f>(VLOOKUP($A129,'The List'!$B1:$AH730,27,FALSE)-AVERAGE('The List'!AB2:AB730))/STDEV('The List'!AB2:AB730)</f>
        <v>-0.55787737471373</v>
      </c>
      <c r="P129" s="46">
        <f>(VLOOKUP($A129,'The List'!$B1:$AH730,28,FALSE)-AVERAGE('The List'!AC2:AC730))/STDEV('The List'!AC2:AC730)</f>
        <v>-2.41667613001689</v>
      </c>
      <c r="Q129" s="46">
        <f>(VLOOKUP($A129,'The List'!$B1:$AH730,29,FALSE)-AVERAGE('The List'!AD2:AD730))/STDEV('The List'!AD2:AD730)</f>
        <v>0.995942222652331</v>
      </c>
      <c r="R129" s="46">
        <f>(VLOOKUP($A129,'The List'!$B1:$AH730,30,FALSE)-AVERAGE('The List'!AE2:AE730))/STDEV('The List'!AE2:AE730)</f>
        <v>0.250606667031385</v>
      </c>
      <c r="S129" s="46">
        <f>(VLOOKUP($A129,'The List'!$B1:$AH730,31,FALSE)-AVERAGE('The List'!AF2:AF730))/STDEV('The List'!AF2:AF730)</f>
        <v>1.03757439490209</v>
      </c>
      <c r="T129" s="46">
        <f>(VLOOKUP($A129,'The List'!$B1:$AH730,32,FALSE)-AVERAGE('The List'!AG2:AG730))/STDEV('The List'!AG2:AG730)</f>
        <v>1.99747962180202</v>
      </c>
      <c r="U129" s="46">
        <f>(VLOOKUP($A129,'The List'!$B1:$AH730,33,FALSE)-AVERAGE('The List'!AH2:AH730))/STDEV('The List'!AH2:AH730)</f>
        <v>0.535232925026501</v>
      </c>
      <c r="V129" s="46"/>
      <c r="W129" s="50"/>
      <c r="X129" s="48"/>
      <c r="Y129" s="48"/>
      <c r="Z129" s="48"/>
      <c r="AA129" s="48"/>
      <c r="AB129" s="48"/>
      <c r="AC129" s="51"/>
      <c r="AD129" s="52"/>
      <c r="AE129" s="46"/>
    </row>
    <row r="130" ht="21.25" customHeight="1">
      <c r="A130" t="s" s="8">
        <v>227</v>
      </c>
      <c r="B130" t="s" s="42">
        <f>VLOOKUP(A130,'Player Data'!A1:B734,2,FALSE)</f>
        <v>218</v>
      </c>
      <c r="C130" s="44">
        <f>((E130)*'Settings'!$C$12)+(F130*'Settings'!$C$2)+(G130*'Settings'!$C$3)+(H130*'Settings'!$C$4)+(I130*'Settings'!$C$5)+(K130*'Settings'!$C$9)+(N130*'Settings'!$C$6)+(J130*'Settings'!$C$8)+(O130*'Settings'!$C$7)+(P130*'Settings'!$C$14)+(Q130*'Settings'!$C$15)+(R130*'Settings'!$C$16)+(S130*'Settings'!$C$17)+(T130*'Settings'!$C$18)+(U130*'Settings'!$C$19)+(L130*'Settings'!$C$10)+('Settings'!$C$11*M130)</f>
        <v>5.79446174840462</v>
      </c>
      <c r="D130" s="48">
        <f>IF('Settings'!$E$12="YES",VLOOKUP(A130,'Player Data'!A1:E734,5,FALSE),82)</f>
        <v>76.2482142857143</v>
      </c>
      <c r="E130" s="46">
        <f>(VLOOKUP($A130,'The List'!$B1:$AH730,17,FALSE)-AVERAGE('The List'!R2:R730))/STDEV('The List'!R2:R730)</f>
        <v>1.43768062241263</v>
      </c>
      <c r="F130" s="46">
        <f>(VLOOKUP($A130,'The List'!$B1:$AH730,18,FALSE)-AVERAGE('The List'!S2:S730))/STDEV('The List'!S2:S730)</f>
        <v>-0.149697639057058</v>
      </c>
      <c r="G130" s="46">
        <f>(VLOOKUP($A130,'The List'!$B1:$AH730,19,FALSE)-AVERAGE('The List'!T2:T730))/STDEV('The List'!T2:T730)</f>
        <v>1.36843971443914</v>
      </c>
      <c r="H130" s="46">
        <f>(VLOOKUP($A130,'The List'!$B1:$AH730,20,FALSE)-AVERAGE('The List'!U2:U730))/STDEV('The List'!U2:U730)</f>
        <v>0.775509669558799</v>
      </c>
      <c r="I130" s="46">
        <f>(VLOOKUP($A130,'The List'!$B1:$AH730,21,FALSE)-AVERAGE('The List'!V2:V730))/STDEV('The List'!V2:V730)</f>
        <v>0.99635623216012</v>
      </c>
      <c r="J130" s="46">
        <f>(VLOOKUP($A130,'The List'!$B1:$AH730,22,FALSE)-AVERAGE('The List'!W2:W730))/STDEV('The List'!W2:W730)</f>
        <v>-0.250732000767902</v>
      </c>
      <c r="K130" s="46">
        <f>(VLOOKUP($A130,'The List'!$B1:$AH730,23,FALSE)-AVERAGE('The List'!X2:X730))/STDEV('The List'!X2:X730)</f>
        <v>0.786707360210419</v>
      </c>
      <c r="L130" s="46">
        <f>(VLOOKUP($A130,'The List'!$B1:$AH730,24,FALSE)-AVERAGE('The List'!Y2:Y730))/STDEV('The List'!Y2:Y730)</f>
        <v>-0.537957650370118</v>
      </c>
      <c r="M130" s="46">
        <f>(VLOOKUP($A130,'The List'!$B1:$AH730,25,FALSE)-AVERAGE('The List'!Z2:Z730))/STDEV('The List'!Z2:Z730)</f>
        <v>-0.7106357757532979</v>
      </c>
      <c r="N130" s="46">
        <f>(VLOOKUP($A130,'The List'!$B1:$AH730,26,FALSE)-AVERAGE('The List'!AA2:AA730))/STDEV('The List'!AA2:AA730)</f>
        <v>1.1656040817723</v>
      </c>
      <c r="O130" s="46">
        <f>(VLOOKUP($A130,'The List'!$B1:$AH730,27,FALSE)-AVERAGE('The List'!AB2:AB730))/STDEV('The List'!AB2:AB730)</f>
        <v>-1.12080596811902</v>
      </c>
      <c r="P130" s="46">
        <f>(VLOOKUP($A130,'The List'!$B1:$AH730,28,FALSE)-AVERAGE('The List'!AC2:AC730))/STDEV('The List'!AC2:AC730)</f>
        <v>1.6270519988797</v>
      </c>
      <c r="Q130" s="46">
        <f>(VLOOKUP($A130,'The List'!$B1:$AH730,29,FALSE)-AVERAGE('The List'!AD2:AD730))/STDEV('The List'!AD2:AD730)</f>
        <v>-0.327481127218777</v>
      </c>
      <c r="R130" s="46">
        <f>(VLOOKUP($A130,'The List'!$B1:$AH730,30,FALSE)-AVERAGE('The List'!AE2:AE730))/STDEV('The List'!AE2:AE730)</f>
        <v>0.0340616677786732</v>
      </c>
      <c r="S130" s="46">
        <f>(VLOOKUP($A130,'The List'!$B1:$AH730,31,FALSE)-AVERAGE('The List'!AF2:AF730))/STDEV('The List'!AF2:AF730)</f>
        <v>-0.5569063253591</v>
      </c>
      <c r="T130" s="46">
        <f>(VLOOKUP($A130,'The List'!$B1:$AH730,32,FALSE)-AVERAGE('The List'!AG2:AG730))/STDEV('The List'!AG2:AG730)</f>
        <v>-0.600856269042678</v>
      </c>
      <c r="U130" s="46">
        <f>(VLOOKUP($A130,'The List'!$B1:$AH730,33,FALSE)-AVERAGE('The List'!AH2:AH730))/STDEV('The List'!AH2:AH730)</f>
        <v>-1.2363238714826</v>
      </c>
      <c r="V130" s="46"/>
      <c r="W130" s="48"/>
      <c r="X130" s="46"/>
      <c r="Y130" s="46"/>
      <c r="Z130" s="46"/>
      <c r="AA130" s="46"/>
      <c r="AB130" s="46"/>
      <c r="AC130" s="46"/>
      <c r="AD130" s="46"/>
      <c r="AE130" s="46"/>
    </row>
    <row r="131" ht="21.25" customHeight="1">
      <c r="A131" t="s" s="8">
        <v>356</v>
      </c>
      <c r="B131" t="s" s="42">
        <f>VLOOKUP(A131,'Player Data'!A1:B734,2,FALSE)</f>
        <v>139</v>
      </c>
      <c r="C131" s="44">
        <f>((E131)*'Settings'!$C$12)+(F131*'Settings'!$C$2)+(G131*'Settings'!$C$3)+(H131*'Settings'!$C$4)+(I131*'Settings'!$C$5)+(K131*'Settings'!$C$9)+(N131*'Settings'!$C$6)+(J131*'Settings'!$C$8)+(O131*'Settings'!$C$7)+(P131*'Settings'!$C$14)+(Q131*'Settings'!$C$15)+(R131*'Settings'!$C$16)+(S131*'Settings'!$C$17)+(T131*'Settings'!$C$18)+(U131*'Settings'!$C$19)+(L131*'Settings'!$C$10)+('Settings'!$C$11*M131)</f>
        <v>0.906432495038527</v>
      </c>
      <c r="D131" s="48">
        <f>IF('Settings'!$E$12="YES",VLOOKUP(A131,'Player Data'!A1:E734,5,FALSE),82)</f>
        <v>78.40000000000001</v>
      </c>
      <c r="E131" s="46">
        <f>(VLOOKUP($A131,'The List'!$B1:$AH730,17,FALSE)-AVERAGE('The List'!R2:R730))/STDEV('The List'!R2:R730)</f>
        <v>0.0120377218150938</v>
      </c>
      <c r="F131" s="46">
        <f>(VLOOKUP($A131,'The List'!$B1:$AH730,18,FALSE)-AVERAGE('The List'!S2:S730))/STDEV('The List'!S2:S730)</f>
        <v>0.387117189873499</v>
      </c>
      <c r="G131" s="46">
        <f>(VLOOKUP($A131,'The List'!$B1:$AH730,19,FALSE)-AVERAGE('The List'!T2:T730))/STDEV('The List'!T2:T730)</f>
        <v>1.23591756221661</v>
      </c>
      <c r="H131" s="46">
        <f>(VLOOKUP($A131,'The List'!$B1:$AH730,20,FALSE)-AVERAGE('The List'!U2:U730))/STDEV('The List'!U2:U730)</f>
        <v>0.938073017902101</v>
      </c>
      <c r="I131" s="46">
        <f>(VLOOKUP($A131,'The List'!$B1:$AH730,21,FALSE)-AVERAGE('The List'!V2:V730))/STDEV('The List'!V2:V730)</f>
        <v>0.179518462816492</v>
      </c>
      <c r="J131" s="46">
        <f>(VLOOKUP($A131,'The List'!$B1:$AH730,22,FALSE)-AVERAGE('The List'!W2:W730))/STDEV('The List'!W2:W730)</f>
        <v>0.491524817050968</v>
      </c>
      <c r="K131" s="46">
        <f>(VLOOKUP($A131,'The List'!$B1:$AH730,23,FALSE)-AVERAGE('The List'!X2:X730))/STDEV('The List'!X2:X730)</f>
        <v>0.799333424278049</v>
      </c>
      <c r="L131" s="46">
        <f>(VLOOKUP($A131,'The List'!$B1:$AH730,24,FALSE)-AVERAGE('The List'!Y2:Y730))/STDEV('The List'!Y2:Y730)</f>
        <v>-0.0990956509086629</v>
      </c>
      <c r="M131" s="46">
        <f>(VLOOKUP($A131,'The List'!$B1:$AH730,25,FALSE)-AVERAGE('The List'!Z2:Z730))/STDEV('The List'!Z2:Z730)</f>
        <v>-0.361896543604638</v>
      </c>
      <c r="N131" s="46">
        <f>(VLOOKUP($A131,'The List'!$B1:$AH730,26,FALSE)-AVERAGE('The List'!AA2:AA730))/STDEV('The List'!AA2:AA730)</f>
        <v>-1.01429084436755</v>
      </c>
      <c r="O131" s="46">
        <f>(VLOOKUP($A131,'The List'!$B1:$AH730,27,FALSE)-AVERAGE('The List'!AB2:AB730))/STDEV('The List'!AB2:AB730)</f>
        <v>-1.14473418166758</v>
      </c>
      <c r="P131" s="46">
        <f>(VLOOKUP($A131,'The List'!$B1:$AH730,28,FALSE)-AVERAGE('The List'!AC2:AC730))/STDEV('The List'!AC2:AC730)</f>
        <v>-0.681163299778573</v>
      </c>
      <c r="Q131" s="46">
        <f>(VLOOKUP($A131,'The List'!$B1:$AH730,29,FALSE)-AVERAGE('The List'!AD2:AD730))/STDEV('The List'!AD2:AD730)</f>
        <v>-1.02008208394148</v>
      </c>
      <c r="R131" s="46">
        <f>(VLOOKUP($A131,'The List'!$B1:$AH730,30,FALSE)-AVERAGE('The List'!AE2:AE730))/STDEV('The List'!AE2:AE730)</f>
        <v>0.217236354855768</v>
      </c>
      <c r="S131" s="46">
        <f>(VLOOKUP($A131,'The List'!$B1:$AH730,31,FALSE)-AVERAGE('The List'!AF2:AF730))/STDEV('The List'!AF2:AF730)</f>
        <v>1.18637248698153</v>
      </c>
      <c r="T131" s="46">
        <f>(VLOOKUP($A131,'The List'!$B1:$AH730,32,FALSE)-AVERAGE('The List'!AG2:AG730))/STDEV('The List'!AG2:AG730)</f>
        <v>1.5381480561453</v>
      </c>
      <c r="U131" s="46">
        <f>(VLOOKUP($A131,'The List'!$B1:$AH730,33,FALSE)-AVERAGE('The List'!AH2:AH730))/STDEV('The List'!AH2:AH730)</f>
        <v>0.848205740272476</v>
      </c>
      <c r="V131" s="46"/>
      <c r="W131" s="50"/>
      <c r="X131" s="48"/>
      <c r="Y131" s="48"/>
      <c r="Z131" s="48"/>
      <c r="AA131" s="48"/>
      <c r="AB131" s="48"/>
      <c r="AC131" s="51"/>
      <c r="AD131" s="52"/>
      <c r="AE131" s="46"/>
    </row>
    <row r="132" ht="21.25" customHeight="1">
      <c r="A132" t="s" s="8">
        <v>354</v>
      </c>
      <c r="B132" t="s" s="42">
        <f>VLOOKUP(A132,'Player Data'!A1:B734,2,FALSE)</f>
        <v>136</v>
      </c>
      <c r="C132" s="44">
        <f>((E132)*'Settings'!$C$12)+(F132*'Settings'!$C$2)+(G132*'Settings'!$C$3)+(H132*'Settings'!$C$4)+(I132*'Settings'!$C$5)+(K132*'Settings'!$C$9)+(N132*'Settings'!$C$6)+(J132*'Settings'!$C$8)+(O132*'Settings'!$C$7)+(P132*'Settings'!$C$14)+(Q132*'Settings'!$C$15)+(R132*'Settings'!$C$16)+(S132*'Settings'!$C$17)+(T132*'Settings'!$C$18)+(U132*'Settings'!$C$19)+(L132*'Settings'!$C$10)+('Settings'!$C$11*M132)</f>
        <v>2.7500624606879</v>
      </c>
      <c r="D132" s="48">
        <f>IF('Settings'!$E$12="YES",VLOOKUP(A132,'Player Data'!A1:E734,5,FALSE),82)</f>
        <v>76.3060714285714</v>
      </c>
      <c r="E132" s="46">
        <f>(VLOOKUP($A132,'The List'!$B1:$AH730,17,FALSE)-AVERAGE('The List'!R2:R730))/STDEV('The List'!R2:R730)</f>
        <v>-0.181327098533084</v>
      </c>
      <c r="F132" s="46">
        <f>(VLOOKUP($A132,'The List'!$B1:$AH730,18,FALSE)-AVERAGE('The List'!S2:S730))/STDEV('The List'!S2:S730)</f>
        <v>0.949212386606755</v>
      </c>
      <c r="G132" s="46">
        <f>(VLOOKUP($A132,'The List'!$B1:$AH730,19,FALSE)-AVERAGE('The List'!T2:T730))/STDEV('The List'!T2:T730)</f>
        <v>0.519594440553416</v>
      </c>
      <c r="H132" s="46">
        <f>(VLOOKUP($A132,'The List'!$B1:$AH730,20,FALSE)-AVERAGE('The List'!U2:U730))/STDEV('The List'!U2:U730)</f>
        <v>0.752233816242969</v>
      </c>
      <c r="I132" s="46">
        <f>(VLOOKUP($A132,'The List'!$B1:$AH730,21,FALSE)-AVERAGE('The List'!V2:V730))/STDEV('The List'!V2:V730)</f>
        <v>0.468312472881006</v>
      </c>
      <c r="J132" s="46">
        <f>(VLOOKUP($A132,'The List'!$B1:$AH730,22,FALSE)-AVERAGE('The List'!W2:W730))/STDEV('The List'!W2:W730)</f>
        <v>0.701868125385387</v>
      </c>
      <c r="K132" s="46">
        <f>(VLOOKUP($A132,'The List'!$B1:$AH730,23,FALSE)-AVERAGE('The List'!X2:X730))/STDEV('The List'!X2:X730)</f>
        <v>0.397235119912922</v>
      </c>
      <c r="L132" s="46">
        <f>(VLOOKUP($A132,'The List'!$B1:$AH730,24,FALSE)-AVERAGE('The List'!Y2:Y730))/STDEV('The List'!Y2:Y730)</f>
        <v>-0.527514691010723</v>
      </c>
      <c r="M132" s="46">
        <f>(VLOOKUP($A132,'The List'!$B1:$AH730,25,FALSE)-AVERAGE('The List'!Z2:Z730))/STDEV('The List'!Z2:Z730)</f>
        <v>-0.7044816600442551</v>
      </c>
      <c r="N132" s="46">
        <f>(VLOOKUP($A132,'The List'!$B1:$AH730,26,FALSE)-AVERAGE('The List'!AA2:AA730))/STDEV('The List'!AA2:AA730)</f>
        <v>-0.779740102071619</v>
      </c>
      <c r="O132" s="46">
        <f>(VLOOKUP($A132,'The List'!$B1:$AH730,27,FALSE)-AVERAGE('The List'!AB2:AB730))/STDEV('The List'!AB2:AB730)</f>
        <v>-1.26218477473025</v>
      </c>
      <c r="P132" s="46">
        <f>(VLOOKUP($A132,'The List'!$B1:$AH730,28,FALSE)-AVERAGE('The List'!AC2:AC730))/STDEV('The List'!AC2:AC730)</f>
        <v>1.19544814280542</v>
      </c>
      <c r="Q132" s="46">
        <f>(VLOOKUP($A132,'The List'!$B1:$AH730,29,FALSE)-AVERAGE('The List'!AD2:AD730))/STDEV('The List'!AD2:AD730)</f>
        <v>-0.440324757185302</v>
      </c>
      <c r="R132" s="46">
        <f>(VLOOKUP($A132,'The List'!$B1:$AH730,30,FALSE)-AVERAGE('The List'!AE2:AE730))/STDEV('The List'!AE2:AE730)</f>
        <v>1.1525213038969</v>
      </c>
      <c r="S132" s="46">
        <f>(VLOOKUP($A132,'The List'!$B1:$AH730,31,FALSE)-AVERAGE('The List'!AF2:AF730))/STDEV('The List'!AF2:AF730)</f>
        <v>0.123166168063665</v>
      </c>
      <c r="T132" s="46">
        <f>(VLOOKUP($A132,'The List'!$B1:$AH730,32,FALSE)-AVERAGE('The List'!AG2:AG730))/STDEV('The List'!AG2:AG730)</f>
        <v>0.0204539396943324</v>
      </c>
      <c r="U132" s="46">
        <f>(VLOOKUP($A132,'The List'!$B1:$AH730,33,FALSE)-AVERAGE('The List'!AH2:AH730))/STDEV('The List'!AH2:AH730)</f>
        <v>1.18061451694111</v>
      </c>
      <c r="V132" s="46"/>
      <c r="W132" s="48"/>
      <c r="X132" s="46"/>
      <c r="Y132" s="46"/>
      <c r="Z132" s="46"/>
      <c r="AA132" s="46"/>
      <c r="AB132" s="46"/>
      <c r="AC132" s="46"/>
      <c r="AD132" s="46"/>
      <c r="AE132" s="46"/>
    </row>
    <row r="133" ht="21.25" customHeight="1">
      <c r="A133" t="s" s="8">
        <v>313</v>
      </c>
      <c r="B133" t="s" s="42">
        <f>VLOOKUP(A133,'Player Data'!A1:B734,2,FALSE)</f>
        <v>127</v>
      </c>
      <c r="C133" s="44">
        <f>((E133)*'Settings'!$C$12)+(F133*'Settings'!$C$2)+(G133*'Settings'!$C$3)+(H133*'Settings'!$C$4)+(I133*'Settings'!$C$5)+(K133*'Settings'!$C$9)+(N133*'Settings'!$C$6)+(J133*'Settings'!$C$8)+(O133*'Settings'!$C$7)+(P133*'Settings'!$C$14)+(Q133*'Settings'!$C$15)+(R133*'Settings'!$C$16)+(S133*'Settings'!$C$17)+(T133*'Settings'!$C$18)+(U133*'Settings'!$C$19)+(L133*'Settings'!$C$10)+('Settings'!$C$11*M133)</f>
        <v>3.09260618844406</v>
      </c>
      <c r="D133" s="48">
        <f>IF('Settings'!$E$12="YES",VLOOKUP(A133,'Player Data'!A1:E734,5,FALSE),82)</f>
        <v>81.51000000000001</v>
      </c>
      <c r="E133" s="46">
        <f>(VLOOKUP($A133,'The List'!$B1:$AH730,17,FALSE)-AVERAGE('The List'!R2:R730))/STDEV('The List'!R2:R730)</f>
        <v>0.24371960422832</v>
      </c>
      <c r="F133" s="46">
        <f>(VLOOKUP($A133,'The List'!$B1:$AH730,18,FALSE)-AVERAGE('The List'!S2:S730))/STDEV('The List'!S2:S730)</f>
        <v>1.38700427515976</v>
      </c>
      <c r="G133" s="46">
        <f>(VLOOKUP($A133,'The List'!$B1:$AH730,19,FALSE)-AVERAGE('The List'!T2:T730))/STDEV('The List'!T2:T730)</f>
        <v>0.826024869271428</v>
      </c>
      <c r="H133" s="46">
        <f>(VLOOKUP($A133,'The List'!$B1:$AH730,20,FALSE)-AVERAGE('The List'!U2:U730))/STDEV('The List'!U2:U730)</f>
        <v>1.1403482374386</v>
      </c>
      <c r="I133" s="46">
        <f>(VLOOKUP($A133,'The List'!$B1:$AH730,21,FALSE)-AVERAGE('The List'!V2:V730))/STDEV('The List'!V2:V730)</f>
        <v>0.714418486993429</v>
      </c>
      <c r="J133" s="46">
        <f>(VLOOKUP($A133,'The List'!$B1:$AH730,22,FALSE)-AVERAGE('The List'!W2:W730))/STDEV('The List'!W2:W730)</f>
        <v>0.10095613134817</v>
      </c>
      <c r="K133" s="46">
        <f>(VLOOKUP($A133,'The List'!$B1:$AH730,23,FALSE)-AVERAGE('The List'!X2:X730))/STDEV('The List'!X2:X730)</f>
        <v>0.321442776265539</v>
      </c>
      <c r="L133" s="46">
        <f>(VLOOKUP($A133,'The List'!$B1:$AH730,24,FALSE)-AVERAGE('The List'!Y2:Y730))/STDEV('The List'!Y2:Y730)</f>
        <v>1.92038696697795</v>
      </c>
      <c r="M133" s="46">
        <f>(VLOOKUP($A133,'The List'!$B1:$AH730,25,FALSE)-AVERAGE('The List'!Z2:Z730))/STDEV('The List'!Z2:Z730)</f>
        <v>1.79214556670876</v>
      </c>
      <c r="N133" s="46">
        <f>(VLOOKUP($A133,'The List'!$B1:$AH730,26,FALSE)-AVERAGE('The List'!AA2:AA730))/STDEV('The List'!AA2:AA730)</f>
        <v>-0.0877151404072746</v>
      </c>
      <c r="O133" s="46">
        <f>(VLOOKUP($A133,'The List'!$B1:$AH730,27,FALSE)-AVERAGE('The List'!AB2:AB730))/STDEV('The List'!AB2:AB730)</f>
        <v>-1.08691532654544</v>
      </c>
      <c r="P133" s="46">
        <f>(VLOOKUP($A133,'The List'!$B1:$AH730,28,FALSE)-AVERAGE('The List'!AC2:AC730))/STDEV('The List'!AC2:AC730)</f>
        <v>-0.0685690788388242</v>
      </c>
      <c r="Q133" s="46">
        <f>(VLOOKUP($A133,'The List'!$B1:$AH730,29,FALSE)-AVERAGE('The List'!AD2:AD730))/STDEV('The List'!AD2:AD730)</f>
        <v>-0.532085821831916</v>
      </c>
      <c r="R133" s="46">
        <f>(VLOOKUP($A133,'The List'!$B1:$AH730,30,FALSE)-AVERAGE('The List'!AE2:AE730))/STDEV('The List'!AE2:AE730)</f>
        <v>1.38111847927962</v>
      </c>
      <c r="S133" s="46">
        <f>(VLOOKUP($A133,'The List'!$B1:$AH730,31,FALSE)-AVERAGE('The List'!AF2:AF730))/STDEV('The List'!AF2:AF730)</f>
        <v>-0.0767096012867293</v>
      </c>
      <c r="T133" s="46">
        <f>(VLOOKUP($A133,'The List'!$B1:$AH730,32,FALSE)-AVERAGE('The List'!AG2:AG730))/STDEV('The List'!AG2:AG730)</f>
        <v>0.180781663607604</v>
      </c>
      <c r="U133" s="46">
        <f>(VLOOKUP($A133,'The List'!$B1:$AH730,33,FALSE)-AVERAGE('The List'!AH2:AH730))/STDEV('The List'!AH2:AH730)</f>
        <v>0.536446799579692</v>
      </c>
      <c r="V133" s="46"/>
      <c r="W133" s="48"/>
      <c r="X133" s="46"/>
      <c r="Y133" s="46"/>
      <c r="Z133" s="46"/>
      <c r="AA133" s="46"/>
      <c r="AB133" s="46"/>
      <c r="AC133" s="46"/>
      <c r="AD133" s="46"/>
      <c r="AE133" s="46"/>
    </row>
    <row r="134" ht="21.25" customHeight="1">
      <c r="A134" t="s" s="8">
        <v>247</v>
      </c>
      <c r="B134" t="s" s="42">
        <f>VLOOKUP(A134,'Player Data'!A1:B734,2,FALSE)</f>
        <v>248</v>
      </c>
      <c r="C134" s="44">
        <f>((E134)*'Settings'!$C$12)+(F134*'Settings'!$C$2)+(G134*'Settings'!$C$3)+(H134*'Settings'!$C$4)+(I134*'Settings'!$C$5)+(K134*'Settings'!$C$9)+(N134*'Settings'!$C$6)+(J134*'Settings'!$C$8)+(O134*'Settings'!$C$7)+(P134*'Settings'!$C$14)+(Q134*'Settings'!$C$15)+(R134*'Settings'!$C$16)+(S134*'Settings'!$C$17)+(T134*'Settings'!$C$18)+(U134*'Settings'!$C$19)+(L134*'Settings'!$C$10)+('Settings'!$C$11*M134)</f>
        <v>3.94935700819406</v>
      </c>
      <c r="D134" s="48">
        <f>IF('Settings'!$E$12="YES",VLOOKUP(A134,'Player Data'!A1:E734,5,FALSE),82)</f>
        <v>78.7114285714286</v>
      </c>
      <c r="E134" s="46">
        <f>(VLOOKUP($A134,'The List'!$B1:$AH730,17,FALSE)-AVERAGE('The List'!R2:R730))/STDEV('The List'!R2:R730)</f>
        <v>1.90401806263021</v>
      </c>
      <c r="F134" s="46">
        <f>(VLOOKUP($A134,'The List'!$B1:$AH730,18,FALSE)-AVERAGE('The List'!S2:S730))/STDEV('The List'!S2:S730)</f>
        <v>-0.128150959190943</v>
      </c>
      <c r="G134" s="46">
        <f>(VLOOKUP($A134,'The List'!$B1:$AH730,19,FALSE)-AVERAGE('The List'!T2:T730))/STDEV('The List'!T2:T730)</f>
        <v>1.5660305296708</v>
      </c>
      <c r="H134" s="46">
        <f>(VLOOKUP($A134,'The List'!$B1:$AH730,20,FALSE)-AVERAGE('The List'!U2:U730))/STDEV('The List'!U2:U730)</f>
        <v>0.907125981551839</v>
      </c>
      <c r="I134" s="46">
        <f>(VLOOKUP($A134,'The List'!$B1:$AH730,21,FALSE)-AVERAGE('The List'!V2:V730))/STDEV('The List'!V2:V730)</f>
        <v>0.346007017659579</v>
      </c>
      <c r="J134" s="46">
        <f>(VLOOKUP($A134,'The List'!$B1:$AH730,22,FALSE)-AVERAGE('The List'!W2:W730))/STDEV('The List'!W2:W730)</f>
        <v>-0.273470903848305</v>
      </c>
      <c r="K134" s="46">
        <f>(VLOOKUP($A134,'The List'!$B1:$AH730,23,FALSE)-AVERAGE('The List'!X2:X730))/STDEV('The List'!X2:X730)</f>
        <v>0.922892429576506</v>
      </c>
      <c r="L134" s="46">
        <f>(VLOOKUP($A134,'The List'!$B1:$AH730,24,FALSE)-AVERAGE('The List'!Y2:Y730))/STDEV('The List'!Y2:Y730)</f>
        <v>-0.5025303529712269</v>
      </c>
      <c r="M134" s="46">
        <f>(VLOOKUP($A134,'The List'!$B1:$AH730,25,FALSE)-AVERAGE('The List'!Z2:Z730))/STDEV('The List'!Z2:Z730)</f>
        <v>-0.630170592278519</v>
      </c>
      <c r="N134" s="46">
        <f>(VLOOKUP($A134,'The List'!$B1:$AH730,26,FALSE)-AVERAGE('The List'!AA2:AA730))/STDEV('The List'!AA2:AA730)</f>
        <v>0.779031275508723</v>
      </c>
      <c r="O134" s="46">
        <f>(VLOOKUP($A134,'The List'!$B1:$AH730,27,FALSE)-AVERAGE('The List'!AB2:AB730))/STDEV('The List'!AB2:AB730)</f>
        <v>0.285220034370513</v>
      </c>
      <c r="P134" s="46">
        <f>(VLOOKUP($A134,'The List'!$B1:$AH730,28,FALSE)-AVERAGE('The List'!AC2:AC730))/STDEV('The List'!AC2:AC730)</f>
        <v>0.463546714969397</v>
      </c>
      <c r="Q134" s="46">
        <f>(VLOOKUP($A134,'The List'!$B1:$AH730,29,FALSE)-AVERAGE('The List'!AD2:AD730))/STDEV('The List'!AD2:AD730)</f>
        <v>1.91353415714327</v>
      </c>
      <c r="R134" s="46">
        <f>(VLOOKUP($A134,'The List'!$B1:$AH730,30,FALSE)-AVERAGE('The List'!AE2:AE730))/STDEV('The List'!AE2:AE730)</f>
        <v>-0.116726492323859</v>
      </c>
      <c r="S134" s="46">
        <f>(VLOOKUP($A134,'The List'!$B1:$AH730,31,FALSE)-AVERAGE('The List'!AF2:AF730))/STDEV('The List'!AF2:AF730)</f>
        <v>-0.5569063253591</v>
      </c>
      <c r="T134" s="46">
        <f>(VLOOKUP($A134,'The List'!$B1:$AH730,32,FALSE)-AVERAGE('The List'!AG2:AG730))/STDEV('The List'!AG2:AG730)</f>
        <v>-0.600856269042678</v>
      </c>
      <c r="U134" s="46">
        <f>(VLOOKUP($A134,'The List'!$B1:$AH730,33,FALSE)-AVERAGE('The List'!AH2:AH730))/STDEV('The List'!AH2:AH730)</f>
        <v>-1.2363238714826</v>
      </c>
      <c r="V134" s="46"/>
      <c r="W134" s="50"/>
      <c r="X134" s="48"/>
      <c r="Y134" s="48"/>
      <c r="Z134" s="48"/>
      <c r="AA134" s="48"/>
      <c r="AB134" s="48"/>
      <c r="AC134" s="51"/>
      <c r="AD134" s="52"/>
      <c r="AE134" s="46"/>
    </row>
    <row r="135" ht="21.25" customHeight="1">
      <c r="A135" t="s" s="8">
        <v>334</v>
      </c>
      <c r="B135" t="s" s="42">
        <f>VLOOKUP(A135,'Player Data'!A1:B734,2,FALSE)</f>
        <v>156</v>
      </c>
      <c r="C135" s="44">
        <f>((E135)*'Settings'!$C$12)+(F135*'Settings'!$C$2)+(G135*'Settings'!$C$3)+(H135*'Settings'!$C$4)+(I135*'Settings'!$C$5)+(K135*'Settings'!$C$9)+(N135*'Settings'!$C$6)+(J135*'Settings'!$C$8)+(O135*'Settings'!$C$7)+(P135*'Settings'!$C$14)+(Q135*'Settings'!$C$15)+(R135*'Settings'!$C$16)+(S135*'Settings'!$C$17)+(T135*'Settings'!$C$18)+(U135*'Settings'!$C$19)+(L135*'Settings'!$C$10)+('Settings'!$C$11*M135)</f>
        <v>1.73532289907383</v>
      </c>
      <c r="D135" s="48">
        <f>IF('Settings'!$E$12="YES",VLOOKUP(A135,'Player Data'!A1:E734,5,FALSE),82)</f>
        <v>79.0975</v>
      </c>
      <c r="E135" s="46">
        <f>(VLOOKUP($A135,'The List'!$B1:$AH730,17,FALSE)-AVERAGE('The List'!R2:R730))/STDEV('The List'!R2:R730)</f>
        <v>0.08999302674186301</v>
      </c>
      <c r="F135" s="46">
        <f>(VLOOKUP($A135,'The List'!$B1:$AH730,18,FALSE)-AVERAGE('The List'!S2:S730))/STDEV('The List'!S2:S730)</f>
        <v>0.765954300537843</v>
      </c>
      <c r="G135" s="46">
        <f>(VLOOKUP($A135,'The List'!$B1:$AH730,19,FALSE)-AVERAGE('The List'!T2:T730))/STDEV('The List'!T2:T730)</f>
        <v>0.691803025291594</v>
      </c>
      <c r="H135" s="46">
        <f>(VLOOKUP($A135,'The List'!$B1:$AH730,20,FALSE)-AVERAGE('The List'!U2:U730))/STDEV('The List'!U2:U730)</f>
        <v>0.77501204074949</v>
      </c>
      <c r="I135" s="46">
        <f>(VLOOKUP($A135,'The List'!$B1:$AH730,21,FALSE)-AVERAGE('The List'!V2:V730))/STDEV('The List'!V2:V730)</f>
        <v>0.824860831285944</v>
      </c>
      <c r="J135" s="46">
        <f>(VLOOKUP($A135,'The List'!$B1:$AH730,22,FALSE)-AVERAGE('The List'!W2:W730))/STDEV('The List'!W2:W730)</f>
        <v>1.10637163805779</v>
      </c>
      <c r="K135" s="46">
        <f>(VLOOKUP($A135,'The List'!$B1:$AH730,23,FALSE)-AVERAGE('The List'!X2:X730))/STDEV('The List'!X2:X730)</f>
        <v>0.606697153553191</v>
      </c>
      <c r="L135" s="46">
        <f>(VLOOKUP($A135,'The List'!$B1:$AH730,24,FALSE)-AVERAGE('The List'!Y2:Y730))/STDEV('The List'!Y2:Y730)</f>
        <v>-0.5348536612932701</v>
      </c>
      <c r="M135" s="46">
        <f>(VLOOKUP($A135,'The List'!$B1:$AH730,25,FALSE)-AVERAGE('The List'!Z2:Z730))/STDEV('The List'!Z2:Z730)</f>
        <v>-0.712824739788244</v>
      </c>
      <c r="N135" s="46">
        <f>(VLOOKUP($A135,'The List'!$B1:$AH730,26,FALSE)-AVERAGE('The List'!AA2:AA730))/STDEV('The List'!AA2:AA730)</f>
        <v>-0.690974777078352</v>
      </c>
      <c r="O135" s="46">
        <f>(VLOOKUP($A135,'The List'!$B1:$AH730,27,FALSE)-AVERAGE('The List'!AB2:AB730))/STDEV('The List'!AB2:AB730)</f>
        <v>-0.856143879801785</v>
      </c>
      <c r="P135" s="46">
        <f>(VLOOKUP($A135,'The List'!$B1:$AH730,28,FALSE)-AVERAGE('The List'!AC2:AC730))/STDEV('The List'!AC2:AC730)</f>
        <v>-0.463017634516386</v>
      </c>
      <c r="Q135" s="46">
        <f>(VLOOKUP($A135,'The List'!$B1:$AH730,29,FALSE)-AVERAGE('The List'!AD2:AD730))/STDEV('The List'!AD2:AD730)</f>
        <v>-0.501302946026169</v>
      </c>
      <c r="R135" s="46">
        <f>(VLOOKUP($A135,'The List'!$B1:$AH730,30,FALSE)-AVERAGE('The List'!AE2:AE730))/STDEV('The List'!AE2:AE730)</f>
        <v>0.714460545965148</v>
      </c>
      <c r="S135" s="46">
        <f>(VLOOKUP($A135,'The List'!$B1:$AH730,31,FALSE)-AVERAGE('The List'!AF2:AF730))/STDEV('The List'!AF2:AF730)</f>
        <v>-0.44247289246219</v>
      </c>
      <c r="T135" s="46">
        <f>(VLOOKUP($A135,'The List'!$B1:$AH730,32,FALSE)-AVERAGE('The List'!AG2:AG730))/STDEV('The List'!AG2:AG730)</f>
        <v>-0.438791214516819</v>
      </c>
      <c r="U135" s="46">
        <f>(VLOOKUP($A135,'The List'!$B1:$AH730,33,FALSE)-AVERAGE('The List'!AH2:AH730))/STDEV('The List'!AH2:AH730)</f>
        <v>0.688371759037376</v>
      </c>
      <c r="V135" s="46"/>
      <c r="W135" s="50"/>
      <c r="X135" s="48"/>
      <c r="Y135" s="48"/>
      <c r="Z135" s="48"/>
      <c r="AA135" s="48"/>
      <c r="AB135" s="48"/>
      <c r="AC135" s="51"/>
      <c r="AD135" s="52"/>
      <c r="AE135" s="46"/>
    </row>
    <row r="136" ht="21.25" customHeight="1">
      <c r="A136" t="s" s="8">
        <v>299</v>
      </c>
      <c r="B136" t="s" s="42">
        <f>VLOOKUP(A136,'Player Data'!A1:B734,2,FALSE)</f>
        <v>170</v>
      </c>
      <c r="C136" s="44">
        <f>((E136)*'Settings'!$C$12)+(F136*'Settings'!$C$2)+(G136*'Settings'!$C$3)+(H136*'Settings'!$C$4)+(I136*'Settings'!$C$5)+(K136*'Settings'!$C$9)+(N136*'Settings'!$C$6)+(J136*'Settings'!$C$8)+(O136*'Settings'!$C$7)+(P136*'Settings'!$C$14)+(Q136*'Settings'!$C$15)+(R136*'Settings'!$C$16)+(S136*'Settings'!$C$17)+(T136*'Settings'!$C$18)+(U136*'Settings'!$C$19)+(L136*'Settings'!$C$10)+('Settings'!$C$11*M136)</f>
        <v>4.62752827171934</v>
      </c>
      <c r="D136" s="48">
        <f>IF('Settings'!$E$12="YES",VLOOKUP(A136,'Player Data'!A1:E734,5,FALSE),82)</f>
        <v>79.79428571428571</v>
      </c>
      <c r="E136" s="46">
        <f>(VLOOKUP($A136,'The List'!$B1:$AH730,17,FALSE)-AVERAGE('The List'!R2:R730))/STDEV('The List'!R2:R730)</f>
        <v>0.436765141558558</v>
      </c>
      <c r="F136" s="46">
        <f>(VLOOKUP($A136,'The List'!$B1:$AH730,18,FALSE)-AVERAGE('The List'!S2:S730))/STDEV('The List'!S2:S730)</f>
        <v>1.0405788718864</v>
      </c>
      <c r="G136" s="46">
        <f>(VLOOKUP($A136,'The List'!$B1:$AH730,19,FALSE)-AVERAGE('The List'!T2:T730))/STDEV('The List'!T2:T730)</f>
        <v>0.507139645123302</v>
      </c>
      <c r="H136" s="46">
        <f>(VLOOKUP($A136,'The List'!$B1:$AH730,20,FALSE)-AVERAGE('The List'!U2:U730))/STDEV('The List'!U2:U730)</f>
        <v>0.786129181783083</v>
      </c>
      <c r="I136" s="46">
        <f>(VLOOKUP($A136,'The List'!$B1:$AH730,21,FALSE)-AVERAGE('The List'!V2:V730))/STDEV('The List'!V2:V730)</f>
        <v>1.58176907857419</v>
      </c>
      <c r="J136" s="46">
        <f>(VLOOKUP($A136,'The List'!$B1:$AH730,22,FALSE)-AVERAGE('The List'!W2:W730))/STDEV('The List'!W2:W730)</f>
        <v>1.38690784002482</v>
      </c>
      <c r="K136" s="46">
        <f>(VLOOKUP($A136,'The List'!$B1:$AH730,23,FALSE)-AVERAGE('The List'!X2:X730))/STDEV('The List'!X2:X730)</f>
        <v>0.903959061399674</v>
      </c>
      <c r="L136" s="46">
        <f>(VLOOKUP($A136,'The List'!$B1:$AH730,24,FALSE)-AVERAGE('The List'!Y2:Y730))/STDEV('The List'!Y2:Y730)</f>
        <v>-0.536262561317028</v>
      </c>
      <c r="M136" s="46">
        <f>(VLOOKUP($A136,'The List'!$B1:$AH730,25,FALSE)-AVERAGE('The List'!Z2:Z730))/STDEV('The List'!Z2:Z730)</f>
        <v>-0.714356046658156</v>
      </c>
      <c r="N136" s="46">
        <f>(VLOOKUP($A136,'The List'!$B1:$AH730,26,FALSE)-AVERAGE('The List'!AA2:AA730))/STDEV('The List'!AA2:AA730)</f>
        <v>-0.275097159679265</v>
      </c>
      <c r="O136" s="46">
        <f>(VLOOKUP($A136,'The List'!$B1:$AH730,27,FALSE)-AVERAGE('The List'!AB2:AB730))/STDEV('The List'!AB2:AB730)</f>
        <v>0.690919397091482</v>
      </c>
      <c r="P136" s="46">
        <f>(VLOOKUP($A136,'The List'!$B1:$AH730,28,FALSE)-AVERAGE('The List'!AC2:AC730))/STDEV('The List'!AC2:AC730)</f>
        <v>0.86917877441504</v>
      </c>
      <c r="Q136" s="46">
        <f>(VLOOKUP($A136,'The List'!$B1:$AH730,29,FALSE)-AVERAGE('The List'!AD2:AD730))/STDEV('The List'!AD2:AD730)</f>
        <v>-0.876210163106934</v>
      </c>
      <c r="R136" s="46">
        <f>(VLOOKUP($A136,'The List'!$B1:$AH730,30,FALSE)-AVERAGE('The List'!AE2:AE730))/STDEV('The List'!AE2:AE730)</f>
        <v>1.25565515198843</v>
      </c>
      <c r="S136" s="46">
        <f>(VLOOKUP($A136,'The List'!$B1:$AH730,31,FALSE)-AVERAGE('The List'!AF2:AF730))/STDEV('The List'!AF2:AF730)</f>
        <v>-0.491795616065263</v>
      </c>
      <c r="T136" s="46">
        <f>(VLOOKUP($A136,'The List'!$B1:$AH730,32,FALSE)-AVERAGE('The List'!AG2:AG730))/STDEV('The List'!AG2:AG730)</f>
        <v>-0.515160336840468</v>
      </c>
      <c r="U136" s="46">
        <f>(VLOOKUP($A136,'The List'!$B1:$AH730,33,FALSE)-AVERAGE('The List'!AH2:AH730))/STDEV('The List'!AH2:AH730)</f>
        <v>0.769719709640487</v>
      </c>
      <c r="V136" s="46"/>
      <c r="W136" s="48"/>
      <c r="X136" s="46"/>
      <c r="Y136" s="46"/>
      <c r="Z136" s="46"/>
      <c r="AA136" s="46"/>
      <c r="AB136" s="46"/>
      <c r="AC136" s="46"/>
      <c r="AD136" s="46"/>
      <c r="AE136" s="46"/>
    </row>
    <row r="137" ht="21.25" customHeight="1">
      <c r="A137" t="s" s="8">
        <v>394</v>
      </c>
      <c r="B137" t="s" s="42">
        <f>VLOOKUP(A137,'Player Data'!A1:B734,2,FALSE)</f>
        <v>194</v>
      </c>
      <c r="C137" s="44">
        <f>((E137)*'Settings'!$C$12)+(F137*'Settings'!$C$2)+(G137*'Settings'!$C$3)+(H137*'Settings'!$C$4)+(I137*'Settings'!$C$5)+(K137*'Settings'!$C$9)+(N137*'Settings'!$C$6)+(J137*'Settings'!$C$8)+(O137*'Settings'!$C$7)+(P137*'Settings'!$C$14)+(Q137*'Settings'!$C$15)+(R137*'Settings'!$C$16)+(S137*'Settings'!$C$17)+(T137*'Settings'!$C$18)+(U137*'Settings'!$C$19)+(L137*'Settings'!$C$10)+('Settings'!$C$11*M137)</f>
        <v>0.483635214073299</v>
      </c>
      <c r="D137" s="48">
        <f>IF('Settings'!$E$12="YES",VLOOKUP(A137,'Player Data'!A1:E734,5,FALSE),82)</f>
        <v>70.2</v>
      </c>
      <c r="E137" s="46">
        <f>(VLOOKUP($A137,'The List'!$B1:$AH730,17,FALSE)-AVERAGE('The List'!R2:R730))/STDEV('The List'!R2:R730)</f>
        <v>-0.224143538461983</v>
      </c>
      <c r="F137" s="46">
        <f>(VLOOKUP($A137,'The List'!$B1:$AH730,18,FALSE)-AVERAGE('The List'!S2:S730))/STDEV('The List'!S2:S730)</f>
        <v>1.36781806966174</v>
      </c>
      <c r="G137" s="46">
        <f>(VLOOKUP($A137,'The List'!$B1:$AH730,19,FALSE)-AVERAGE('The List'!T2:T730))/STDEV('The List'!T2:T730)</f>
        <v>-0.200256621945052</v>
      </c>
      <c r="H137" s="46">
        <f>(VLOOKUP($A137,'The List'!$B1:$AH730,20,FALSE)-AVERAGE('The List'!U2:U730))/STDEV('The List'!U2:U730)</f>
        <v>0.49892907892291</v>
      </c>
      <c r="I137" s="46">
        <f>(VLOOKUP($A137,'The List'!$B1:$AH730,21,FALSE)-AVERAGE('The List'!V2:V730))/STDEV('The List'!V2:V730)</f>
        <v>0.588869260651771</v>
      </c>
      <c r="J137" s="46">
        <f>(VLOOKUP($A137,'The List'!$B1:$AH730,22,FALSE)-AVERAGE('The List'!W2:W730))/STDEV('The List'!W2:W730)</f>
        <v>1.24660365677906</v>
      </c>
      <c r="K137" s="46">
        <f>(VLOOKUP($A137,'The List'!$B1:$AH730,23,FALSE)-AVERAGE('The List'!X2:X730))/STDEV('The List'!X2:X730)</f>
        <v>0.35583836714884</v>
      </c>
      <c r="L137" s="46">
        <f>(VLOOKUP($A137,'The List'!$B1:$AH730,24,FALSE)-AVERAGE('The List'!Y2:Y730))/STDEV('The List'!Y2:Y730)</f>
        <v>-0.542843480388394</v>
      </c>
      <c r="M137" s="46">
        <f>(VLOOKUP($A137,'The List'!$B1:$AH730,25,FALSE)-AVERAGE('The List'!Z2:Z730))/STDEV('The List'!Z2:Z730)</f>
        <v>-0.72177514995105</v>
      </c>
      <c r="N137" s="46">
        <f>(VLOOKUP($A137,'The List'!$B1:$AH730,26,FALSE)-AVERAGE('The List'!AA2:AA730))/STDEV('The List'!AA2:AA730)</f>
        <v>-0.91994302336566</v>
      </c>
      <c r="O137" s="46">
        <f>(VLOOKUP($A137,'The List'!$B1:$AH730,27,FALSE)-AVERAGE('The List'!AB2:AB730))/STDEV('The List'!AB2:AB730)</f>
        <v>-0.800525404179466</v>
      </c>
      <c r="P137" s="46">
        <f>(VLOOKUP($A137,'The List'!$B1:$AH730,28,FALSE)-AVERAGE('The List'!AC2:AC730))/STDEV('The List'!AC2:AC730)</f>
        <v>-0.70869083807834</v>
      </c>
      <c r="Q137" s="46">
        <f>(VLOOKUP($A137,'The List'!$B1:$AH730,29,FALSE)-AVERAGE('The List'!AD2:AD730))/STDEV('The List'!AD2:AD730)</f>
        <v>-0.5814850343939399</v>
      </c>
      <c r="R137" s="46">
        <f>(VLOOKUP($A137,'The List'!$B1:$AH730,30,FALSE)-AVERAGE('The List'!AE2:AE730))/STDEV('The List'!AE2:AE730)</f>
        <v>0.809823610670761</v>
      </c>
      <c r="S137" s="46">
        <f>(VLOOKUP($A137,'The List'!$B1:$AH730,31,FALSE)-AVERAGE('The List'!AF2:AF730))/STDEV('The List'!AF2:AF730)</f>
        <v>-0.525895495310108</v>
      </c>
      <c r="T137" s="46">
        <f>(VLOOKUP($A137,'The List'!$B1:$AH730,32,FALSE)-AVERAGE('The List'!AG2:AG730))/STDEV('The List'!AG2:AG730)</f>
        <v>-0.543241401475874</v>
      </c>
      <c r="U137" s="46">
        <f>(VLOOKUP($A137,'The List'!$B1:$AH730,33,FALSE)-AVERAGE('The List'!AH2:AH730))/STDEV('The List'!AH2:AH730)</f>
        <v>0.396223661580473</v>
      </c>
      <c r="V137" s="46"/>
      <c r="W137" s="50"/>
      <c r="X137" s="48"/>
      <c r="Y137" s="48"/>
      <c r="Z137" s="48"/>
      <c r="AA137" s="48"/>
      <c r="AB137" s="48"/>
      <c r="AC137" s="51"/>
      <c r="AD137" s="52"/>
      <c r="AE137" s="46"/>
    </row>
    <row r="138" ht="21.25" customHeight="1">
      <c r="A138" t="s" s="8">
        <v>220</v>
      </c>
      <c r="B138" t="s" s="42">
        <f>VLOOKUP(A138,'Player Data'!A1:B734,2,FALSE)</f>
        <v>115</v>
      </c>
      <c r="C138" s="44">
        <f>((E138)*'Settings'!$C$12)+(F138*'Settings'!$C$2)+(G138*'Settings'!$C$3)+(H138*'Settings'!$C$4)+(I138*'Settings'!$C$5)+(K138*'Settings'!$C$9)+(N138*'Settings'!$C$6)+(J138*'Settings'!$C$8)+(O138*'Settings'!$C$7)+(P138*'Settings'!$C$14)+(Q138*'Settings'!$C$15)+(R138*'Settings'!$C$16)+(S138*'Settings'!$C$17)+(T138*'Settings'!$C$18)+(U138*'Settings'!$C$19)+(L138*'Settings'!$C$10)+('Settings'!$C$11*M138)</f>
        <v>5.38199887016324</v>
      </c>
      <c r="D138" s="48">
        <f>IF('Settings'!$E$12="YES",VLOOKUP(A138,'Player Data'!A1:E734,5,FALSE),82)</f>
        <v>78.8660714285714</v>
      </c>
      <c r="E138" s="46">
        <f>(VLOOKUP($A138,'The List'!$B1:$AH730,17,FALSE)-AVERAGE('The List'!R2:R730))/STDEV('The List'!R2:R730)</f>
        <v>1.41346240974394</v>
      </c>
      <c r="F138" s="46">
        <f>(VLOOKUP($A138,'The List'!$B1:$AH730,18,FALSE)-AVERAGE('The List'!S2:S730))/STDEV('The List'!S2:S730)</f>
        <v>-0.5755433526441091</v>
      </c>
      <c r="G138" s="46">
        <f>(VLOOKUP($A138,'The List'!$B1:$AH730,19,FALSE)-AVERAGE('The List'!T2:T730))/STDEV('The List'!T2:T730)</f>
        <v>1.81501328001549</v>
      </c>
      <c r="H138" s="46">
        <f>(VLOOKUP($A138,'The List'!$B1:$AH730,20,FALSE)-AVERAGE('The List'!U2:U730))/STDEV('The List'!U2:U730)</f>
        <v>0.857048062801872</v>
      </c>
      <c r="I138" s="46">
        <f>(VLOOKUP($A138,'The List'!$B1:$AH730,21,FALSE)-AVERAGE('The List'!V2:V730))/STDEV('The List'!V2:V730)</f>
        <v>0.574283033688837</v>
      </c>
      <c r="J138" s="46">
        <f>(VLOOKUP($A138,'The List'!$B1:$AH730,22,FALSE)-AVERAGE('The List'!W2:W730))/STDEV('The List'!W2:W730)</f>
        <v>-0.251759222735315</v>
      </c>
      <c r="K138" s="46">
        <f>(VLOOKUP($A138,'The List'!$B1:$AH730,23,FALSE)-AVERAGE('The List'!X2:X730))/STDEV('The List'!X2:X730)</f>
        <v>1.37439379808979</v>
      </c>
      <c r="L138" s="46">
        <f>(VLOOKUP($A138,'The List'!$B1:$AH730,24,FALSE)-AVERAGE('The List'!Y2:Y730))/STDEV('The List'!Y2:Y730)</f>
        <v>-0.498703701403553</v>
      </c>
      <c r="M138" s="46">
        <f>(VLOOKUP($A138,'The List'!$B1:$AH730,25,FALSE)-AVERAGE('The List'!Z2:Z730))/STDEV('The List'!Z2:Z730)</f>
        <v>0.22893875078129</v>
      </c>
      <c r="N138" s="46">
        <f>(VLOOKUP($A138,'The List'!$B1:$AH730,26,FALSE)-AVERAGE('The List'!AA2:AA730))/STDEV('The List'!AA2:AA730)</f>
        <v>1.03160480161634</v>
      </c>
      <c r="O138" s="46">
        <f>(VLOOKUP($A138,'The List'!$B1:$AH730,27,FALSE)-AVERAGE('The List'!AB2:AB730))/STDEV('The List'!AB2:AB730)</f>
        <v>0.0181915688920824</v>
      </c>
      <c r="P138" s="46">
        <f>(VLOOKUP($A138,'The List'!$B1:$AH730,28,FALSE)-AVERAGE('The List'!AC2:AC730))/STDEV('The List'!AC2:AC730)</f>
        <v>1.16224730939689</v>
      </c>
      <c r="Q138" s="46">
        <f>(VLOOKUP($A138,'The List'!$B1:$AH730,29,FALSE)-AVERAGE('The List'!AD2:AD730))/STDEV('The List'!AD2:AD730)</f>
        <v>-0.0876282203686653</v>
      </c>
      <c r="R138" s="46">
        <f>(VLOOKUP($A138,'The List'!$B1:$AH730,30,FALSE)-AVERAGE('The List'!AE2:AE730))/STDEV('The List'!AE2:AE730)</f>
        <v>-0.431813167603099</v>
      </c>
      <c r="S138" s="46">
        <f>(VLOOKUP($A138,'The List'!$B1:$AH730,31,FALSE)-AVERAGE('The List'!AF2:AF730))/STDEV('The List'!AF2:AF730)</f>
        <v>-0.5569063253591</v>
      </c>
      <c r="T138" s="46">
        <f>(VLOOKUP($A138,'The List'!$B1:$AH730,32,FALSE)-AVERAGE('The List'!AG2:AG730))/STDEV('The List'!AG2:AG730)</f>
        <v>-0.600856269042678</v>
      </c>
      <c r="U138" s="46">
        <f>(VLOOKUP($A138,'The List'!$B1:$AH730,33,FALSE)-AVERAGE('The List'!AH2:AH730))/STDEV('The List'!AH2:AH730)</f>
        <v>-1.2363238714826</v>
      </c>
      <c r="V138" s="46"/>
      <c r="W138" s="50"/>
      <c r="X138" s="48"/>
      <c r="Y138" s="48"/>
      <c r="Z138" s="48"/>
      <c r="AA138" s="48"/>
      <c r="AB138" s="48"/>
      <c r="AC138" s="51"/>
      <c r="AD138" s="52"/>
      <c r="AE138" s="46"/>
    </row>
    <row r="139" ht="21.25" customHeight="1">
      <c r="A139" t="s" s="8">
        <v>460</v>
      </c>
      <c r="B139" t="s" s="42">
        <f>VLOOKUP(A139,'Player Data'!A1:B734,2,FALSE)</f>
        <v>141</v>
      </c>
      <c r="C139" s="44">
        <f>((E139)*'Settings'!$C$12)+(F139*'Settings'!$C$2)+(G139*'Settings'!$C$3)+(H139*'Settings'!$C$4)+(I139*'Settings'!$C$5)+(K139*'Settings'!$C$9)+(N139*'Settings'!$C$6)+(J139*'Settings'!$C$8)+(O139*'Settings'!$C$7)+(P139*'Settings'!$C$14)+(Q139*'Settings'!$C$15)+(R139*'Settings'!$C$16)+(S139*'Settings'!$C$17)+(T139*'Settings'!$C$18)+(U139*'Settings'!$C$19)+(L139*'Settings'!$C$10)+('Settings'!$C$11*M139)</f>
        <v>0.173941463438455</v>
      </c>
      <c r="D139" s="48">
        <f>IF('Settings'!$E$12="YES",VLOOKUP(A139,'Player Data'!A1:E734,5,FALSE),82)</f>
        <v>66.7</v>
      </c>
      <c r="E139" s="46">
        <f>(VLOOKUP($A139,'The List'!$B1:$AH730,17,FALSE)-AVERAGE('The List'!R2:R730))/STDEV('The List'!R2:R730)</f>
        <v>-0.262415106465737</v>
      </c>
      <c r="F139" s="46">
        <f>(VLOOKUP($A139,'The List'!$B1:$AH730,18,FALSE)-AVERAGE('The List'!S2:S730))/STDEV('The List'!S2:S730)</f>
        <v>0.591725597977379</v>
      </c>
      <c r="G139" s="46">
        <f>(VLOOKUP($A139,'The List'!$B1:$AH730,19,FALSE)-AVERAGE('The List'!T2:T730))/STDEV('The List'!T2:T730)</f>
        <v>0.175070633146442</v>
      </c>
      <c r="H139" s="46">
        <f>(VLOOKUP($A139,'The List'!$B1:$AH730,20,FALSE)-AVERAGE('The List'!U2:U730))/STDEV('The List'!U2:U730)</f>
        <v>0.377175758812854</v>
      </c>
      <c r="I139" s="46">
        <f>(VLOOKUP($A139,'The List'!$B1:$AH730,21,FALSE)-AVERAGE('The List'!V2:V730))/STDEV('The List'!V2:V730)</f>
        <v>0.210306531791194</v>
      </c>
      <c r="J139" s="46">
        <f>(VLOOKUP($A139,'The List'!$B1:$AH730,22,FALSE)-AVERAGE('The List'!W2:W730))/STDEV('The List'!W2:W730)</f>
        <v>0.117637135208079</v>
      </c>
      <c r="K139" s="46">
        <f>(VLOOKUP($A139,'The List'!$B1:$AH730,23,FALSE)-AVERAGE('The List'!X2:X730))/STDEV('The List'!X2:X730)</f>
        <v>-0.0499797557175188</v>
      </c>
      <c r="L139" s="46">
        <f>(VLOOKUP($A139,'The List'!$B1:$AH730,24,FALSE)-AVERAGE('The List'!Y2:Y730))/STDEV('The List'!Y2:Y730)</f>
        <v>-0.524357840185938</v>
      </c>
      <c r="M139" s="46">
        <f>(VLOOKUP($A139,'The List'!$B1:$AH730,25,FALSE)-AVERAGE('The List'!Z2:Z730))/STDEV('The List'!Z2:Z730)</f>
        <v>-0.682373161116675</v>
      </c>
      <c r="N139" s="46">
        <f>(VLOOKUP($A139,'The List'!$B1:$AH730,26,FALSE)-AVERAGE('The List'!AA2:AA730))/STDEV('The List'!AA2:AA730)</f>
        <v>-0.933073878234057</v>
      </c>
      <c r="O139" s="46">
        <f>(VLOOKUP($A139,'The List'!$B1:$AH730,27,FALSE)-AVERAGE('The List'!AB2:AB730))/STDEV('The List'!AB2:AB730)</f>
        <v>-0.82362019999715</v>
      </c>
      <c r="P139" s="46">
        <f>(VLOOKUP($A139,'The List'!$B1:$AH730,28,FALSE)-AVERAGE('The List'!AC2:AC730))/STDEV('The List'!AC2:AC730)</f>
        <v>0.179892334475016</v>
      </c>
      <c r="Q139" s="46">
        <f>(VLOOKUP($A139,'The List'!$B1:$AH730,29,FALSE)-AVERAGE('The List'!AD2:AD730))/STDEV('The List'!AD2:AD730)</f>
        <v>-0.740137305882822</v>
      </c>
      <c r="R139" s="46">
        <f>(VLOOKUP($A139,'The List'!$B1:$AH730,30,FALSE)-AVERAGE('The List'!AE2:AE730))/STDEV('The List'!AE2:AE730)</f>
        <v>0.340238146880333</v>
      </c>
      <c r="S139" s="46">
        <f>(VLOOKUP($A139,'The List'!$B1:$AH730,31,FALSE)-AVERAGE('The List'!AF2:AF730))/STDEV('The List'!AF2:AF730)</f>
        <v>-0.555103240816569</v>
      </c>
      <c r="T139" s="46">
        <f>(VLOOKUP($A139,'The List'!$B1:$AH730,32,FALSE)-AVERAGE('The List'!AG2:AG730))/STDEV('The List'!AG2:AG730)</f>
        <v>-0.596101167511078</v>
      </c>
      <c r="U139" s="46">
        <f>(VLOOKUP($A139,'The List'!$B1:$AH730,33,FALSE)-AVERAGE('The List'!AH2:AH730))/STDEV('The List'!AH2:AH730)</f>
        <v>0.0513425097869805</v>
      </c>
      <c r="V139" s="46"/>
      <c r="W139" s="48"/>
      <c r="X139" s="46"/>
      <c r="Y139" s="46"/>
      <c r="Z139" s="46"/>
      <c r="AA139" s="46"/>
      <c r="AB139" s="46"/>
      <c r="AC139" s="46"/>
      <c r="AD139" s="46"/>
      <c r="AE139" s="46"/>
    </row>
    <row r="140" ht="21.25" customHeight="1">
      <c r="A140" t="s" s="8">
        <v>307</v>
      </c>
      <c r="B140" t="s" s="42">
        <f>VLOOKUP(A140,'Player Data'!A1:B734,2,FALSE)</f>
        <v>204</v>
      </c>
      <c r="C140" s="44">
        <f>((E140)*'Settings'!$C$12)+(F140*'Settings'!$C$2)+(G140*'Settings'!$C$3)+(H140*'Settings'!$C$4)+(I140*'Settings'!$C$5)+(K140*'Settings'!$C$9)+(N140*'Settings'!$C$6)+(J140*'Settings'!$C$8)+(O140*'Settings'!$C$7)+(P140*'Settings'!$C$14)+(Q140*'Settings'!$C$15)+(R140*'Settings'!$C$16)+(S140*'Settings'!$C$17)+(T140*'Settings'!$C$18)+(U140*'Settings'!$C$19)+(L140*'Settings'!$C$10)+('Settings'!$C$11*M140)</f>
        <v>3.51883082056837</v>
      </c>
      <c r="D140" s="48">
        <f>IF('Settings'!$E$12="YES",VLOOKUP(A140,'Player Data'!A1:E734,5,FALSE),82)</f>
        <v>78.0639285714286</v>
      </c>
      <c r="E140" s="46">
        <f>(VLOOKUP($A140,'The List'!$B1:$AH730,17,FALSE)-AVERAGE('The List'!R2:R730))/STDEV('The List'!R2:R730)</f>
        <v>-0.00415373847101251</v>
      </c>
      <c r="F140" s="46">
        <f>(VLOOKUP($A140,'The List'!$B1:$AH730,18,FALSE)-AVERAGE('The List'!S2:S730))/STDEV('The List'!S2:S730)</f>
        <v>0.812093253666704</v>
      </c>
      <c r="G140" s="46">
        <f>(VLOOKUP($A140,'The List'!$B1:$AH730,19,FALSE)-AVERAGE('The List'!T2:T730))/STDEV('The List'!T2:T730)</f>
        <v>0.55817345607656</v>
      </c>
      <c r="H140" s="46">
        <f>(VLOOKUP($A140,'The List'!$B1:$AH730,20,FALSE)-AVERAGE('The List'!U2:U730))/STDEV('The List'!U2:U730)</f>
        <v>0.713625316735057</v>
      </c>
      <c r="I140" s="46">
        <f>(VLOOKUP($A140,'The List'!$B1:$AH730,21,FALSE)-AVERAGE('The List'!V2:V730))/STDEV('The List'!V2:V730)</f>
        <v>1.52351802697688</v>
      </c>
      <c r="J140" s="46">
        <f>(VLOOKUP($A140,'The List'!$B1:$AH730,22,FALSE)-AVERAGE('The List'!W2:W730))/STDEV('The List'!W2:W730)</f>
        <v>1.01577500417188</v>
      </c>
      <c r="K140" s="46">
        <f>(VLOOKUP($A140,'The List'!$B1:$AH730,23,FALSE)-AVERAGE('The List'!X2:X730))/STDEV('The List'!X2:X730)</f>
        <v>0.791200286087099</v>
      </c>
      <c r="L140" s="46">
        <f>(VLOOKUP($A140,'The List'!$B1:$AH730,24,FALSE)-AVERAGE('The List'!Y2:Y730))/STDEV('The List'!Y2:Y730)</f>
        <v>-0.355087659524015</v>
      </c>
      <c r="M140" s="46">
        <f>(VLOOKUP($A140,'The List'!$B1:$AH730,25,FALSE)-AVERAGE('The List'!Z2:Z730))/STDEV('The List'!Z2:Z730)</f>
        <v>-0.588272203313846</v>
      </c>
      <c r="N140" s="46">
        <f>(VLOOKUP($A140,'The List'!$B1:$AH730,26,FALSE)-AVERAGE('The List'!AA2:AA730))/STDEV('The List'!AA2:AA730)</f>
        <v>-0.312814924258732</v>
      </c>
      <c r="O140" s="46">
        <f>(VLOOKUP($A140,'The List'!$B1:$AH730,27,FALSE)-AVERAGE('The List'!AB2:AB730))/STDEV('The List'!AB2:AB730)</f>
        <v>-1.28241909363259</v>
      </c>
      <c r="P140" s="46">
        <f>(VLOOKUP($A140,'The List'!$B1:$AH730,28,FALSE)-AVERAGE('The List'!AC2:AC730))/STDEV('The List'!AC2:AC730)</f>
        <v>0.146660722019854</v>
      </c>
      <c r="Q140" s="46">
        <f>(VLOOKUP($A140,'The List'!$B1:$AH730,29,FALSE)-AVERAGE('The List'!AD2:AD730))/STDEV('The List'!AD2:AD730)</f>
        <v>-0.303501768151717</v>
      </c>
      <c r="R140" s="46">
        <f>(VLOOKUP($A140,'The List'!$B1:$AH730,30,FALSE)-AVERAGE('The List'!AE2:AE730))/STDEV('The List'!AE2:AE730)</f>
        <v>0.846125963913301</v>
      </c>
      <c r="S140" s="46">
        <f>(VLOOKUP($A140,'The List'!$B1:$AH730,31,FALSE)-AVERAGE('The List'!AF2:AF730))/STDEV('The List'!AF2:AF730)</f>
        <v>-0.449101688346133</v>
      </c>
      <c r="T140" s="46">
        <f>(VLOOKUP($A140,'The List'!$B1:$AH730,32,FALSE)-AVERAGE('The List'!AG2:AG730))/STDEV('The List'!AG2:AG730)</f>
        <v>-0.410123145442957</v>
      </c>
      <c r="U140" s="46">
        <f>(VLOOKUP($A140,'The List'!$B1:$AH730,33,FALSE)-AVERAGE('The List'!AH2:AH730))/STDEV('The List'!AH2:AH730)</f>
        <v>0.447524497356916</v>
      </c>
      <c r="V140" s="46"/>
      <c r="W140" s="48"/>
      <c r="X140" s="46"/>
      <c r="Y140" s="46"/>
      <c r="Z140" s="46"/>
      <c r="AA140" s="46"/>
      <c r="AB140" s="46"/>
      <c r="AC140" s="46"/>
      <c r="AD140" s="46"/>
      <c r="AE140" s="46"/>
    </row>
    <row r="141" ht="21.25" customHeight="1">
      <c r="A141" t="s" s="8">
        <v>229</v>
      </c>
      <c r="B141" t="s" s="42">
        <f>VLOOKUP(A141,'Player Data'!A1:B734,2,FALSE)</f>
        <v>189</v>
      </c>
      <c r="C141" s="44">
        <f>((E141)*'Settings'!$C$12)+(F141*'Settings'!$C$2)+(G141*'Settings'!$C$3)+(H141*'Settings'!$C$4)+(I141*'Settings'!$C$5)+(K141*'Settings'!$C$9)+(N141*'Settings'!$C$6)+(J141*'Settings'!$C$8)+(O141*'Settings'!$C$7)+(P141*'Settings'!$C$14)+(Q141*'Settings'!$C$15)+(R141*'Settings'!$C$16)+(S141*'Settings'!$C$17)+(T141*'Settings'!$C$18)+(U141*'Settings'!$C$19)+(L141*'Settings'!$C$10)+('Settings'!$C$11*M141)</f>
        <v>2.81235161245942</v>
      </c>
      <c r="D141" s="48">
        <f>IF('Settings'!$E$12="YES",VLOOKUP(A141,'Player Data'!A1:E734,5,FALSE),82)</f>
        <v>72.38</v>
      </c>
      <c r="E141" s="46">
        <f>(VLOOKUP($A141,'The List'!$B1:$AH730,17,FALSE)-AVERAGE('The List'!R2:R730))/STDEV('The List'!R2:R730)</f>
        <v>1.94476786374221</v>
      </c>
      <c r="F141" s="46">
        <f>(VLOOKUP($A141,'The List'!$B1:$AH730,18,FALSE)-AVERAGE('The List'!S2:S730))/STDEV('The List'!S2:S730)</f>
        <v>-0.0536115660946264</v>
      </c>
      <c r="G141" s="46">
        <f>(VLOOKUP($A141,'The List'!$B1:$AH730,19,FALSE)-AVERAGE('The List'!T2:T730))/STDEV('The List'!T2:T730)</f>
        <v>1.09310915117564</v>
      </c>
      <c r="H141" s="46">
        <f>(VLOOKUP($A141,'The List'!$B1:$AH730,20,FALSE)-AVERAGE('The List'!U2:U730))/STDEV('The List'!U2:U730)</f>
        <v>0.6494930864344149</v>
      </c>
      <c r="I141" s="46">
        <f>(VLOOKUP($A141,'The List'!$B1:$AH730,21,FALSE)-AVERAGE('The List'!V2:V730))/STDEV('The List'!V2:V730)</f>
        <v>1.20815946424227</v>
      </c>
      <c r="J141" s="46">
        <f>(VLOOKUP($A141,'The List'!$B1:$AH730,22,FALSE)-AVERAGE('The List'!W2:W730))/STDEV('The List'!W2:W730)</f>
        <v>0.09677209026012611</v>
      </c>
      <c r="K141" s="46">
        <f>(VLOOKUP($A141,'The List'!$B1:$AH730,23,FALSE)-AVERAGE('The List'!X2:X730))/STDEV('The List'!X2:X730)</f>
        <v>0.829547821200445</v>
      </c>
      <c r="L141" s="46">
        <f>(VLOOKUP($A141,'The List'!$B1:$AH730,24,FALSE)-AVERAGE('The List'!Y2:Y730))/STDEV('The List'!Y2:Y730)</f>
        <v>-0.489615025270154</v>
      </c>
      <c r="M141" s="46">
        <f>(VLOOKUP($A141,'The List'!$B1:$AH730,25,FALSE)-AVERAGE('The List'!Z2:Z730))/STDEV('The List'!Z2:Z730)</f>
        <v>-0.320125090968855</v>
      </c>
      <c r="N141" s="46">
        <f>(VLOOKUP($A141,'The List'!$B1:$AH730,26,FALSE)-AVERAGE('The List'!AA2:AA730))/STDEV('The List'!AA2:AA730)</f>
        <v>1.13147939621166</v>
      </c>
      <c r="O141" s="46">
        <f>(VLOOKUP($A141,'The List'!$B1:$AH730,27,FALSE)-AVERAGE('The List'!AB2:AB730))/STDEV('The List'!AB2:AB730)</f>
        <v>-0.817454952458355</v>
      </c>
      <c r="P141" s="46">
        <f>(VLOOKUP($A141,'The List'!$B1:$AH730,28,FALSE)-AVERAGE('The List'!AC2:AC730))/STDEV('The List'!AC2:AC730)</f>
        <v>-1.39633265427597</v>
      </c>
      <c r="Q141" s="46">
        <f>(VLOOKUP($A141,'The List'!$B1:$AH730,29,FALSE)-AVERAGE('The List'!AD2:AD730))/STDEV('The List'!AD2:AD730)</f>
        <v>-0.465816178839027</v>
      </c>
      <c r="R141" s="46">
        <f>(VLOOKUP($A141,'The List'!$B1:$AH730,30,FALSE)-AVERAGE('The List'!AE2:AE730))/STDEV('The List'!AE2:AE730)</f>
        <v>-0.318502535547408</v>
      </c>
      <c r="S141" s="46">
        <f>(VLOOKUP($A141,'The List'!$B1:$AH730,31,FALSE)-AVERAGE('The List'!AF2:AF730))/STDEV('The List'!AF2:AF730)</f>
        <v>-0.5569063253591</v>
      </c>
      <c r="T141" s="46">
        <f>(VLOOKUP($A141,'The List'!$B1:$AH730,32,FALSE)-AVERAGE('The List'!AG2:AG730))/STDEV('The List'!AG2:AG730)</f>
        <v>-0.600856269042678</v>
      </c>
      <c r="U141" s="46">
        <f>(VLOOKUP($A141,'The List'!$B1:$AH730,33,FALSE)-AVERAGE('The List'!AH2:AH730))/STDEV('The List'!AH2:AH730)</f>
        <v>-1.2363238714826</v>
      </c>
      <c r="V141" s="46"/>
      <c r="W141" s="50"/>
      <c r="X141" s="48"/>
      <c r="Y141" s="48"/>
      <c r="Z141" s="48"/>
      <c r="AA141" s="48"/>
      <c r="AB141" s="48"/>
      <c r="AC141" s="51"/>
      <c r="AD141" s="52"/>
      <c r="AE141" s="46"/>
    </row>
    <row r="142" ht="21.25" customHeight="1">
      <c r="A142" t="s" s="8">
        <v>157</v>
      </c>
      <c r="B142" t="s" s="42">
        <f>VLOOKUP(A142,'Player Data'!A1:B734,2,FALSE)</f>
        <v>108</v>
      </c>
      <c r="C142" s="44">
        <f>((E142)*'Settings'!$C$12)+(F142*'Settings'!$C$2)+(G142*'Settings'!$C$3)+(H142*'Settings'!$C$4)+(I142*'Settings'!$C$5)+(K142*'Settings'!$C$9)+(N142*'Settings'!$C$6)+(J142*'Settings'!$C$8)+(O142*'Settings'!$C$7)+(P142*'Settings'!$C$14)+(Q142*'Settings'!$C$15)+(R142*'Settings'!$C$16)+(S142*'Settings'!$C$17)+(T142*'Settings'!$C$18)+(U142*'Settings'!$C$19)+(L142*'Settings'!$C$10)+('Settings'!$C$11*M142)</f>
        <v>8.88211286930405</v>
      </c>
      <c r="D142" s="48">
        <f>IF('Settings'!$E$12="YES",VLOOKUP(A142,'Player Data'!A1:E734,5,FALSE),82)</f>
        <v>81.6925</v>
      </c>
      <c r="E142" s="46">
        <f>(VLOOKUP($A142,'The List'!$B1:$AH730,17,FALSE)-AVERAGE('The List'!R2:R730))/STDEV('The List'!R2:R730)</f>
        <v>1.36122186557106</v>
      </c>
      <c r="F142" s="46">
        <f>(VLOOKUP($A142,'The List'!$B1:$AH730,18,FALSE)-AVERAGE('The List'!S2:S730))/STDEV('The List'!S2:S730)</f>
        <v>0.170535947004741</v>
      </c>
      <c r="G142" s="46">
        <f>(VLOOKUP($A142,'The List'!$B1:$AH730,19,FALSE)-AVERAGE('The List'!T2:T730))/STDEV('The List'!T2:T730)</f>
        <v>1.98218916037457</v>
      </c>
      <c r="H142" s="46">
        <f>(VLOOKUP($A142,'The List'!$B1:$AH730,20,FALSE)-AVERAGE('The List'!U2:U730))/STDEV('The List'!U2:U730)</f>
        <v>1.2995908402193</v>
      </c>
      <c r="I142" s="46">
        <f>(VLOOKUP($A142,'The List'!$B1:$AH730,21,FALSE)-AVERAGE('The List'!V2:V730))/STDEV('The List'!V2:V730)</f>
        <v>1.69865388468339</v>
      </c>
      <c r="J142" s="46">
        <f>(VLOOKUP($A142,'The List'!$B1:$AH730,22,FALSE)-AVERAGE('The List'!W2:W730))/STDEV('The List'!W2:W730)</f>
        <v>0.661555944121938</v>
      </c>
      <c r="K142" s="46">
        <f>(VLOOKUP($A142,'The List'!$B1:$AH730,23,FALSE)-AVERAGE('The List'!X2:X730))/STDEV('The List'!X2:X730)</f>
        <v>1.84582502418255</v>
      </c>
      <c r="L142" s="46">
        <f>(VLOOKUP($A142,'The List'!$B1:$AH730,24,FALSE)-AVERAGE('The List'!Y2:Y730))/STDEV('The List'!Y2:Y730)</f>
        <v>-0.529519198561703</v>
      </c>
      <c r="M142" s="46">
        <f>(VLOOKUP($A142,'The List'!$B1:$AH730,25,FALSE)-AVERAGE('The List'!Z2:Z730))/STDEV('The List'!Z2:Z730)</f>
        <v>-0.497583908997527</v>
      </c>
      <c r="N142" s="46">
        <f>(VLOOKUP($A142,'The List'!$B1:$AH730,26,FALSE)-AVERAGE('The List'!AA2:AA730))/STDEV('The List'!AA2:AA730)</f>
        <v>1.03123018978286</v>
      </c>
      <c r="O142" s="46">
        <f>(VLOOKUP($A142,'The List'!$B1:$AH730,27,FALSE)-AVERAGE('The List'!AB2:AB730))/STDEV('The List'!AB2:AB730)</f>
        <v>0.234694239891829</v>
      </c>
      <c r="P142" s="46">
        <f>(VLOOKUP($A142,'The List'!$B1:$AH730,28,FALSE)-AVERAGE('The List'!AC2:AC730))/STDEV('The List'!AC2:AC730)</f>
        <v>2.15367866327594</v>
      </c>
      <c r="Q142" s="46">
        <f>(VLOOKUP($A142,'The List'!$B1:$AH730,29,FALSE)-AVERAGE('The List'!AD2:AD730))/STDEV('The List'!AD2:AD730)</f>
        <v>0.149646493277286</v>
      </c>
      <c r="R142" s="46">
        <f>(VLOOKUP($A142,'The List'!$B1:$AH730,30,FALSE)-AVERAGE('The List'!AE2:AE730))/STDEV('The List'!AE2:AE730)</f>
        <v>0.325594301096392</v>
      </c>
      <c r="S142" s="46">
        <f>(VLOOKUP($A142,'The List'!$B1:$AH730,31,FALSE)-AVERAGE('The List'!AF2:AF730))/STDEV('The List'!AF2:AF730)</f>
        <v>-0.5569063253591</v>
      </c>
      <c r="T142" s="46">
        <f>(VLOOKUP($A142,'The List'!$B1:$AH730,32,FALSE)-AVERAGE('The List'!AG2:AG730))/STDEV('The List'!AG2:AG730)</f>
        <v>-0.600856269042678</v>
      </c>
      <c r="U142" s="46">
        <f>(VLOOKUP($A142,'The List'!$B1:$AH730,33,FALSE)-AVERAGE('The List'!AH2:AH730))/STDEV('The List'!AH2:AH730)</f>
        <v>-1.2363238714826</v>
      </c>
      <c r="V142" s="46"/>
      <c r="W142" s="48"/>
      <c r="X142" s="48"/>
      <c r="Y142" s="48"/>
      <c r="Z142" s="48"/>
      <c r="AA142" s="48"/>
      <c r="AB142" s="48"/>
      <c r="AC142" s="51"/>
      <c r="AD142" s="52"/>
      <c r="AE142" s="46"/>
    </row>
    <row r="143" ht="21.25" customHeight="1">
      <c r="A143" t="s" s="8">
        <v>308</v>
      </c>
      <c r="B143" t="s" s="42">
        <f>VLOOKUP(A143,'Player Data'!A1:B734,2,FALSE)</f>
        <v>236</v>
      </c>
      <c r="C143" s="44">
        <f>((E143)*'Settings'!$C$12)+(F143*'Settings'!$C$2)+(G143*'Settings'!$C$3)+(H143*'Settings'!$C$4)+(I143*'Settings'!$C$5)+(K143*'Settings'!$C$9)+(N143*'Settings'!$C$6)+(J143*'Settings'!$C$8)+(O143*'Settings'!$C$7)+(P143*'Settings'!$C$14)+(Q143*'Settings'!$C$15)+(R143*'Settings'!$C$16)+(S143*'Settings'!$C$17)+(T143*'Settings'!$C$18)+(U143*'Settings'!$C$19)+(L143*'Settings'!$C$10)+('Settings'!$C$11*M143)</f>
        <v>2.11111488660806</v>
      </c>
      <c r="D143" s="48">
        <f>IF('Settings'!$E$12="YES",VLOOKUP(A143,'Player Data'!A1:E734,5,FALSE),82)</f>
        <v>76.91928571428571</v>
      </c>
      <c r="E143" s="46">
        <f>(VLOOKUP($A143,'The List'!$B1:$AH730,17,FALSE)-AVERAGE('The List'!R2:R730))/STDEV('The List'!R2:R730)</f>
        <v>0.348527836690255</v>
      </c>
      <c r="F143" s="46">
        <f>(VLOOKUP($A143,'The List'!$B1:$AH730,18,FALSE)-AVERAGE('The List'!S2:S730))/STDEV('The List'!S2:S730)</f>
        <v>1.21013513032021</v>
      </c>
      <c r="G143" s="46">
        <f>(VLOOKUP($A143,'The List'!$B1:$AH730,19,FALSE)-AVERAGE('The List'!T2:T730))/STDEV('The List'!T2:T730)</f>
        <v>0.189986580595246</v>
      </c>
      <c r="H143" s="46">
        <f>(VLOOKUP($A143,'The List'!$B1:$AH730,20,FALSE)-AVERAGE('The List'!U2:U730))/STDEV('The List'!U2:U730)</f>
        <v>0.667759984215995</v>
      </c>
      <c r="I143" s="46">
        <f>(VLOOKUP($A143,'The List'!$B1:$AH730,21,FALSE)-AVERAGE('The List'!V2:V730))/STDEV('The List'!V2:V730)</f>
        <v>1.61900399707553</v>
      </c>
      <c r="J143" s="46">
        <f>(VLOOKUP($A143,'The List'!$B1:$AH730,22,FALSE)-AVERAGE('The List'!W2:W730))/STDEV('The List'!W2:W730)</f>
        <v>1.48147394015838</v>
      </c>
      <c r="K143" s="46">
        <f>(VLOOKUP($A143,'The List'!$B1:$AH730,23,FALSE)-AVERAGE('The List'!X2:X730))/STDEV('The List'!X2:X730)</f>
        <v>0.69312582996103</v>
      </c>
      <c r="L143" s="46">
        <f>(VLOOKUP($A143,'The List'!$B1:$AH730,24,FALSE)-AVERAGE('The List'!Y2:Y730))/STDEV('The List'!Y2:Y730)</f>
        <v>-0.420272487032861</v>
      </c>
      <c r="M143" s="46">
        <f>(VLOOKUP($A143,'The List'!$B1:$AH730,25,FALSE)-AVERAGE('The List'!Z2:Z730))/STDEV('The List'!Z2:Z730)</f>
        <v>-0.584131568089891</v>
      </c>
      <c r="N143" s="46">
        <f>(VLOOKUP($A143,'The List'!$B1:$AH730,26,FALSE)-AVERAGE('The List'!AA2:AA730))/STDEV('The List'!AA2:AA730)</f>
        <v>-0.08835523657291169</v>
      </c>
      <c r="O143" s="46">
        <f>(VLOOKUP($A143,'The List'!$B1:$AH730,27,FALSE)-AVERAGE('The List'!AB2:AB730))/STDEV('The List'!AB2:AB730)</f>
        <v>0.726794590493725</v>
      </c>
      <c r="P143" s="46">
        <f>(VLOOKUP($A143,'The List'!$B1:$AH730,28,FALSE)-AVERAGE('The List'!AC2:AC730))/STDEV('The List'!AC2:AC730)</f>
        <v>-1.51278141477104</v>
      </c>
      <c r="Q143" s="46">
        <f>(VLOOKUP($A143,'The List'!$B1:$AH730,29,FALSE)-AVERAGE('The List'!AD2:AD730))/STDEV('The List'!AD2:AD730)</f>
        <v>-0.751219151870162</v>
      </c>
      <c r="R143" s="46">
        <f>(VLOOKUP($A143,'The List'!$B1:$AH730,30,FALSE)-AVERAGE('The List'!AE2:AE730))/STDEV('The List'!AE2:AE730)</f>
        <v>0.732072227488705</v>
      </c>
      <c r="S143" s="46">
        <f>(VLOOKUP($A143,'The List'!$B1:$AH730,31,FALSE)-AVERAGE('The List'!AF2:AF730))/STDEV('The List'!AF2:AF730)</f>
        <v>-0.458815867261017</v>
      </c>
      <c r="T143" s="46">
        <f>(VLOOKUP($A143,'The List'!$B1:$AH730,32,FALSE)-AVERAGE('The List'!AG2:AG730))/STDEV('The List'!AG2:AG730)</f>
        <v>-0.520610801871758</v>
      </c>
      <c r="U143" s="46">
        <f>(VLOOKUP($A143,'The List'!$B1:$AH730,33,FALSE)-AVERAGE('The List'!AH2:AH730))/STDEV('The List'!AH2:AH730)</f>
        <v>1.30407948098294</v>
      </c>
      <c r="V143" s="46"/>
      <c r="W143" s="50"/>
      <c r="X143" s="48"/>
      <c r="Y143" s="48"/>
      <c r="Z143" s="48"/>
      <c r="AA143" s="48"/>
      <c r="AB143" s="48"/>
      <c r="AC143" s="51"/>
      <c r="AD143" s="52"/>
      <c r="AE143" s="46"/>
    </row>
    <row r="144" ht="21.25" customHeight="1">
      <c r="A144" t="s" s="8">
        <v>397</v>
      </c>
      <c r="B144" t="s" s="42">
        <f>VLOOKUP(A144,'Player Data'!A1:B734,2,FALSE)</f>
        <v>202</v>
      </c>
      <c r="C144" s="44">
        <f>((E144)*'Settings'!$C$12)+(F144*'Settings'!$C$2)+(G144*'Settings'!$C$3)+(H144*'Settings'!$C$4)+(I144*'Settings'!$C$5)+(K144*'Settings'!$C$9)+(N144*'Settings'!$C$6)+(J144*'Settings'!$C$8)+(O144*'Settings'!$C$7)+(P144*'Settings'!$C$14)+(Q144*'Settings'!$C$15)+(R144*'Settings'!$C$16)+(S144*'Settings'!$C$17)+(T144*'Settings'!$C$18)+(U144*'Settings'!$C$19)+(L144*'Settings'!$C$10)+('Settings'!$C$11*M144)</f>
        <v>2.70580528820694</v>
      </c>
      <c r="D144" s="48">
        <f>IF('Settings'!$E$12="YES",VLOOKUP(A144,'Player Data'!A1:E734,5,FALSE),82)</f>
        <v>76.49250000000001</v>
      </c>
      <c r="E144" s="46">
        <f>(VLOOKUP($A144,'The List'!$B1:$AH730,17,FALSE)-AVERAGE('The List'!R2:R730))/STDEV('The List'!R2:R730)</f>
        <v>-0.219421045676234</v>
      </c>
      <c r="F144" s="46">
        <f>(VLOOKUP($A144,'The List'!$B1:$AH730,18,FALSE)-AVERAGE('The List'!S2:S730))/STDEV('The List'!S2:S730)</f>
        <v>0.841924659644968</v>
      </c>
      <c r="G144" s="46">
        <f>(VLOOKUP($A144,'The List'!$B1:$AH730,19,FALSE)-AVERAGE('The List'!T2:T730))/STDEV('The List'!T2:T730)</f>
        <v>0.424282742283292</v>
      </c>
      <c r="H144" s="46">
        <f>(VLOOKUP($A144,'The List'!$B1:$AH730,20,FALSE)-AVERAGE('The List'!U2:U730))/STDEV('The List'!U2:U730)</f>
        <v>0.644657339507764</v>
      </c>
      <c r="I144" s="46">
        <f>(VLOOKUP($A144,'The List'!$B1:$AH730,21,FALSE)-AVERAGE('The List'!V2:V730))/STDEV('The List'!V2:V730)</f>
        <v>0.474912439904962</v>
      </c>
      <c r="J144" s="46">
        <f>(VLOOKUP($A144,'The List'!$B1:$AH730,22,FALSE)-AVERAGE('The List'!W2:W730))/STDEV('The List'!W2:W730)</f>
        <v>0.593176062876309</v>
      </c>
      <c r="K144" s="46">
        <f>(VLOOKUP($A144,'The List'!$B1:$AH730,23,FALSE)-AVERAGE('The List'!X2:X730))/STDEV('The List'!X2:X730)</f>
        <v>0.0258122639225604</v>
      </c>
      <c r="L144" s="46">
        <f>(VLOOKUP($A144,'The List'!$B1:$AH730,24,FALSE)-AVERAGE('The List'!Y2:Y730))/STDEV('The List'!Y2:Y730)</f>
        <v>-0.540871222026882</v>
      </c>
      <c r="M144" s="46">
        <f>(VLOOKUP($A144,'The List'!$B1:$AH730,25,FALSE)-AVERAGE('The List'!Z2:Z730))/STDEV('The List'!Z2:Z730)</f>
        <v>-0.719562562198329</v>
      </c>
      <c r="N144" s="46">
        <f>(VLOOKUP($A144,'The List'!$B1:$AH730,26,FALSE)-AVERAGE('The List'!AA2:AA730))/STDEV('The List'!AA2:AA730)</f>
        <v>-1.02090602284752</v>
      </c>
      <c r="O144" s="46">
        <f>(VLOOKUP($A144,'The List'!$B1:$AH730,27,FALSE)-AVERAGE('The List'!AB2:AB730))/STDEV('The List'!AB2:AB730)</f>
        <v>-0.248945192090858</v>
      </c>
      <c r="P144" s="46">
        <f>(VLOOKUP($A144,'The List'!$B1:$AH730,28,FALSE)-AVERAGE('The List'!AC2:AC730))/STDEV('The List'!AC2:AC730)</f>
        <v>1.95977920529868</v>
      </c>
      <c r="Q144" s="46">
        <f>(VLOOKUP($A144,'The List'!$B1:$AH730,29,FALSE)-AVERAGE('The List'!AD2:AD730))/STDEV('The List'!AD2:AD730)</f>
        <v>2.03889334508115</v>
      </c>
      <c r="R144" s="46">
        <f>(VLOOKUP($A144,'The List'!$B1:$AH730,30,FALSE)-AVERAGE('The List'!AE2:AE730))/STDEV('The List'!AE2:AE730)</f>
        <v>1.31106564269734</v>
      </c>
      <c r="S144" s="46">
        <f>(VLOOKUP($A144,'The List'!$B1:$AH730,31,FALSE)-AVERAGE('The List'!AF2:AF730))/STDEV('The List'!AF2:AF730)</f>
        <v>-0.543439922401744</v>
      </c>
      <c r="T144" s="46">
        <f>(VLOOKUP($A144,'The List'!$B1:$AH730,32,FALSE)-AVERAGE('The List'!AG2:AG730))/STDEV('The List'!AG2:AG730)</f>
        <v>-0.58138880591181</v>
      </c>
      <c r="U144" s="46">
        <f>(VLOOKUP($A144,'The List'!$B1:$AH730,33,FALSE)-AVERAGE('The List'!AH2:AH730))/STDEV('The List'!AH2:AH730)</f>
        <v>0.665718969022432</v>
      </c>
      <c r="V144" s="46"/>
      <c r="W144" s="50"/>
      <c r="X144" s="48"/>
      <c r="Y144" s="48"/>
      <c r="Z144" s="48"/>
      <c r="AA144" s="48"/>
      <c r="AB144" s="48"/>
      <c r="AC144" s="51"/>
      <c r="AD144" s="52"/>
      <c r="AE144" s="46"/>
    </row>
    <row r="145" ht="21.25" customHeight="1">
      <c r="A145" t="s" s="8">
        <v>531</v>
      </c>
      <c r="B145" t="s" s="42">
        <f>VLOOKUP(A145,'Player Data'!A1:B734,2,FALSE)</f>
        <v>166</v>
      </c>
      <c r="C145" s="44">
        <f>((E145)*'Settings'!$C$12)+(F145*'Settings'!$C$2)+(G145*'Settings'!$C$3)+(H145*'Settings'!$C$4)+(I145*'Settings'!$C$5)+(K145*'Settings'!$C$9)+(N145*'Settings'!$C$6)+(J145*'Settings'!$C$8)+(O145*'Settings'!$C$7)+(P145*'Settings'!$C$14)+(Q145*'Settings'!$C$15)+(R145*'Settings'!$C$16)+(S145*'Settings'!$C$17)+(T145*'Settings'!$C$18)+(U145*'Settings'!$C$19)+(L145*'Settings'!$C$10)+('Settings'!$C$11*M145)</f>
        <v>-0.869258279205243</v>
      </c>
      <c r="D145" s="48">
        <f>IF('Settings'!$E$12="YES",VLOOKUP(A145,'Player Data'!A1:E734,5,FALSE),82)</f>
        <v>53.6</v>
      </c>
      <c r="E145" s="46">
        <f>(VLOOKUP($A145,'The List'!$B1:$AH730,17,FALSE)-AVERAGE('The List'!R2:R730))/STDEV('The List'!R2:R730)</f>
        <v>-0.432930931459301</v>
      </c>
      <c r="F145" s="46">
        <f>(VLOOKUP($A145,'The List'!$B1:$AH730,18,FALSE)-AVERAGE('The List'!S2:S730))/STDEV('The List'!S2:S730)</f>
        <v>0.475093047365253</v>
      </c>
      <c r="G145" s="46">
        <f>(VLOOKUP($A145,'The List'!$B1:$AH730,19,FALSE)-AVERAGE('The List'!T2:T730))/STDEV('The List'!T2:T730)</f>
        <v>-0.409219967036797</v>
      </c>
      <c r="H145" s="46">
        <f>(VLOOKUP($A145,'The List'!$B1:$AH730,20,FALSE)-AVERAGE('The List'!U2:U730))/STDEV('The List'!U2:U730)</f>
        <v>-0.0361018661483421</v>
      </c>
      <c r="I145" s="46">
        <f>(VLOOKUP($A145,'The List'!$B1:$AH730,21,FALSE)-AVERAGE('The List'!V2:V730))/STDEV('The List'!V2:V730)</f>
        <v>0.236909150203459</v>
      </c>
      <c r="J145" s="46">
        <f>(VLOOKUP($A145,'The List'!$B1:$AH730,22,FALSE)-AVERAGE('The List'!W2:W730))/STDEV('The List'!W2:W730)</f>
        <v>0.195651520682366</v>
      </c>
      <c r="K145" s="46">
        <f>(VLOOKUP($A145,'The List'!$B1:$AH730,23,FALSE)-AVERAGE('The List'!X2:X730))/STDEV('The List'!X2:X730)</f>
        <v>0.00756034313760876</v>
      </c>
      <c r="L145" s="46">
        <f>(VLOOKUP($A145,'The List'!$B1:$AH730,24,FALSE)-AVERAGE('The List'!Y2:Y730))/STDEV('The List'!Y2:Y730)</f>
        <v>-0.542843480388394</v>
      </c>
      <c r="M145" s="46">
        <f>(VLOOKUP($A145,'The List'!$B1:$AH730,25,FALSE)-AVERAGE('The List'!Z2:Z730))/STDEV('The List'!Z2:Z730)</f>
        <v>-0.72177514995105</v>
      </c>
      <c r="N145" s="46">
        <f>(VLOOKUP($A145,'The List'!$B1:$AH730,26,FALSE)-AVERAGE('The List'!AA2:AA730))/STDEV('The List'!AA2:AA730)</f>
        <v>-0.896751466185936</v>
      </c>
      <c r="O145" s="46">
        <f>(VLOOKUP($A145,'The List'!$B1:$AH730,27,FALSE)-AVERAGE('The List'!AB2:AB730))/STDEV('The List'!AB2:AB730)</f>
        <v>-0.955762255477575</v>
      </c>
      <c r="P145" s="46">
        <f>(VLOOKUP($A145,'The List'!$B1:$AH730,28,FALSE)-AVERAGE('The List'!AC2:AC730))/STDEV('The List'!AC2:AC730)</f>
        <v>-0.282849386688831</v>
      </c>
      <c r="Q145" s="46">
        <f>(VLOOKUP($A145,'The List'!$B1:$AH730,29,FALSE)-AVERAGE('The List'!AD2:AD730))/STDEV('The List'!AD2:AD730)</f>
        <v>-0.780126246977486</v>
      </c>
      <c r="R145" s="46">
        <f>(VLOOKUP($A145,'The List'!$B1:$AH730,30,FALSE)-AVERAGE('The List'!AE2:AE730))/STDEV('The List'!AE2:AE730)</f>
        <v>0.232762650258815</v>
      </c>
      <c r="S145" s="46">
        <f>(VLOOKUP($A145,'The List'!$B1:$AH730,31,FALSE)-AVERAGE('The List'!AF2:AF730))/STDEV('The List'!AF2:AF730)</f>
        <v>-0.52223972863394</v>
      </c>
      <c r="T145" s="46">
        <f>(VLOOKUP($A145,'The List'!$B1:$AH730,32,FALSE)-AVERAGE('The List'!AG2:AG730))/STDEV('The List'!AG2:AG730)</f>
        <v>-0.522334676499803</v>
      </c>
      <c r="U145" s="46">
        <f>(VLOOKUP($A145,'The List'!$B1:$AH730,33,FALSE)-AVERAGE('The List'!AH2:AH730))/STDEV('The List'!AH2:AH730)</f>
        <v>0.195820902040897</v>
      </c>
      <c r="V145" s="46"/>
      <c r="W145" s="50"/>
      <c r="X145" s="48"/>
      <c r="Y145" s="48"/>
      <c r="Z145" s="48"/>
      <c r="AA145" s="48"/>
      <c r="AB145" s="48"/>
      <c r="AC145" s="51"/>
      <c r="AD145" s="52"/>
      <c r="AE145" s="46"/>
    </row>
    <row r="146" ht="21.25" customHeight="1">
      <c r="A146" t="s" s="8">
        <v>264</v>
      </c>
      <c r="B146" t="s" s="42">
        <f>VLOOKUP(A146,'Player Data'!A1:B734,2,FALSE)</f>
        <v>204</v>
      </c>
      <c r="C146" s="44">
        <f>((E146)*'Settings'!$C$12)+(F146*'Settings'!$C$2)+(G146*'Settings'!$C$3)+(H146*'Settings'!$C$4)+(I146*'Settings'!$C$5)+(K146*'Settings'!$C$9)+(N146*'Settings'!$C$6)+(J146*'Settings'!$C$8)+(O146*'Settings'!$C$7)+(P146*'Settings'!$C$14)+(Q146*'Settings'!$C$15)+(R146*'Settings'!$C$16)+(S146*'Settings'!$C$17)+(T146*'Settings'!$C$18)+(U146*'Settings'!$C$19)+(L146*'Settings'!$C$10)+('Settings'!$C$11*M146)</f>
        <v>3.51331432742723</v>
      </c>
      <c r="D146" s="48">
        <f>IF('Settings'!$E$12="YES",VLOOKUP(A146,'Player Data'!A1:E734,5,FALSE),82)</f>
        <v>75.94</v>
      </c>
      <c r="E146" s="46">
        <f>(VLOOKUP($A146,'The List'!$B1:$AH730,17,FALSE)-AVERAGE('The List'!R2:R730))/STDEV('The List'!R2:R730)</f>
        <v>2.60717333307395</v>
      </c>
      <c r="F146" s="46">
        <f>(VLOOKUP($A146,'The List'!$B1:$AH730,18,FALSE)-AVERAGE('The List'!S2:S730))/STDEV('The List'!S2:S730)</f>
        <v>-0.409629045251852</v>
      </c>
      <c r="G146" s="46">
        <f>(VLOOKUP($A146,'The List'!$B1:$AH730,19,FALSE)-AVERAGE('The List'!T2:T730))/STDEV('The List'!T2:T730)</f>
        <v>1.10841536894874</v>
      </c>
      <c r="H146" s="46">
        <f>(VLOOKUP($A146,'The List'!$B1:$AH730,20,FALSE)-AVERAGE('The List'!U2:U730))/STDEV('The List'!U2:U730)</f>
        <v>0.496934075315631</v>
      </c>
      <c r="I146" s="46">
        <f>(VLOOKUP($A146,'The List'!$B1:$AH730,21,FALSE)-AVERAGE('The List'!V2:V730))/STDEV('The List'!V2:V730)</f>
        <v>0.201892368657995</v>
      </c>
      <c r="J146" s="46">
        <f>(VLOOKUP($A146,'The List'!$B1:$AH730,22,FALSE)-AVERAGE('The List'!W2:W730))/STDEV('The List'!W2:W730)</f>
        <v>0.501845010596182</v>
      </c>
      <c r="K146" s="46">
        <f>(VLOOKUP($A146,'The List'!$B1:$AH730,23,FALSE)-AVERAGE('The List'!X2:X730))/STDEV('The List'!X2:X730)</f>
        <v>1.47334980156053</v>
      </c>
      <c r="L146" s="46">
        <f>(VLOOKUP($A146,'The List'!$B1:$AH730,24,FALSE)-AVERAGE('The List'!Y2:Y730))/STDEV('The List'!Y2:Y730)</f>
        <v>-0.499691687089517</v>
      </c>
      <c r="M146" s="46">
        <f>(VLOOKUP($A146,'The List'!$B1:$AH730,25,FALSE)-AVERAGE('The List'!Z2:Z730))/STDEV('The List'!Z2:Z730)</f>
        <v>-0.389827740670208</v>
      </c>
      <c r="N146" s="46">
        <f>(VLOOKUP($A146,'The List'!$B1:$AH730,26,FALSE)-AVERAGE('The List'!AA2:AA730))/STDEV('The List'!AA2:AA730)</f>
        <v>1.19914909069234</v>
      </c>
      <c r="O146" s="46">
        <f>(VLOOKUP($A146,'The List'!$B1:$AH730,27,FALSE)-AVERAGE('The List'!AB2:AB730))/STDEV('The List'!AB2:AB730)</f>
        <v>0.397286546989717</v>
      </c>
      <c r="P146" s="46">
        <f>(VLOOKUP($A146,'The List'!$B1:$AH730,28,FALSE)-AVERAGE('The List'!AC2:AC730))/STDEV('The List'!AC2:AC730)</f>
        <v>-0.0598632571805204</v>
      </c>
      <c r="Q146" s="46">
        <f>(VLOOKUP($A146,'The List'!$B1:$AH730,29,FALSE)-AVERAGE('The List'!AD2:AD730))/STDEV('The List'!AD2:AD730)</f>
        <v>0.639801932248762</v>
      </c>
      <c r="R146" s="46">
        <f>(VLOOKUP($A146,'The List'!$B1:$AH730,30,FALSE)-AVERAGE('The List'!AE2:AE730))/STDEV('The List'!AE2:AE730)</f>
        <v>-0.330943058234218</v>
      </c>
      <c r="S146" s="46">
        <f>(VLOOKUP($A146,'The List'!$B1:$AH730,31,FALSE)-AVERAGE('The List'!AF2:AF730))/STDEV('The List'!AF2:AF730)</f>
        <v>-0.5569063253591</v>
      </c>
      <c r="T146" s="46">
        <f>(VLOOKUP($A146,'The List'!$B1:$AH730,32,FALSE)-AVERAGE('The List'!AG2:AG730))/STDEV('The List'!AG2:AG730)</f>
        <v>-0.600856269042678</v>
      </c>
      <c r="U146" s="46">
        <f>(VLOOKUP($A146,'The List'!$B1:$AH730,33,FALSE)-AVERAGE('The List'!AH2:AH730))/STDEV('The List'!AH2:AH730)</f>
        <v>-1.2363238714826</v>
      </c>
      <c r="V146" s="46"/>
      <c r="W146" s="48"/>
      <c r="X146" s="46"/>
      <c r="Y146" s="46"/>
      <c r="Z146" s="46"/>
      <c r="AA146" s="46"/>
      <c r="AB146" s="46"/>
      <c r="AC146" s="46"/>
      <c r="AD146" s="46"/>
      <c r="AE146" s="46"/>
    </row>
    <row r="147" ht="21.25" customHeight="1">
      <c r="A147" t="s" s="8">
        <v>383</v>
      </c>
      <c r="B147" t="s" s="42">
        <f>VLOOKUP(A147,'Player Data'!A1:B734,2,FALSE)</f>
        <v>189</v>
      </c>
      <c r="C147" s="44">
        <f>((E147)*'Settings'!$C$12)+(F147*'Settings'!$C$2)+(G147*'Settings'!$C$3)+(H147*'Settings'!$C$4)+(I147*'Settings'!$C$5)+(K147*'Settings'!$C$9)+(N147*'Settings'!$C$6)+(J147*'Settings'!$C$8)+(O147*'Settings'!$C$7)+(P147*'Settings'!$C$14)+(Q147*'Settings'!$C$15)+(R147*'Settings'!$C$16)+(S147*'Settings'!$C$17)+(T147*'Settings'!$C$18)+(U147*'Settings'!$C$19)+(L147*'Settings'!$C$10)+('Settings'!$C$11*M147)</f>
        <v>1.63290651569308</v>
      </c>
      <c r="D147" s="48">
        <f>IF('Settings'!$E$12="YES",VLOOKUP(A147,'Player Data'!A1:E734,5,FALSE),82)</f>
        <v>78</v>
      </c>
      <c r="E147" s="46">
        <f>(VLOOKUP($A147,'The List'!$B1:$AH730,17,FALSE)-AVERAGE('The List'!R2:R730))/STDEV('The List'!R2:R730)</f>
        <v>-0.127918934493708</v>
      </c>
      <c r="F147" s="46">
        <f>(VLOOKUP($A147,'The List'!$B1:$AH730,18,FALSE)-AVERAGE('The List'!S2:S730))/STDEV('The List'!S2:S730)</f>
        <v>0.757149471987384</v>
      </c>
      <c r="G147" s="46">
        <f>(VLOOKUP($A147,'The List'!$B1:$AH730,19,FALSE)-AVERAGE('The List'!T2:T730))/STDEV('The List'!T2:T730)</f>
        <v>0.521755331931294</v>
      </c>
      <c r="H147" s="46">
        <f>(VLOOKUP($A147,'The List'!$B1:$AH730,20,FALSE)-AVERAGE('The List'!U2:U730))/STDEV('The List'!U2:U730)</f>
        <v>0.66617349926757</v>
      </c>
      <c r="I147" s="46">
        <f>(VLOOKUP($A147,'The List'!$B1:$AH730,21,FALSE)-AVERAGE('The List'!V2:V730))/STDEV('The List'!V2:V730)</f>
        <v>0.438116981208258</v>
      </c>
      <c r="J147" s="46">
        <f>(VLOOKUP($A147,'The List'!$B1:$AH730,22,FALSE)-AVERAGE('The List'!W2:W730))/STDEV('The List'!W2:W730)</f>
        <v>0.806873371764505</v>
      </c>
      <c r="K147" s="46">
        <f>(VLOOKUP($A147,'The List'!$B1:$AH730,23,FALSE)-AVERAGE('The List'!X2:X730))/STDEV('The List'!X2:X730)</f>
        <v>0.61030035471045</v>
      </c>
      <c r="L147" s="46">
        <f>(VLOOKUP($A147,'The List'!$B1:$AH730,24,FALSE)-AVERAGE('The List'!Y2:Y730))/STDEV('The List'!Y2:Y730)</f>
        <v>-0.542843480388394</v>
      </c>
      <c r="M147" s="46">
        <f>(VLOOKUP($A147,'The List'!$B1:$AH730,25,FALSE)-AVERAGE('The List'!Z2:Z730))/STDEV('The List'!Z2:Z730)</f>
        <v>-0.72177514995105</v>
      </c>
      <c r="N147" s="46">
        <f>(VLOOKUP($A147,'The List'!$B1:$AH730,26,FALSE)-AVERAGE('The List'!AA2:AA730))/STDEV('The List'!AA2:AA730)</f>
        <v>-0.64325406623994</v>
      </c>
      <c r="O147" s="46">
        <f>(VLOOKUP($A147,'The List'!$B1:$AH730,27,FALSE)-AVERAGE('The List'!AB2:AB730))/STDEV('The List'!AB2:AB730)</f>
        <v>-0.619724530636668</v>
      </c>
      <c r="P147" s="46">
        <f>(VLOOKUP($A147,'The List'!$B1:$AH730,28,FALSE)-AVERAGE('The List'!AC2:AC730))/STDEV('The List'!AC2:AC730)</f>
        <v>-0.0511615579043685</v>
      </c>
      <c r="Q147" s="46">
        <f>(VLOOKUP($A147,'The List'!$B1:$AH730,29,FALSE)-AVERAGE('The List'!AD2:AD730))/STDEV('The List'!AD2:AD730)</f>
        <v>0.352955140655594</v>
      </c>
      <c r="R147" s="46">
        <f>(VLOOKUP($A147,'The List'!$B1:$AH730,30,FALSE)-AVERAGE('The List'!AE2:AE730))/STDEV('The List'!AE2:AE730)</f>
        <v>0.2468268220862</v>
      </c>
      <c r="S147" s="46">
        <f>(VLOOKUP($A147,'The List'!$B1:$AH730,31,FALSE)-AVERAGE('The List'!AF2:AF730))/STDEV('The List'!AF2:AF730)</f>
        <v>1.26545864182385</v>
      </c>
      <c r="T147" s="46">
        <f>(VLOOKUP($A147,'The List'!$B1:$AH730,32,FALSE)-AVERAGE('The List'!AG2:AG730))/STDEV('The List'!AG2:AG730)</f>
        <v>2.04603561139511</v>
      </c>
      <c r="U147" s="46">
        <f>(VLOOKUP($A147,'The List'!$B1:$AH730,33,FALSE)-AVERAGE('The List'!AH2:AH730))/STDEV('The List'!AH2:AH730)</f>
        <v>0.660541350630112</v>
      </c>
      <c r="V147" s="46"/>
      <c r="W147" s="48"/>
      <c r="X147" s="46"/>
      <c r="Y147" s="46"/>
      <c r="Z147" s="46"/>
      <c r="AA147" s="46"/>
      <c r="AB147" s="46"/>
      <c r="AC147" s="46"/>
      <c r="AD147" s="46"/>
      <c r="AE147" s="46"/>
    </row>
    <row r="148" ht="21.25" customHeight="1">
      <c r="A148" t="s" s="8">
        <v>408</v>
      </c>
      <c r="B148" t="s" s="42">
        <f>VLOOKUP(A148,'Player Data'!A1:B734,2,FALSE)</f>
        <v>166</v>
      </c>
      <c r="C148" s="44">
        <f>((E148)*'Settings'!$C$12)+(F148*'Settings'!$C$2)+(G148*'Settings'!$C$3)+(H148*'Settings'!$C$4)+(I148*'Settings'!$C$5)+(K148*'Settings'!$C$9)+(N148*'Settings'!$C$6)+(J148*'Settings'!$C$8)+(O148*'Settings'!$C$7)+(P148*'Settings'!$C$14)+(Q148*'Settings'!$C$15)+(R148*'Settings'!$C$16)+(S148*'Settings'!$C$17)+(T148*'Settings'!$C$18)+(U148*'Settings'!$C$19)+(L148*'Settings'!$C$10)+('Settings'!$C$11*M148)</f>
        <v>0.39020155339518</v>
      </c>
      <c r="D148" s="48">
        <f>IF('Settings'!$E$12="YES",VLOOKUP(A148,'Player Data'!A1:E734,5,FALSE),82)</f>
        <v>70.59999999999999</v>
      </c>
      <c r="E148" s="46">
        <f>(VLOOKUP($A148,'The List'!$B1:$AH730,17,FALSE)-AVERAGE('The List'!R2:R730))/STDEV('The List'!R2:R730)</f>
        <v>0.479272067264552</v>
      </c>
      <c r="F148" s="46">
        <f>(VLOOKUP($A148,'The List'!$B1:$AH730,18,FALSE)-AVERAGE('The List'!S2:S730))/STDEV('The List'!S2:S730)</f>
        <v>0.831234026698118</v>
      </c>
      <c r="G148" s="46">
        <f>(VLOOKUP($A148,'The List'!$B1:$AH730,19,FALSE)-AVERAGE('The List'!T2:T730))/STDEV('The List'!T2:T730)</f>
        <v>0.100603075041359</v>
      </c>
      <c r="H148" s="46">
        <f>(VLOOKUP($A148,'The List'!$B1:$AH730,20,FALSE)-AVERAGE('The List'!U2:U730))/STDEV('The List'!U2:U730)</f>
        <v>0.440248626595555</v>
      </c>
      <c r="I148" s="46">
        <f>(VLOOKUP($A148,'The List'!$B1:$AH730,21,FALSE)-AVERAGE('The List'!V2:V730))/STDEV('The List'!V2:V730)</f>
        <v>0.372226798071403</v>
      </c>
      <c r="J148" s="46">
        <f>(VLOOKUP($A148,'The List'!$B1:$AH730,22,FALSE)-AVERAGE('The List'!W2:W730))/STDEV('The List'!W2:W730)</f>
        <v>0.229317519640781</v>
      </c>
      <c r="K148" s="46">
        <f>(VLOOKUP($A148,'The List'!$B1:$AH730,23,FALSE)-AVERAGE('The List'!X2:X730))/STDEV('The List'!X2:X730)</f>
        <v>-0.065828287544601</v>
      </c>
      <c r="L148" s="46">
        <f>(VLOOKUP($A148,'The List'!$B1:$AH730,24,FALSE)-AVERAGE('The List'!Y2:Y730))/STDEV('The List'!Y2:Y730)</f>
        <v>1.72719113353628</v>
      </c>
      <c r="M148" s="46">
        <f>(VLOOKUP($A148,'The List'!$B1:$AH730,25,FALSE)-AVERAGE('The List'!Z2:Z730))/STDEV('The List'!Z2:Z730)</f>
        <v>1.28427584760705</v>
      </c>
      <c r="N148" s="46">
        <f>(VLOOKUP($A148,'The List'!$B1:$AH730,26,FALSE)-AVERAGE('The List'!AA2:AA730))/STDEV('The List'!AA2:AA730)</f>
        <v>-0.064462620810649</v>
      </c>
      <c r="O148" s="46">
        <f>(VLOOKUP($A148,'The List'!$B1:$AH730,27,FALSE)-AVERAGE('The List'!AB2:AB730))/STDEV('The List'!AB2:AB730)</f>
        <v>2.10891251754863</v>
      </c>
      <c r="P148" s="46">
        <f>(VLOOKUP($A148,'The List'!$B1:$AH730,28,FALSE)-AVERAGE('The List'!AC2:AC730))/STDEV('The List'!AC2:AC730)</f>
        <v>-0.78357143806045</v>
      </c>
      <c r="Q148" s="46">
        <f>(VLOOKUP($A148,'The List'!$B1:$AH730,29,FALSE)-AVERAGE('The List'!AD2:AD730))/STDEV('The List'!AD2:AD730)</f>
        <v>3.36143313659056</v>
      </c>
      <c r="R148" s="46">
        <f>(VLOOKUP($A148,'The List'!$B1:$AH730,30,FALSE)-AVERAGE('The List'!AE2:AE730))/STDEV('The List'!AE2:AE730)</f>
        <v>0.517822749748488</v>
      </c>
      <c r="S148" s="46">
        <f>(VLOOKUP($A148,'The List'!$B1:$AH730,31,FALSE)-AVERAGE('The List'!AF2:AF730))/STDEV('The List'!AF2:AF730)</f>
        <v>-0.480953889121419</v>
      </c>
      <c r="T148" s="46">
        <f>(VLOOKUP($A148,'The List'!$B1:$AH730,32,FALSE)-AVERAGE('The List'!AG2:AG730))/STDEV('The List'!AG2:AG730)</f>
        <v>-0.480925156336347</v>
      </c>
      <c r="U148" s="46">
        <f>(VLOOKUP($A148,'The List'!$B1:$AH730,33,FALSE)-AVERAGE('The List'!AH2:AH730))/STDEV('The List'!AH2:AH730)</f>
        <v>0.569274203245298</v>
      </c>
      <c r="V148" s="46"/>
      <c r="W148" s="50"/>
      <c r="X148" s="48"/>
      <c r="Y148" s="48"/>
      <c r="Z148" s="48"/>
      <c r="AA148" s="48"/>
      <c r="AB148" s="48"/>
      <c r="AC148" s="51"/>
      <c r="AD148" s="52"/>
      <c r="AE148" s="46"/>
    </row>
    <row r="149" ht="21.25" customHeight="1">
      <c r="A149" t="s" s="8">
        <v>406</v>
      </c>
      <c r="B149" t="s" s="42">
        <f>VLOOKUP(A149,'Player Data'!A1:B734,2,FALSE)</f>
        <v>141</v>
      </c>
      <c r="C149" s="44">
        <f>((E149)*'Settings'!$C$12)+(F149*'Settings'!$C$2)+(G149*'Settings'!$C$3)+(H149*'Settings'!$C$4)+(I149*'Settings'!$C$5)+(K149*'Settings'!$C$9)+(N149*'Settings'!$C$6)+(J149*'Settings'!$C$8)+(O149*'Settings'!$C$7)+(P149*'Settings'!$C$14)+(Q149*'Settings'!$C$15)+(R149*'Settings'!$C$16)+(S149*'Settings'!$C$17)+(T149*'Settings'!$C$18)+(U149*'Settings'!$C$19)+(L149*'Settings'!$C$10)+('Settings'!$C$11*M149)</f>
        <v>0.833859196639005</v>
      </c>
      <c r="D149" s="48">
        <f>IF('Settings'!$E$12="YES",VLOOKUP(A149,'Player Data'!A1:E734,5,FALSE),82)</f>
        <v>72.9164285714286</v>
      </c>
      <c r="E149" s="46">
        <f>(VLOOKUP($A149,'The List'!$B1:$AH730,17,FALSE)-AVERAGE('The List'!R2:R730))/STDEV('The List'!R2:R730)</f>
        <v>0.269582334456051</v>
      </c>
      <c r="F149" s="46">
        <f>(VLOOKUP($A149,'The List'!$B1:$AH730,18,FALSE)-AVERAGE('The List'!S2:S730))/STDEV('The List'!S2:S730)</f>
        <v>0.146365924473731</v>
      </c>
      <c r="G149" s="46">
        <f>(VLOOKUP($A149,'The List'!$B1:$AH730,19,FALSE)-AVERAGE('The List'!T2:T730))/STDEV('The List'!T2:T730)</f>
        <v>0.711532800642242</v>
      </c>
      <c r="H149" s="46">
        <f>(VLOOKUP($A149,'The List'!$B1:$AH730,20,FALSE)-AVERAGE('The List'!U2:U730))/STDEV('The List'!U2:U730)</f>
        <v>0.505250050544264</v>
      </c>
      <c r="I149" s="46">
        <f>(VLOOKUP($A149,'The List'!$B1:$AH730,21,FALSE)-AVERAGE('The List'!V2:V730))/STDEV('The List'!V2:V730)</f>
        <v>-0.0659821623476991</v>
      </c>
      <c r="J149" s="46">
        <f>(VLOOKUP($A149,'The List'!$B1:$AH730,22,FALSE)-AVERAGE('The List'!W2:W730))/STDEV('The List'!W2:W730)</f>
        <v>0.322972122693788</v>
      </c>
      <c r="K149" s="46">
        <f>(VLOOKUP($A149,'The List'!$B1:$AH730,23,FALSE)-AVERAGE('The List'!X2:X730))/STDEV('The List'!X2:X730)</f>
        <v>0.637148988413073</v>
      </c>
      <c r="L149" s="46">
        <f>(VLOOKUP($A149,'The List'!$B1:$AH730,24,FALSE)-AVERAGE('The List'!Y2:Y730))/STDEV('The List'!Y2:Y730)</f>
        <v>-0.529781267262875</v>
      </c>
      <c r="M149" s="46">
        <f>(VLOOKUP($A149,'The List'!$B1:$AH730,25,FALSE)-AVERAGE('The List'!Z2:Z730))/STDEV('The List'!Z2:Z730)</f>
        <v>-0.706859135811739</v>
      </c>
      <c r="N149" s="46">
        <f>(VLOOKUP($A149,'The List'!$B1:$AH730,26,FALSE)-AVERAGE('The List'!AA2:AA730))/STDEV('The List'!AA2:AA730)</f>
        <v>-0.526793437748466</v>
      </c>
      <c r="O149" s="46">
        <f>(VLOOKUP($A149,'The List'!$B1:$AH730,27,FALSE)-AVERAGE('The List'!AB2:AB730))/STDEV('The List'!AB2:AB730)</f>
        <v>-0.907444953403404</v>
      </c>
      <c r="P149" s="46">
        <f>(VLOOKUP($A149,'The List'!$B1:$AH730,28,FALSE)-AVERAGE('The List'!AC2:AC730))/STDEV('The List'!AC2:AC730)</f>
        <v>-0.06841291679387559</v>
      </c>
      <c r="Q149" s="46">
        <f>(VLOOKUP($A149,'The List'!$B1:$AH730,29,FALSE)-AVERAGE('The List'!AD2:AD730))/STDEV('The List'!AD2:AD730)</f>
        <v>-0.675045295348784</v>
      </c>
      <c r="R149" s="46">
        <f>(VLOOKUP($A149,'The List'!$B1:$AH730,30,FALSE)-AVERAGE('The List'!AE2:AE730))/STDEV('The List'!AE2:AE730)</f>
        <v>-0.0195661379330669</v>
      </c>
      <c r="S149" s="46">
        <f>(VLOOKUP($A149,'The List'!$B1:$AH730,31,FALSE)-AVERAGE('The List'!AF2:AF730))/STDEV('The List'!AF2:AF730)</f>
        <v>-0.554646484919358</v>
      </c>
      <c r="T149" s="46">
        <f>(VLOOKUP($A149,'The List'!$B1:$AH730,32,FALSE)-AVERAGE('The List'!AG2:AG730))/STDEV('The List'!AG2:AG730)</f>
        <v>-0.589383065268957</v>
      </c>
      <c r="U149" s="46">
        <f>(VLOOKUP($A149,'The List'!$B1:$AH730,33,FALSE)-AVERAGE('The List'!AH2:AH730))/STDEV('The List'!AH2:AH730)</f>
        <v>-0.461262737198954</v>
      </c>
      <c r="V149" s="46"/>
      <c r="W149" s="50"/>
      <c r="X149" s="48"/>
      <c r="Y149" s="48"/>
      <c r="Z149" s="48"/>
      <c r="AA149" s="48"/>
      <c r="AB149" s="48"/>
      <c r="AC149" s="51"/>
      <c r="AD149" s="52"/>
      <c r="AE149" s="46"/>
    </row>
    <row r="150" ht="21.25" customHeight="1">
      <c r="A150" t="s" s="8">
        <v>335</v>
      </c>
      <c r="B150" t="s" s="42">
        <f>VLOOKUP(A150,'Player Data'!A1:B734,2,FALSE)</f>
        <v>238</v>
      </c>
      <c r="C150" s="44">
        <f>((E150)*'Settings'!$C$12)+(F150*'Settings'!$C$2)+(G150*'Settings'!$C$3)+(H150*'Settings'!$C$4)+(I150*'Settings'!$C$5)+(K150*'Settings'!$C$9)+(N150*'Settings'!$C$6)+(J150*'Settings'!$C$8)+(O150*'Settings'!$C$7)+(P150*'Settings'!$C$14)+(Q150*'Settings'!$C$15)+(R150*'Settings'!$C$16)+(S150*'Settings'!$C$17)+(T150*'Settings'!$C$18)+(U150*'Settings'!$C$19)+(L150*'Settings'!$C$10)+('Settings'!$C$11*M150)</f>
        <v>3.36574852969841</v>
      </c>
      <c r="D150" s="48">
        <f>IF('Settings'!$E$12="YES",VLOOKUP(A150,'Player Data'!A1:E734,5,FALSE),82)</f>
        <v>81.8</v>
      </c>
      <c r="E150" s="46">
        <f>(VLOOKUP($A150,'The List'!$B1:$AH730,17,FALSE)-AVERAGE('The List'!R2:R730))/STDEV('The List'!R2:R730)</f>
        <v>0.288495919336193</v>
      </c>
      <c r="F150" s="46">
        <f>(VLOOKUP($A150,'The List'!$B1:$AH730,18,FALSE)-AVERAGE('The List'!S2:S730))/STDEV('The List'!S2:S730)</f>
        <v>1.2658853257312</v>
      </c>
      <c r="G150" s="46">
        <f>(VLOOKUP($A150,'The List'!$B1:$AH730,19,FALSE)-AVERAGE('The List'!T2:T730))/STDEV('The List'!T2:T730)</f>
        <v>0.300605550366357</v>
      </c>
      <c r="H150" s="46">
        <f>(VLOOKUP($A150,'The List'!$B1:$AH730,20,FALSE)-AVERAGE('The List'!U2:U730))/STDEV('The List'!U2:U730)</f>
        <v>0.761322582160883</v>
      </c>
      <c r="I150" s="46">
        <f>(VLOOKUP($A150,'The List'!$B1:$AH730,21,FALSE)-AVERAGE('The List'!V2:V730))/STDEV('The List'!V2:V730)</f>
        <v>0.9738620072048429</v>
      </c>
      <c r="J150" s="46">
        <f>(VLOOKUP($A150,'The List'!$B1:$AH730,22,FALSE)-AVERAGE('The List'!W2:W730))/STDEV('The List'!W2:W730)</f>
        <v>0.9733700805136249</v>
      </c>
      <c r="K150" s="46">
        <f>(VLOOKUP($A150,'The List'!$B1:$AH730,23,FALSE)-AVERAGE('The List'!X2:X730))/STDEV('The List'!X2:X730)</f>
        <v>0.400885747746958</v>
      </c>
      <c r="L150" s="46">
        <f>(VLOOKUP($A150,'The List'!$B1:$AH730,24,FALSE)-AVERAGE('The List'!Y2:Y730))/STDEV('The List'!Y2:Y730)</f>
        <v>0.702023661204133</v>
      </c>
      <c r="M150" s="46">
        <f>(VLOOKUP($A150,'The List'!$B1:$AH730,25,FALSE)-AVERAGE('The List'!Z2:Z730))/STDEV('The List'!Z2:Z730)</f>
        <v>1.28863097272076</v>
      </c>
      <c r="N150" s="46">
        <f>(VLOOKUP($A150,'The List'!$B1:$AH730,26,FALSE)-AVERAGE('The List'!AA2:AA730))/STDEV('The List'!AA2:AA730)</f>
        <v>-0.736447226870806</v>
      </c>
      <c r="O150" s="46">
        <f>(VLOOKUP($A150,'The List'!$B1:$AH730,27,FALSE)-AVERAGE('The List'!AB2:AB730))/STDEV('The List'!AB2:AB730)</f>
        <v>-0.154299773167421</v>
      </c>
      <c r="P150" s="46">
        <f>(VLOOKUP($A150,'The List'!$B1:$AH730,28,FALSE)-AVERAGE('The List'!AC2:AC730))/STDEV('The List'!AC2:AC730)</f>
        <v>1.16095712551986</v>
      </c>
      <c r="Q150" s="46">
        <f>(VLOOKUP($A150,'The List'!$B1:$AH730,29,FALSE)-AVERAGE('The List'!AD2:AD730))/STDEV('The List'!AD2:AD730)</f>
        <v>0.423278515201571</v>
      </c>
      <c r="R150" s="46">
        <f>(VLOOKUP($A150,'The List'!$B1:$AH730,30,FALSE)-AVERAGE('The List'!AE2:AE730))/STDEV('The List'!AE2:AE730)</f>
        <v>1.60063582000912</v>
      </c>
      <c r="S150" s="46">
        <f>(VLOOKUP($A150,'The List'!$B1:$AH730,31,FALSE)-AVERAGE('The List'!AF2:AF730))/STDEV('The List'!AF2:AF730)</f>
        <v>-0.52110597854547</v>
      </c>
      <c r="T150" s="46">
        <f>(VLOOKUP($A150,'The List'!$B1:$AH730,32,FALSE)-AVERAGE('The List'!AG2:AG730))/STDEV('The List'!AG2:AG730)</f>
        <v>-0.521603071622604</v>
      </c>
      <c r="U150" s="46">
        <f>(VLOOKUP($A150,'The List'!$B1:$AH730,33,FALSE)-AVERAGE('The List'!AH2:AH730))/STDEV('The List'!AH2:AH730)</f>
        <v>0.218317282725457</v>
      </c>
      <c r="V150" s="46"/>
      <c r="W150" s="50"/>
      <c r="X150" s="48"/>
      <c r="Y150" s="48"/>
      <c r="Z150" s="48"/>
      <c r="AA150" s="48"/>
      <c r="AB150" s="48"/>
      <c r="AC150" s="51"/>
      <c r="AD150" s="52"/>
      <c r="AE150" s="46"/>
    </row>
    <row r="151" ht="21.25" customHeight="1">
      <c r="A151" t="s" s="8">
        <v>442</v>
      </c>
      <c r="B151" t="s" s="42">
        <f>VLOOKUP(A151,'Player Data'!A1:B734,2,FALSE)</f>
        <v>164</v>
      </c>
      <c r="C151" s="44">
        <f>((E151)*'Settings'!$C$12)+(F151*'Settings'!$C$2)+(G151*'Settings'!$C$3)+(H151*'Settings'!$C$4)+(I151*'Settings'!$C$5)+(K151*'Settings'!$C$9)+(N151*'Settings'!$C$6)+(J151*'Settings'!$C$8)+(O151*'Settings'!$C$7)+(P151*'Settings'!$C$14)+(Q151*'Settings'!$C$15)+(R151*'Settings'!$C$16)+(S151*'Settings'!$C$17)+(T151*'Settings'!$C$18)+(U151*'Settings'!$C$19)+(L151*'Settings'!$C$10)+('Settings'!$C$11*M151)</f>
        <v>1.40018109076336</v>
      </c>
      <c r="D151" s="48">
        <f>IF('Settings'!$E$12="YES",VLOOKUP(A151,'Player Data'!A1:E734,5,FALSE),82)</f>
        <v>70.52714285714291</v>
      </c>
      <c r="E151" s="46">
        <f>(VLOOKUP($A151,'The List'!$B1:$AH730,17,FALSE)-AVERAGE('The List'!R2:R730))/STDEV('The List'!R2:R730)</f>
        <v>-0.00271953403840683</v>
      </c>
      <c r="F151" s="46">
        <f>(VLOOKUP($A151,'The List'!$B1:$AH730,18,FALSE)-AVERAGE('The List'!S2:S730))/STDEV('The List'!S2:S730)</f>
        <v>1.02600024835812</v>
      </c>
      <c r="G151" s="46">
        <f>(VLOOKUP($A151,'The List'!$B1:$AH730,19,FALSE)-AVERAGE('The List'!T2:T730))/STDEV('The List'!T2:T730)</f>
        <v>-0.0527252412964841</v>
      </c>
      <c r="H151" s="46">
        <f>(VLOOKUP($A151,'The List'!$B1:$AH730,20,FALSE)-AVERAGE('The List'!U2:U730))/STDEV('The List'!U2:U730)</f>
        <v>0.434346271899319</v>
      </c>
      <c r="I151" s="46">
        <f>(VLOOKUP($A151,'The List'!$B1:$AH730,21,FALSE)-AVERAGE('The List'!V2:V730))/STDEV('The List'!V2:V730)</f>
        <v>0.131615408734228</v>
      </c>
      <c r="J151" s="46">
        <f>(VLOOKUP($A151,'The List'!$B1:$AH730,22,FALSE)-AVERAGE('The List'!W2:W730))/STDEV('The List'!W2:W730)</f>
        <v>0.978814650200975</v>
      </c>
      <c r="K151" s="46">
        <f>(VLOOKUP($A151,'The List'!$B1:$AH730,23,FALSE)-AVERAGE('The List'!X2:X730))/STDEV('The List'!X2:X730)</f>
        <v>0.382053509459397</v>
      </c>
      <c r="L151" s="46">
        <f>(VLOOKUP($A151,'The List'!$B1:$AH730,24,FALSE)-AVERAGE('The List'!Y2:Y730))/STDEV('The List'!Y2:Y730)</f>
        <v>-0.521751141206292</v>
      </c>
      <c r="M151" s="46">
        <f>(VLOOKUP($A151,'The List'!$B1:$AH730,25,FALSE)-AVERAGE('The List'!Z2:Z730))/STDEV('The List'!Z2:Z730)</f>
        <v>-0.698084841878911</v>
      </c>
      <c r="N151" s="46">
        <f>(VLOOKUP($A151,'The List'!$B1:$AH730,26,FALSE)-AVERAGE('The List'!AA2:AA730))/STDEV('The List'!AA2:AA730)</f>
        <v>-0.585903907729888</v>
      </c>
      <c r="O151" s="46">
        <f>(VLOOKUP($A151,'The List'!$B1:$AH730,27,FALSE)-AVERAGE('The List'!AB2:AB730))/STDEV('The List'!AB2:AB730)</f>
        <v>-0.91865230804982</v>
      </c>
      <c r="P151" s="46">
        <f>(VLOOKUP($A151,'The List'!$B1:$AH730,28,FALSE)-AVERAGE('The List'!AC2:AC730))/STDEV('The List'!AC2:AC730)</f>
        <v>0.499141073237985</v>
      </c>
      <c r="Q151" s="46">
        <f>(VLOOKUP($A151,'The List'!$B1:$AH730,29,FALSE)-AVERAGE('The List'!AD2:AD730))/STDEV('The List'!AD2:AD730)</f>
        <v>-0.693657278105098</v>
      </c>
      <c r="R151" s="46">
        <f>(VLOOKUP($A151,'The List'!$B1:$AH730,30,FALSE)-AVERAGE('The List'!AE2:AE730))/STDEV('The List'!AE2:AE730)</f>
        <v>1.17219581787581</v>
      </c>
      <c r="S151" s="46">
        <f>(VLOOKUP($A151,'The List'!$B1:$AH730,31,FALSE)-AVERAGE('The List'!AF2:AF730))/STDEV('The List'!AF2:AF730)</f>
        <v>0.0349638565946513</v>
      </c>
      <c r="T151" s="46">
        <f>(VLOOKUP($A151,'The List'!$B1:$AH730,32,FALSE)-AVERAGE('The List'!AG2:AG730))/STDEV('The List'!AG2:AG730)</f>
        <v>0.116724932031279</v>
      </c>
      <c r="U151" s="46">
        <f>(VLOOKUP($A151,'The List'!$B1:$AH730,33,FALSE)-AVERAGE('The List'!AH2:AH730))/STDEV('The List'!AH2:AH730)</f>
        <v>0.861651450913802</v>
      </c>
      <c r="V151" s="46"/>
      <c r="W151" s="50"/>
      <c r="X151" s="48"/>
      <c r="Y151" s="48"/>
      <c r="Z151" s="48"/>
      <c r="AA151" s="48"/>
      <c r="AB151" s="48"/>
      <c r="AC151" s="51"/>
      <c r="AD151" s="52"/>
      <c r="AE151" s="46"/>
    </row>
    <row r="152" ht="21.25" customHeight="1">
      <c r="A152" t="s" s="8">
        <v>350</v>
      </c>
      <c r="B152" t="s" s="42">
        <f>VLOOKUP(A152,'Player Data'!A1:B734,2,FALSE)</f>
        <v>119</v>
      </c>
      <c r="C152" s="44">
        <f>((E152)*'Settings'!$C$12)+(F152*'Settings'!$C$2)+(G152*'Settings'!$C$3)+(H152*'Settings'!$C$4)+(I152*'Settings'!$C$5)+(K152*'Settings'!$C$9)+(N152*'Settings'!$C$6)+(J152*'Settings'!$C$8)+(O152*'Settings'!$C$7)+(P152*'Settings'!$C$14)+(Q152*'Settings'!$C$15)+(R152*'Settings'!$C$16)+(S152*'Settings'!$C$17)+(T152*'Settings'!$C$18)+(U152*'Settings'!$C$19)+(L152*'Settings'!$C$10)+('Settings'!$C$11*M152)</f>
        <v>3.39862422271558</v>
      </c>
      <c r="D152" s="48">
        <f>IF('Settings'!$E$12="YES",VLOOKUP(A152,'Player Data'!A1:E734,5,FALSE),82)</f>
        <v>75.9735714285714</v>
      </c>
      <c r="E152" s="46">
        <f>(VLOOKUP($A152,'The List'!$B1:$AH730,17,FALSE)-AVERAGE('The List'!R2:R730))/STDEV('The List'!R2:R730)</f>
        <v>0.165596726438345</v>
      </c>
      <c r="F152" s="46">
        <f>(VLOOKUP($A152,'The List'!$B1:$AH730,18,FALSE)-AVERAGE('The List'!S2:S730))/STDEV('The List'!S2:S730)</f>
        <v>0.868672059243439</v>
      </c>
      <c r="G152" s="46">
        <f>(VLOOKUP($A152,'The List'!$B1:$AH730,19,FALSE)-AVERAGE('The List'!T2:T730))/STDEV('The List'!T2:T730)</f>
        <v>0.309021726030774</v>
      </c>
      <c r="H152" s="46">
        <f>(VLOOKUP($A152,'The List'!$B1:$AH730,20,FALSE)-AVERAGE('The List'!U2:U730))/STDEV('The List'!U2:U730)</f>
        <v>0.5857710411968871</v>
      </c>
      <c r="I152" s="46">
        <f>(VLOOKUP($A152,'The List'!$B1:$AH730,21,FALSE)-AVERAGE('The List'!V2:V730))/STDEV('The List'!V2:V730)</f>
        <v>1.50403412288319</v>
      </c>
      <c r="J152" s="46">
        <f>(VLOOKUP($A152,'The List'!$B1:$AH730,22,FALSE)-AVERAGE('The List'!W2:W730))/STDEV('The List'!W2:W730)</f>
        <v>0.384285842703448</v>
      </c>
      <c r="K152" s="46">
        <f>(VLOOKUP($A152,'The List'!$B1:$AH730,23,FALSE)-AVERAGE('The List'!X2:X730))/STDEV('The List'!X2:X730)</f>
        <v>0.116996202625308</v>
      </c>
      <c r="L152" s="46">
        <f>(VLOOKUP($A152,'The List'!$B1:$AH730,24,FALSE)-AVERAGE('The List'!Y2:Y730))/STDEV('The List'!Y2:Y730)</f>
        <v>-0.330992508744666</v>
      </c>
      <c r="M152" s="46">
        <f>(VLOOKUP($A152,'The List'!$B1:$AH730,25,FALSE)-AVERAGE('The List'!Z2:Z730))/STDEV('The List'!Z2:Z730)</f>
        <v>-0.131424346062481</v>
      </c>
      <c r="N152" s="46">
        <f>(VLOOKUP($A152,'The List'!$B1:$AH730,26,FALSE)-AVERAGE('The List'!AA2:AA730))/STDEV('The List'!AA2:AA730)</f>
        <v>-0.5384076757276079</v>
      </c>
      <c r="O152" s="46">
        <f>(VLOOKUP($A152,'The List'!$B1:$AH730,27,FALSE)-AVERAGE('The List'!AB2:AB730))/STDEV('The List'!AB2:AB730)</f>
        <v>1.34736730525548</v>
      </c>
      <c r="P152" s="46">
        <f>(VLOOKUP($A152,'The List'!$B1:$AH730,28,FALSE)-AVERAGE('The List'!AC2:AC730))/STDEV('The List'!AC2:AC730)</f>
        <v>1.13830778766048</v>
      </c>
      <c r="Q152" s="46">
        <f>(VLOOKUP($A152,'The List'!$B1:$AH730,29,FALSE)-AVERAGE('The List'!AD2:AD730))/STDEV('The List'!AD2:AD730)</f>
        <v>2.19633690956938</v>
      </c>
      <c r="R152" s="46">
        <f>(VLOOKUP($A152,'The List'!$B1:$AH730,30,FALSE)-AVERAGE('The List'!AE2:AE730))/STDEV('The List'!AE2:AE730)</f>
        <v>0.835732162824548</v>
      </c>
      <c r="S152" s="46">
        <f>(VLOOKUP($A152,'The List'!$B1:$AH730,31,FALSE)-AVERAGE('The List'!AF2:AF730))/STDEV('The List'!AF2:AF730)</f>
        <v>1.74812079358139</v>
      </c>
      <c r="T152" s="46">
        <f>(VLOOKUP($A152,'The List'!$B1:$AH730,32,FALSE)-AVERAGE('The List'!AG2:AG730))/STDEV('The List'!AG2:AG730)</f>
        <v>2.13452918675604</v>
      </c>
      <c r="U152" s="46">
        <f>(VLOOKUP($A152,'The List'!$B1:$AH730,33,FALSE)-AVERAGE('The List'!AH2:AH730))/STDEV('The List'!AH2:AH730)</f>
        <v>0.885730872822581</v>
      </c>
      <c r="V152" s="46"/>
      <c r="W152" s="50"/>
      <c r="X152" s="48"/>
      <c r="Y152" s="48"/>
      <c r="Z152" s="48"/>
      <c r="AA152" s="48"/>
      <c r="AB152" s="48"/>
      <c r="AC152" s="51"/>
      <c r="AD152" s="52"/>
      <c r="AE152" s="46"/>
    </row>
    <row r="153" ht="21.25" customHeight="1">
      <c r="A153" t="s" s="8">
        <v>420</v>
      </c>
      <c r="B153" t="s" s="42">
        <f>VLOOKUP(A153,'Player Data'!A1:B734,2,FALSE)</f>
        <v>151</v>
      </c>
      <c r="C153" s="44">
        <f>((E153)*'Settings'!$C$12)+(F153*'Settings'!$C$2)+(G153*'Settings'!$C$3)+(H153*'Settings'!$C$4)+(I153*'Settings'!$C$5)+(K153*'Settings'!$C$9)+(N153*'Settings'!$C$6)+(J153*'Settings'!$C$8)+(O153*'Settings'!$C$7)+(P153*'Settings'!$C$14)+(Q153*'Settings'!$C$15)+(R153*'Settings'!$C$16)+(S153*'Settings'!$C$17)+(T153*'Settings'!$C$18)+(U153*'Settings'!$C$19)+(L153*'Settings'!$C$10)+('Settings'!$C$11*M153)</f>
        <v>1.21025503699135</v>
      </c>
      <c r="D153" s="48">
        <f>IF('Settings'!$E$12="YES",VLOOKUP(A153,'Player Data'!A1:E734,5,FALSE),82)</f>
        <v>76.04000000000001</v>
      </c>
      <c r="E153" s="46">
        <f>(VLOOKUP($A153,'The List'!$B1:$AH730,17,FALSE)-AVERAGE('The List'!R2:R730))/STDEV('The List'!R2:R730)</f>
        <v>-0.150643333005457</v>
      </c>
      <c r="F153" s="46">
        <f>(VLOOKUP($A153,'The List'!$B1:$AH730,18,FALSE)-AVERAGE('The List'!S2:S730))/STDEV('The List'!S2:S730)</f>
        <v>0.0400288160720114</v>
      </c>
      <c r="G153" s="46">
        <f>(VLOOKUP($A153,'The List'!$B1:$AH730,19,FALSE)-AVERAGE('The List'!T2:T730))/STDEV('The List'!T2:T730)</f>
        <v>0.745855172157594</v>
      </c>
      <c r="H153" s="46">
        <f>(VLOOKUP($A153,'The List'!$B1:$AH730,20,FALSE)-AVERAGE('The List'!U2:U730))/STDEV('The List'!U2:U730)</f>
        <v>0.478023824473463</v>
      </c>
      <c r="I153" s="46">
        <f>(VLOOKUP($A153,'The List'!$B1:$AH730,21,FALSE)-AVERAGE('The List'!V2:V730))/STDEV('The List'!V2:V730)</f>
        <v>0.0227664749448307</v>
      </c>
      <c r="J153" s="46">
        <f>(VLOOKUP($A153,'The List'!$B1:$AH730,22,FALSE)-AVERAGE('The List'!W2:W730))/STDEV('The List'!W2:W730)</f>
        <v>0.0511099431900175</v>
      </c>
      <c r="K153" s="46">
        <f>(VLOOKUP($A153,'The List'!$B1:$AH730,23,FALSE)-AVERAGE('The List'!X2:X730))/STDEV('The List'!X2:X730)</f>
        <v>0.213477997242627</v>
      </c>
      <c r="L153" s="46">
        <f>(VLOOKUP($A153,'The List'!$B1:$AH730,24,FALSE)-AVERAGE('The List'!Y2:Y730))/STDEV('The List'!Y2:Y730)</f>
        <v>-0.399300104659233</v>
      </c>
      <c r="M153" s="46">
        <f>(VLOOKUP($A153,'The List'!$B1:$AH730,25,FALSE)-AVERAGE('The List'!Z2:Z730))/STDEV('The List'!Z2:Z730)</f>
        <v>-0.552428718387847</v>
      </c>
      <c r="N153" s="46">
        <f>(VLOOKUP($A153,'The List'!$B1:$AH730,26,FALSE)-AVERAGE('The List'!AA2:AA730))/STDEV('The List'!AA2:AA730)</f>
        <v>-0.591947937831831</v>
      </c>
      <c r="O153" s="46">
        <f>(VLOOKUP($A153,'The List'!$B1:$AH730,27,FALSE)-AVERAGE('The List'!AB2:AB730))/STDEV('The List'!AB2:AB730)</f>
        <v>-0.67597229124521</v>
      </c>
      <c r="P153" s="46">
        <f>(VLOOKUP($A153,'The List'!$B1:$AH730,28,FALSE)-AVERAGE('The List'!AC2:AC730))/STDEV('The List'!AC2:AC730)</f>
        <v>0.78007451440612</v>
      </c>
      <c r="Q153" s="46">
        <f>(VLOOKUP($A153,'The List'!$B1:$AH730,29,FALSE)-AVERAGE('The List'!AD2:AD730))/STDEV('The List'!AD2:AD730)</f>
        <v>0.689816373457385</v>
      </c>
      <c r="R153" s="46">
        <f>(VLOOKUP($A153,'The List'!$B1:$AH730,30,FALSE)-AVERAGE('The List'!AE2:AE730))/STDEV('The List'!AE2:AE730)</f>
        <v>0.296406491328995</v>
      </c>
      <c r="S153" s="46">
        <f>(VLOOKUP($A153,'The List'!$B1:$AH730,31,FALSE)-AVERAGE('The List'!AF2:AF730))/STDEV('The List'!AF2:AF730)</f>
        <v>-0.385929021084305</v>
      </c>
      <c r="T153" s="46">
        <f>(VLOOKUP($A153,'The List'!$B1:$AH730,32,FALSE)-AVERAGE('The List'!AG2:AG730))/STDEV('The List'!AG2:AG730)</f>
        <v>-0.286542441862661</v>
      </c>
      <c r="U153" s="46">
        <f>(VLOOKUP($A153,'The List'!$B1:$AH730,33,FALSE)-AVERAGE('The List'!AH2:AH730))/STDEV('The List'!AH2:AH730)</f>
        <v>0.407271747372501</v>
      </c>
      <c r="V153" s="46"/>
      <c r="W153" s="50"/>
      <c r="X153" s="48"/>
      <c r="Y153" s="48"/>
      <c r="Z153" s="48"/>
      <c r="AA153" s="48"/>
      <c r="AB153" s="48"/>
      <c r="AC153" s="51"/>
      <c r="AD153" s="52"/>
      <c r="AE153" s="46"/>
    </row>
    <row r="154" ht="21.25" customHeight="1">
      <c r="A154" t="s" s="8">
        <v>183</v>
      </c>
      <c r="B154" t="s" s="42">
        <f>VLOOKUP(A154,'Player Data'!A1:B734,2,FALSE)</f>
        <v>184</v>
      </c>
      <c r="C154" s="44">
        <f>((E154)*'Settings'!$C$12)+(F154*'Settings'!$C$2)+(G154*'Settings'!$C$3)+(H154*'Settings'!$C$4)+(I154*'Settings'!$C$5)+(K154*'Settings'!$C$9)+(N154*'Settings'!$C$6)+(J154*'Settings'!$C$8)+(O154*'Settings'!$C$7)+(P154*'Settings'!$C$14)+(Q154*'Settings'!$C$15)+(R154*'Settings'!$C$16)+(S154*'Settings'!$C$17)+(T154*'Settings'!$C$18)+(U154*'Settings'!$C$19)+(L154*'Settings'!$C$10)+('Settings'!$C$11*M154)</f>
        <v>6.047332275295</v>
      </c>
      <c r="D154" s="48">
        <f>IF('Settings'!$E$12="YES",VLOOKUP(A154,'Player Data'!A1:E734,5,FALSE),82)</f>
        <v>82.03</v>
      </c>
      <c r="E154" s="46">
        <f>(VLOOKUP($A154,'The List'!$B1:$AH730,17,FALSE)-AVERAGE('The List'!R2:R730))/STDEV('The List'!R2:R730)</f>
        <v>2.43565539355811</v>
      </c>
      <c r="F154" s="46">
        <f>(VLOOKUP($A154,'The List'!$B1:$AH730,18,FALSE)-AVERAGE('The List'!S2:S730))/STDEV('The List'!S2:S730)</f>
        <v>-0.479476957384575</v>
      </c>
      <c r="G154" s="46">
        <f>(VLOOKUP($A154,'The List'!$B1:$AH730,19,FALSE)-AVERAGE('The List'!T2:T730))/STDEV('The List'!T2:T730)</f>
        <v>1.96006259848975</v>
      </c>
      <c r="H154" s="46">
        <f>(VLOOKUP($A154,'The List'!$B1:$AH730,20,FALSE)-AVERAGE('The List'!U2:U730))/STDEV('The List'!U2:U730)</f>
        <v>0.990181197681485</v>
      </c>
      <c r="I154" s="46">
        <f>(VLOOKUP($A154,'The List'!$B1:$AH730,21,FALSE)-AVERAGE('The List'!V2:V730))/STDEV('The List'!V2:V730)</f>
        <v>0.808806505956013</v>
      </c>
      <c r="J154" s="46">
        <f>(VLOOKUP($A154,'The List'!$B1:$AH730,22,FALSE)-AVERAGE('The List'!W2:W730))/STDEV('The List'!W2:W730)</f>
        <v>-0.0584441624311349</v>
      </c>
      <c r="K154" s="46">
        <f>(VLOOKUP($A154,'The List'!$B1:$AH730,23,FALSE)-AVERAGE('The List'!X2:X730))/STDEV('The List'!X2:X730)</f>
        <v>1.52233290769446</v>
      </c>
      <c r="L154" s="46">
        <f>(VLOOKUP($A154,'The List'!$B1:$AH730,24,FALSE)-AVERAGE('The List'!Y2:Y730))/STDEV('The List'!Y2:Y730)</f>
        <v>0.565486456655342</v>
      </c>
      <c r="M154" s="46">
        <f>(VLOOKUP($A154,'The List'!$B1:$AH730,25,FALSE)-AVERAGE('The List'!Z2:Z730))/STDEV('The List'!Z2:Z730)</f>
        <v>1.45199875952066</v>
      </c>
      <c r="N154" s="46">
        <f>(VLOOKUP($A154,'The List'!$B1:$AH730,26,FALSE)-AVERAGE('The List'!AA2:AA730))/STDEV('The List'!AA2:AA730)</f>
        <v>3.3050058245438</v>
      </c>
      <c r="O154" s="46">
        <f>(VLOOKUP($A154,'The List'!$B1:$AH730,27,FALSE)-AVERAGE('The List'!AB2:AB730))/STDEV('The List'!AB2:AB730)</f>
        <v>2.15806426247474</v>
      </c>
      <c r="P154" s="46">
        <f>(VLOOKUP($A154,'The List'!$B1:$AH730,28,FALSE)-AVERAGE('The List'!AC2:AC730))/STDEV('The List'!AC2:AC730)</f>
        <v>-1.06939860400445</v>
      </c>
      <c r="Q154" s="46">
        <f>(VLOOKUP($A154,'The List'!$B1:$AH730,29,FALSE)-AVERAGE('The List'!AD2:AD730))/STDEV('The List'!AD2:AD730)</f>
        <v>0.845005113273129</v>
      </c>
      <c r="R154" s="46">
        <f>(VLOOKUP($A154,'The List'!$B1:$AH730,30,FALSE)-AVERAGE('The List'!AE2:AE730))/STDEV('The List'!AE2:AE730)</f>
        <v>-0.481743371710471</v>
      </c>
      <c r="S154" s="46">
        <f>(VLOOKUP($A154,'The List'!$B1:$AH730,31,FALSE)-AVERAGE('The List'!AF2:AF730))/STDEV('The List'!AF2:AF730)</f>
        <v>-0.5569063253591</v>
      </c>
      <c r="T154" s="46">
        <f>(VLOOKUP($A154,'The List'!$B1:$AH730,32,FALSE)-AVERAGE('The List'!AG2:AG730))/STDEV('The List'!AG2:AG730)</f>
        <v>-0.600856269042678</v>
      </c>
      <c r="U154" s="46">
        <f>(VLOOKUP($A154,'The List'!$B1:$AH730,33,FALSE)-AVERAGE('The List'!AH2:AH730))/STDEV('The List'!AH2:AH730)</f>
        <v>-1.2363238714826</v>
      </c>
      <c r="V154" s="46"/>
      <c r="W154" s="48"/>
      <c r="X154" s="46"/>
      <c r="Y154" s="46"/>
      <c r="Z154" s="46"/>
      <c r="AA154" s="46"/>
      <c r="AB154" s="46"/>
      <c r="AC154" s="46"/>
      <c r="AD154" s="46"/>
      <c r="AE154" s="46"/>
    </row>
    <row r="155" ht="21.25" customHeight="1">
      <c r="A155" t="s" s="8">
        <v>267</v>
      </c>
      <c r="B155" t="s" s="42">
        <f>VLOOKUP(A155,'Player Data'!A1:B734,2,FALSE)</f>
        <v>113</v>
      </c>
      <c r="C155" s="44">
        <f>((E155)*'Settings'!$C$12)+(F155*'Settings'!$C$2)+(G155*'Settings'!$C$3)+(H155*'Settings'!$C$4)+(I155*'Settings'!$C$5)+(K155*'Settings'!$C$9)+(N155*'Settings'!$C$6)+(J155*'Settings'!$C$8)+(O155*'Settings'!$C$7)+(P155*'Settings'!$C$14)+(Q155*'Settings'!$C$15)+(R155*'Settings'!$C$16)+(S155*'Settings'!$C$17)+(T155*'Settings'!$C$18)+(U155*'Settings'!$C$19)+(L155*'Settings'!$C$10)+('Settings'!$C$11*M155)</f>
        <v>5.53714971429497</v>
      </c>
      <c r="D155" s="48">
        <f>IF('Settings'!$E$12="YES",VLOOKUP(A155,'Player Data'!A1:E734,5,FALSE),82)</f>
        <v>79.03571428571431</v>
      </c>
      <c r="E155" s="46">
        <f>(VLOOKUP($A155,'The List'!$B1:$AH730,17,FALSE)-AVERAGE('The List'!R2:R730))/STDEV('The List'!R2:R730)</f>
        <v>2.1956658826392</v>
      </c>
      <c r="F155" s="46">
        <f>(VLOOKUP($A155,'The List'!$B1:$AH730,18,FALSE)-AVERAGE('The List'!S2:S730))/STDEV('The List'!S2:S730)</f>
        <v>-0.289341518519557</v>
      </c>
      <c r="G155" s="46">
        <f>(VLOOKUP($A155,'The List'!$B1:$AH730,19,FALSE)-AVERAGE('The List'!T2:T730))/STDEV('The List'!T2:T730)</f>
        <v>1.28416941043154</v>
      </c>
      <c r="H155" s="46">
        <f>(VLOOKUP($A155,'The List'!$B1:$AH730,20,FALSE)-AVERAGE('The List'!U2:U730))/STDEV('The List'!U2:U730)</f>
        <v>0.660017368948833</v>
      </c>
      <c r="I155" s="46">
        <f>(VLOOKUP($A155,'The List'!$B1:$AH730,21,FALSE)-AVERAGE('The List'!V2:V730))/STDEV('The List'!V2:V730)</f>
        <v>0.542741718732634</v>
      </c>
      <c r="J155" s="46">
        <f>(VLOOKUP($A155,'The List'!$B1:$AH730,22,FALSE)-AVERAGE('The List'!W2:W730))/STDEV('The List'!W2:W730)</f>
        <v>-0.329202616554112</v>
      </c>
      <c r="K155" s="46">
        <f>(VLOOKUP($A155,'The List'!$B1:$AH730,23,FALSE)-AVERAGE('The List'!X2:X730))/STDEV('The List'!X2:X730)</f>
        <v>0.00373863213760673</v>
      </c>
      <c r="L155" s="46">
        <f>(VLOOKUP($A155,'The List'!$B1:$AH730,24,FALSE)-AVERAGE('The List'!Y2:Y730))/STDEV('The List'!Y2:Y730)</f>
        <v>-0.495935446565827</v>
      </c>
      <c r="M155" s="46">
        <f>(VLOOKUP($A155,'The List'!$B1:$AH730,25,FALSE)-AVERAGE('The List'!Z2:Z730))/STDEV('The List'!Z2:Z730)</f>
        <v>-0.56839204526497</v>
      </c>
      <c r="N155" s="46">
        <f>(VLOOKUP($A155,'The List'!$B1:$AH730,26,FALSE)-AVERAGE('The List'!AA2:AA730))/STDEV('The List'!AA2:AA730)</f>
        <v>1.81466627877072</v>
      </c>
      <c r="O155" s="46">
        <f>(VLOOKUP($A155,'The List'!$B1:$AH730,27,FALSE)-AVERAGE('The List'!AB2:AB730))/STDEV('The List'!AB2:AB730)</f>
        <v>-0.0637025871573576</v>
      </c>
      <c r="P155" s="46">
        <f>(VLOOKUP($A155,'The List'!$B1:$AH730,28,FALSE)-AVERAGE('The List'!AC2:AC730))/STDEV('The List'!AC2:AC730)</f>
        <v>2.18117519274203</v>
      </c>
      <c r="Q155" s="46">
        <f>(VLOOKUP($A155,'The List'!$B1:$AH730,29,FALSE)-AVERAGE('The List'!AD2:AD730))/STDEV('The List'!AD2:AD730)</f>
        <v>-0.267109752936913</v>
      </c>
      <c r="R155" s="46">
        <f>(VLOOKUP($A155,'The List'!$B1:$AH730,30,FALSE)-AVERAGE('The List'!AE2:AE730))/STDEV('The List'!AE2:AE730)</f>
        <v>-0.148568378892964</v>
      </c>
      <c r="S155" s="46">
        <f>(VLOOKUP($A155,'The List'!$B1:$AH730,31,FALSE)-AVERAGE('The List'!AF2:AF730))/STDEV('The List'!AF2:AF730)</f>
        <v>-0.5569063253591</v>
      </c>
      <c r="T155" s="46">
        <f>(VLOOKUP($A155,'The List'!$B1:$AH730,32,FALSE)-AVERAGE('The List'!AG2:AG730))/STDEV('The List'!AG2:AG730)</f>
        <v>-0.600856269042678</v>
      </c>
      <c r="U155" s="46">
        <f>(VLOOKUP($A155,'The List'!$B1:$AH730,33,FALSE)-AVERAGE('The List'!AH2:AH730))/STDEV('The List'!AH2:AH730)</f>
        <v>-1.2363238714826</v>
      </c>
      <c r="V155" s="46"/>
      <c r="W155" s="48"/>
      <c r="X155" s="46"/>
      <c r="Y155" s="46"/>
      <c r="Z155" s="46"/>
      <c r="AA155" s="46"/>
      <c r="AB155" s="46"/>
      <c r="AC155" s="46"/>
      <c r="AD155" s="46"/>
      <c r="AE155" s="46"/>
    </row>
    <row r="156" ht="21.25" customHeight="1">
      <c r="A156" t="s" s="8">
        <v>404</v>
      </c>
      <c r="B156" t="s" s="42">
        <f>VLOOKUP(A156,'Player Data'!A1:B734,2,FALSE)</f>
        <v>258</v>
      </c>
      <c r="C156" s="44">
        <f>((E156)*'Settings'!$C$12)+(F156*'Settings'!$C$2)+(G156*'Settings'!$C$3)+(H156*'Settings'!$C$4)+(I156*'Settings'!$C$5)+(K156*'Settings'!$C$9)+(N156*'Settings'!$C$6)+(J156*'Settings'!$C$8)+(O156*'Settings'!$C$7)+(P156*'Settings'!$C$14)+(Q156*'Settings'!$C$15)+(R156*'Settings'!$C$16)+(S156*'Settings'!$C$17)+(T156*'Settings'!$C$18)+(U156*'Settings'!$C$19)+(L156*'Settings'!$C$10)+('Settings'!$C$11*M156)</f>
        <v>0.129052083527824</v>
      </c>
      <c r="D156" s="48">
        <f>IF('Settings'!$E$12="YES",VLOOKUP(A156,'Player Data'!A1:E734,5,FALSE),82)</f>
        <v>70.5557142857143</v>
      </c>
      <c r="E156" s="46">
        <f>(VLOOKUP($A156,'The List'!$B1:$AH730,17,FALSE)-AVERAGE('The List'!R2:R730))/STDEV('The List'!R2:R730)</f>
        <v>0.477953706969056</v>
      </c>
      <c r="F156" s="46">
        <f>(VLOOKUP($A156,'The List'!$B1:$AH730,18,FALSE)-AVERAGE('The List'!S2:S730))/STDEV('The List'!S2:S730)</f>
        <v>0.476175410214652</v>
      </c>
      <c r="G156" s="46">
        <f>(VLOOKUP($A156,'The List'!$B1:$AH730,19,FALSE)-AVERAGE('The List'!T2:T730))/STDEV('The List'!T2:T730)</f>
        <v>0.480273134142312</v>
      </c>
      <c r="H156" s="46">
        <f>(VLOOKUP($A156,'The List'!$B1:$AH730,20,FALSE)-AVERAGE('The List'!U2:U730))/STDEV('The List'!U2:U730)</f>
        <v>0.512751436321546</v>
      </c>
      <c r="I156" s="46">
        <f>(VLOOKUP($A156,'The List'!$B1:$AH730,21,FALSE)-AVERAGE('The List'!V2:V730))/STDEV('The List'!V2:V730)</f>
        <v>0.09056200149225389</v>
      </c>
      <c r="J156" s="46">
        <f>(VLOOKUP($A156,'The List'!$B1:$AH730,22,FALSE)-AVERAGE('The List'!W2:W730))/STDEV('The List'!W2:W730)</f>
        <v>1.03464568053658</v>
      </c>
      <c r="K156" s="46">
        <f>(VLOOKUP($A156,'The List'!$B1:$AH730,23,FALSE)-AVERAGE('The List'!X2:X730))/STDEV('The List'!X2:X730)</f>
        <v>1.01098438238126</v>
      </c>
      <c r="L156" s="46">
        <f>(VLOOKUP($A156,'The List'!$B1:$AH730,24,FALSE)-AVERAGE('The List'!Y2:Y730))/STDEV('The List'!Y2:Y730)</f>
        <v>-0.45693960431165</v>
      </c>
      <c r="M156" s="46">
        <f>(VLOOKUP($A156,'The List'!$B1:$AH730,25,FALSE)-AVERAGE('The List'!Z2:Z730))/STDEV('The List'!Z2:Z730)</f>
        <v>0.008260647544001951</v>
      </c>
      <c r="N156" s="46">
        <f>(VLOOKUP($A156,'The List'!$B1:$AH730,26,FALSE)-AVERAGE('The List'!AA2:AA730))/STDEV('The List'!AA2:AA730)</f>
        <v>-0.400028265050634</v>
      </c>
      <c r="O156" s="46">
        <f>(VLOOKUP($A156,'The List'!$B1:$AH730,27,FALSE)-AVERAGE('The List'!AB2:AB730))/STDEV('The List'!AB2:AB730)</f>
        <v>-0.66383517044971</v>
      </c>
      <c r="P156" s="46">
        <f>(VLOOKUP($A156,'The List'!$B1:$AH730,28,FALSE)-AVERAGE('The List'!AC2:AC730))/STDEV('The List'!AC2:AC730)</f>
        <v>-1.52891457965202</v>
      </c>
      <c r="Q156" s="46">
        <f>(VLOOKUP($A156,'The List'!$B1:$AH730,29,FALSE)-AVERAGE('The List'!AD2:AD730))/STDEV('The List'!AD2:AD730)</f>
        <v>0.921254356494879</v>
      </c>
      <c r="R156" s="46">
        <f>(VLOOKUP($A156,'The List'!$B1:$AH730,30,FALSE)-AVERAGE('The List'!AE2:AE730))/STDEV('The List'!AE2:AE730)</f>
        <v>-0.00344721177648925</v>
      </c>
      <c r="S156" s="46">
        <f>(VLOOKUP($A156,'The List'!$B1:$AH730,31,FALSE)-AVERAGE('The List'!AF2:AF730))/STDEV('The List'!AF2:AF730)</f>
        <v>0.0612223094626716</v>
      </c>
      <c r="T156" s="46">
        <f>(VLOOKUP($A156,'The List'!$B1:$AH730,32,FALSE)-AVERAGE('The List'!AG2:AG730))/STDEV('The List'!AG2:AG730)</f>
        <v>0.554129132462349</v>
      </c>
      <c r="U156" s="46">
        <f>(VLOOKUP($A156,'The List'!$B1:$AH730,33,FALSE)-AVERAGE('The List'!AH2:AH730))/STDEV('The List'!AH2:AH730)</f>
        <v>0.390284220333307</v>
      </c>
      <c r="V156" s="46"/>
      <c r="W156" s="48"/>
      <c r="X156" s="46"/>
      <c r="Y156" s="46"/>
      <c r="Z156" s="46"/>
      <c r="AA156" s="46"/>
      <c r="AB156" s="46"/>
      <c r="AC156" s="46"/>
      <c r="AD156" s="46"/>
      <c r="AE156" s="46"/>
    </row>
    <row r="157" ht="21.25" customHeight="1">
      <c r="A157" t="s" s="8">
        <v>254</v>
      </c>
      <c r="B157" t="s" s="42">
        <f>VLOOKUP(A157,'Player Data'!A1:B734,2,FALSE)</f>
        <v>170</v>
      </c>
      <c r="C157" s="44">
        <f>((E157)*'Settings'!$C$12)+(F157*'Settings'!$C$2)+(G157*'Settings'!$C$3)+(H157*'Settings'!$C$4)+(I157*'Settings'!$C$5)+(K157*'Settings'!$C$9)+(N157*'Settings'!$C$6)+(J157*'Settings'!$C$8)+(O157*'Settings'!$C$7)+(P157*'Settings'!$C$14)+(Q157*'Settings'!$C$15)+(R157*'Settings'!$C$16)+(S157*'Settings'!$C$17)+(T157*'Settings'!$C$18)+(U157*'Settings'!$C$19)+(L157*'Settings'!$C$10)+('Settings'!$C$11*M157)</f>
        <v>4.28415667475861</v>
      </c>
      <c r="D157" s="48">
        <f>IF('Settings'!$E$12="YES",VLOOKUP(A157,'Player Data'!A1:E734,5,FALSE),82)</f>
        <v>78.1385714285714</v>
      </c>
      <c r="E157" s="46">
        <f>(VLOOKUP($A157,'The List'!$B1:$AH730,17,FALSE)-AVERAGE('The List'!R2:R730))/STDEV('The List'!R2:R730)</f>
        <v>1.95225964964418</v>
      </c>
      <c r="F157" s="46">
        <f>(VLOOKUP($A157,'The List'!$B1:$AH730,18,FALSE)-AVERAGE('The List'!S2:S730))/STDEV('The List'!S2:S730)</f>
        <v>-0.395367384289645</v>
      </c>
      <c r="G157" s="46">
        <f>(VLOOKUP($A157,'The List'!$B1:$AH730,19,FALSE)-AVERAGE('The List'!T2:T730))/STDEV('The List'!T2:T730)</f>
        <v>1.12225155013166</v>
      </c>
      <c r="H157" s="46">
        <f>(VLOOKUP($A157,'The List'!$B1:$AH730,20,FALSE)-AVERAGE('The List'!U2:U730))/STDEV('The List'!U2:U730)</f>
        <v>0.511953240921971</v>
      </c>
      <c r="I157" s="46">
        <f>(VLOOKUP($A157,'The List'!$B1:$AH730,21,FALSE)-AVERAGE('The List'!V2:V730))/STDEV('The List'!V2:V730)</f>
        <v>0.814734216646041</v>
      </c>
      <c r="J157" s="46">
        <f>(VLOOKUP($A157,'The List'!$B1:$AH730,22,FALSE)-AVERAGE('The List'!W2:W730))/STDEV('The List'!W2:W730)</f>
        <v>-0.0435140393882598</v>
      </c>
      <c r="K157" s="46">
        <f>(VLOOKUP($A157,'The List'!$B1:$AH730,23,FALSE)-AVERAGE('The List'!X2:X730))/STDEV('The List'!X2:X730)</f>
        <v>0.668734538870546</v>
      </c>
      <c r="L157" s="46">
        <f>(VLOOKUP($A157,'The List'!$B1:$AH730,24,FALSE)-AVERAGE('The List'!Y2:Y730))/STDEV('The List'!Y2:Y730)</f>
        <v>0.0968869078408361</v>
      </c>
      <c r="M157" s="46">
        <f>(VLOOKUP($A157,'The List'!$B1:$AH730,25,FALSE)-AVERAGE('The List'!Z2:Z730))/STDEV('The List'!Z2:Z730)</f>
        <v>-0.107288855276467</v>
      </c>
      <c r="N157" s="46">
        <f>(VLOOKUP($A157,'The List'!$B1:$AH730,26,FALSE)-AVERAGE('The List'!AA2:AA730))/STDEV('The List'!AA2:AA730)</f>
        <v>1.63039410889343</v>
      </c>
      <c r="O157" s="46">
        <f>(VLOOKUP($A157,'The List'!$B1:$AH730,27,FALSE)-AVERAGE('The List'!AB2:AB730))/STDEV('The List'!AB2:AB730)</f>
        <v>1.58654271586059</v>
      </c>
      <c r="P157" s="46">
        <f>(VLOOKUP($A157,'The List'!$B1:$AH730,28,FALSE)-AVERAGE('The List'!AC2:AC730))/STDEV('The List'!AC2:AC730)</f>
        <v>0.44340964450658</v>
      </c>
      <c r="Q157" s="46">
        <f>(VLOOKUP($A157,'The List'!$B1:$AH730,29,FALSE)-AVERAGE('The List'!AD2:AD730))/STDEV('The List'!AD2:AD730)</f>
        <v>0.727383026748128</v>
      </c>
      <c r="R157" s="46">
        <f>(VLOOKUP($A157,'The List'!$B1:$AH730,30,FALSE)-AVERAGE('The List'!AE2:AE730))/STDEV('The List'!AE2:AE730)</f>
        <v>-0.244223030781793</v>
      </c>
      <c r="S157" s="46">
        <f>(VLOOKUP($A157,'The List'!$B1:$AH730,31,FALSE)-AVERAGE('The List'!AF2:AF730))/STDEV('The List'!AF2:AF730)</f>
        <v>-0.5569063253591</v>
      </c>
      <c r="T157" s="46">
        <f>(VLOOKUP($A157,'The List'!$B1:$AH730,32,FALSE)-AVERAGE('The List'!AG2:AG730))/STDEV('The List'!AG2:AG730)</f>
        <v>-0.599988681082241</v>
      </c>
      <c r="U157" s="46">
        <f>(VLOOKUP($A157,'The List'!$B1:$AH730,33,FALSE)-AVERAGE('The List'!AH2:AH730))/STDEV('The List'!AH2:AH730)</f>
        <v>-1.2363238714826</v>
      </c>
      <c r="V157" s="46"/>
      <c r="W157" s="50"/>
      <c r="X157" s="48"/>
      <c r="Y157" s="48"/>
      <c r="Z157" s="48"/>
      <c r="AA157" s="48"/>
      <c r="AB157" s="48"/>
      <c r="AC157" s="51"/>
      <c r="AD157" s="52"/>
      <c r="AE157" s="46"/>
    </row>
    <row r="158" ht="21.25" customHeight="1">
      <c r="A158" t="s" s="8">
        <v>344</v>
      </c>
      <c r="B158" t="s" s="42">
        <f>VLOOKUP(A158,'Player Data'!A1:B734,2,FALSE)</f>
        <v>248</v>
      </c>
      <c r="C158" s="44">
        <f>((E158)*'Settings'!$C$12)+(F158*'Settings'!$C$2)+(G158*'Settings'!$C$3)+(H158*'Settings'!$C$4)+(I158*'Settings'!$C$5)+(K158*'Settings'!$C$9)+(N158*'Settings'!$C$6)+(J158*'Settings'!$C$8)+(O158*'Settings'!$C$7)+(P158*'Settings'!$C$14)+(Q158*'Settings'!$C$15)+(R158*'Settings'!$C$16)+(S158*'Settings'!$C$17)+(T158*'Settings'!$C$18)+(U158*'Settings'!$C$19)+(L158*'Settings'!$C$10)+('Settings'!$C$11*M158)</f>
        <v>1.93655957198183</v>
      </c>
      <c r="D158" s="48">
        <f>IF('Settings'!$E$12="YES",VLOOKUP(A158,'Player Data'!A1:E734,5,FALSE),82)</f>
        <v>81.47107142857141</v>
      </c>
      <c r="E158" s="46">
        <f>(VLOOKUP($A158,'The List'!$B1:$AH730,17,FALSE)-AVERAGE('The List'!R2:R730))/STDEV('The List'!R2:R730)</f>
        <v>0.0935213284140593</v>
      </c>
      <c r="F158" s="46">
        <f>(VLOOKUP($A158,'The List'!$B1:$AH730,18,FALSE)-AVERAGE('The List'!S2:S730))/STDEV('The List'!S2:S730)</f>
        <v>0.576453925612711</v>
      </c>
      <c r="G158" s="46">
        <f>(VLOOKUP($A158,'The List'!$B1:$AH730,19,FALSE)-AVERAGE('The List'!T2:T730))/STDEV('The List'!T2:T730)</f>
        <v>0.732871960502549</v>
      </c>
      <c r="H158" s="46">
        <f>(VLOOKUP($A158,'The List'!$B1:$AH730,20,FALSE)-AVERAGE('The List'!U2:U730))/STDEV('The List'!U2:U730)</f>
        <v>0.714104028356781</v>
      </c>
      <c r="I158" s="46">
        <f>(VLOOKUP($A158,'The List'!$B1:$AH730,21,FALSE)-AVERAGE('The List'!V2:V730))/STDEV('The List'!V2:V730)</f>
        <v>0.736013298008916</v>
      </c>
      <c r="J158" s="46">
        <f>(VLOOKUP($A158,'The List'!$B1:$AH730,22,FALSE)-AVERAGE('The List'!W2:W730))/STDEV('The List'!W2:W730)</f>
        <v>0.237334140238341</v>
      </c>
      <c r="K158" s="46">
        <f>(VLOOKUP($A158,'The List'!$B1:$AH730,23,FALSE)-AVERAGE('The List'!X2:X730))/STDEV('The List'!X2:X730)</f>
        <v>0.471142067523566</v>
      </c>
      <c r="L158" s="46">
        <f>(VLOOKUP($A158,'The List'!$B1:$AH730,24,FALSE)-AVERAGE('The List'!Y2:Y730))/STDEV('The List'!Y2:Y730)</f>
        <v>-0.527519921364153</v>
      </c>
      <c r="M158" s="46">
        <f>(VLOOKUP($A158,'The List'!$B1:$AH730,25,FALSE)-AVERAGE('The List'!Z2:Z730))/STDEV('The List'!Z2:Z730)</f>
        <v>-0.704202709698327</v>
      </c>
      <c r="N158" s="46">
        <f>(VLOOKUP($A158,'The List'!$B1:$AH730,26,FALSE)-AVERAGE('The List'!AA2:AA730))/STDEV('The List'!AA2:AA730)</f>
        <v>-0.75621380819061</v>
      </c>
      <c r="O158" s="46">
        <f>(VLOOKUP($A158,'The List'!$B1:$AH730,27,FALSE)-AVERAGE('The List'!AB2:AB730))/STDEV('The List'!AB2:AB730)</f>
        <v>-0.919871682530892</v>
      </c>
      <c r="P158" s="46">
        <f>(VLOOKUP($A158,'The List'!$B1:$AH730,28,FALSE)-AVERAGE('The List'!AC2:AC730))/STDEV('The List'!AC2:AC730)</f>
        <v>0.176292128524693</v>
      </c>
      <c r="Q158" s="46">
        <f>(VLOOKUP($A158,'The List'!$B1:$AH730,29,FALSE)-AVERAGE('The List'!AD2:AD730))/STDEV('The List'!AD2:AD730)</f>
        <v>-0.286732598858918</v>
      </c>
      <c r="R158" s="46">
        <f>(VLOOKUP($A158,'The List'!$B1:$AH730,30,FALSE)-AVERAGE('The List'!AE2:AE730))/STDEV('The List'!AE2:AE730)</f>
        <v>0.5277380115506281</v>
      </c>
      <c r="S158" s="46">
        <f>(VLOOKUP($A158,'The List'!$B1:$AH730,31,FALSE)-AVERAGE('The List'!AF2:AF730))/STDEV('The List'!AF2:AF730)</f>
        <v>-0.44059632838478</v>
      </c>
      <c r="T158" s="46">
        <f>(VLOOKUP($A158,'The List'!$B1:$AH730,32,FALSE)-AVERAGE('The List'!AG2:AG730))/STDEV('The List'!AG2:AG730)</f>
        <v>-0.405713381791638</v>
      </c>
      <c r="U158" s="46">
        <f>(VLOOKUP($A158,'The List'!$B1:$AH730,33,FALSE)-AVERAGE('The List'!AH2:AH730))/STDEV('The List'!AH2:AH730)</f>
        <v>0.50394893669215</v>
      </c>
      <c r="V158" s="46"/>
      <c r="W158" s="50"/>
      <c r="X158" s="48"/>
      <c r="Y158" s="48"/>
      <c r="Z158" s="48"/>
      <c r="AA158" s="48"/>
      <c r="AB158" s="48"/>
      <c r="AC158" s="51"/>
      <c r="AD158" s="52"/>
      <c r="AE158" s="46"/>
    </row>
    <row r="159" ht="21.25" customHeight="1">
      <c r="A159" t="s" s="8">
        <v>412</v>
      </c>
      <c r="B159" t="s" s="42">
        <f>VLOOKUP(A159,'Player Data'!A1:B734,2,FALSE)</f>
        <v>218</v>
      </c>
      <c r="C159" s="44">
        <f>((E159)*'Settings'!$C$12)+(F159*'Settings'!$C$2)+(G159*'Settings'!$C$3)+(H159*'Settings'!$C$4)+(I159*'Settings'!$C$5)+(K159*'Settings'!$C$9)+(N159*'Settings'!$C$6)+(J159*'Settings'!$C$8)+(O159*'Settings'!$C$7)+(P159*'Settings'!$C$14)+(Q159*'Settings'!$C$15)+(R159*'Settings'!$C$16)+(S159*'Settings'!$C$17)+(T159*'Settings'!$C$18)+(U159*'Settings'!$C$19)+(L159*'Settings'!$C$10)+('Settings'!$C$11*M159)</f>
        <v>1.69664406746513</v>
      </c>
      <c r="D159" s="48">
        <f>IF('Settings'!$E$12="YES",VLOOKUP(A159,'Player Data'!A1:E734,5,FALSE),82)</f>
        <v>79.2567857142857</v>
      </c>
      <c r="E159" s="46">
        <f>(VLOOKUP($A159,'The List'!$B1:$AH730,17,FALSE)-AVERAGE('The List'!R2:R730))/STDEV('The List'!R2:R730)</f>
        <v>0.21142452253839</v>
      </c>
      <c r="F159" s="46">
        <f>(VLOOKUP($A159,'The List'!$B1:$AH730,18,FALSE)-AVERAGE('The List'!S2:S730))/STDEV('The List'!S2:S730)</f>
        <v>0.734317660101638</v>
      </c>
      <c r="G159" s="46">
        <f>(VLOOKUP($A159,'The List'!$B1:$AH730,19,FALSE)-AVERAGE('The List'!T2:T730))/STDEV('The List'!T2:T730)</f>
        <v>0.681090136231529</v>
      </c>
      <c r="H159" s="46">
        <f>(VLOOKUP($A159,'The List'!$B1:$AH730,20,FALSE)-AVERAGE('The List'!U2:U730))/STDEV('The List'!U2:U730)</f>
        <v>0.754012379557318</v>
      </c>
      <c r="I159" s="46">
        <f>(VLOOKUP($A159,'The List'!$B1:$AH730,21,FALSE)-AVERAGE('The List'!V2:V730))/STDEV('The List'!V2:V730)</f>
        <v>-0.0842643757452218</v>
      </c>
      <c r="J159" s="46">
        <f>(VLOOKUP($A159,'The List'!$B1:$AH730,22,FALSE)-AVERAGE('The List'!W2:W730))/STDEV('The List'!W2:W730)</f>
        <v>0.189359895112521</v>
      </c>
      <c r="K159" s="46">
        <f>(VLOOKUP($A159,'The List'!$B1:$AH730,23,FALSE)-AVERAGE('The List'!X2:X730))/STDEV('The List'!X2:X730)</f>
        <v>0.00598424453770581</v>
      </c>
      <c r="L159" s="46">
        <f>(VLOOKUP($A159,'The List'!$B1:$AH730,24,FALSE)-AVERAGE('The List'!Y2:Y730))/STDEV('The List'!Y2:Y730)</f>
        <v>0.0583655011879584</v>
      </c>
      <c r="M159" s="46">
        <f>(VLOOKUP($A159,'The List'!$B1:$AH730,25,FALSE)-AVERAGE('The List'!Z2:Z730))/STDEV('The List'!Z2:Z730)</f>
        <v>0.00478229761048413</v>
      </c>
      <c r="N159" s="46">
        <f>(VLOOKUP($A159,'The List'!$B1:$AH730,26,FALSE)-AVERAGE('The List'!AA2:AA730))/STDEV('The List'!AA2:AA730)</f>
        <v>-0.515520114872322</v>
      </c>
      <c r="O159" s="46">
        <f>(VLOOKUP($A159,'The List'!$B1:$AH730,27,FALSE)-AVERAGE('The List'!AB2:AB730))/STDEV('The List'!AB2:AB730)</f>
        <v>1.47915242734944</v>
      </c>
      <c r="P159" s="46">
        <f>(VLOOKUP($A159,'The List'!$B1:$AH730,28,FALSE)-AVERAGE('The List'!AC2:AC730))/STDEV('The List'!AC2:AC730)</f>
        <v>0.875036517211802</v>
      </c>
      <c r="Q159" s="46">
        <f>(VLOOKUP($A159,'The List'!$B1:$AH730,29,FALSE)-AVERAGE('The List'!AD2:AD730))/STDEV('The List'!AD2:AD730)</f>
        <v>0.479980382006891</v>
      </c>
      <c r="R159" s="46">
        <f>(VLOOKUP($A159,'The List'!$B1:$AH730,30,FALSE)-AVERAGE('The List'!AE2:AE730))/STDEV('The List'!AE2:AE730)</f>
        <v>0.97415924666183</v>
      </c>
      <c r="S159" s="46">
        <f>(VLOOKUP($A159,'The List'!$B1:$AH730,31,FALSE)-AVERAGE('The List'!AF2:AF730))/STDEV('The List'!AF2:AF730)</f>
        <v>-0.173174043732859</v>
      </c>
      <c r="T159" s="46">
        <f>(VLOOKUP($A159,'The List'!$B1:$AH730,32,FALSE)-AVERAGE('The List'!AG2:AG730))/STDEV('The List'!AG2:AG730)</f>
        <v>0.00987324095332937</v>
      </c>
      <c r="U159" s="46">
        <f>(VLOOKUP($A159,'The List'!$B1:$AH730,33,FALSE)-AVERAGE('The List'!AH2:AH730))/STDEV('The List'!AH2:AH730)</f>
        <v>0.560720789392164</v>
      </c>
      <c r="V159" s="46"/>
      <c r="W159" s="48"/>
      <c r="X159" s="46"/>
      <c r="Y159" s="46"/>
      <c r="Z159" s="46"/>
      <c r="AA159" s="46"/>
      <c r="AB159" s="46"/>
      <c r="AC159" s="46"/>
      <c r="AD159" s="46"/>
      <c r="AE159" s="46"/>
    </row>
    <row r="160" ht="21.25" customHeight="1">
      <c r="A160" t="s" s="8">
        <v>424</v>
      </c>
      <c r="B160" t="s" s="42">
        <f>VLOOKUP(A160,'Player Data'!A1:B734,2,FALSE)</f>
        <v>166</v>
      </c>
      <c r="C160" s="44">
        <f>((E160)*'Settings'!$C$12)+(F160*'Settings'!$C$2)+(G160*'Settings'!$C$3)+(H160*'Settings'!$C$4)+(I160*'Settings'!$C$5)+(K160*'Settings'!$C$9)+(N160*'Settings'!$C$6)+(J160*'Settings'!$C$8)+(O160*'Settings'!$C$7)+(P160*'Settings'!$C$14)+(Q160*'Settings'!$C$15)+(R160*'Settings'!$C$16)+(S160*'Settings'!$C$17)+(T160*'Settings'!$C$18)+(U160*'Settings'!$C$19)+(L160*'Settings'!$C$10)+('Settings'!$C$11*M160)</f>
        <v>0.5847814453793591</v>
      </c>
      <c r="D160" s="48">
        <f>IF('Settings'!$E$12="YES",VLOOKUP(A160,'Player Data'!A1:E734,5,FALSE),82)</f>
        <v>77.7221428571429</v>
      </c>
      <c r="E160" s="46">
        <f>(VLOOKUP($A160,'The List'!$B1:$AH730,17,FALSE)-AVERAGE('The List'!R2:R730))/STDEV('The List'!R2:R730)</f>
        <v>-0.269734074474911</v>
      </c>
      <c r="F160" s="46">
        <f>(VLOOKUP($A160,'The List'!$B1:$AH730,18,FALSE)-AVERAGE('The List'!S2:S730))/STDEV('The List'!S2:S730)</f>
        <v>0.696845566216717</v>
      </c>
      <c r="G160" s="46">
        <f>(VLOOKUP($A160,'The List'!$B1:$AH730,19,FALSE)-AVERAGE('The List'!T2:T730))/STDEV('The List'!T2:T730)</f>
        <v>0.448169857482407</v>
      </c>
      <c r="H160" s="46">
        <f>(VLOOKUP($A160,'The List'!$B1:$AH730,20,FALSE)-AVERAGE('The List'!U2:U730))/STDEV('The List'!U2:U730)</f>
        <v>0.593369534890996</v>
      </c>
      <c r="I160" s="46">
        <f>(VLOOKUP($A160,'The List'!$B1:$AH730,21,FALSE)-AVERAGE('The List'!V2:V730))/STDEV('The List'!V2:V730)</f>
        <v>0.0823936541740897</v>
      </c>
      <c r="J160" s="46">
        <f>(VLOOKUP($A160,'The List'!$B1:$AH730,22,FALSE)-AVERAGE('The List'!W2:W730))/STDEV('The List'!W2:W730)</f>
        <v>-0.00485511405888894</v>
      </c>
      <c r="K160" s="46">
        <f>(VLOOKUP($A160,'The List'!$B1:$AH730,23,FALSE)-AVERAGE('The List'!X2:X730))/STDEV('The List'!X2:X730)</f>
        <v>0.27289252934743</v>
      </c>
      <c r="L160" s="46">
        <f>(VLOOKUP($A160,'The List'!$B1:$AH730,24,FALSE)-AVERAGE('The List'!Y2:Y730))/STDEV('The List'!Y2:Y730)</f>
        <v>-0.523386869596434</v>
      </c>
      <c r="M160" s="46">
        <f>(VLOOKUP($A160,'The List'!$B1:$AH730,25,FALSE)-AVERAGE('The List'!Z2:Z730))/STDEV('The List'!Z2:Z730)</f>
        <v>-0.699978765477412</v>
      </c>
      <c r="N160" s="46">
        <f>(VLOOKUP($A160,'The List'!$B1:$AH730,26,FALSE)-AVERAGE('The List'!AA2:AA730))/STDEV('The List'!AA2:AA730)</f>
        <v>-0.518363209901045</v>
      </c>
      <c r="O160" s="46">
        <f>(VLOOKUP($A160,'The List'!$B1:$AH730,27,FALSE)-AVERAGE('The List'!AB2:AB730))/STDEV('The List'!AB2:AB730)</f>
        <v>-1.44024534697658</v>
      </c>
      <c r="P160" s="46">
        <f>(VLOOKUP($A160,'The List'!$B1:$AH730,28,FALSE)-AVERAGE('The List'!AC2:AC730))/STDEV('The List'!AC2:AC730)</f>
        <v>-0.39715695194024</v>
      </c>
      <c r="Q160" s="46">
        <f>(VLOOKUP($A160,'The List'!$B1:$AH730,29,FALSE)-AVERAGE('The List'!AD2:AD730))/STDEV('The List'!AD2:AD730)</f>
        <v>-0.40341311882861</v>
      </c>
      <c r="R160" s="46">
        <f>(VLOOKUP($A160,'The List'!$B1:$AH730,30,FALSE)-AVERAGE('The List'!AE2:AE730))/STDEV('The List'!AE2:AE730)</f>
        <v>0.410256392215426</v>
      </c>
      <c r="S160" s="46">
        <f>(VLOOKUP($A160,'The List'!$B1:$AH730,31,FALSE)-AVERAGE('The List'!AF2:AF730))/STDEV('The List'!AF2:AF730)</f>
        <v>1.75518414685097</v>
      </c>
      <c r="T160" s="46">
        <f>(VLOOKUP($A160,'The List'!$B1:$AH730,32,FALSE)-AVERAGE('The List'!AG2:AG730))/STDEV('The List'!AG2:AG730)</f>
        <v>1.84458817728959</v>
      </c>
      <c r="U160" s="46">
        <f>(VLOOKUP($A160,'The List'!$B1:$AH730,33,FALSE)-AVERAGE('The List'!AH2:AH730))/STDEV('The List'!AH2:AH730)</f>
        <v>1.01552929633633</v>
      </c>
      <c r="V160" s="46"/>
      <c r="W160" s="50"/>
      <c r="X160" s="48"/>
      <c r="Y160" s="48"/>
      <c r="Z160" s="48"/>
      <c r="AA160" s="48"/>
      <c r="AB160" s="48"/>
      <c r="AC160" s="51"/>
      <c r="AD160" s="52"/>
      <c r="AE160" s="46"/>
    </row>
    <row r="161" ht="21.25" customHeight="1">
      <c r="A161" t="s" s="8">
        <v>499</v>
      </c>
      <c r="B161" t="s" s="42">
        <f>VLOOKUP(A161,'Player Data'!A1:B734,2,FALSE)</f>
        <v>164</v>
      </c>
      <c r="C161" s="44">
        <f>((E161)*'Settings'!$C$12)+(F161*'Settings'!$C$2)+(G161*'Settings'!$C$3)+(H161*'Settings'!$C$4)+(I161*'Settings'!$C$5)+(K161*'Settings'!$C$9)+(N161*'Settings'!$C$6)+(J161*'Settings'!$C$8)+(O161*'Settings'!$C$7)+(P161*'Settings'!$C$14)+(Q161*'Settings'!$C$15)+(R161*'Settings'!$C$16)+(S161*'Settings'!$C$17)+(T161*'Settings'!$C$18)+(U161*'Settings'!$C$19)+(L161*'Settings'!$C$10)+('Settings'!$C$11*M161)</f>
        <v>0.135375837096808</v>
      </c>
      <c r="D161" s="48">
        <f>IF('Settings'!$E$12="YES",VLOOKUP(A161,'Player Data'!A1:E734,5,FALSE),82)</f>
        <v>68.2</v>
      </c>
      <c r="E161" s="46">
        <f>(VLOOKUP($A161,'The List'!$B1:$AH730,17,FALSE)-AVERAGE('The List'!R2:R730))/STDEV('The List'!R2:R730)</f>
        <v>-0.219392312210093</v>
      </c>
      <c r="F161" s="46">
        <f>(VLOOKUP($A161,'The List'!$B1:$AH730,18,FALSE)-AVERAGE('The List'!S2:S730))/STDEV('The List'!S2:S730)</f>
        <v>0.0598822573487586</v>
      </c>
      <c r="G161" s="46">
        <f>(VLOOKUP($A161,'The List'!$B1:$AH730,19,FALSE)-AVERAGE('The List'!T2:T730))/STDEV('The List'!T2:T730)</f>
        <v>0.4711545922085</v>
      </c>
      <c r="H161" s="46">
        <f>(VLOOKUP($A161,'The List'!$B1:$AH730,20,FALSE)-AVERAGE('The List'!U2:U730))/STDEV('The List'!U2:U730)</f>
        <v>0.317708241466422</v>
      </c>
      <c r="I161" s="46">
        <f>(VLOOKUP($A161,'The List'!$B1:$AH730,21,FALSE)-AVERAGE('The List'!V2:V730))/STDEV('The List'!V2:V730)</f>
        <v>-0.0942772918158649</v>
      </c>
      <c r="J161" s="46">
        <f>(VLOOKUP($A161,'The List'!$B1:$AH730,22,FALSE)-AVERAGE('The List'!W2:W730))/STDEV('The List'!W2:W730)</f>
        <v>-0.0948456116316977</v>
      </c>
      <c r="K161" s="46">
        <f>(VLOOKUP($A161,'The List'!$B1:$AH730,23,FALSE)-AVERAGE('The List'!X2:X730))/STDEV('The List'!X2:X730)</f>
        <v>-0.0275717369144512</v>
      </c>
      <c r="L161" s="46">
        <f>(VLOOKUP($A161,'The List'!$B1:$AH730,24,FALSE)-AVERAGE('The List'!Y2:Y730))/STDEV('The List'!Y2:Y730)</f>
        <v>-0.540938292706826</v>
      </c>
      <c r="M161" s="46">
        <f>(VLOOKUP($A161,'The List'!$B1:$AH730,25,FALSE)-AVERAGE('The List'!Z2:Z730))/STDEV('The List'!Z2:Z730)</f>
        <v>-0.7196981226240901</v>
      </c>
      <c r="N161" s="46">
        <f>(VLOOKUP($A161,'The List'!$B1:$AH730,26,FALSE)-AVERAGE('The List'!AA2:AA730))/STDEV('The List'!AA2:AA730)</f>
        <v>-0.800417223961108</v>
      </c>
      <c r="O161" s="46">
        <f>(VLOOKUP($A161,'The List'!$B1:$AH730,27,FALSE)-AVERAGE('The List'!AB2:AB730))/STDEV('The List'!AB2:AB730)</f>
        <v>-0.796255949682203</v>
      </c>
      <c r="P161" s="46">
        <f>(VLOOKUP($A161,'The List'!$B1:$AH730,28,FALSE)-AVERAGE('The List'!AC2:AC730))/STDEV('The List'!AC2:AC730)</f>
        <v>0.526605240230973</v>
      </c>
      <c r="Q161" s="46">
        <f>(VLOOKUP($A161,'The List'!$B1:$AH730,29,FALSE)-AVERAGE('The List'!AD2:AD730))/STDEV('The List'!AD2:AD730)</f>
        <v>-0.694082664417229</v>
      </c>
      <c r="R161" s="46">
        <f>(VLOOKUP($A161,'The List'!$B1:$AH730,30,FALSE)-AVERAGE('The List'!AE2:AE730))/STDEV('The List'!AE2:AE730)</f>
        <v>0.191458560695342</v>
      </c>
      <c r="S161" s="46">
        <f>(VLOOKUP($A161,'The List'!$B1:$AH730,31,FALSE)-AVERAGE('The List'!AF2:AF730))/STDEV('The List'!AF2:AF730)</f>
        <v>-0.540874943908573</v>
      </c>
      <c r="T161" s="46">
        <f>(VLOOKUP($A161,'The List'!$B1:$AH730,32,FALSE)-AVERAGE('The List'!AG2:AG730))/STDEV('The List'!AG2:AG730)</f>
        <v>-0.538786214064676</v>
      </c>
      <c r="U161" s="46">
        <f>(VLOOKUP($A161,'The List'!$B1:$AH730,33,FALSE)-AVERAGE('The List'!AH2:AH730))/STDEV('The List'!AH2:AH730)</f>
        <v>-0.271539455876077</v>
      </c>
      <c r="V161" s="46"/>
      <c r="W161" s="50"/>
      <c r="X161" s="48"/>
      <c r="Y161" s="48"/>
      <c r="Z161" s="48"/>
      <c r="AA161" s="48"/>
      <c r="AB161" s="48"/>
      <c r="AC161" s="51"/>
      <c r="AD161" s="52"/>
      <c r="AE161" s="46"/>
    </row>
    <row r="162" ht="21.25" customHeight="1">
      <c r="A162" t="s" s="8">
        <v>372</v>
      </c>
      <c r="B162" t="s" s="42">
        <f>VLOOKUP(A162,'Player Data'!A1:B734,2,FALSE)</f>
        <v>170</v>
      </c>
      <c r="C162" s="44">
        <f>((E162)*'Settings'!$C$12)+(F162*'Settings'!$C$2)+(G162*'Settings'!$C$3)+(H162*'Settings'!$C$4)+(I162*'Settings'!$C$5)+(K162*'Settings'!$C$9)+(N162*'Settings'!$C$6)+(J162*'Settings'!$C$8)+(O162*'Settings'!$C$7)+(P162*'Settings'!$C$14)+(Q162*'Settings'!$C$15)+(R162*'Settings'!$C$16)+(S162*'Settings'!$C$17)+(T162*'Settings'!$C$18)+(U162*'Settings'!$C$19)+(L162*'Settings'!$C$10)+('Settings'!$C$11*M162)</f>
        <v>1.59320485613993</v>
      </c>
      <c r="D162" s="48">
        <f>IF('Settings'!$E$12="YES",VLOOKUP(A162,'Player Data'!A1:E734,5,FALSE),82)</f>
        <v>77.3057142857143</v>
      </c>
      <c r="E162" s="46">
        <f>(VLOOKUP($A162,'The List'!$B1:$AH730,17,FALSE)-AVERAGE('The List'!R2:R730))/STDEV('The List'!R2:R730)</f>
        <v>0.241302341508319</v>
      </c>
      <c r="F162" s="46">
        <f>(VLOOKUP($A162,'The List'!$B1:$AH730,18,FALSE)-AVERAGE('The List'!S2:S730))/STDEV('The List'!S2:S730)</f>
        <v>0.856814144752868</v>
      </c>
      <c r="G162" s="46">
        <f>(VLOOKUP($A162,'The List'!$B1:$AH730,19,FALSE)-AVERAGE('The List'!T2:T730))/STDEV('The List'!T2:T730)</f>
        <v>0.291669881646972</v>
      </c>
      <c r="H162" s="46">
        <f>(VLOOKUP($A162,'The List'!$B1:$AH730,20,FALSE)-AVERAGE('The List'!U2:U730))/STDEV('The List'!U2:U730)</f>
        <v>0.569678268289358</v>
      </c>
      <c r="I162" s="46">
        <f>(VLOOKUP($A162,'The List'!$B1:$AH730,21,FALSE)-AVERAGE('The List'!V2:V730))/STDEV('The List'!V2:V730)</f>
        <v>0.749322829798841</v>
      </c>
      <c r="J162" s="46">
        <f>(VLOOKUP($A162,'The List'!$B1:$AH730,22,FALSE)-AVERAGE('The List'!W2:W730))/STDEV('The List'!W2:W730)</f>
        <v>0.265776197080648</v>
      </c>
      <c r="K162" s="46">
        <f>(VLOOKUP($A162,'The List'!$B1:$AH730,23,FALSE)-AVERAGE('The List'!X2:X730))/STDEV('The List'!X2:X730)</f>
        <v>-0.0889872283186753</v>
      </c>
      <c r="L162" s="46">
        <f>(VLOOKUP($A162,'The List'!$B1:$AH730,24,FALSE)-AVERAGE('The List'!Y2:Y730))/STDEV('The List'!Y2:Y730)</f>
        <v>5.53211573189183</v>
      </c>
      <c r="M162" s="46">
        <f>(VLOOKUP($A162,'The List'!$B1:$AH730,25,FALSE)-AVERAGE('The List'!Z2:Z730))/STDEV('The List'!Z2:Z730)</f>
        <v>3.92036215261229</v>
      </c>
      <c r="N162" s="46">
        <f>(VLOOKUP($A162,'The List'!$B1:$AH730,26,FALSE)-AVERAGE('The List'!AA2:AA730))/STDEV('The List'!AA2:AA730)</f>
        <v>-0.6404697660865</v>
      </c>
      <c r="O162" s="46">
        <f>(VLOOKUP($A162,'The List'!$B1:$AH730,27,FALSE)-AVERAGE('The List'!AB2:AB730))/STDEV('The List'!AB2:AB730)</f>
        <v>-0.418630679312416</v>
      </c>
      <c r="P162" s="46">
        <f>(VLOOKUP($A162,'The List'!$B1:$AH730,28,FALSE)-AVERAGE('The List'!AC2:AC730))/STDEV('The List'!AC2:AC730)</f>
        <v>0.424854994346429</v>
      </c>
      <c r="Q162" s="46">
        <f>(VLOOKUP($A162,'The List'!$B1:$AH730,29,FALSE)-AVERAGE('The List'!AD2:AD730))/STDEV('The List'!AD2:AD730)</f>
        <v>-0.807273558908009</v>
      </c>
      <c r="R162" s="46">
        <f>(VLOOKUP($A162,'The List'!$B1:$AH730,30,FALSE)-AVERAGE('The List'!AE2:AE730))/STDEV('The List'!AE2:AE730)</f>
        <v>1.06370875858769</v>
      </c>
      <c r="S162" s="46">
        <f>(VLOOKUP($A162,'The List'!$B1:$AH730,31,FALSE)-AVERAGE('The List'!AF2:AF730))/STDEV('The List'!AF2:AF730)</f>
        <v>-0.541174749983923</v>
      </c>
      <c r="T162" s="46">
        <f>(VLOOKUP($A162,'The List'!$B1:$AH730,32,FALSE)-AVERAGE('The List'!AG2:AG730))/STDEV('The List'!AG2:AG730)</f>
        <v>-0.579103383338336</v>
      </c>
      <c r="U162" s="46">
        <f>(VLOOKUP($A162,'The List'!$B1:$AH730,33,FALSE)-AVERAGE('The List'!AH2:AH730))/STDEV('The List'!AH2:AH730)</f>
        <v>0.714844844095055</v>
      </c>
      <c r="V162" s="46"/>
      <c r="W162" s="50"/>
      <c r="X162" s="48"/>
      <c r="Y162" s="48"/>
      <c r="Z162" s="48"/>
      <c r="AA162" s="48"/>
      <c r="AB162" s="48"/>
      <c r="AC162" s="51"/>
      <c r="AD162" s="52"/>
      <c r="AE162" s="46"/>
    </row>
    <row r="163" ht="21.25" customHeight="1">
      <c r="A163" t="s" s="8">
        <v>594</v>
      </c>
      <c r="B163" t="s" s="42">
        <f>VLOOKUP(A163,'Player Data'!A1:B734,2,FALSE)</f>
        <v>141</v>
      </c>
      <c r="C163" s="44">
        <f>((E163)*'Settings'!$C$12)+(F163*'Settings'!$C$2)+(G163*'Settings'!$C$3)+(H163*'Settings'!$C$4)+(I163*'Settings'!$C$5)+(K163*'Settings'!$C$9)+(N163*'Settings'!$C$6)+(J163*'Settings'!$C$8)+(O163*'Settings'!$C$7)+(P163*'Settings'!$C$14)+(Q163*'Settings'!$C$15)+(R163*'Settings'!$C$16)+(S163*'Settings'!$C$17)+(T163*'Settings'!$C$18)+(U163*'Settings'!$C$19)+(L163*'Settings'!$C$10)+('Settings'!$C$11*M163)</f>
        <v>-1.1526672583574</v>
      </c>
      <c r="D163" s="48">
        <f>IF('Settings'!$E$12="YES",VLOOKUP(A163,'Player Data'!A1:E734,5,FALSE),82)</f>
        <v>54.3</v>
      </c>
      <c r="E163" s="46">
        <f>(VLOOKUP($A163,'The List'!$B1:$AH730,17,FALSE)-AVERAGE('The List'!R2:R730))/STDEV('The List'!R2:R730)</f>
        <v>0.259208583572114</v>
      </c>
      <c r="F163" s="46">
        <f>(VLOOKUP($A163,'The List'!$B1:$AH730,18,FALSE)-AVERAGE('The List'!S2:S730))/STDEV('The List'!S2:S730)</f>
        <v>0.313158401623886</v>
      </c>
      <c r="G163" s="46">
        <f>(VLOOKUP($A163,'The List'!$B1:$AH730,19,FALSE)-AVERAGE('The List'!T2:T730))/STDEV('The List'!T2:T730)</f>
        <v>-0.355047791459173</v>
      </c>
      <c r="H163" s="46">
        <f>(VLOOKUP($A163,'The List'!$B1:$AH730,20,FALSE)-AVERAGE('The List'!U2:U730))/STDEV('The List'!U2:U730)</f>
        <v>-0.076388943451197</v>
      </c>
      <c r="I163" s="46">
        <f>(VLOOKUP($A163,'The List'!$B1:$AH730,21,FALSE)-AVERAGE('The List'!V2:V730))/STDEV('The List'!V2:V730)</f>
        <v>-0.293139472566744</v>
      </c>
      <c r="J163" s="46">
        <f>(VLOOKUP($A163,'The List'!$B1:$AH730,22,FALSE)-AVERAGE('The List'!W2:W730))/STDEV('The List'!W2:W730)</f>
        <v>0.722597404066425</v>
      </c>
      <c r="K163" s="46">
        <f>(VLOOKUP($A163,'The List'!$B1:$AH730,23,FALSE)-AVERAGE('The List'!X2:X730))/STDEV('The List'!X2:X730)</f>
        <v>0.258636690058756</v>
      </c>
      <c r="L163" s="46">
        <f>(VLOOKUP($A163,'The List'!$B1:$AH730,24,FALSE)-AVERAGE('The List'!Y2:Y730))/STDEV('The List'!Y2:Y730)</f>
        <v>-0.171121757874276</v>
      </c>
      <c r="M163" s="46">
        <f>(VLOOKUP($A163,'The List'!$B1:$AH730,25,FALSE)-AVERAGE('The List'!Z2:Z730))/STDEV('The List'!Z2:Z730)</f>
        <v>-0.304950841859799</v>
      </c>
      <c r="N163" s="46">
        <f>(VLOOKUP($A163,'The List'!$B1:$AH730,26,FALSE)-AVERAGE('The List'!AA2:AA730))/STDEV('The List'!AA2:AA730)</f>
        <v>-0.851794092379028</v>
      </c>
      <c r="O163" s="46">
        <f>(VLOOKUP($A163,'The List'!$B1:$AH730,27,FALSE)-AVERAGE('The List'!AB2:AB730))/STDEV('The List'!AB2:AB730)</f>
        <v>-1.03589886378283</v>
      </c>
      <c r="P163" s="46">
        <f>(VLOOKUP($A163,'The List'!$B1:$AH730,28,FALSE)-AVERAGE('The List'!AC2:AC730))/STDEV('The List'!AC2:AC730)</f>
        <v>-0.224480993635097</v>
      </c>
      <c r="Q163" s="46">
        <f>(VLOOKUP($A163,'The List'!$B1:$AH730,29,FALSE)-AVERAGE('The List'!AD2:AD730))/STDEV('The List'!AD2:AD730)</f>
        <v>-0.811106184710738</v>
      </c>
      <c r="R163" s="46">
        <f>(VLOOKUP($A163,'The List'!$B1:$AH730,30,FALSE)-AVERAGE('The List'!AE2:AE730))/STDEV('The List'!AE2:AE730)</f>
        <v>0.115184831954142</v>
      </c>
      <c r="S163" s="46">
        <f>(VLOOKUP($A163,'The List'!$B1:$AH730,31,FALSE)-AVERAGE('The List'!AF2:AF730))/STDEV('The List'!AF2:AF730)</f>
        <v>-0.385754877047669</v>
      </c>
      <c r="T163" s="46">
        <f>(VLOOKUP($A163,'The List'!$B1:$AH730,32,FALSE)-AVERAGE('The List'!AG2:AG730))/STDEV('The List'!AG2:AG730)</f>
        <v>-0.427664607147347</v>
      </c>
      <c r="U163" s="46">
        <f>(VLOOKUP($A163,'The List'!$B1:$AH730,33,FALSE)-AVERAGE('The List'!AH2:AH730))/STDEV('The List'!AH2:AH730)</f>
        <v>1.06545745276308</v>
      </c>
      <c r="V163" s="46"/>
      <c r="W163" s="50"/>
      <c r="X163" s="48"/>
      <c r="Y163" s="48"/>
      <c r="Z163" s="48"/>
      <c r="AA163" s="48"/>
      <c r="AB163" s="48"/>
      <c r="AC163" s="51"/>
      <c r="AD163" s="52"/>
      <c r="AE163" s="46"/>
    </row>
    <row r="164" ht="21.25" customHeight="1">
      <c r="A164" t="s" s="8">
        <v>237</v>
      </c>
      <c r="B164" t="s" s="42">
        <f>VLOOKUP(A164,'Player Data'!A1:B734,2,FALSE)</f>
        <v>238</v>
      </c>
      <c r="C164" s="44">
        <f>((E164)*'Settings'!$C$12)+(F164*'Settings'!$C$2)+(G164*'Settings'!$C$3)+(H164*'Settings'!$C$4)+(I164*'Settings'!$C$5)+(K164*'Settings'!$C$9)+(N164*'Settings'!$C$6)+(J164*'Settings'!$C$8)+(O164*'Settings'!$C$7)+(P164*'Settings'!$C$14)+(Q164*'Settings'!$C$15)+(R164*'Settings'!$C$16)+(S164*'Settings'!$C$17)+(T164*'Settings'!$C$18)+(U164*'Settings'!$C$19)+(L164*'Settings'!$C$10)+('Settings'!$C$11*M164)</f>
        <v>5.48417116703251</v>
      </c>
      <c r="D164" s="48">
        <f>IF('Settings'!$E$12="YES",VLOOKUP(A164,'Player Data'!A1:E734,5,FALSE),82)</f>
        <v>80.8</v>
      </c>
      <c r="E164" s="46">
        <f>(VLOOKUP($A164,'The List'!$B1:$AH730,17,FALSE)-AVERAGE('The List'!R2:R730))/STDEV('The List'!R2:R730)</f>
        <v>2.03716863728718</v>
      </c>
      <c r="F164" s="46">
        <f>(VLOOKUP($A164,'The List'!$B1:$AH730,18,FALSE)-AVERAGE('The List'!S2:S730))/STDEV('The List'!S2:S730)</f>
        <v>-0.477814132605088</v>
      </c>
      <c r="G164" s="46">
        <f>(VLOOKUP($A164,'The List'!$B1:$AH730,19,FALSE)-AVERAGE('The List'!T2:T730))/STDEV('The List'!T2:T730)</f>
        <v>1.4203534908657</v>
      </c>
      <c r="H164" s="46">
        <f>(VLOOKUP($A164,'The List'!$B1:$AH730,20,FALSE)-AVERAGE('The List'!U2:U730))/STDEV('The List'!U2:U730)</f>
        <v>0.65821424521785</v>
      </c>
      <c r="I164" s="46">
        <f>(VLOOKUP($A164,'The List'!$B1:$AH730,21,FALSE)-AVERAGE('The List'!V2:V730))/STDEV('The List'!V2:V730)</f>
        <v>0.527160692734835</v>
      </c>
      <c r="J164" s="46">
        <f>(VLOOKUP($A164,'The List'!$B1:$AH730,22,FALSE)-AVERAGE('The List'!W2:W730))/STDEV('The List'!W2:W730)</f>
        <v>-0.260094652320633</v>
      </c>
      <c r="K164" s="46">
        <f>(VLOOKUP($A164,'The List'!$B1:$AH730,23,FALSE)-AVERAGE('The List'!X2:X730))/STDEV('The List'!X2:X730)</f>
        <v>1.33325214238856</v>
      </c>
      <c r="L164" s="46">
        <f>(VLOOKUP($A164,'The List'!$B1:$AH730,24,FALSE)-AVERAGE('The List'!Y2:Y730))/STDEV('The List'!Y2:Y730)</f>
        <v>0.385090433700888</v>
      </c>
      <c r="M164" s="46">
        <f>(VLOOKUP($A164,'The List'!$B1:$AH730,25,FALSE)-AVERAGE('The List'!Z2:Z730))/STDEV('The List'!Z2:Z730)</f>
        <v>0.823124952916376</v>
      </c>
      <c r="N164" s="46">
        <f>(VLOOKUP($A164,'The List'!$B1:$AH730,26,FALSE)-AVERAGE('The List'!AA2:AA730))/STDEV('The List'!AA2:AA730)</f>
        <v>1.94450335989872</v>
      </c>
      <c r="O164" s="46">
        <f>(VLOOKUP($A164,'The List'!$B1:$AH730,27,FALSE)-AVERAGE('The List'!AB2:AB730))/STDEV('The List'!AB2:AB730)</f>
        <v>-0.58568806648071</v>
      </c>
      <c r="P164" s="46">
        <f>(VLOOKUP($A164,'The List'!$B1:$AH730,28,FALSE)-AVERAGE('The List'!AC2:AC730))/STDEV('The List'!AC2:AC730)</f>
        <v>0.736715613749785</v>
      </c>
      <c r="Q164" s="46">
        <f>(VLOOKUP($A164,'The List'!$B1:$AH730,29,FALSE)-AVERAGE('The List'!AD2:AD730))/STDEV('The List'!AD2:AD730)</f>
        <v>0.369282270404384</v>
      </c>
      <c r="R164" s="46">
        <f>(VLOOKUP($A164,'The List'!$B1:$AH730,30,FALSE)-AVERAGE('The List'!AE2:AE730))/STDEV('The List'!AE2:AE730)</f>
        <v>-0.295337065694222</v>
      </c>
      <c r="S164" s="46">
        <f>(VLOOKUP($A164,'The List'!$B1:$AH730,31,FALSE)-AVERAGE('The List'!AF2:AF730))/STDEV('The List'!AF2:AF730)</f>
        <v>-0.5569063253591</v>
      </c>
      <c r="T164" s="46">
        <f>(VLOOKUP($A164,'The List'!$B1:$AH730,32,FALSE)-AVERAGE('The List'!AG2:AG730))/STDEV('The List'!AG2:AG730)</f>
        <v>-0.600856269042678</v>
      </c>
      <c r="U164" s="46">
        <f>(VLOOKUP($A164,'The List'!$B1:$AH730,33,FALSE)-AVERAGE('The List'!AH2:AH730))/STDEV('The List'!AH2:AH730)</f>
        <v>-1.2363238714826</v>
      </c>
      <c r="V164" s="46"/>
      <c r="W164" s="50"/>
      <c r="X164" s="48"/>
      <c r="Y164" s="48"/>
      <c r="Z164" s="48"/>
      <c r="AA164" s="48"/>
      <c r="AB164" s="48"/>
      <c r="AC164" s="51"/>
      <c r="AD164" s="52"/>
      <c r="AE164" s="46"/>
    </row>
    <row r="165" ht="21.25" customHeight="1">
      <c r="A165" t="s" s="8">
        <v>211</v>
      </c>
      <c r="B165" t="s" s="42">
        <f>VLOOKUP(A165,'Player Data'!A1:B734,2,FALSE)</f>
        <v>149</v>
      </c>
      <c r="C165" s="44">
        <f>((E165)*'Settings'!$C$12)+(F165*'Settings'!$C$2)+(G165*'Settings'!$C$3)+(H165*'Settings'!$C$4)+(I165*'Settings'!$C$5)+(K165*'Settings'!$C$9)+(N165*'Settings'!$C$6)+(J165*'Settings'!$C$8)+(O165*'Settings'!$C$7)+(P165*'Settings'!$C$14)+(Q165*'Settings'!$C$15)+(R165*'Settings'!$C$16)+(S165*'Settings'!$C$17)+(T165*'Settings'!$C$18)+(U165*'Settings'!$C$19)+(L165*'Settings'!$C$10)+('Settings'!$C$11*M165)</f>
        <v>5.06553516013955</v>
      </c>
      <c r="D165" s="48">
        <f>IF('Settings'!$E$12="YES",VLOOKUP(A165,'Player Data'!A1:E734,5,FALSE),82)</f>
        <v>79.58071428571429</v>
      </c>
      <c r="E165" s="46">
        <f>(VLOOKUP($A165,'The List'!$B1:$AH730,17,FALSE)-AVERAGE('The List'!R2:R730))/STDEV('The List'!R2:R730)</f>
        <v>1.08988963592028</v>
      </c>
      <c r="F165" s="46">
        <f>(VLOOKUP($A165,'The List'!$B1:$AH730,18,FALSE)-AVERAGE('The List'!S2:S730))/STDEV('The List'!S2:S730)</f>
        <v>-0.119479787365176</v>
      </c>
      <c r="G165" s="46">
        <f>(VLOOKUP($A165,'The List'!$B1:$AH730,19,FALSE)-AVERAGE('The List'!T2:T730))/STDEV('The List'!T2:T730)</f>
        <v>1.09735884718733</v>
      </c>
      <c r="H165" s="46">
        <f>(VLOOKUP($A165,'The List'!$B1:$AH730,20,FALSE)-AVERAGE('The List'!U2:U730))/STDEV('The List'!U2:U730)</f>
        <v>0.622141606457674</v>
      </c>
      <c r="I165" s="46">
        <f>(VLOOKUP($A165,'The List'!$B1:$AH730,21,FALSE)-AVERAGE('The List'!V2:V730))/STDEV('The List'!V2:V730)</f>
        <v>1.03555734259464</v>
      </c>
      <c r="J165" s="46">
        <f>(VLOOKUP($A165,'The List'!$B1:$AH730,22,FALSE)-AVERAGE('The List'!W2:W730))/STDEV('The List'!W2:W730)</f>
        <v>0.299234102034683</v>
      </c>
      <c r="K165" s="46">
        <f>(VLOOKUP($A165,'The List'!$B1:$AH730,23,FALSE)-AVERAGE('The List'!X2:X730))/STDEV('The List'!X2:X730)</f>
        <v>1.46622700451396</v>
      </c>
      <c r="L165" s="46">
        <f>(VLOOKUP($A165,'The List'!$B1:$AH730,24,FALSE)-AVERAGE('The List'!Y2:Y730))/STDEV('The List'!Y2:Y730)</f>
        <v>-0.506648160229164</v>
      </c>
      <c r="M165" s="46">
        <f>(VLOOKUP($A165,'The List'!$B1:$AH730,25,FALSE)-AVERAGE('The List'!Z2:Z730))/STDEV('The List'!Z2:Z730)</f>
        <v>-0.639599274890867</v>
      </c>
      <c r="N165" s="46">
        <f>(VLOOKUP($A165,'The List'!$B1:$AH730,26,FALSE)-AVERAGE('The List'!AA2:AA730))/STDEV('The List'!AA2:AA730)</f>
        <v>1.42516146806571</v>
      </c>
      <c r="O165" s="46">
        <f>(VLOOKUP($A165,'The List'!$B1:$AH730,27,FALSE)-AVERAGE('The List'!AB2:AB730))/STDEV('The List'!AB2:AB730)</f>
        <v>-0.331398117381866</v>
      </c>
      <c r="P165" s="46">
        <f>(VLOOKUP($A165,'The List'!$B1:$AH730,28,FALSE)-AVERAGE('The List'!AC2:AC730))/STDEV('The List'!AC2:AC730)</f>
        <v>0.160710285143083</v>
      </c>
      <c r="Q165" s="46">
        <f>(VLOOKUP($A165,'The List'!$B1:$AH730,29,FALSE)-AVERAGE('The List'!AD2:AD730))/STDEV('The List'!AD2:AD730)</f>
        <v>-0.641752120055183</v>
      </c>
      <c r="R165" s="46">
        <f>(VLOOKUP($A165,'The List'!$B1:$AH730,30,FALSE)-AVERAGE('The List'!AE2:AE730))/STDEV('The List'!AE2:AE730)</f>
        <v>-0.00195517543834079</v>
      </c>
      <c r="S165" s="46">
        <f>(VLOOKUP($A165,'The List'!$B1:$AH730,31,FALSE)-AVERAGE('The List'!AF2:AF730))/STDEV('The List'!AF2:AF730)</f>
        <v>-0.5569063253591</v>
      </c>
      <c r="T165" s="46">
        <f>(VLOOKUP($A165,'The List'!$B1:$AH730,32,FALSE)-AVERAGE('The List'!AG2:AG730))/STDEV('The List'!AG2:AG730)</f>
        <v>-0.600856269042678</v>
      </c>
      <c r="U165" s="46">
        <f>(VLOOKUP($A165,'The List'!$B1:$AH730,33,FALSE)-AVERAGE('The List'!AH2:AH730))/STDEV('The List'!AH2:AH730)</f>
        <v>-1.2363238714826</v>
      </c>
      <c r="V165" s="46"/>
      <c r="W165" s="50"/>
      <c r="X165" s="48"/>
      <c r="Y165" s="48"/>
      <c r="Z165" s="48"/>
      <c r="AA165" s="48"/>
      <c r="AB165" s="48"/>
      <c r="AC165" s="51"/>
      <c r="AD165" s="52"/>
      <c r="AE165" s="46"/>
    </row>
    <row r="166" ht="21.25" customHeight="1">
      <c r="A166" t="s" s="8">
        <v>377</v>
      </c>
      <c r="B166" t="s" s="42">
        <f>VLOOKUP(A166,'Player Data'!A1:B734,2,FALSE)</f>
        <v>134</v>
      </c>
      <c r="C166" s="44">
        <f>((E166)*'Settings'!$C$12)+(F166*'Settings'!$C$2)+(G166*'Settings'!$C$3)+(H166*'Settings'!$C$4)+(I166*'Settings'!$C$5)+(K166*'Settings'!$C$9)+(N166*'Settings'!$C$6)+(J166*'Settings'!$C$8)+(O166*'Settings'!$C$7)+(P166*'Settings'!$C$14)+(Q166*'Settings'!$C$15)+(R166*'Settings'!$C$16)+(S166*'Settings'!$C$17)+(T166*'Settings'!$C$18)+(U166*'Settings'!$C$19)+(L166*'Settings'!$C$10)+('Settings'!$C$11*M166)</f>
        <v>2.18779100632093</v>
      </c>
      <c r="D166" s="48">
        <f>IF('Settings'!$E$12="YES",VLOOKUP(A166,'Player Data'!A1:E734,5,FALSE),82)</f>
        <v>77.40000000000001</v>
      </c>
      <c r="E166" s="46">
        <f>(VLOOKUP($A166,'The List'!$B1:$AH730,17,FALSE)-AVERAGE('The List'!R2:R730))/STDEV('The List'!R2:R730)</f>
        <v>-0.0556131028375416</v>
      </c>
      <c r="F166" s="46">
        <f>(VLOOKUP($A166,'The List'!$B1:$AH730,18,FALSE)-AVERAGE('The List'!S2:S730))/STDEV('The List'!S2:S730)</f>
        <v>0.836757518072198</v>
      </c>
      <c r="G166" s="46">
        <f>(VLOOKUP($A166,'The List'!$B1:$AH730,19,FALSE)-AVERAGE('The List'!T2:T730))/STDEV('The List'!T2:T730)</f>
        <v>0.272281300866968</v>
      </c>
      <c r="H166" s="46">
        <f>(VLOOKUP($A166,'The List'!$B1:$AH730,20,FALSE)-AVERAGE('The List'!U2:U730))/STDEV('The List'!U2:U730)</f>
        <v>0.548599295686381</v>
      </c>
      <c r="I166" s="46">
        <f>(VLOOKUP($A166,'The List'!$B1:$AH730,21,FALSE)-AVERAGE('The List'!V2:V730))/STDEV('The List'!V2:V730)</f>
        <v>0.8164975580103609</v>
      </c>
      <c r="J166" s="46">
        <f>(VLOOKUP($A166,'The List'!$B1:$AH730,22,FALSE)-AVERAGE('The List'!W2:W730))/STDEV('The List'!W2:W730)</f>
        <v>-0.46676040444122</v>
      </c>
      <c r="K166" s="46">
        <f>(VLOOKUP($A166,'The List'!$B1:$AH730,23,FALSE)-AVERAGE('The List'!X2:X730))/STDEV('The List'!X2:X730)</f>
        <v>-0.371520022800512</v>
      </c>
      <c r="L166" s="46">
        <f>(VLOOKUP($A166,'The List'!$B1:$AH730,24,FALSE)-AVERAGE('The List'!Y2:Y730))/STDEV('The List'!Y2:Y730)</f>
        <v>1.34799659596219</v>
      </c>
      <c r="M166" s="46">
        <f>(VLOOKUP($A166,'The List'!$B1:$AH730,25,FALSE)-AVERAGE('The List'!Z2:Z730))/STDEV('The List'!Z2:Z730)</f>
        <v>1.14393967993043</v>
      </c>
      <c r="N166" s="46">
        <f>(VLOOKUP($A166,'The List'!$B1:$AH730,26,FALSE)-AVERAGE('The List'!AA2:AA730))/STDEV('The List'!AA2:AA730)</f>
        <v>-0.147663536302922</v>
      </c>
      <c r="O166" s="46">
        <f>(VLOOKUP($A166,'The List'!$B1:$AH730,27,FALSE)-AVERAGE('The List'!AB2:AB730))/STDEV('The List'!AB2:AB730)</f>
        <v>-0.32371200935408</v>
      </c>
      <c r="P166" s="46">
        <f>(VLOOKUP($A166,'The List'!$B1:$AH730,28,FALSE)-AVERAGE('The List'!AC2:AC730))/STDEV('The List'!AC2:AC730)</f>
        <v>0.781438188474838</v>
      </c>
      <c r="Q166" s="46">
        <f>(VLOOKUP($A166,'The List'!$B1:$AH730,29,FALSE)-AVERAGE('The List'!AD2:AD730))/STDEV('The List'!AD2:AD730)</f>
        <v>2.61722488791468</v>
      </c>
      <c r="R166" s="46">
        <f>(VLOOKUP($A166,'The List'!$B1:$AH730,30,FALSE)-AVERAGE('The List'!AE2:AE730))/STDEV('The List'!AE2:AE730)</f>
        <v>1.04354161112578</v>
      </c>
      <c r="S166" s="46">
        <f>(VLOOKUP($A166,'The List'!$B1:$AH730,31,FALSE)-AVERAGE('The List'!AF2:AF730))/STDEV('The List'!AF2:AF730)</f>
        <v>1.14760127738777</v>
      </c>
      <c r="T166" s="46">
        <f>(VLOOKUP($A166,'The List'!$B1:$AH730,32,FALSE)-AVERAGE('The List'!AG2:AG730))/STDEV('The List'!AG2:AG730)</f>
        <v>1.72083794947758</v>
      </c>
      <c r="U166" s="46">
        <f>(VLOOKUP($A166,'The List'!$B1:$AH730,33,FALSE)-AVERAGE('The List'!AH2:AH730))/STDEV('The List'!AH2:AH730)</f>
        <v>0.731546554557011</v>
      </c>
      <c r="V166" s="46"/>
      <c r="W166" s="50"/>
      <c r="X166" s="48"/>
      <c r="Y166" s="48"/>
      <c r="Z166" s="48"/>
      <c r="AA166" s="48"/>
      <c r="AB166" s="48"/>
      <c r="AC166" s="51"/>
      <c r="AD166" s="52"/>
      <c r="AE166" s="46"/>
    </row>
    <row r="167" ht="21.25" customHeight="1">
      <c r="A167" t="s" s="8">
        <v>421</v>
      </c>
      <c r="B167" t="s" s="42">
        <f>VLOOKUP(A167,'Player Data'!A1:B734,2,FALSE)</f>
        <v>131</v>
      </c>
      <c r="C167" s="44">
        <f>((E167)*'Settings'!$C$12)+(F167*'Settings'!$C$2)+(G167*'Settings'!$C$3)+(H167*'Settings'!$C$4)+(I167*'Settings'!$C$5)+(K167*'Settings'!$C$9)+(N167*'Settings'!$C$6)+(J167*'Settings'!$C$8)+(O167*'Settings'!$C$7)+(P167*'Settings'!$C$14)+(Q167*'Settings'!$C$15)+(R167*'Settings'!$C$16)+(S167*'Settings'!$C$17)+(T167*'Settings'!$C$18)+(U167*'Settings'!$C$19)+(L167*'Settings'!$C$10)+('Settings'!$C$11*M167)</f>
        <v>0.735499135072556</v>
      </c>
      <c r="D167" s="48">
        <f>IF('Settings'!$E$12="YES",VLOOKUP(A167,'Player Data'!A1:E734,5,FALSE),82)</f>
        <v>76.3325</v>
      </c>
      <c r="E167" s="46">
        <f>(VLOOKUP($A167,'The List'!$B1:$AH730,17,FALSE)-AVERAGE('The List'!R2:R730))/STDEV('The List'!R2:R730)</f>
        <v>0.531262879678394</v>
      </c>
      <c r="F167" s="46">
        <f>(VLOOKUP($A167,'The List'!$B1:$AH730,18,FALSE)-AVERAGE('The List'!S2:S730))/STDEV('The List'!S2:S730)</f>
        <v>0.700614042215572</v>
      </c>
      <c r="G167" s="46">
        <f>(VLOOKUP($A167,'The List'!$B1:$AH730,19,FALSE)-AVERAGE('The List'!T2:T730))/STDEV('The List'!T2:T730)</f>
        <v>0.323896388604627</v>
      </c>
      <c r="H167" s="46">
        <f>(VLOOKUP($A167,'The List'!$B1:$AH730,20,FALSE)-AVERAGE('The List'!U2:U730))/STDEV('The List'!U2:U730)</f>
        <v>0.518471306897222</v>
      </c>
      <c r="I167" s="46">
        <f>(VLOOKUP($A167,'The List'!$B1:$AH730,21,FALSE)-AVERAGE('The List'!V2:V730))/STDEV('The List'!V2:V730)</f>
        <v>0.392897319997519</v>
      </c>
      <c r="J167" s="46">
        <f>(VLOOKUP($A167,'The List'!$B1:$AH730,22,FALSE)-AVERAGE('The List'!W2:W730))/STDEV('The List'!W2:W730)</f>
        <v>0.230477549274522</v>
      </c>
      <c r="K167" s="46">
        <f>(VLOOKUP($A167,'The List'!$B1:$AH730,23,FALSE)-AVERAGE('The List'!X2:X730))/STDEV('The List'!X2:X730)</f>
        <v>0.131497230564823</v>
      </c>
      <c r="L167" s="46">
        <f>(VLOOKUP($A167,'The List'!$B1:$AH730,24,FALSE)-AVERAGE('The List'!Y2:Y730))/STDEV('The List'!Y2:Y730)</f>
        <v>1.58491439085876</v>
      </c>
      <c r="M167" s="46">
        <f>(VLOOKUP($A167,'The List'!$B1:$AH730,25,FALSE)-AVERAGE('The List'!Z2:Z730))/STDEV('The List'!Z2:Z730)</f>
        <v>1.11567175010825</v>
      </c>
      <c r="N167" s="46">
        <f>(VLOOKUP($A167,'The List'!$B1:$AH730,26,FALSE)-AVERAGE('The List'!AA2:AA730))/STDEV('The List'!AA2:AA730)</f>
        <v>-0.586414034840341</v>
      </c>
      <c r="O167" s="46">
        <f>(VLOOKUP($A167,'The List'!$B1:$AH730,27,FALSE)-AVERAGE('The List'!AB2:AB730))/STDEV('The List'!AB2:AB730)</f>
        <v>-1.27318547038985</v>
      </c>
      <c r="P167" s="46">
        <f>(VLOOKUP($A167,'The List'!$B1:$AH730,28,FALSE)-AVERAGE('The List'!AC2:AC730))/STDEV('The List'!AC2:AC730)</f>
        <v>-0.226991811469644</v>
      </c>
      <c r="Q167" s="46">
        <f>(VLOOKUP($A167,'The List'!$B1:$AH730,29,FALSE)-AVERAGE('The List'!AD2:AD730))/STDEV('The List'!AD2:AD730)</f>
        <v>-0.699830145921933</v>
      </c>
      <c r="R167" s="46">
        <f>(VLOOKUP($A167,'The List'!$B1:$AH730,30,FALSE)-AVERAGE('The List'!AE2:AE730))/STDEV('The List'!AE2:AE730)</f>
        <v>0.7122893557619731</v>
      </c>
      <c r="S167" s="46">
        <f>(VLOOKUP($A167,'The List'!$B1:$AH730,31,FALSE)-AVERAGE('The List'!AF2:AF730))/STDEV('The List'!AF2:AF730)</f>
        <v>3.32123238421067</v>
      </c>
      <c r="T167" s="46">
        <f>(VLOOKUP($A167,'The List'!$B1:$AH730,32,FALSE)-AVERAGE('The List'!AG2:AG730))/STDEV('The List'!AG2:AG730)</f>
        <v>2.48664033848558</v>
      </c>
      <c r="U167" s="46">
        <f>(VLOOKUP($A167,'The List'!$B1:$AH730,33,FALSE)-AVERAGE('The List'!AH2:AH730))/STDEV('The List'!AH2:AH730)</f>
        <v>1.33425210953013</v>
      </c>
      <c r="V167" s="46"/>
      <c r="W167" s="48"/>
      <c r="X167" s="46"/>
      <c r="Y167" s="46"/>
      <c r="Z167" s="46"/>
      <c r="AA167" s="46"/>
      <c r="AB167" s="46"/>
      <c r="AC167" s="46"/>
      <c r="AD167" s="46"/>
      <c r="AE167" s="46"/>
    </row>
    <row r="168" ht="21.25" customHeight="1">
      <c r="A168" t="s" s="8">
        <v>345</v>
      </c>
      <c r="B168" t="s" s="42">
        <f>VLOOKUP(A168,'Player Data'!A1:B734,2,FALSE)</f>
        <v>202</v>
      </c>
      <c r="C168" s="44">
        <f>((E168)*'Settings'!$C$12)+(F168*'Settings'!$C$2)+(G168*'Settings'!$C$3)+(H168*'Settings'!$C$4)+(I168*'Settings'!$C$5)+(K168*'Settings'!$C$9)+(N168*'Settings'!$C$6)+(J168*'Settings'!$C$8)+(O168*'Settings'!$C$7)+(P168*'Settings'!$C$14)+(Q168*'Settings'!$C$15)+(R168*'Settings'!$C$16)+(S168*'Settings'!$C$17)+(T168*'Settings'!$C$18)+(U168*'Settings'!$C$19)+(L168*'Settings'!$C$10)+('Settings'!$C$11*M168)</f>
        <v>3.88433731441189</v>
      </c>
      <c r="D168" s="48">
        <f>IF('Settings'!$E$12="YES",VLOOKUP(A168,'Player Data'!A1:E734,5,FALSE),82)</f>
        <v>79.405</v>
      </c>
      <c r="E168" s="46">
        <f>(VLOOKUP($A168,'The List'!$B1:$AH730,17,FALSE)-AVERAGE('The List'!R2:R730))/STDEV('The List'!R2:R730)</f>
        <v>0.0836161019211937</v>
      </c>
      <c r="F168" s="46">
        <f>(VLOOKUP($A168,'The List'!$B1:$AH730,18,FALSE)-AVERAGE('The List'!S2:S730))/STDEV('The List'!S2:S730)</f>
        <v>0.669417085993204</v>
      </c>
      <c r="G168" s="46">
        <f>(VLOOKUP($A168,'The List'!$B1:$AH730,19,FALSE)-AVERAGE('The List'!T2:T730))/STDEV('The List'!T2:T730)</f>
        <v>0.652902199193773</v>
      </c>
      <c r="H168" s="46">
        <f>(VLOOKUP($A168,'The List'!$B1:$AH730,20,FALSE)-AVERAGE('The List'!U2:U730))/STDEV('The List'!U2:U730)</f>
        <v>0.707103824021003</v>
      </c>
      <c r="I168" s="46">
        <f>(VLOOKUP($A168,'The List'!$B1:$AH730,21,FALSE)-AVERAGE('The List'!V2:V730))/STDEV('The List'!V2:V730)</f>
        <v>0.898701327065917</v>
      </c>
      <c r="J168" s="46">
        <f>(VLOOKUP($A168,'The List'!$B1:$AH730,22,FALSE)-AVERAGE('The List'!W2:W730))/STDEV('The List'!W2:W730)</f>
        <v>-0.202102704622481</v>
      </c>
      <c r="K168" s="46">
        <f>(VLOOKUP($A168,'The List'!$B1:$AH730,23,FALSE)-AVERAGE('The List'!X2:X730))/STDEV('The List'!X2:X730)</f>
        <v>0.104743858175254</v>
      </c>
      <c r="L168" s="46">
        <f>(VLOOKUP($A168,'The List'!$B1:$AH730,24,FALSE)-AVERAGE('The List'!Y2:Y730))/STDEV('The List'!Y2:Y730)</f>
        <v>0.130165861529868</v>
      </c>
      <c r="M168" s="46">
        <f>(VLOOKUP($A168,'The List'!$B1:$AH730,25,FALSE)-AVERAGE('The List'!Z2:Z730))/STDEV('The List'!Z2:Z730)</f>
        <v>-0.252929201980461</v>
      </c>
      <c r="N168" s="46">
        <f>(VLOOKUP($A168,'The List'!$B1:$AH730,26,FALSE)-AVERAGE('The List'!AA2:AA730))/STDEV('The List'!AA2:AA730)</f>
        <v>-0.428199354116044</v>
      </c>
      <c r="O168" s="46">
        <f>(VLOOKUP($A168,'The List'!$B1:$AH730,27,FALSE)-AVERAGE('The List'!AB2:AB730))/STDEV('The List'!AB2:AB730)</f>
        <v>-0.278013981965705</v>
      </c>
      <c r="P168" s="46">
        <f>(VLOOKUP($A168,'The List'!$B1:$AH730,28,FALSE)-AVERAGE('The List'!AC2:AC730))/STDEV('The List'!AC2:AC730)</f>
        <v>1.98677219809979</v>
      </c>
      <c r="Q168" s="46">
        <f>(VLOOKUP($A168,'The List'!$B1:$AH730,29,FALSE)-AVERAGE('The List'!AD2:AD730))/STDEV('The List'!AD2:AD730)</f>
        <v>-0.769250732457324</v>
      </c>
      <c r="R168" s="46">
        <f>(VLOOKUP($A168,'The List'!$B1:$AH730,30,FALSE)-AVERAGE('The List'!AE2:AE730))/STDEV('The List'!AE2:AE730)</f>
        <v>1.10965918274255</v>
      </c>
      <c r="S168" s="46">
        <f>(VLOOKUP($A168,'The List'!$B1:$AH730,31,FALSE)-AVERAGE('The List'!AF2:AF730))/STDEV('The List'!AF2:AF730)</f>
        <v>-0.505671204824928</v>
      </c>
      <c r="T168" s="46">
        <f>(VLOOKUP($A168,'The List'!$B1:$AH730,32,FALSE)-AVERAGE('The List'!AG2:AG730))/STDEV('The List'!AG2:AG730)</f>
        <v>-0.513281953608854</v>
      </c>
      <c r="U168" s="46">
        <f>(VLOOKUP($A168,'The List'!$B1:$AH730,33,FALSE)-AVERAGE('The List'!AH2:AH730))/STDEV('The List'!AH2:AH730)</f>
        <v>0.484106687400167</v>
      </c>
      <c r="V168" s="46"/>
      <c r="W168" s="48"/>
      <c r="X168" s="46"/>
      <c r="Y168" s="46"/>
      <c r="Z168" s="46"/>
      <c r="AA168" s="46"/>
      <c r="AB168" s="46"/>
      <c r="AC168" s="46"/>
      <c r="AD168" s="46"/>
      <c r="AE168" s="46"/>
    </row>
    <row r="169" ht="21.25" customHeight="1">
      <c r="A169" t="s" s="8">
        <v>279</v>
      </c>
      <c r="B169" t="s" s="42">
        <f>VLOOKUP(A169,'Player Data'!A1:B734,2,FALSE)</f>
        <v>258</v>
      </c>
      <c r="C169" s="44">
        <f>((E169)*'Settings'!$C$12)+(F169*'Settings'!$C$2)+(G169*'Settings'!$C$3)+(H169*'Settings'!$C$4)+(I169*'Settings'!$C$5)+(K169*'Settings'!$C$9)+(N169*'Settings'!$C$6)+(J169*'Settings'!$C$8)+(O169*'Settings'!$C$7)+(P169*'Settings'!$C$14)+(Q169*'Settings'!$C$15)+(R169*'Settings'!$C$16)+(S169*'Settings'!$C$17)+(T169*'Settings'!$C$18)+(U169*'Settings'!$C$19)+(L169*'Settings'!$C$10)+('Settings'!$C$11*M169)</f>
        <v>1.79231556613453</v>
      </c>
      <c r="D169" s="48">
        <f>IF('Settings'!$E$12="YES",VLOOKUP(A169,'Player Data'!A1:E734,5,FALSE),82)</f>
        <v>73.1378571428571</v>
      </c>
      <c r="E169" s="46">
        <f>(VLOOKUP($A169,'The List'!$B1:$AH730,17,FALSE)-AVERAGE('The List'!R2:R730))/STDEV('The List'!R2:R730)</f>
        <v>2.17793292127689</v>
      </c>
      <c r="F169" s="46">
        <f>(VLOOKUP($A169,'The List'!$B1:$AH730,18,FALSE)-AVERAGE('The List'!S2:S730))/STDEV('The List'!S2:S730)</f>
        <v>-0.293360444250169</v>
      </c>
      <c r="G169" s="46">
        <f>(VLOOKUP($A169,'The List'!$B1:$AH730,19,FALSE)-AVERAGE('The List'!T2:T730))/STDEV('The List'!T2:T730)</f>
        <v>0.736010155123328</v>
      </c>
      <c r="H169" s="46">
        <f>(VLOOKUP($A169,'The List'!$B1:$AH730,20,FALSE)-AVERAGE('The List'!U2:U730))/STDEV('The List'!U2:U730)</f>
        <v>0.32025570107036</v>
      </c>
      <c r="I169" s="46">
        <f>(VLOOKUP($A169,'The List'!$B1:$AH730,21,FALSE)-AVERAGE('The List'!V2:V730))/STDEV('The List'!V2:V730)</f>
        <v>0.806179216525697</v>
      </c>
      <c r="J169" s="46">
        <f>(VLOOKUP($A169,'The List'!$B1:$AH730,22,FALSE)-AVERAGE('The List'!W2:W730))/STDEV('The List'!W2:W730)</f>
        <v>-0.589093829521986</v>
      </c>
      <c r="K169" s="46">
        <f>(VLOOKUP($A169,'The List'!$B1:$AH730,23,FALSE)-AVERAGE('The List'!X2:X730))/STDEV('The List'!X2:X730)</f>
        <v>0.431467079058586</v>
      </c>
      <c r="L169" s="46">
        <f>(VLOOKUP($A169,'The List'!$B1:$AH730,24,FALSE)-AVERAGE('The List'!Y2:Y730))/STDEV('The List'!Y2:Y730)</f>
        <v>-0.460587372480358</v>
      </c>
      <c r="M169" s="46">
        <f>(VLOOKUP($A169,'The List'!$B1:$AH730,25,FALSE)-AVERAGE('The List'!Z2:Z730))/STDEV('The List'!Z2:Z730)</f>
        <v>1.57406813396151</v>
      </c>
      <c r="N169" s="46">
        <f>(VLOOKUP($A169,'The List'!$B1:$AH730,26,FALSE)-AVERAGE('The List'!AA2:AA730))/STDEV('The List'!AA2:AA730)</f>
        <v>1.48752754266448</v>
      </c>
      <c r="O169" s="46">
        <f>(VLOOKUP($A169,'The List'!$B1:$AH730,27,FALSE)-AVERAGE('The List'!AB2:AB730))/STDEV('The List'!AB2:AB730)</f>
        <v>0.00257244476152447</v>
      </c>
      <c r="P169" s="46">
        <f>(VLOOKUP($A169,'The List'!$B1:$AH730,28,FALSE)-AVERAGE('The List'!AC2:AC730))/STDEV('The List'!AC2:AC730)</f>
        <v>-1.37550798298739</v>
      </c>
      <c r="Q169" s="46">
        <f>(VLOOKUP($A169,'The List'!$B1:$AH730,29,FALSE)-AVERAGE('The List'!AD2:AD730))/STDEV('The List'!AD2:AD730)</f>
        <v>1.29258417798248</v>
      </c>
      <c r="R169" s="46">
        <f>(VLOOKUP($A169,'The List'!$B1:$AH730,30,FALSE)-AVERAGE('The List'!AE2:AE730))/STDEV('The List'!AE2:AE730)</f>
        <v>-0.516421953767885</v>
      </c>
      <c r="S169" s="46">
        <f>(VLOOKUP($A169,'The List'!$B1:$AH730,31,FALSE)-AVERAGE('The List'!AF2:AF730))/STDEV('The List'!AF2:AF730)</f>
        <v>-0.5569063253591</v>
      </c>
      <c r="T169" s="46">
        <f>(VLOOKUP($A169,'The List'!$B1:$AH730,32,FALSE)-AVERAGE('The List'!AG2:AG730))/STDEV('The List'!AG2:AG730)</f>
        <v>-0.600856269042678</v>
      </c>
      <c r="U169" s="46">
        <f>(VLOOKUP($A169,'The List'!$B1:$AH730,33,FALSE)-AVERAGE('The List'!AH2:AH730))/STDEV('The List'!AH2:AH730)</f>
        <v>-1.2363238714826</v>
      </c>
      <c r="V169" s="46"/>
      <c r="W169" s="48"/>
      <c r="X169" s="48"/>
      <c r="Y169" s="48"/>
      <c r="Z169" s="48"/>
      <c r="AA169" s="48"/>
      <c r="AB169" s="48"/>
      <c r="AC169" s="51"/>
      <c r="AD169" s="52"/>
      <c r="AE169" s="46"/>
    </row>
    <row r="170" ht="21.25" customHeight="1">
      <c r="A170" t="s" s="8">
        <v>419</v>
      </c>
      <c r="B170" t="s" s="42">
        <f>VLOOKUP(A170,'Player Data'!A1:B734,2,FALSE)</f>
        <v>108</v>
      </c>
      <c r="C170" s="44">
        <f>((E170)*'Settings'!$C$12)+(F170*'Settings'!$C$2)+(G170*'Settings'!$C$3)+(H170*'Settings'!$C$4)+(I170*'Settings'!$C$5)+(K170*'Settings'!$C$9)+(N170*'Settings'!$C$6)+(J170*'Settings'!$C$8)+(O170*'Settings'!$C$7)+(P170*'Settings'!$C$14)+(Q170*'Settings'!$C$15)+(R170*'Settings'!$C$16)+(S170*'Settings'!$C$17)+(T170*'Settings'!$C$18)+(U170*'Settings'!$C$19)+(L170*'Settings'!$C$10)+('Settings'!$C$11*M170)</f>
        <v>1.45897885116431</v>
      </c>
      <c r="D170" s="48">
        <f>IF('Settings'!$E$12="YES",VLOOKUP(A170,'Player Data'!A1:E734,5,FALSE),82)</f>
        <v>69.39</v>
      </c>
      <c r="E170" s="46">
        <f>(VLOOKUP($A170,'The List'!$B1:$AH730,17,FALSE)-AVERAGE('The List'!R2:R730))/STDEV('The List'!R2:R730)</f>
        <v>-0.0846923115155835</v>
      </c>
      <c r="F170" s="46">
        <f>(VLOOKUP($A170,'The List'!$B1:$AH730,18,FALSE)-AVERAGE('The List'!S2:S730))/STDEV('The List'!S2:S730)</f>
        <v>0.899181093974994</v>
      </c>
      <c r="G170" s="46">
        <f>(VLOOKUP($A170,'The List'!$B1:$AH730,19,FALSE)-AVERAGE('The List'!T2:T730))/STDEV('The List'!T2:T730)</f>
        <v>-0.15506518135732</v>
      </c>
      <c r="H170" s="46">
        <f>(VLOOKUP($A170,'The List'!$B1:$AH730,20,FALSE)-AVERAGE('The List'!U2:U730))/STDEV('The List'!U2:U730)</f>
        <v>0.31354978528395</v>
      </c>
      <c r="I170" s="46">
        <f>(VLOOKUP($A170,'The List'!$B1:$AH730,21,FALSE)-AVERAGE('The List'!V2:V730))/STDEV('The List'!V2:V730)</f>
        <v>1.11295245224081</v>
      </c>
      <c r="J170" s="46">
        <f>(VLOOKUP($A170,'The List'!$B1:$AH730,22,FALSE)-AVERAGE('The List'!W2:W730))/STDEV('The List'!W2:W730)</f>
        <v>-0.238705375011523</v>
      </c>
      <c r="K170" s="46">
        <f>(VLOOKUP($A170,'The List'!$B1:$AH730,23,FALSE)-AVERAGE('The List'!X2:X730))/STDEV('The List'!X2:X730)</f>
        <v>-0.399445461779011</v>
      </c>
      <c r="L170" s="46">
        <f>(VLOOKUP($A170,'The List'!$B1:$AH730,24,FALSE)-AVERAGE('The List'!Y2:Y730))/STDEV('The List'!Y2:Y730)</f>
        <v>0.6524566316867521</v>
      </c>
      <c r="M170" s="46">
        <f>(VLOOKUP($A170,'The List'!$B1:$AH730,25,FALSE)-AVERAGE('The List'!Z2:Z730))/STDEV('The List'!Z2:Z730)</f>
        <v>0.890111226484373</v>
      </c>
      <c r="N170" s="46">
        <f>(VLOOKUP($A170,'The List'!$B1:$AH730,26,FALSE)-AVERAGE('The List'!AA2:AA730))/STDEV('The List'!AA2:AA730)</f>
        <v>-0.943855205471413</v>
      </c>
      <c r="O170" s="46">
        <f>(VLOOKUP($A170,'The List'!$B1:$AH730,27,FALSE)-AVERAGE('The List'!AB2:AB730))/STDEV('The List'!AB2:AB730)</f>
        <v>1.43479531241322</v>
      </c>
      <c r="P170" s="46">
        <f>(VLOOKUP($A170,'The List'!$B1:$AH730,28,FALSE)-AVERAGE('The List'!AC2:AC730))/STDEV('The List'!AC2:AC730)</f>
        <v>0.94521115355625</v>
      </c>
      <c r="Q170" s="46">
        <f>(VLOOKUP($A170,'The List'!$B1:$AH730,29,FALSE)-AVERAGE('The List'!AD2:AD730))/STDEV('The List'!AD2:AD730)</f>
        <v>1.70992056790809</v>
      </c>
      <c r="R170" s="46">
        <f>(VLOOKUP($A170,'The List'!$B1:$AH730,30,FALSE)-AVERAGE('The List'!AE2:AE730))/STDEV('The List'!AE2:AE730)</f>
        <v>1.0761036824487</v>
      </c>
      <c r="S170" s="46">
        <f>(VLOOKUP($A170,'The List'!$B1:$AH730,31,FALSE)-AVERAGE('The List'!AF2:AF730))/STDEV('The List'!AF2:AF730)</f>
        <v>-0.462642010718121</v>
      </c>
      <c r="T170" s="46">
        <f>(VLOOKUP($A170,'The List'!$B1:$AH730,32,FALSE)-AVERAGE('The List'!AG2:AG730))/STDEV('The List'!AG2:AG730)</f>
        <v>-0.452411254538874</v>
      </c>
      <c r="U170" s="46">
        <f>(VLOOKUP($A170,'The List'!$B1:$AH730,33,FALSE)-AVERAGE('The List'!AH2:AH730))/STDEV('The List'!AH2:AH730)</f>
        <v>0.572199221986168</v>
      </c>
      <c r="V170" s="46"/>
      <c r="W170" s="50"/>
      <c r="X170" s="48"/>
      <c r="Y170" s="48"/>
      <c r="Z170" s="48"/>
      <c r="AA170" s="48"/>
      <c r="AB170" s="48"/>
      <c r="AC170" s="51"/>
      <c r="AD170" s="52"/>
      <c r="AE170" s="46"/>
    </row>
    <row r="171" ht="21.25" customHeight="1">
      <c r="A171" t="s" s="8">
        <v>390</v>
      </c>
      <c r="B171" t="s" s="42">
        <f>VLOOKUP(A171,'Player Data'!A1:B734,2,FALSE)</f>
        <v>234</v>
      </c>
      <c r="C171" s="44">
        <f>((E171)*'Settings'!$C$12)+(F171*'Settings'!$C$2)+(G171*'Settings'!$C$3)+(H171*'Settings'!$C$4)+(I171*'Settings'!$C$5)+(K171*'Settings'!$C$9)+(N171*'Settings'!$C$6)+(J171*'Settings'!$C$8)+(O171*'Settings'!$C$7)+(P171*'Settings'!$C$14)+(Q171*'Settings'!$C$15)+(R171*'Settings'!$C$16)+(S171*'Settings'!$C$17)+(T171*'Settings'!$C$18)+(U171*'Settings'!$C$19)+(L171*'Settings'!$C$10)+('Settings'!$C$11*M171)</f>
        <v>0.301284683960606</v>
      </c>
      <c r="D171" s="48">
        <f>IF('Settings'!$E$12="YES",VLOOKUP(A171,'Player Data'!A1:E734,5,FALSE),82)</f>
        <v>74.41</v>
      </c>
      <c r="E171" s="46">
        <f>(VLOOKUP($A171,'The List'!$B1:$AH730,17,FALSE)-AVERAGE('The List'!R2:R730))/STDEV('The List'!R2:R730)</f>
        <v>0.702001043163742</v>
      </c>
      <c r="F171" s="46">
        <f>(VLOOKUP($A171,'The List'!$B1:$AH730,18,FALSE)-AVERAGE('The List'!S2:S730))/STDEV('The List'!S2:S730)</f>
        <v>0.959984408624967</v>
      </c>
      <c r="G171" s="46">
        <f>(VLOOKUP($A171,'The List'!$B1:$AH730,19,FALSE)-AVERAGE('The List'!T2:T730))/STDEV('The List'!T2:T730)</f>
        <v>0.0115092757266338</v>
      </c>
      <c r="H171" s="46">
        <f>(VLOOKUP($A171,'The List'!$B1:$AH730,20,FALSE)-AVERAGE('The List'!U2:U730))/STDEV('The List'!U2:U730)</f>
        <v>0.443907476293861</v>
      </c>
      <c r="I171" s="46">
        <f>(VLOOKUP($A171,'The List'!$B1:$AH730,21,FALSE)-AVERAGE('The List'!V2:V730))/STDEV('The List'!V2:V730)</f>
        <v>0.554595208918128</v>
      </c>
      <c r="J171" s="46">
        <f>(VLOOKUP($A171,'The List'!$B1:$AH730,22,FALSE)-AVERAGE('The List'!W2:W730))/STDEV('The List'!W2:W730)</f>
        <v>0.6333645165634471</v>
      </c>
      <c r="K171" s="46">
        <f>(VLOOKUP($A171,'The List'!$B1:$AH730,23,FALSE)-AVERAGE('The List'!X2:X730))/STDEV('The List'!X2:X730)</f>
        <v>0.354631781675528</v>
      </c>
      <c r="L171" s="46">
        <f>(VLOOKUP($A171,'The List'!$B1:$AH730,24,FALSE)-AVERAGE('The List'!Y2:Y730))/STDEV('The List'!Y2:Y730)</f>
        <v>-0.327738792944863</v>
      </c>
      <c r="M171" s="46">
        <f>(VLOOKUP($A171,'The List'!$B1:$AH730,25,FALSE)-AVERAGE('The List'!Z2:Z730))/STDEV('The List'!Z2:Z730)</f>
        <v>-0.146603431216759</v>
      </c>
      <c r="N171" s="46">
        <f>(VLOOKUP($A171,'The List'!$B1:$AH730,26,FALSE)-AVERAGE('The List'!AA2:AA730))/STDEV('The List'!AA2:AA730)</f>
        <v>-0.0330456482369906</v>
      </c>
      <c r="O171" s="46">
        <f>(VLOOKUP($A171,'The List'!$B1:$AH730,27,FALSE)-AVERAGE('The List'!AB2:AB730))/STDEV('The List'!AB2:AB730)</f>
        <v>-1.07682608965593</v>
      </c>
      <c r="P171" s="46">
        <f>(VLOOKUP($A171,'The List'!$B1:$AH730,28,FALSE)-AVERAGE('The List'!AC2:AC730))/STDEV('The List'!AC2:AC730)</f>
        <v>-1.54639034274766</v>
      </c>
      <c r="Q171" s="46">
        <f>(VLOOKUP($A171,'The List'!$B1:$AH730,29,FALSE)-AVERAGE('The List'!AD2:AD730))/STDEV('The List'!AD2:AD730)</f>
        <v>-0.34007627464675</v>
      </c>
      <c r="R171" s="46">
        <f>(VLOOKUP($A171,'The List'!$B1:$AH730,30,FALSE)-AVERAGE('The List'!AE2:AE730))/STDEV('The List'!AE2:AE730)</f>
        <v>0.222499727729057</v>
      </c>
      <c r="S171" s="46">
        <f>(VLOOKUP($A171,'The List'!$B1:$AH730,31,FALSE)-AVERAGE('The List'!AF2:AF730))/STDEV('The List'!AF2:AF730)</f>
        <v>-0.555042704664919</v>
      </c>
      <c r="T171" s="46">
        <f>(VLOOKUP($A171,'The List'!$B1:$AH730,32,FALSE)-AVERAGE('The List'!AG2:AG730))/STDEV('The List'!AG2:AG730)</f>
        <v>-0.599145288057103</v>
      </c>
      <c r="U171" s="46">
        <f>(VLOOKUP($A171,'The List'!$B1:$AH730,33,FALSE)-AVERAGE('The List'!AH2:AH730))/STDEV('The List'!AH2:AH730)</f>
        <v>1.17509200756399</v>
      </c>
      <c r="V171" s="46"/>
      <c r="W171" s="48"/>
      <c r="X171" s="46"/>
      <c r="Y171" s="46"/>
      <c r="Z171" s="46"/>
      <c r="AA171" s="46"/>
      <c r="AB171" s="46"/>
      <c r="AC171" s="46"/>
      <c r="AD171" s="46"/>
      <c r="AE171" s="46"/>
    </row>
    <row r="172" ht="21.25" customHeight="1">
      <c r="A172" t="s" s="8">
        <v>381</v>
      </c>
      <c r="B172" t="s" s="42">
        <f>VLOOKUP(A172,'Player Data'!A1:B734,2,FALSE)</f>
        <v>204</v>
      </c>
      <c r="C172" s="44">
        <f>((E172)*'Settings'!$C$12)+(F172*'Settings'!$C$2)+(G172*'Settings'!$C$3)+(H172*'Settings'!$C$4)+(I172*'Settings'!$C$5)+(K172*'Settings'!$C$9)+(N172*'Settings'!$C$6)+(J172*'Settings'!$C$8)+(O172*'Settings'!$C$7)+(P172*'Settings'!$C$14)+(Q172*'Settings'!$C$15)+(R172*'Settings'!$C$16)+(S172*'Settings'!$C$17)+(T172*'Settings'!$C$18)+(U172*'Settings'!$C$19)+(L172*'Settings'!$C$10)+('Settings'!$C$11*M172)</f>
        <v>2.24833658196164</v>
      </c>
      <c r="D172" s="48">
        <f>IF('Settings'!$E$12="YES",VLOOKUP(A172,'Player Data'!A1:E734,5,FALSE),82)</f>
        <v>81.1782142857143</v>
      </c>
      <c r="E172" s="46">
        <f>(VLOOKUP($A172,'The List'!$B1:$AH730,17,FALSE)-AVERAGE('The List'!R2:R730))/STDEV('The List'!R2:R730)</f>
        <v>0.373869760760212</v>
      </c>
      <c r="F172" s="46">
        <f>(VLOOKUP($A172,'The List'!$B1:$AH730,18,FALSE)-AVERAGE('The List'!S2:S730))/STDEV('The List'!S2:S730)</f>
        <v>0.554137341651717</v>
      </c>
      <c r="G172" s="46">
        <f>(VLOOKUP($A172,'The List'!$B1:$AH730,19,FALSE)-AVERAGE('The List'!T2:T730))/STDEV('The List'!T2:T730)</f>
        <v>0.60299432447766</v>
      </c>
      <c r="H172" s="46">
        <f>(VLOOKUP($A172,'The List'!$B1:$AH730,20,FALSE)-AVERAGE('The List'!U2:U730))/STDEV('The List'!U2:U730)</f>
        <v>0.623881679540345</v>
      </c>
      <c r="I172" s="46">
        <f>(VLOOKUP($A172,'The List'!$B1:$AH730,21,FALSE)-AVERAGE('The List'!V2:V730))/STDEV('The List'!V2:V730)</f>
        <v>0.41475684620617</v>
      </c>
      <c r="J172" s="46">
        <f>(VLOOKUP($A172,'The List'!$B1:$AH730,22,FALSE)-AVERAGE('The List'!W2:W730))/STDEV('The List'!W2:W730)</f>
        <v>0.007955798432691201</v>
      </c>
      <c r="K172" s="46">
        <f>(VLOOKUP($A172,'The List'!$B1:$AH730,23,FALSE)-AVERAGE('The List'!X2:X730))/STDEV('The List'!X2:X730)</f>
        <v>0.5084339868937759</v>
      </c>
      <c r="L172" s="46">
        <f>(VLOOKUP($A172,'The List'!$B1:$AH730,24,FALSE)-AVERAGE('The List'!Y2:Y730))/STDEV('The List'!Y2:Y730)</f>
        <v>-0.335481527853259</v>
      </c>
      <c r="M172" s="46">
        <f>(VLOOKUP($A172,'The List'!$B1:$AH730,25,FALSE)-AVERAGE('The List'!Z2:Z730))/STDEV('The List'!Z2:Z730)</f>
        <v>1.57188342890196</v>
      </c>
      <c r="N172" s="46">
        <f>(VLOOKUP($A172,'The List'!$B1:$AH730,26,FALSE)-AVERAGE('The List'!AA2:AA730))/STDEV('The List'!AA2:AA730)</f>
        <v>0.09369681087367469</v>
      </c>
      <c r="O172" s="46">
        <f>(VLOOKUP($A172,'The List'!$B1:$AH730,27,FALSE)-AVERAGE('The List'!AB2:AB730))/STDEV('The List'!AB2:AB730)</f>
        <v>-0.250912564434243</v>
      </c>
      <c r="P172" s="46">
        <f>(VLOOKUP($A172,'The List'!$B1:$AH730,28,FALSE)-AVERAGE('The List'!AC2:AC730))/STDEV('The List'!AC2:AC730)</f>
        <v>0.0743172718586389</v>
      </c>
      <c r="Q172" s="46">
        <f>(VLOOKUP($A172,'The List'!$B1:$AH730,29,FALSE)-AVERAGE('The List'!AD2:AD730))/STDEV('The List'!AD2:AD730)</f>
        <v>0.9564980410785739</v>
      </c>
      <c r="R172" s="46">
        <f>(VLOOKUP($A172,'The List'!$B1:$AH730,30,FALSE)-AVERAGE('The List'!AE2:AE730))/STDEV('The List'!AE2:AE730)</f>
        <v>0.597598198330715</v>
      </c>
      <c r="S172" s="46">
        <f>(VLOOKUP($A172,'The List'!$B1:$AH730,31,FALSE)-AVERAGE('The List'!AF2:AF730))/STDEV('The List'!AF2:AF730)</f>
        <v>2.78313430681487</v>
      </c>
      <c r="T172" s="46">
        <f>(VLOOKUP($A172,'The List'!$B1:$AH730,32,FALSE)-AVERAGE('The List'!AG2:AG730))/STDEV('The List'!AG2:AG730)</f>
        <v>2.41632586783273</v>
      </c>
      <c r="U172" s="46">
        <f>(VLOOKUP($A172,'The List'!$B1:$AH730,33,FALSE)-AVERAGE('The List'!AH2:AH730))/STDEV('The List'!AH2:AH730)</f>
        <v>1.19329454570058</v>
      </c>
      <c r="V172" s="46"/>
      <c r="W172" s="50"/>
      <c r="X172" s="48"/>
      <c r="Y172" s="48"/>
      <c r="Z172" s="48"/>
      <c r="AA172" s="48"/>
      <c r="AB172" s="48"/>
      <c r="AC172" s="51"/>
      <c r="AD172" s="52"/>
      <c r="AE172" s="46"/>
    </row>
    <row r="173" ht="21.25" customHeight="1">
      <c r="A173" t="s" s="8">
        <v>352</v>
      </c>
      <c r="B173" t="s" s="42">
        <f>VLOOKUP(A173,'Player Data'!A1:B734,2,FALSE)</f>
        <v>149</v>
      </c>
      <c r="C173" s="44">
        <f>((E173)*'Settings'!$C$12)+(F173*'Settings'!$C$2)+(G173*'Settings'!$C$3)+(H173*'Settings'!$C$4)+(I173*'Settings'!$C$5)+(K173*'Settings'!$C$9)+(N173*'Settings'!$C$6)+(J173*'Settings'!$C$8)+(O173*'Settings'!$C$7)+(P173*'Settings'!$C$14)+(Q173*'Settings'!$C$15)+(R173*'Settings'!$C$16)+(S173*'Settings'!$C$17)+(T173*'Settings'!$C$18)+(U173*'Settings'!$C$19)+(L173*'Settings'!$C$10)+('Settings'!$C$11*M173)</f>
        <v>3.04579299906192</v>
      </c>
      <c r="D173" s="48">
        <f>IF('Settings'!$E$12="YES",VLOOKUP(A173,'Player Data'!A1:E734,5,FALSE),82)</f>
        <v>76.9585714285714</v>
      </c>
      <c r="E173" s="46">
        <f>(VLOOKUP($A173,'The List'!$B1:$AH730,17,FALSE)-AVERAGE('The List'!R2:R730))/STDEV('The List'!R2:R730)</f>
        <v>0.237988686722101</v>
      </c>
      <c r="F173" s="46">
        <f>(VLOOKUP($A173,'The List'!$B1:$AH730,18,FALSE)-AVERAGE('The List'!S2:S730))/STDEV('The List'!S2:S730)</f>
        <v>1.24801542508159</v>
      </c>
      <c r="G173" s="46">
        <f>(VLOOKUP($A173,'The List'!$B1:$AH730,19,FALSE)-AVERAGE('The List'!T2:T730))/STDEV('The List'!T2:T730)</f>
        <v>-0.109945575130674</v>
      </c>
      <c r="H173" s="46">
        <f>(VLOOKUP($A173,'The List'!$B1:$AH730,20,FALSE)-AVERAGE('The List'!U2:U730))/STDEV('The List'!U2:U730)</f>
        <v>0.500092046254905</v>
      </c>
      <c r="I173" s="46">
        <f>(VLOOKUP($A173,'The List'!$B1:$AH730,21,FALSE)-AVERAGE('The List'!V2:V730))/STDEV('The List'!V2:V730)</f>
        <v>1.06538183429538</v>
      </c>
      <c r="J173" s="46">
        <f>(VLOOKUP($A173,'The List'!$B1:$AH730,22,FALSE)-AVERAGE('The List'!W2:W730))/STDEV('The List'!W2:W730)</f>
        <v>1.32866032512755</v>
      </c>
      <c r="K173" s="46">
        <f>(VLOOKUP($A173,'The List'!$B1:$AH730,23,FALSE)-AVERAGE('The List'!X2:X730))/STDEV('The List'!X2:X730)</f>
        <v>0.682377480530207</v>
      </c>
      <c r="L173" s="46">
        <f>(VLOOKUP($A173,'The List'!$B1:$AH730,24,FALSE)-AVERAGE('The List'!Y2:Y730))/STDEV('The List'!Y2:Y730)</f>
        <v>-0.532165113187417</v>
      </c>
      <c r="M173" s="46">
        <f>(VLOOKUP($A173,'The List'!$B1:$AH730,25,FALSE)-AVERAGE('The List'!Z2:Z730))/STDEV('The List'!Z2:Z730)</f>
        <v>-0.709888978860693</v>
      </c>
      <c r="N173" s="46">
        <f>(VLOOKUP($A173,'The List'!$B1:$AH730,26,FALSE)-AVERAGE('The List'!AA2:AA730))/STDEV('The List'!AA2:AA730)</f>
        <v>-0.347303761507592</v>
      </c>
      <c r="O173" s="46">
        <f>(VLOOKUP($A173,'The List'!$B1:$AH730,27,FALSE)-AVERAGE('The List'!AB2:AB730))/STDEV('The List'!AB2:AB730)</f>
        <v>0.35227503980853</v>
      </c>
      <c r="P173" s="46">
        <f>(VLOOKUP($A173,'The List'!$B1:$AH730,28,FALSE)-AVERAGE('The List'!AC2:AC730))/STDEV('The List'!AC2:AC730)</f>
        <v>0.507267595793008</v>
      </c>
      <c r="Q173" s="46">
        <f>(VLOOKUP($A173,'The List'!$B1:$AH730,29,FALSE)-AVERAGE('The List'!AD2:AD730))/STDEV('The List'!AD2:AD730)</f>
        <v>0.657547910139631</v>
      </c>
      <c r="R173" s="46">
        <f>(VLOOKUP($A173,'The List'!$B1:$AH730,30,FALSE)-AVERAGE('The List'!AE2:AE730))/STDEV('The List'!AE2:AE730)</f>
        <v>1.37304996589269</v>
      </c>
      <c r="S173" s="46">
        <f>(VLOOKUP($A173,'The List'!$B1:$AH730,31,FALSE)-AVERAGE('The List'!AF2:AF730))/STDEV('The List'!AF2:AF730)</f>
        <v>-0.357845819180628</v>
      </c>
      <c r="T173" s="46">
        <f>(VLOOKUP($A173,'The List'!$B1:$AH730,32,FALSE)-AVERAGE('The List'!AG2:AG730))/STDEV('The List'!AG2:AG730)</f>
        <v>-0.402989944043978</v>
      </c>
      <c r="U173" s="46">
        <f>(VLOOKUP($A173,'The List'!$B1:$AH730,33,FALSE)-AVERAGE('The List'!AH2:AH730))/STDEV('The List'!AH2:AH730)</f>
        <v>1.08561950488866</v>
      </c>
      <c r="V173" s="46"/>
      <c r="W173" s="48"/>
      <c r="X173" s="46"/>
      <c r="Y173" s="46"/>
      <c r="Z173" s="46"/>
      <c r="AA173" s="46"/>
      <c r="AB173" s="46"/>
      <c r="AC173" s="46"/>
      <c r="AD173" s="46"/>
      <c r="AE173" s="46"/>
    </row>
    <row r="174" ht="21.25" customHeight="1">
      <c r="A174" t="s" s="8">
        <v>400</v>
      </c>
      <c r="B174" t="s" s="42">
        <f>VLOOKUP(A174,'Player Data'!A1:B734,2,FALSE)</f>
        <v>115</v>
      </c>
      <c r="C174" s="44">
        <f>((E174)*'Settings'!$C$12)+(F174*'Settings'!$C$2)+(G174*'Settings'!$C$3)+(H174*'Settings'!$C$4)+(I174*'Settings'!$C$5)+(K174*'Settings'!$C$9)+(N174*'Settings'!$C$6)+(J174*'Settings'!$C$8)+(O174*'Settings'!$C$7)+(P174*'Settings'!$C$14)+(Q174*'Settings'!$C$15)+(R174*'Settings'!$C$16)+(S174*'Settings'!$C$17)+(T174*'Settings'!$C$18)+(U174*'Settings'!$C$19)+(L174*'Settings'!$C$10)+('Settings'!$C$11*M174)</f>
        <v>2.15239393726693</v>
      </c>
      <c r="D174" s="48">
        <f>IF('Settings'!$E$12="YES",VLOOKUP(A174,'Player Data'!A1:E734,5,FALSE),82)</f>
        <v>67.5428571428571</v>
      </c>
      <c r="E174" s="46">
        <f>(VLOOKUP($A174,'The List'!$B1:$AH730,17,FALSE)-AVERAGE('The List'!R2:R730))/STDEV('The List'!R2:R730)</f>
        <v>-0.189089256294295</v>
      </c>
      <c r="F174" s="46">
        <f>(VLOOKUP($A174,'The List'!$B1:$AH730,18,FALSE)-AVERAGE('The List'!S2:S730))/STDEV('The List'!S2:S730)</f>
        <v>0.6217185878454941</v>
      </c>
      <c r="G174" s="46">
        <f>(VLOOKUP($A174,'The List'!$B1:$AH730,19,FALSE)-AVERAGE('The List'!T2:T730))/STDEV('The List'!T2:T730)</f>
        <v>0.515691023453685</v>
      </c>
      <c r="H174" s="46">
        <f>(VLOOKUP($A174,'The List'!$B1:$AH730,20,FALSE)-AVERAGE('The List'!U2:U730))/STDEV('The List'!U2:U730)</f>
        <v>0.60081116435285</v>
      </c>
      <c r="I174" s="46">
        <f>(VLOOKUP($A174,'The List'!$B1:$AH730,21,FALSE)-AVERAGE('The List'!V2:V730))/STDEV('The List'!V2:V730)</f>
        <v>0.343828065083256</v>
      </c>
      <c r="J174" s="46">
        <f>(VLOOKUP($A174,'The List'!$B1:$AH730,22,FALSE)-AVERAGE('The List'!W2:W730))/STDEV('The List'!W2:W730)</f>
        <v>0.4255448204752</v>
      </c>
      <c r="K174" s="46">
        <f>(VLOOKUP($A174,'The List'!$B1:$AH730,23,FALSE)-AVERAGE('The List'!X2:X730))/STDEV('The List'!X2:X730)</f>
        <v>0.24590438730513</v>
      </c>
      <c r="L174" s="46">
        <f>(VLOOKUP($A174,'The List'!$B1:$AH730,24,FALSE)-AVERAGE('The List'!Y2:Y730))/STDEV('The List'!Y2:Y730)</f>
        <v>-0.521701056288296</v>
      </c>
      <c r="M174" s="46">
        <f>(VLOOKUP($A174,'The List'!$B1:$AH730,25,FALSE)-AVERAGE('The List'!Z2:Z730))/STDEV('The List'!Z2:Z730)</f>
        <v>-0.696187564579421</v>
      </c>
      <c r="N174" s="46">
        <f>(VLOOKUP($A174,'The List'!$B1:$AH730,26,FALSE)-AVERAGE('The List'!AA2:AA730))/STDEV('The List'!AA2:AA730)</f>
        <v>-0.722096936117265</v>
      </c>
      <c r="O174" s="46">
        <f>(VLOOKUP($A174,'The List'!$B1:$AH730,27,FALSE)-AVERAGE('The List'!AB2:AB730))/STDEV('The List'!AB2:AB730)</f>
        <v>-0.5377883970862199</v>
      </c>
      <c r="P174" s="46">
        <f>(VLOOKUP($A174,'The List'!$B1:$AH730,28,FALSE)-AVERAGE('The List'!AC2:AC730))/STDEV('The List'!AC2:AC730)</f>
        <v>1.14734880969663</v>
      </c>
      <c r="Q174" s="46">
        <f>(VLOOKUP($A174,'The List'!$B1:$AH730,29,FALSE)-AVERAGE('The List'!AD2:AD730))/STDEV('The List'!AD2:AD730)</f>
        <v>-0.300644757651978</v>
      </c>
      <c r="R174" s="46">
        <f>(VLOOKUP($A174,'The List'!$B1:$AH730,30,FALSE)-AVERAGE('The List'!AE2:AE730))/STDEV('The List'!AE2:AE730)</f>
        <v>0.819764416192027</v>
      </c>
      <c r="S174" s="46">
        <f>(VLOOKUP($A174,'The List'!$B1:$AH730,31,FALSE)-AVERAGE('The List'!AF2:AF730))/STDEV('The List'!AF2:AF730)</f>
        <v>-0.530050204739354</v>
      </c>
      <c r="T174" s="46">
        <f>(VLOOKUP($A174,'The List'!$B1:$AH730,32,FALSE)-AVERAGE('The List'!AG2:AG730))/STDEV('The List'!AG2:AG730)</f>
        <v>-0.521569973356147</v>
      </c>
      <c r="U174" s="46">
        <f>(VLOOKUP($A174,'The List'!$B1:$AH730,33,FALSE)-AVERAGE('The List'!AH2:AH730))/STDEV('The List'!AH2:AH730)</f>
        <v>-0.0499776209522613</v>
      </c>
      <c r="V174" s="46"/>
      <c r="W174" s="48"/>
      <c r="X174" s="48"/>
      <c r="Y174" s="48"/>
      <c r="Z174" s="48"/>
      <c r="AA174" s="48"/>
      <c r="AB174" s="48"/>
      <c r="AC174" s="51"/>
      <c r="AD174" s="52"/>
      <c r="AE174" s="46"/>
    </row>
    <row r="175" ht="21.25" customHeight="1">
      <c r="A175" t="s" s="8">
        <v>496</v>
      </c>
      <c r="B175" t="s" s="42">
        <f>VLOOKUP(A175,'Player Data'!A1:B734,2,FALSE)</f>
        <v>166</v>
      </c>
      <c r="C175" s="44">
        <f>((E175)*'Settings'!$C$12)+(F175*'Settings'!$C$2)+(G175*'Settings'!$C$3)+(H175*'Settings'!$C$4)+(I175*'Settings'!$C$5)+(K175*'Settings'!$C$9)+(N175*'Settings'!$C$6)+(J175*'Settings'!$C$8)+(O175*'Settings'!$C$7)+(P175*'Settings'!$C$14)+(Q175*'Settings'!$C$15)+(R175*'Settings'!$C$16)+(S175*'Settings'!$C$17)+(T175*'Settings'!$C$18)+(U175*'Settings'!$C$19)+(L175*'Settings'!$C$10)+('Settings'!$C$11*M175)</f>
        <v>-0.875864424089313</v>
      </c>
      <c r="D175" s="48">
        <f>IF('Settings'!$E$12="YES",VLOOKUP(A175,'Player Data'!A1:E734,5,FALSE),82)</f>
        <v>66.7</v>
      </c>
      <c r="E175" s="46">
        <f>(VLOOKUP($A175,'The List'!$B1:$AH730,17,FALSE)-AVERAGE('The List'!R2:R730))/STDEV('The List'!R2:R730)</f>
        <v>0.11499545762473</v>
      </c>
      <c r="F175" s="46">
        <f>(VLOOKUP($A175,'The List'!$B1:$AH730,18,FALSE)-AVERAGE('The List'!S2:S730))/STDEV('The List'!S2:S730)</f>
        <v>-0.160074639121653</v>
      </c>
      <c r="G175" s="46">
        <f>(VLOOKUP($A175,'The List'!$B1:$AH730,19,FALSE)-AVERAGE('The List'!T2:T730))/STDEV('The List'!T2:T730)</f>
        <v>0.456713283762039</v>
      </c>
      <c r="H175" s="46">
        <f>(VLOOKUP($A175,'The List'!$B1:$AH730,20,FALSE)-AVERAGE('The List'!U2:U730))/STDEV('The List'!U2:U730)</f>
        <v>0.208720565337766</v>
      </c>
      <c r="I175" s="46">
        <f>(VLOOKUP($A175,'The List'!$B1:$AH730,21,FALSE)-AVERAGE('The List'!V2:V730))/STDEV('The List'!V2:V730)</f>
        <v>-0.396351748186452</v>
      </c>
      <c r="J175" s="46">
        <f>(VLOOKUP($A175,'The List'!$B1:$AH730,22,FALSE)-AVERAGE('The List'!W2:W730))/STDEV('The List'!W2:W730)</f>
        <v>0.463987234737792</v>
      </c>
      <c r="K175" s="46">
        <f>(VLOOKUP($A175,'The List'!$B1:$AH730,23,FALSE)-AVERAGE('The List'!X2:X730))/STDEV('The List'!X2:X730)</f>
        <v>0.839320870029922</v>
      </c>
      <c r="L175" s="46">
        <f>(VLOOKUP($A175,'The List'!$B1:$AH730,24,FALSE)-AVERAGE('The List'!Y2:Y730))/STDEV('The List'!Y2:Y730)</f>
        <v>-0.486420945876484</v>
      </c>
      <c r="M175" s="46">
        <f>(VLOOKUP($A175,'The List'!$B1:$AH730,25,FALSE)-AVERAGE('The List'!Z2:Z730))/STDEV('The List'!Z2:Z730)</f>
        <v>-0.6547237496549549</v>
      </c>
      <c r="N175" s="46">
        <f>(VLOOKUP($A175,'The List'!$B1:$AH730,26,FALSE)-AVERAGE('The List'!AA2:AA730))/STDEV('The List'!AA2:AA730)</f>
        <v>-0.672495939677227</v>
      </c>
      <c r="O175" s="46">
        <f>(VLOOKUP($A175,'The List'!$B1:$AH730,27,FALSE)-AVERAGE('The List'!AB2:AB730))/STDEV('The List'!AB2:AB730)</f>
        <v>-1.08797192340114</v>
      </c>
      <c r="P175" s="46">
        <f>(VLOOKUP($A175,'The List'!$B1:$AH730,28,FALSE)-AVERAGE('The List'!AC2:AC730))/STDEV('The List'!AC2:AC730)</f>
        <v>-0.9429762508959419</v>
      </c>
      <c r="Q175" s="46">
        <f>(VLOOKUP($A175,'The List'!$B1:$AH730,29,FALSE)-AVERAGE('The List'!AD2:AD730))/STDEV('The List'!AD2:AD730)</f>
        <v>-0.715367269991071</v>
      </c>
      <c r="R175" s="46">
        <f>(VLOOKUP($A175,'The List'!$B1:$AH730,30,FALSE)-AVERAGE('The List'!AE2:AE730))/STDEV('The List'!AE2:AE730)</f>
        <v>-0.275634233025299</v>
      </c>
      <c r="S175" s="46">
        <f>(VLOOKUP($A175,'The List'!$B1:$AH730,31,FALSE)-AVERAGE('The List'!AF2:AF730))/STDEV('The List'!AF2:AF730)</f>
        <v>1.51039619079706</v>
      </c>
      <c r="T175" s="46">
        <f>(VLOOKUP($A175,'The List'!$B1:$AH730,32,FALSE)-AVERAGE('The List'!AG2:AG730))/STDEV('The List'!AG2:AG730)</f>
        <v>1.72368803790691</v>
      </c>
      <c r="U175" s="46">
        <f>(VLOOKUP($A175,'The List'!$B1:$AH730,33,FALSE)-AVERAGE('The List'!AH2:AH730))/STDEV('The List'!AH2:AH730)</f>
        <v>0.946452037244384</v>
      </c>
      <c r="V175" s="46"/>
      <c r="W175" s="50"/>
      <c r="X175" s="48"/>
      <c r="Y175" s="48"/>
      <c r="Z175" s="48"/>
      <c r="AA175" s="48"/>
      <c r="AB175" s="48"/>
      <c r="AC175" s="51"/>
      <c r="AD175" s="52"/>
      <c r="AE175" s="46"/>
    </row>
    <row r="176" ht="21.25" customHeight="1">
      <c r="A176" t="s" s="8">
        <v>348</v>
      </c>
      <c r="B176" t="s" s="42">
        <f>VLOOKUP(A176,'Player Data'!A1:B734,2,FALSE)</f>
        <v>170</v>
      </c>
      <c r="C176" s="44">
        <f>((E176)*'Settings'!$C$12)+(F176*'Settings'!$C$2)+(G176*'Settings'!$C$3)+(H176*'Settings'!$C$4)+(I176*'Settings'!$C$5)+(K176*'Settings'!$C$9)+(N176*'Settings'!$C$6)+(J176*'Settings'!$C$8)+(O176*'Settings'!$C$7)+(P176*'Settings'!$C$14)+(Q176*'Settings'!$C$15)+(R176*'Settings'!$C$16)+(S176*'Settings'!$C$17)+(T176*'Settings'!$C$18)+(U176*'Settings'!$C$19)+(L176*'Settings'!$C$10)+('Settings'!$C$11*M176)</f>
        <v>2.78942357101321</v>
      </c>
      <c r="D176" s="48">
        <f>IF('Settings'!$E$12="YES",VLOOKUP(A176,'Player Data'!A1:E734,5,FALSE),82)</f>
        <v>78.8275</v>
      </c>
      <c r="E176" s="46">
        <f>(VLOOKUP($A176,'The List'!$B1:$AH730,17,FALSE)-AVERAGE('The List'!R2:R730))/STDEV('The List'!R2:R730)</f>
        <v>0.358572284615006</v>
      </c>
      <c r="F176" s="46">
        <f>(VLOOKUP($A176,'The List'!$B1:$AH730,18,FALSE)-AVERAGE('The List'!S2:S730))/STDEV('The List'!S2:S730)</f>
        <v>0.733960855731733</v>
      </c>
      <c r="G176" s="46">
        <f>(VLOOKUP($A176,'The List'!$B1:$AH730,19,FALSE)-AVERAGE('The List'!T2:T730))/STDEV('The List'!T2:T730)</f>
        <v>0.311755688848136</v>
      </c>
      <c r="H176" s="46">
        <f>(VLOOKUP($A176,'The List'!$B1:$AH730,20,FALSE)-AVERAGE('The List'!U2:U730))/STDEV('The List'!U2:U730)</f>
        <v>0.526160194014301</v>
      </c>
      <c r="I176" s="46">
        <f>(VLOOKUP($A176,'The List'!$B1:$AH730,21,FALSE)-AVERAGE('The List'!V2:V730))/STDEV('The List'!V2:V730)</f>
        <v>1.09777339218446</v>
      </c>
      <c r="J176" s="46">
        <f>(VLOOKUP($A176,'The List'!$B1:$AH730,22,FALSE)-AVERAGE('The List'!W2:W730))/STDEV('The List'!W2:W730)</f>
        <v>0.270166526710842</v>
      </c>
      <c r="K176" s="46">
        <f>(VLOOKUP($A176,'The List'!$B1:$AH730,23,FALSE)-AVERAGE('The List'!X2:X730))/STDEV('The List'!X2:X730)</f>
        <v>0.289012744987087</v>
      </c>
      <c r="L176" s="46">
        <f>(VLOOKUP($A176,'The List'!$B1:$AH730,24,FALSE)-AVERAGE('The List'!Y2:Y730))/STDEV('The List'!Y2:Y730)</f>
        <v>-0.230453012391224</v>
      </c>
      <c r="M176" s="46">
        <f>(VLOOKUP($A176,'The List'!$B1:$AH730,25,FALSE)-AVERAGE('The List'!Z2:Z730))/STDEV('The List'!Z2:Z730)</f>
        <v>0.371183004753055</v>
      </c>
      <c r="N176" s="46">
        <f>(VLOOKUP($A176,'The List'!$B1:$AH730,26,FALSE)-AVERAGE('The List'!AA2:AA730))/STDEV('The List'!AA2:AA730)</f>
        <v>-0.29607711938619</v>
      </c>
      <c r="O176" s="46">
        <f>(VLOOKUP($A176,'The List'!$B1:$AH730,27,FALSE)-AVERAGE('The List'!AB2:AB730))/STDEV('The List'!AB2:AB730)</f>
        <v>-0.140015972933838</v>
      </c>
      <c r="P176" s="46">
        <f>(VLOOKUP($A176,'The List'!$B1:$AH730,28,FALSE)-AVERAGE('The List'!AC2:AC730))/STDEV('The List'!AC2:AC730)</f>
        <v>0.652998008647986</v>
      </c>
      <c r="Q176" s="46">
        <f>(VLOOKUP($A176,'The List'!$B1:$AH730,29,FALSE)-AVERAGE('The List'!AD2:AD730))/STDEV('The List'!AD2:AD730)</f>
        <v>-0.321526208606916</v>
      </c>
      <c r="R176" s="46">
        <f>(VLOOKUP($A176,'The List'!$B1:$AH730,30,FALSE)-AVERAGE('The List'!AE2:AE730))/STDEV('The List'!AE2:AE730)</f>
        <v>0.935385733201569</v>
      </c>
      <c r="S176" s="46">
        <f>(VLOOKUP($A176,'The List'!$B1:$AH730,31,FALSE)-AVERAGE('The List'!AF2:AF730))/STDEV('The List'!AF2:AF730)</f>
        <v>-0.538926264450064</v>
      </c>
      <c r="T176" s="46">
        <f>(VLOOKUP($A176,'The List'!$B1:$AH730,32,FALSE)-AVERAGE('The List'!AG2:AG730))/STDEV('The List'!AG2:AG730)</f>
        <v>-0.572175959982816</v>
      </c>
      <c r="U176" s="46">
        <f>(VLOOKUP($A176,'The List'!$B1:$AH730,33,FALSE)-AVERAGE('The List'!AH2:AH730))/STDEV('The List'!AH2:AH730)</f>
        <v>0.558299449508139</v>
      </c>
      <c r="V176" s="46"/>
      <c r="W176" s="48"/>
      <c r="X176" s="46"/>
      <c r="Y176" s="46"/>
      <c r="Z176" s="46"/>
      <c r="AA176" s="46"/>
      <c r="AB176" s="46"/>
      <c r="AC176" s="46"/>
      <c r="AD176" s="46"/>
      <c r="AE176" s="46"/>
    </row>
    <row r="177" ht="21.25" customHeight="1">
      <c r="A177" t="s" s="8">
        <v>246</v>
      </c>
      <c r="B177" t="s" s="42">
        <f>VLOOKUP(A177,'Player Data'!A1:B734,2,FALSE)</f>
        <v>218</v>
      </c>
      <c r="C177" s="44">
        <f>((E177)*'Settings'!$C$12)+(F177*'Settings'!$C$2)+(G177*'Settings'!$C$3)+(H177*'Settings'!$C$4)+(I177*'Settings'!$C$5)+(K177*'Settings'!$C$9)+(N177*'Settings'!$C$6)+(J177*'Settings'!$C$8)+(O177*'Settings'!$C$7)+(P177*'Settings'!$C$14)+(Q177*'Settings'!$C$15)+(R177*'Settings'!$C$16)+(S177*'Settings'!$C$17)+(T177*'Settings'!$C$18)+(U177*'Settings'!$C$19)+(L177*'Settings'!$C$10)+('Settings'!$C$11*M177)</f>
        <v>6.44949888624581</v>
      </c>
      <c r="D177" s="48">
        <f>IF('Settings'!$E$12="YES",VLOOKUP(A177,'Player Data'!A1:E734,5,FALSE),82)</f>
        <v>77.9610714285714</v>
      </c>
      <c r="E177" s="46">
        <f>(VLOOKUP($A177,'The List'!$B1:$AH730,17,FALSE)-AVERAGE('The List'!R2:R730))/STDEV('The List'!R2:R730)</f>
        <v>2.16283995516036</v>
      </c>
      <c r="F177" s="46">
        <f>(VLOOKUP($A177,'The List'!$B1:$AH730,18,FALSE)-AVERAGE('The List'!S2:S730))/STDEV('The List'!S2:S730)</f>
        <v>-0.21390916526695</v>
      </c>
      <c r="G177" s="46">
        <f>(VLOOKUP($A177,'The List'!$B1:$AH730,19,FALSE)-AVERAGE('The List'!T2:T730))/STDEV('The List'!T2:T730)</f>
        <v>0.960443788093999</v>
      </c>
      <c r="H177" s="46">
        <f>(VLOOKUP($A177,'The List'!$B1:$AH730,20,FALSE)-AVERAGE('The List'!U2:U730))/STDEV('The List'!U2:U730)</f>
        <v>0.49476801130163</v>
      </c>
      <c r="I177" s="46">
        <f>(VLOOKUP($A177,'The List'!$B1:$AH730,21,FALSE)-AVERAGE('The List'!V2:V730))/STDEV('The List'!V2:V730)</f>
        <v>1.05786872143314</v>
      </c>
      <c r="J177" s="46">
        <f>(VLOOKUP($A177,'The List'!$B1:$AH730,22,FALSE)-AVERAGE('The List'!W2:W730))/STDEV('The List'!W2:W730)</f>
        <v>-0.265113931163322</v>
      </c>
      <c r="K177" s="46">
        <f>(VLOOKUP($A177,'The List'!$B1:$AH730,23,FALSE)-AVERAGE('The List'!X2:X730))/STDEV('The List'!X2:X730)</f>
        <v>0.441521936512847</v>
      </c>
      <c r="L177" s="46">
        <f>(VLOOKUP($A177,'The List'!$B1:$AH730,24,FALSE)-AVERAGE('The List'!Y2:Y730))/STDEV('The List'!Y2:Y730)</f>
        <v>0.051262410732169</v>
      </c>
      <c r="M177" s="46">
        <f>(VLOOKUP($A177,'The List'!$B1:$AH730,25,FALSE)-AVERAGE('The List'!Z2:Z730))/STDEV('The List'!Z2:Z730)</f>
        <v>1.87300872663846</v>
      </c>
      <c r="N177" s="46">
        <f>(VLOOKUP($A177,'The List'!$B1:$AH730,26,FALSE)-AVERAGE('The List'!AA2:AA730))/STDEV('The List'!AA2:AA730)</f>
        <v>2.95056325829097</v>
      </c>
      <c r="O177" s="46">
        <f>(VLOOKUP($A177,'The List'!$B1:$AH730,27,FALSE)-AVERAGE('The List'!AB2:AB730))/STDEV('The List'!AB2:AB730)</f>
        <v>-0.381773136628486</v>
      </c>
      <c r="P177" s="46">
        <f>(VLOOKUP($A177,'The List'!$B1:$AH730,28,FALSE)-AVERAGE('The List'!AC2:AC730))/STDEV('The List'!AC2:AC730)</f>
        <v>1.2530103471818</v>
      </c>
      <c r="Q177" s="46">
        <f>(VLOOKUP($A177,'The List'!$B1:$AH730,29,FALSE)-AVERAGE('The List'!AD2:AD730))/STDEV('The List'!AD2:AD730)</f>
        <v>-0.245929758809666</v>
      </c>
      <c r="R177" s="46">
        <f>(VLOOKUP($A177,'The List'!$B1:$AH730,30,FALSE)-AVERAGE('The List'!AE2:AE730))/STDEV('The List'!AE2:AE730)</f>
        <v>-0.0342234630146035</v>
      </c>
      <c r="S177" s="46">
        <f>(VLOOKUP($A177,'The List'!$B1:$AH730,31,FALSE)-AVERAGE('The List'!AF2:AF730))/STDEV('The List'!AF2:AF730)</f>
        <v>-0.5551486597422099</v>
      </c>
      <c r="T177" s="46">
        <f>(VLOOKUP($A177,'The List'!$B1:$AH730,32,FALSE)-AVERAGE('The List'!AG2:AG730))/STDEV('The List'!AG2:AG730)</f>
        <v>-0.59850685247647</v>
      </c>
      <c r="U177" s="46">
        <f>(VLOOKUP($A177,'The List'!$B1:$AH730,33,FALSE)-AVERAGE('The List'!AH2:AH730))/STDEV('The List'!AH2:AH730)</f>
        <v>0.7524922434494959</v>
      </c>
      <c r="V177" s="46"/>
      <c r="W177" s="48"/>
      <c r="X177" s="46"/>
      <c r="Y177" s="46"/>
      <c r="Z177" s="46"/>
      <c r="AA177" s="46"/>
      <c r="AB177" s="46"/>
      <c r="AC177" s="46"/>
      <c r="AD177" s="46"/>
      <c r="AE177" s="46"/>
    </row>
    <row r="178" ht="21.25" customHeight="1">
      <c r="A178" t="s" s="8">
        <v>416</v>
      </c>
      <c r="B178" t="s" s="42">
        <f>VLOOKUP(A178,'Player Data'!A1:B734,2,FALSE)</f>
        <v>218</v>
      </c>
      <c r="C178" s="44">
        <f>((E178)*'Settings'!$C$12)+(F178*'Settings'!$C$2)+(G178*'Settings'!$C$3)+(H178*'Settings'!$C$4)+(I178*'Settings'!$C$5)+(K178*'Settings'!$C$9)+(N178*'Settings'!$C$6)+(J178*'Settings'!$C$8)+(O178*'Settings'!$C$7)+(P178*'Settings'!$C$14)+(Q178*'Settings'!$C$15)+(R178*'Settings'!$C$16)+(S178*'Settings'!$C$17)+(T178*'Settings'!$C$18)+(U178*'Settings'!$C$19)+(L178*'Settings'!$C$10)+('Settings'!$C$11*M178)</f>
        <v>2.46113278956586</v>
      </c>
      <c r="D178" s="48">
        <f>IF('Settings'!$E$12="YES",VLOOKUP(A178,'Player Data'!A1:E734,5,FALSE),82)</f>
        <v>79.9675</v>
      </c>
      <c r="E178" s="46">
        <f>(VLOOKUP($A178,'The List'!$B1:$AH730,17,FALSE)-AVERAGE('The List'!R2:R730))/STDEV('The List'!R2:R730)</f>
        <v>0.392568532258842</v>
      </c>
      <c r="F178" s="46">
        <f>(VLOOKUP($A178,'The List'!$B1:$AH730,18,FALSE)-AVERAGE('The List'!S2:S730))/STDEV('The List'!S2:S730)</f>
        <v>0.162200151816234</v>
      </c>
      <c r="G178" s="46">
        <f>(VLOOKUP($A178,'The List'!$B1:$AH730,19,FALSE)-AVERAGE('The List'!T2:T730))/STDEV('The List'!T2:T730)</f>
        <v>0.764493812887132</v>
      </c>
      <c r="H178" s="46">
        <f>(VLOOKUP($A178,'The List'!$B1:$AH730,20,FALSE)-AVERAGE('The List'!U2:U730))/STDEV('The List'!U2:U730)</f>
        <v>0.545104709498073</v>
      </c>
      <c r="I178" s="46">
        <f>(VLOOKUP($A178,'The List'!$B1:$AH730,21,FALSE)-AVERAGE('The List'!V2:V730))/STDEV('The List'!V2:V730)</f>
        <v>0.45066939532929</v>
      </c>
      <c r="J178" s="46">
        <f>(VLOOKUP($A178,'The List'!$B1:$AH730,22,FALSE)-AVERAGE('The List'!W2:W730))/STDEV('The List'!W2:W730)</f>
        <v>-0.330388755954728</v>
      </c>
      <c r="K178" s="46">
        <f>(VLOOKUP($A178,'The List'!$B1:$AH730,23,FALSE)-AVERAGE('The List'!X2:X730))/STDEV('The List'!X2:X730)</f>
        <v>-0.092992573313466</v>
      </c>
      <c r="L178" s="46">
        <f>(VLOOKUP($A178,'The List'!$B1:$AH730,24,FALSE)-AVERAGE('The List'!Y2:Y730))/STDEV('The List'!Y2:Y730)</f>
        <v>2.20280302927911</v>
      </c>
      <c r="M178" s="46">
        <f>(VLOOKUP($A178,'The List'!$B1:$AH730,25,FALSE)-AVERAGE('The List'!Z2:Z730))/STDEV('The List'!Z2:Z730)</f>
        <v>3.19684154410162</v>
      </c>
      <c r="N178" s="46">
        <f>(VLOOKUP($A178,'The List'!$B1:$AH730,26,FALSE)-AVERAGE('The List'!AA2:AA730))/STDEV('The List'!AA2:AA730)</f>
        <v>-0.262947351431686</v>
      </c>
      <c r="O178" s="46">
        <f>(VLOOKUP($A178,'The List'!$B1:$AH730,27,FALSE)-AVERAGE('The List'!AB2:AB730))/STDEV('The List'!AB2:AB730)</f>
        <v>-0.8177730306498781</v>
      </c>
      <c r="P178" s="46">
        <f>(VLOOKUP($A178,'The List'!$B1:$AH730,28,FALSE)-AVERAGE('The List'!AC2:AC730))/STDEV('The List'!AC2:AC730)</f>
        <v>1.43970935427836</v>
      </c>
      <c r="Q178" s="46">
        <f>(VLOOKUP($A178,'The List'!$B1:$AH730,29,FALSE)-AVERAGE('The List'!AD2:AD730))/STDEV('The List'!AD2:AD730)</f>
        <v>-1.22480969437711</v>
      </c>
      <c r="R178" s="46">
        <f>(VLOOKUP($A178,'The List'!$B1:$AH730,30,FALSE)-AVERAGE('The List'!AE2:AE730))/STDEV('The List'!AE2:AE730)</f>
        <v>0.365746377690411</v>
      </c>
      <c r="S178" s="46">
        <f>(VLOOKUP($A178,'The List'!$B1:$AH730,31,FALSE)-AVERAGE('The List'!AF2:AF730))/STDEV('The List'!AF2:AF730)</f>
        <v>2.53895373302368</v>
      </c>
      <c r="T178" s="46">
        <f>(VLOOKUP($A178,'The List'!$B1:$AH730,32,FALSE)-AVERAGE('The List'!AG2:AG730))/STDEV('The List'!AG2:AG730)</f>
        <v>2.18394122905583</v>
      </c>
      <c r="U178" s="46">
        <f>(VLOOKUP($A178,'The List'!$B1:$AH730,33,FALSE)-AVERAGE('The List'!AH2:AH730))/STDEV('The List'!AH2:AH730)</f>
        <v>1.1980433493198</v>
      </c>
      <c r="V178" s="46"/>
      <c r="W178" s="50"/>
      <c r="X178" s="48"/>
      <c r="Y178" s="48"/>
      <c r="Z178" s="48"/>
      <c r="AA178" s="48"/>
      <c r="AB178" s="48"/>
      <c r="AC178" s="51"/>
      <c r="AD178" s="52"/>
      <c r="AE178" s="46"/>
    </row>
    <row r="179" ht="21.25" customHeight="1">
      <c r="A179" t="s" s="8">
        <v>371</v>
      </c>
      <c r="B179" t="s" s="42">
        <f>VLOOKUP(A179,'Player Data'!A1:B734,2,FALSE)</f>
        <v>189</v>
      </c>
      <c r="C179" s="44">
        <f>((E179)*'Settings'!$C$12)+(F179*'Settings'!$C$2)+(G179*'Settings'!$C$3)+(H179*'Settings'!$C$4)+(I179*'Settings'!$C$5)+(K179*'Settings'!$C$9)+(N179*'Settings'!$C$6)+(J179*'Settings'!$C$8)+(O179*'Settings'!$C$7)+(P179*'Settings'!$C$14)+(Q179*'Settings'!$C$15)+(R179*'Settings'!$C$16)+(S179*'Settings'!$C$17)+(T179*'Settings'!$C$18)+(U179*'Settings'!$C$19)+(L179*'Settings'!$C$10)+('Settings'!$C$11*M179)</f>
        <v>0.691379764942408</v>
      </c>
      <c r="D179" s="48">
        <f>IF('Settings'!$E$12="YES",VLOOKUP(A179,'Player Data'!A1:E734,5,FALSE),82)</f>
        <v>74.48999999999999</v>
      </c>
      <c r="E179" s="46">
        <f>(VLOOKUP($A179,'The List'!$B1:$AH730,17,FALSE)-AVERAGE('The List'!R2:R730))/STDEV('The List'!R2:R730)</f>
        <v>0.456557367865904</v>
      </c>
      <c r="F179" s="46">
        <f>(VLOOKUP($A179,'The List'!$B1:$AH730,18,FALSE)-AVERAGE('The List'!S2:S730))/STDEV('The List'!S2:S730)</f>
        <v>0.966624949542888</v>
      </c>
      <c r="G179" s="46">
        <f>(VLOOKUP($A179,'The List'!$B1:$AH730,19,FALSE)-AVERAGE('The List'!T2:T730))/STDEV('The List'!T2:T730)</f>
        <v>-0.0725364484693949</v>
      </c>
      <c r="H179" s="46">
        <f>(VLOOKUP($A179,'The List'!$B1:$AH730,20,FALSE)-AVERAGE('The List'!U2:U730))/STDEV('The List'!U2:U730)</f>
        <v>0.395115971295303</v>
      </c>
      <c r="I179" s="46">
        <f>(VLOOKUP($A179,'The List'!$B1:$AH730,21,FALSE)-AVERAGE('The List'!V2:V730))/STDEV('The List'!V2:V730)</f>
        <v>1.07693579952864</v>
      </c>
      <c r="J179" s="46">
        <f>(VLOOKUP($A179,'The List'!$B1:$AH730,22,FALSE)-AVERAGE('The List'!W2:W730))/STDEV('The List'!W2:W730)</f>
        <v>0.735381824747564</v>
      </c>
      <c r="K179" s="46">
        <f>(VLOOKUP($A179,'The List'!$B1:$AH730,23,FALSE)-AVERAGE('The List'!X2:X730))/STDEV('The List'!X2:X730)</f>
        <v>0.0598154747001083</v>
      </c>
      <c r="L179" s="46">
        <f>(VLOOKUP($A179,'The List'!$B1:$AH730,24,FALSE)-AVERAGE('The List'!Y2:Y730))/STDEV('The List'!Y2:Y730)</f>
        <v>-0.222929421302352</v>
      </c>
      <c r="M179" s="46">
        <f>(VLOOKUP($A179,'The List'!$B1:$AH730,25,FALSE)-AVERAGE('The List'!Z2:Z730))/STDEV('The List'!Z2:Z730)</f>
        <v>-0.463001330503056</v>
      </c>
      <c r="N179" s="46">
        <f>(VLOOKUP($A179,'The List'!$B1:$AH730,26,FALSE)-AVERAGE('The List'!AA2:AA730))/STDEV('The List'!AA2:AA730)</f>
        <v>0.173650741743977</v>
      </c>
      <c r="O179" s="46">
        <f>(VLOOKUP($A179,'The List'!$B1:$AH730,27,FALSE)-AVERAGE('The List'!AB2:AB730))/STDEV('The List'!AB2:AB730)</f>
        <v>0.5588233117307611</v>
      </c>
      <c r="P179" s="46">
        <f>(VLOOKUP($A179,'The List'!$B1:$AH730,28,FALSE)-AVERAGE('The List'!AC2:AC730))/STDEV('The List'!AC2:AC730)</f>
        <v>-1.51311075210381</v>
      </c>
      <c r="Q179" s="46">
        <f>(VLOOKUP($A179,'The List'!$B1:$AH730,29,FALSE)-AVERAGE('The List'!AD2:AD730))/STDEV('The List'!AD2:AD730)</f>
        <v>0.000847280862808166</v>
      </c>
      <c r="R179" s="46">
        <f>(VLOOKUP($A179,'The List'!$B1:$AH730,30,FALSE)-AVERAGE('The List'!AE2:AE730))/STDEV('The List'!AE2:AE730)</f>
        <v>0.392890374235421</v>
      </c>
      <c r="S179" s="46">
        <f>(VLOOKUP($A179,'The List'!$B1:$AH730,31,FALSE)-AVERAGE('The List'!AF2:AF730))/STDEV('The List'!AF2:AF730)</f>
        <v>3.01416980104761</v>
      </c>
      <c r="T179" s="46">
        <f>(VLOOKUP($A179,'The List'!$B1:$AH730,32,FALSE)-AVERAGE('The List'!AG2:AG730))/STDEV('The List'!AG2:AG730)</f>
        <v>2.55193657055081</v>
      </c>
      <c r="U179" s="46">
        <f>(VLOOKUP($A179,'The List'!$B1:$AH730,33,FALSE)-AVERAGE('The List'!AH2:AH730))/STDEV('The List'!AH2:AH730)</f>
        <v>1.21899905248056</v>
      </c>
      <c r="V179" s="46"/>
      <c r="W179" s="50"/>
      <c r="X179" s="48"/>
      <c r="Y179" s="48"/>
      <c r="Z179" s="48"/>
      <c r="AA179" s="48"/>
      <c r="AB179" s="48"/>
      <c r="AC179" s="51"/>
      <c r="AD179" s="52"/>
      <c r="AE179" s="46"/>
    </row>
    <row r="180" ht="21.25" customHeight="1">
      <c r="A180" t="s" s="8">
        <v>395</v>
      </c>
      <c r="B180" t="s" s="42">
        <f>VLOOKUP(A180,'Player Data'!A1:B734,2,FALSE)</f>
        <v>202</v>
      </c>
      <c r="C180" s="44">
        <f>((E180)*'Settings'!$C$12)+(F180*'Settings'!$C$2)+(G180*'Settings'!$C$3)+(H180*'Settings'!$C$4)+(I180*'Settings'!$C$5)+(K180*'Settings'!$C$9)+(N180*'Settings'!$C$6)+(J180*'Settings'!$C$8)+(O180*'Settings'!$C$7)+(P180*'Settings'!$C$14)+(Q180*'Settings'!$C$15)+(R180*'Settings'!$C$16)+(S180*'Settings'!$C$17)+(T180*'Settings'!$C$18)+(U180*'Settings'!$C$19)+(L180*'Settings'!$C$10)+('Settings'!$C$11*M180)</f>
        <v>2.23840315309114</v>
      </c>
      <c r="D180" s="48">
        <f>IF('Settings'!$E$12="YES",VLOOKUP(A180,'Player Data'!A1:E734,5,FALSE),82)</f>
        <v>73.7325</v>
      </c>
      <c r="E180" s="46">
        <f>(VLOOKUP($A180,'The List'!$B1:$AH730,17,FALSE)-AVERAGE('The List'!R2:R730))/STDEV('The List'!R2:R730)</f>
        <v>0.0310444834122474</v>
      </c>
      <c r="F180" s="46">
        <f>(VLOOKUP($A180,'The List'!$B1:$AH730,18,FALSE)-AVERAGE('The List'!S2:S730))/STDEV('The List'!S2:S730)</f>
        <v>0.1862455381275</v>
      </c>
      <c r="G180" s="46">
        <f>(VLOOKUP($A180,'The List'!$B1:$AH730,19,FALSE)-AVERAGE('The List'!T2:T730))/STDEV('The List'!T2:T730)</f>
        <v>0.467498253260393</v>
      </c>
      <c r="H180" s="46">
        <f>(VLOOKUP($A180,'The List'!$B1:$AH730,20,FALSE)-AVERAGE('The List'!U2:U730))/STDEV('The List'!U2:U730)</f>
        <v>0.372951983620895</v>
      </c>
      <c r="I180" s="46">
        <f>(VLOOKUP($A180,'The List'!$B1:$AH730,21,FALSE)-AVERAGE('The List'!V2:V730))/STDEV('The List'!V2:V730)</f>
        <v>0.407617952068109</v>
      </c>
      <c r="J180" s="46">
        <f>(VLOOKUP($A180,'The List'!$B1:$AH730,22,FALSE)-AVERAGE('The List'!W2:W730))/STDEV('The List'!W2:W730)</f>
        <v>0.622808989026137</v>
      </c>
      <c r="K180" s="46">
        <f>(VLOOKUP($A180,'The List'!$B1:$AH730,23,FALSE)-AVERAGE('The List'!X2:X730))/STDEV('The List'!X2:X730)</f>
        <v>0.655812010633278</v>
      </c>
      <c r="L180" s="46">
        <f>(VLOOKUP($A180,'The List'!$B1:$AH730,24,FALSE)-AVERAGE('The List'!Y2:Y730))/STDEV('The List'!Y2:Y730)</f>
        <v>2.70816497636981</v>
      </c>
      <c r="M180" s="46">
        <f>(VLOOKUP($A180,'The List'!$B1:$AH730,25,FALSE)-AVERAGE('The List'!Z2:Z730))/STDEV('The List'!Z2:Z730)</f>
        <v>2.35460012831025</v>
      </c>
      <c r="N180" s="46">
        <f>(VLOOKUP($A180,'The List'!$B1:$AH730,26,FALSE)-AVERAGE('The List'!AA2:AA730))/STDEV('The List'!AA2:AA730)</f>
        <v>-0.8799359163678619</v>
      </c>
      <c r="O180" s="46">
        <f>(VLOOKUP($A180,'The List'!$B1:$AH730,27,FALSE)-AVERAGE('The List'!AB2:AB730))/STDEV('The List'!AB2:AB730)</f>
        <v>-1.40110833180544</v>
      </c>
      <c r="P180" s="46">
        <f>(VLOOKUP($A180,'The List'!$B1:$AH730,28,FALSE)-AVERAGE('The List'!AC2:AC730))/STDEV('The List'!AC2:AC730)</f>
        <v>1.40116531536972</v>
      </c>
      <c r="Q180" s="46">
        <f>(VLOOKUP($A180,'The List'!$B1:$AH730,29,FALSE)-AVERAGE('The List'!AD2:AD730))/STDEV('The List'!AD2:AD730)</f>
        <v>-0.681205143952498</v>
      </c>
      <c r="R180" s="46">
        <f>(VLOOKUP($A180,'The List'!$B1:$AH730,30,FALSE)-AVERAGE('The List'!AE2:AE730))/STDEV('The List'!AE2:AE730)</f>
        <v>0.545545567632822</v>
      </c>
      <c r="S180" s="46">
        <f>(VLOOKUP($A180,'The List'!$B1:$AH730,31,FALSE)-AVERAGE('The List'!AF2:AF730))/STDEV('The List'!AF2:AF730)</f>
        <v>-0.403256264820934</v>
      </c>
      <c r="T180" s="46">
        <f>(VLOOKUP($A180,'The List'!$B1:$AH730,32,FALSE)-AVERAGE('The List'!AG2:AG730))/STDEV('The List'!AG2:AG730)</f>
        <v>-0.486864992596436</v>
      </c>
      <c r="U180" s="46">
        <f>(VLOOKUP($A180,'The List'!$B1:$AH730,33,FALSE)-AVERAGE('The List'!AH2:AH730))/STDEV('The List'!AH2:AH730)</f>
        <v>1.41198518605294</v>
      </c>
      <c r="V180" s="46"/>
      <c r="W180" s="50"/>
      <c r="X180" s="48"/>
      <c r="Y180" s="48"/>
      <c r="Z180" s="48"/>
      <c r="AA180" s="48"/>
      <c r="AB180" s="48"/>
      <c r="AC180" s="51"/>
      <c r="AD180" s="52"/>
      <c r="AE180" s="46"/>
    </row>
    <row r="181" ht="21.25" customHeight="1">
      <c r="A181" t="s" s="8">
        <v>385</v>
      </c>
      <c r="B181" t="s" s="42">
        <f>VLOOKUP(A181,'Player Data'!A1:B734,2,FALSE)</f>
        <v>156</v>
      </c>
      <c r="C181" s="44">
        <f>((E181)*'Settings'!$C$12)+(F181*'Settings'!$C$2)+(G181*'Settings'!$C$3)+(H181*'Settings'!$C$4)+(I181*'Settings'!$C$5)+(K181*'Settings'!$C$9)+(N181*'Settings'!$C$6)+(J181*'Settings'!$C$8)+(O181*'Settings'!$C$7)+(P181*'Settings'!$C$14)+(Q181*'Settings'!$C$15)+(R181*'Settings'!$C$16)+(S181*'Settings'!$C$17)+(T181*'Settings'!$C$18)+(U181*'Settings'!$C$19)+(L181*'Settings'!$C$10)+('Settings'!$C$11*M181)</f>
        <v>1.17190142691424</v>
      </c>
      <c r="D181" s="48">
        <f>IF('Settings'!$E$12="YES",VLOOKUP(A181,'Player Data'!A1:E734,5,FALSE),82)</f>
        <v>80.14</v>
      </c>
      <c r="E181" s="46">
        <f>(VLOOKUP($A181,'The List'!$B1:$AH730,17,FALSE)-AVERAGE('The List'!R2:R730))/STDEV('The List'!R2:R730)</f>
        <v>-0.354450681459651</v>
      </c>
      <c r="F181" s="46">
        <f>(VLOOKUP($A181,'The List'!$B1:$AH730,18,FALSE)-AVERAGE('The List'!S2:S730))/STDEV('The List'!S2:S730)</f>
        <v>0.420492537196616</v>
      </c>
      <c r="G181" s="46">
        <f>(VLOOKUP($A181,'The List'!$B1:$AH730,19,FALSE)-AVERAGE('The List'!T2:T730))/STDEV('The List'!T2:T730)</f>
        <v>0.5720587016038911</v>
      </c>
      <c r="H181" s="46">
        <f>(VLOOKUP($A181,'The List'!$B1:$AH730,20,FALSE)-AVERAGE('The List'!U2:U730))/STDEV('The List'!U2:U730)</f>
        <v>0.543999208279509</v>
      </c>
      <c r="I181" s="46">
        <f>(VLOOKUP($A181,'The List'!$B1:$AH730,21,FALSE)-AVERAGE('The List'!V2:V730))/STDEV('The List'!V2:V730)</f>
        <v>0.681797580392806</v>
      </c>
      <c r="J181" s="46">
        <f>(VLOOKUP($A181,'The List'!$B1:$AH730,22,FALSE)-AVERAGE('The List'!W2:W730))/STDEV('The List'!W2:W730)</f>
        <v>-0.146804120274415</v>
      </c>
      <c r="K181" s="46">
        <f>(VLOOKUP($A181,'The List'!$B1:$AH730,23,FALSE)-AVERAGE('The List'!X2:X730))/STDEV('The List'!X2:X730)</f>
        <v>0.0844579634124471</v>
      </c>
      <c r="L181" s="46">
        <f>(VLOOKUP($A181,'The List'!$B1:$AH730,24,FALSE)-AVERAGE('The List'!Y2:Y730))/STDEV('The List'!Y2:Y730)</f>
        <v>-0.53309863088587</v>
      </c>
      <c r="M181" s="46">
        <f>(VLOOKUP($A181,'The List'!$B1:$AH730,25,FALSE)-AVERAGE('The List'!Z2:Z730))/STDEV('The List'!Z2:Z730)</f>
        <v>-0.710819781128938</v>
      </c>
      <c r="N181" s="46">
        <f>(VLOOKUP($A181,'The List'!$B1:$AH730,26,FALSE)-AVERAGE('The List'!AA2:AA730))/STDEV('The List'!AA2:AA730)</f>
        <v>-0.949445655942645</v>
      </c>
      <c r="O181" s="46">
        <f>(VLOOKUP($A181,'The List'!$B1:$AH730,27,FALSE)-AVERAGE('The List'!AB2:AB730))/STDEV('The List'!AB2:AB730)</f>
        <v>-0.87018744864467</v>
      </c>
      <c r="P181" s="46">
        <f>(VLOOKUP($A181,'The List'!$B1:$AH730,28,FALSE)-AVERAGE('The List'!AC2:AC730))/STDEV('The List'!AC2:AC730)</f>
        <v>0.362540300251123</v>
      </c>
      <c r="Q181" s="46">
        <f>(VLOOKUP($A181,'The List'!$B1:$AH730,29,FALSE)-AVERAGE('The List'!AD2:AD730))/STDEV('The List'!AD2:AD730)</f>
        <v>-0.353552872151275</v>
      </c>
      <c r="R181" s="46">
        <f>(VLOOKUP($A181,'The List'!$B1:$AH730,30,FALSE)-AVERAGE('The List'!AE2:AE730))/STDEV('The List'!AE2:AE730)</f>
        <v>0.396240121829288</v>
      </c>
      <c r="S181" s="46">
        <f>(VLOOKUP($A181,'The List'!$B1:$AH730,31,FALSE)-AVERAGE('The List'!AF2:AF730))/STDEV('The List'!AF2:AF730)</f>
        <v>-0.531688023155107</v>
      </c>
      <c r="T181" s="46">
        <f>(VLOOKUP($A181,'The List'!$B1:$AH730,32,FALSE)-AVERAGE('The List'!AG2:AG730))/STDEV('The List'!AG2:AG730)</f>
        <v>-0.550191626130646</v>
      </c>
      <c r="U181" s="46">
        <f>(VLOOKUP($A181,'The List'!$B1:$AH730,33,FALSE)-AVERAGE('The List'!AH2:AH730))/STDEV('The List'!AH2:AH730)</f>
        <v>0.315606094061148</v>
      </c>
      <c r="V181" s="46"/>
      <c r="W181" s="50"/>
      <c r="X181" s="48"/>
      <c r="Y181" s="48"/>
      <c r="Z181" s="48"/>
      <c r="AA181" s="48"/>
      <c r="AB181" s="48"/>
      <c r="AC181" s="51"/>
      <c r="AD181" s="52"/>
      <c r="AE181" s="46"/>
    </row>
    <row r="182" ht="21.25" customHeight="1">
      <c r="A182" t="s" s="8">
        <v>283</v>
      </c>
      <c r="B182" t="s" s="42">
        <f>VLOOKUP(A182,'Player Data'!A1:B734,2,FALSE)</f>
        <v>173</v>
      </c>
      <c r="C182" s="44">
        <f>((E182)*'Settings'!$C$12)+(F182*'Settings'!$C$2)+(G182*'Settings'!$C$3)+(H182*'Settings'!$C$4)+(I182*'Settings'!$C$5)+(K182*'Settings'!$C$9)+(N182*'Settings'!$C$6)+(J182*'Settings'!$C$8)+(O182*'Settings'!$C$7)+(P182*'Settings'!$C$14)+(Q182*'Settings'!$C$15)+(R182*'Settings'!$C$16)+(S182*'Settings'!$C$17)+(T182*'Settings'!$C$18)+(U182*'Settings'!$C$19)+(L182*'Settings'!$C$10)+('Settings'!$C$11*M182)</f>
        <v>3.25572436646969</v>
      </c>
      <c r="D182" s="48">
        <f>IF('Settings'!$E$12="YES",VLOOKUP(A182,'Player Data'!A1:E734,5,FALSE),82)</f>
        <v>71.1825</v>
      </c>
      <c r="E182" s="46">
        <f>(VLOOKUP($A182,'The List'!$B1:$AH730,17,FALSE)-AVERAGE('The List'!R2:R730))/STDEV('The List'!R2:R730)</f>
        <v>1.55139740209267</v>
      </c>
      <c r="F182" s="46">
        <f>(VLOOKUP($A182,'The List'!$B1:$AH730,18,FALSE)-AVERAGE('The List'!S2:S730))/STDEV('The List'!S2:S730)</f>
        <v>0.0010921973086277</v>
      </c>
      <c r="G182" s="46">
        <f>(VLOOKUP($A182,'The List'!$B1:$AH730,19,FALSE)-AVERAGE('The List'!T2:T730))/STDEV('The List'!T2:T730)</f>
        <v>0.484454352873237</v>
      </c>
      <c r="H182" s="46">
        <f>(VLOOKUP($A182,'The List'!$B1:$AH730,20,FALSE)-AVERAGE('The List'!U2:U730))/STDEV('The List'!U2:U730)</f>
        <v>0.299156712714456</v>
      </c>
      <c r="I182" s="46">
        <f>(VLOOKUP($A182,'The List'!$B1:$AH730,21,FALSE)-AVERAGE('The List'!V2:V730))/STDEV('The List'!V2:V730)</f>
        <v>1.05565927885195</v>
      </c>
      <c r="J182" s="46">
        <f>(VLOOKUP($A182,'The List'!$B1:$AH730,22,FALSE)-AVERAGE('The List'!W2:W730))/STDEV('The List'!W2:W730)</f>
        <v>0.235056025724397</v>
      </c>
      <c r="K182" s="46">
        <f>(VLOOKUP($A182,'The List'!$B1:$AH730,23,FALSE)-AVERAGE('The List'!X2:X730))/STDEV('The List'!X2:X730)</f>
        <v>0.0949772955433501</v>
      </c>
      <c r="L182" s="46">
        <f>(VLOOKUP($A182,'The List'!$B1:$AH730,24,FALSE)-AVERAGE('The List'!Y2:Y730))/STDEV('The List'!Y2:Y730)</f>
        <v>-0.487638208622134</v>
      </c>
      <c r="M182" s="46">
        <f>(VLOOKUP($A182,'The List'!$B1:$AH730,25,FALSE)-AVERAGE('The List'!Z2:Z730))/STDEV('The List'!Z2:Z730)</f>
        <v>-0.595812624620243</v>
      </c>
      <c r="N182" s="46">
        <f>(VLOOKUP($A182,'The List'!$B1:$AH730,26,FALSE)-AVERAGE('The List'!AA2:AA730))/STDEV('The List'!AA2:AA730)</f>
        <v>1.36135332222518</v>
      </c>
      <c r="O182" s="46">
        <f>(VLOOKUP($A182,'The List'!$B1:$AH730,27,FALSE)-AVERAGE('The List'!AB2:AB730))/STDEV('The List'!AB2:AB730)</f>
        <v>-0.253002779645505</v>
      </c>
      <c r="P182" s="46">
        <f>(VLOOKUP($A182,'The List'!$B1:$AH730,28,FALSE)-AVERAGE('The List'!AC2:AC730))/STDEV('The List'!AC2:AC730)</f>
        <v>0.258187919667347</v>
      </c>
      <c r="Q182" s="46">
        <f>(VLOOKUP($A182,'The List'!$B1:$AH730,29,FALSE)-AVERAGE('The List'!AD2:AD730))/STDEV('The List'!AD2:AD730)</f>
        <v>1.13998106696438</v>
      </c>
      <c r="R182" s="46">
        <f>(VLOOKUP($A182,'The List'!$B1:$AH730,30,FALSE)-AVERAGE('The List'!AE2:AE730))/STDEV('The List'!AE2:AE730)</f>
        <v>0.08438227436647409</v>
      </c>
      <c r="S182" s="46">
        <f>(VLOOKUP($A182,'The List'!$B1:$AH730,31,FALSE)-AVERAGE('The List'!AF2:AF730))/STDEV('The List'!AF2:AF730)</f>
        <v>-0.5569063253591</v>
      </c>
      <c r="T182" s="46">
        <f>(VLOOKUP($A182,'The List'!$B1:$AH730,32,FALSE)-AVERAGE('The List'!AG2:AG730))/STDEV('The List'!AG2:AG730)</f>
        <v>-0.600856269042678</v>
      </c>
      <c r="U182" s="46">
        <f>(VLOOKUP($A182,'The List'!$B1:$AH730,33,FALSE)-AVERAGE('The List'!AH2:AH730))/STDEV('The List'!AH2:AH730)</f>
        <v>-1.2363238714826</v>
      </c>
      <c r="V182" s="46"/>
      <c r="W182" s="50"/>
      <c r="X182" s="48"/>
      <c r="Y182" s="48"/>
      <c r="Z182" s="48"/>
      <c r="AA182" s="48"/>
      <c r="AB182" s="48"/>
      <c r="AC182" s="51"/>
      <c r="AD182" s="52"/>
      <c r="AE182" s="46"/>
    </row>
    <row r="183" ht="21.25" customHeight="1">
      <c r="A183" t="s" s="8">
        <v>434</v>
      </c>
      <c r="B183" t="s" s="42">
        <f>VLOOKUP(A183,'Player Data'!A1:B734,2,FALSE)</f>
        <v>119</v>
      </c>
      <c r="C183" s="44">
        <f>((E183)*'Settings'!$C$12)+(F183*'Settings'!$C$2)+(G183*'Settings'!$C$3)+(H183*'Settings'!$C$4)+(I183*'Settings'!$C$5)+(K183*'Settings'!$C$9)+(N183*'Settings'!$C$6)+(J183*'Settings'!$C$8)+(O183*'Settings'!$C$7)+(P183*'Settings'!$C$14)+(Q183*'Settings'!$C$15)+(R183*'Settings'!$C$16)+(S183*'Settings'!$C$17)+(T183*'Settings'!$C$18)+(U183*'Settings'!$C$19)+(L183*'Settings'!$C$10)+('Settings'!$C$11*M183)</f>
        <v>1.8302818310444</v>
      </c>
      <c r="D183" s="48">
        <f>IF('Settings'!$E$12="YES",VLOOKUP(A183,'Player Data'!A1:E734,5,FALSE),82)</f>
        <v>76.795</v>
      </c>
      <c r="E183" s="46">
        <f>(VLOOKUP($A183,'The List'!$B1:$AH730,17,FALSE)-AVERAGE('The List'!R2:R730))/STDEV('The List'!R2:R730)</f>
        <v>0.0398241102524711</v>
      </c>
      <c r="F183" s="46">
        <f>(VLOOKUP($A183,'The List'!$B1:$AH730,18,FALSE)-AVERAGE('The List'!S2:S730))/STDEV('The List'!S2:S730)</f>
        <v>0.483503625142645</v>
      </c>
      <c r="G183" s="46">
        <f>(VLOOKUP($A183,'The List'!$B1:$AH730,19,FALSE)-AVERAGE('The List'!T2:T730))/STDEV('The List'!T2:T730)</f>
        <v>0.369612429522462</v>
      </c>
      <c r="H183" s="46">
        <f>(VLOOKUP($A183,'The List'!$B1:$AH730,20,FALSE)-AVERAGE('The List'!U2:U730))/STDEV('The List'!U2:U730)</f>
        <v>0.447865051176805</v>
      </c>
      <c r="I183" s="46">
        <f>(VLOOKUP($A183,'The List'!$B1:$AH730,21,FALSE)-AVERAGE('The List'!V2:V730))/STDEV('The List'!V2:V730)</f>
        <v>0.484853061336906</v>
      </c>
      <c r="J183" s="46">
        <f>(VLOOKUP($A183,'The List'!$B1:$AH730,22,FALSE)-AVERAGE('The List'!W2:W730))/STDEV('The List'!W2:W730)</f>
        <v>-0.386070785559191</v>
      </c>
      <c r="K183" s="46">
        <f>(VLOOKUP($A183,'The List'!$B1:$AH730,23,FALSE)-AVERAGE('The List'!X2:X730))/STDEV('The List'!X2:X730)</f>
        <v>-0.124170346533906</v>
      </c>
      <c r="L183" s="46">
        <f>(VLOOKUP($A183,'The List'!$B1:$AH730,24,FALSE)-AVERAGE('The List'!Y2:Y730))/STDEV('The List'!Y2:Y730)</f>
        <v>2.40514931697957</v>
      </c>
      <c r="M183" s="46">
        <f>(VLOOKUP($A183,'The List'!$B1:$AH730,25,FALSE)-AVERAGE('The List'!Z2:Z730))/STDEV('The List'!Z2:Z730)</f>
        <v>2.28694095754417</v>
      </c>
      <c r="N183" s="46">
        <f>(VLOOKUP($A183,'The List'!$B1:$AH730,26,FALSE)-AVERAGE('The List'!AA2:AA730))/STDEV('The List'!AA2:AA730)</f>
        <v>-0.412387503889943</v>
      </c>
      <c r="O183" s="46">
        <f>(VLOOKUP($A183,'The List'!$B1:$AH730,27,FALSE)-AVERAGE('The List'!AB2:AB730))/STDEV('The List'!AB2:AB730)</f>
        <v>-1.08672635875801</v>
      </c>
      <c r="P183" s="46">
        <f>(VLOOKUP($A183,'The List'!$B1:$AH730,28,FALSE)-AVERAGE('The List'!AC2:AC730))/STDEV('The List'!AC2:AC730)</f>
        <v>1.02887056546624</v>
      </c>
      <c r="Q183" s="46">
        <f>(VLOOKUP($A183,'The List'!$B1:$AH730,29,FALSE)-AVERAGE('The List'!AD2:AD730))/STDEV('The List'!AD2:AD730)</f>
        <v>0.336039180367698</v>
      </c>
      <c r="R183" s="46">
        <f>(VLOOKUP($A183,'The List'!$B1:$AH730,30,FALSE)-AVERAGE('The List'!AE2:AE730))/STDEV('The List'!AE2:AE730)</f>
        <v>0.4761925603093</v>
      </c>
      <c r="S183" s="46">
        <f>(VLOOKUP($A183,'The List'!$B1:$AH730,31,FALSE)-AVERAGE('The List'!AF2:AF730))/STDEV('The List'!AF2:AF730)</f>
        <v>0.943979203801475</v>
      </c>
      <c r="T183" s="46">
        <f>(VLOOKUP($A183,'The List'!$B1:$AH730,32,FALSE)-AVERAGE('The List'!AG2:AG730))/STDEV('The List'!AG2:AG730)</f>
        <v>1.27055582801354</v>
      </c>
      <c r="U183" s="46">
        <f>(VLOOKUP($A183,'The List'!$B1:$AH730,33,FALSE)-AVERAGE('The List'!AH2:AH730))/STDEV('The List'!AH2:AH730)</f>
        <v>0.830185452609561</v>
      </c>
      <c r="V183" s="46"/>
      <c r="W183" s="50"/>
      <c r="X183" s="48"/>
      <c r="Y183" s="48"/>
      <c r="Z183" s="48"/>
      <c r="AA183" s="48"/>
      <c r="AB183" s="48"/>
      <c r="AC183" s="51"/>
      <c r="AD183" s="52"/>
      <c r="AE183" s="46"/>
    </row>
    <row r="184" ht="21.25" customHeight="1">
      <c r="A184" t="s" s="8">
        <v>265</v>
      </c>
      <c r="B184" t="s" s="42">
        <f>VLOOKUP(A184,'Player Data'!A1:B734,2,FALSE)</f>
        <v>173</v>
      </c>
      <c r="C184" s="44">
        <f>((E184)*'Settings'!$C$12)+(F184*'Settings'!$C$2)+(G184*'Settings'!$C$3)+(H184*'Settings'!$C$4)+(I184*'Settings'!$C$5)+(K184*'Settings'!$C$9)+(N184*'Settings'!$C$6)+(J184*'Settings'!$C$8)+(O184*'Settings'!$C$7)+(P184*'Settings'!$C$14)+(Q184*'Settings'!$C$15)+(R184*'Settings'!$C$16)+(S184*'Settings'!$C$17)+(T184*'Settings'!$C$18)+(U184*'Settings'!$C$19)+(L184*'Settings'!$C$10)+('Settings'!$C$11*M184)</f>
        <v>3.85860893121152</v>
      </c>
      <c r="D184" s="48">
        <f>IF('Settings'!$E$12="YES",VLOOKUP(A184,'Player Data'!A1:E734,5,FALSE),82)</f>
        <v>75.3575</v>
      </c>
      <c r="E184" s="46">
        <f>(VLOOKUP($A184,'The List'!$B1:$AH730,17,FALSE)-AVERAGE('The List'!R2:R730))/STDEV('The List'!R2:R730)</f>
        <v>1.80668511341699</v>
      </c>
      <c r="F184" s="46">
        <f>(VLOOKUP($A184,'The List'!$B1:$AH730,18,FALSE)-AVERAGE('The List'!S2:S730))/STDEV('The List'!S2:S730)</f>
        <v>-0.320722555203675</v>
      </c>
      <c r="G184" s="46">
        <f>(VLOOKUP($A184,'The List'!$B1:$AH730,19,FALSE)-AVERAGE('The List'!T2:T730))/STDEV('The List'!T2:T730)</f>
        <v>0.897011664580971</v>
      </c>
      <c r="H184" s="46">
        <f>(VLOOKUP($A184,'The List'!$B1:$AH730,20,FALSE)-AVERAGE('The List'!U2:U730))/STDEV('The List'!U2:U730)</f>
        <v>0.407060706248868</v>
      </c>
      <c r="I184" s="46">
        <f>(VLOOKUP($A184,'The List'!$B1:$AH730,21,FALSE)-AVERAGE('The List'!V2:V730))/STDEV('The List'!V2:V730)</f>
        <v>0.6764055436612449</v>
      </c>
      <c r="J184" s="46">
        <f>(VLOOKUP($A184,'The List'!$B1:$AH730,22,FALSE)-AVERAGE('The List'!W2:W730))/STDEV('The List'!W2:W730)</f>
        <v>0.15794476812438</v>
      </c>
      <c r="K184" s="46">
        <f>(VLOOKUP($A184,'The List'!$B1:$AH730,23,FALSE)-AVERAGE('The List'!X2:X730))/STDEV('The List'!X2:X730)</f>
        <v>0.930277407565707</v>
      </c>
      <c r="L184" s="46">
        <f>(VLOOKUP($A184,'The List'!$B1:$AH730,24,FALSE)-AVERAGE('The List'!Y2:Y730))/STDEV('The List'!Y2:Y730)</f>
        <v>-0.524958373960987</v>
      </c>
      <c r="M184" s="46">
        <f>(VLOOKUP($A184,'The List'!$B1:$AH730,25,FALSE)-AVERAGE('The List'!Z2:Z730))/STDEV('The List'!Z2:Z730)</f>
        <v>-0.681088569951407</v>
      </c>
      <c r="N184" s="46">
        <f>(VLOOKUP($A184,'The List'!$B1:$AH730,26,FALSE)-AVERAGE('The List'!AA2:AA730))/STDEV('The List'!AA2:AA730)</f>
        <v>1.47563613236995</v>
      </c>
      <c r="O184" s="46">
        <f>(VLOOKUP($A184,'The List'!$B1:$AH730,27,FALSE)-AVERAGE('The List'!AB2:AB730))/STDEV('The List'!AB2:AB730)</f>
        <v>-0.145032072878841</v>
      </c>
      <c r="P184" s="46">
        <f>(VLOOKUP($A184,'The List'!$B1:$AH730,28,FALSE)-AVERAGE('The List'!AC2:AC730))/STDEV('The List'!AC2:AC730)</f>
        <v>0.200000738237326</v>
      </c>
      <c r="Q184" s="46">
        <f>(VLOOKUP($A184,'The List'!$B1:$AH730,29,FALSE)-AVERAGE('The List'!AD2:AD730))/STDEV('The List'!AD2:AD730)</f>
        <v>0.970392132771818</v>
      </c>
      <c r="R184" s="46">
        <f>(VLOOKUP($A184,'The List'!$B1:$AH730,30,FALSE)-AVERAGE('The List'!AE2:AE730))/STDEV('The List'!AE2:AE730)</f>
        <v>-0.230538767470862</v>
      </c>
      <c r="S184" s="46">
        <f>(VLOOKUP($A184,'The List'!$B1:$AH730,31,FALSE)-AVERAGE('The List'!AF2:AF730))/STDEV('The List'!AF2:AF730)</f>
        <v>-0.5569063253591</v>
      </c>
      <c r="T184" s="46">
        <f>(VLOOKUP($A184,'The List'!$B1:$AH730,32,FALSE)-AVERAGE('The List'!AG2:AG730))/STDEV('The List'!AG2:AG730)</f>
        <v>-0.600856269042678</v>
      </c>
      <c r="U184" s="46">
        <f>(VLOOKUP($A184,'The List'!$B1:$AH730,33,FALSE)-AVERAGE('The List'!AH2:AH730))/STDEV('The List'!AH2:AH730)</f>
        <v>-1.2363238714826</v>
      </c>
      <c r="V184" s="46"/>
      <c r="W184" s="48"/>
      <c r="X184" s="48"/>
      <c r="Y184" s="48"/>
      <c r="Z184" s="48"/>
      <c r="AA184" s="48"/>
      <c r="AB184" s="48"/>
      <c r="AC184" s="51"/>
      <c r="AD184" s="52"/>
      <c r="AE184" s="46"/>
    </row>
    <row r="185" ht="21.25" customHeight="1">
      <c r="A185" t="s" s="8">
        <v>378</v>
      </c>
      <c r="B185" t="s" s="42">
        <f>VLOOKUP(A185,'Player Data'!A1:B734,2,FALSE)</f>
        <v>189</v>
      </c>
      <c r="C185" s="44">
        <f>((E185)*'Settings'!$C$12)+(F185*'Settings'!$C$2)+(G185*'Settings'!$C$3)+(H185*'Settings'!$C$4)+(I185*'Settings'!$C$5)+(K185*'Settings'!$C$9)+(N185*'Settings'!$C$6)+(J185*'Settings'!$C$8)+(O185*'Settings'!$C$7)+(P185*'Settings'!$C$14)+(Q185*'Settings'!$C$15)+(R185*'Settings'!$C$16)+(S185*'Settings'!$C$17)+(T185*'Settings'!$C$18)+(U185*'Settings'!$C$19)+(L185*'Settings'!$C$10)+('Settings'!$C$11*M185)</f>
        <v>-0.076165716071106</v>
      </c>
      <c r="D185" s="48">
        <f>IF('Settings'!$E$12="YES",VLOOKUP(A185,'Player Data'!A1:E734,5,FALSE),82)</f>
        <v>80.785</v>
      </c>
      <c r="E185" s="46">
        <f>(VLOOKUP($A185,'The List'!$B1:$AH730,17,FALSE)-AVERAGE('The List'!R2:R730))/STDEV('The List'!R2:R730)</f>
        <v>-0.142127117820408</v>
      </c>
      <c r="F185" s="46">
        <f>(VLOOKUP($A185,'The List'!$B1:$AH730,18,FALSE)-AVERAGE('The List'!S2:S730))/STDEV('The List'!S2:S730)</f>
        <v>0.690721952485887</v>
      </c>
      <c r="G185" s="46">
        <f>(VLOOKUP($A185,'The List'!$B1:$AH730,19,FALSE)-AVERAGE('The List'!T2:T730))/STDEV('The List'!T2:T730)</f>
        <v>0.552095721297184</v>
      </c>
      <c r="H185" s="46">
        <f>(VLOOKUP($A185,'The List'!$B1:$AH730,20,FALSE)-AVERAGE('The List'!U2:U730))/STDEV('The List'!U2:U730)</f>
        <v>0.654652096903817</v>
      </c>
      <c r="I185" s="46">
        <f>(VLOOKUP($A185,'The List'!$B1:$AH730,21,FALSE)-AVERAGE('The List'!V2:V730))/STDEV('The List'!V2:V730)</f>
        <v>0.246957794197</v>
      </c>
      <c r="J185" s="46">
        <f>(VLOOKUP($A185,'The List'!$B1:$AH730,22,FALSE)-AVERAGE('The List'!W2:W730))/STDEV('The List'!W2:W730)</f>
        <v>0.580290500805312</v>
      </c>
      <c r="K185" s="46">
        <f>(VLOOKUP($A185,'The List'!$B1:$AH730,23,FALSE)-AVERAGE('The List'!X2:X730))/STDEV('The List'!X2:X730)</f>
        <v>0.714305450827822</v>
      </c>
      <c r="L185" s="46">
        <f>(VLOOKUP($A185,'The List'!$B1:$AH730,24,FALSE)-AVERAGE('The List'!Y2:Y730))/STDEV('The List'!Y2:Y730)</f>
        <v>-0.534685830084315</v>
      </c>
      <c r="M185" s="46">
        <f>(VLOOKUP($A185,'The List'!$B1:$AH730,25,FALSE)-AVERAGE('The List'!Z2:Z730))/STDEV('The List'!Z2:Z730)</f>
        <v>-0.712735322092498</v>
      </c>
      <c r="N185" s="46">
        <f>(VLOOKUP($A185,'The List'!$B1:$AH730,26,FALSE)-AVERAGE('The List'!AA2:AA730))/STDEV('The List'!AA2:AA730)</f>
        <v>-0.663655949809119</v>
      </c>
      <c r="O185" s="46">
        <f>(VLOOKUP($A185,'The List'!$B1:$AH730,27,FALSE)-AVERAGE('The List'!AB2:AB730))/STDEV('The List'!AB2:AB730)</f>
        <v>-1.34868000879231</v>
      </c>
      <c r="P185" s="46">
        <f>(VLOOKUP($A185,'The List'!$B1:$AH730,28,FALSE)-AVERAGE('The List'!AC2:AC730))/STDEV('The List'!AC2:AC730)</f>
        <v>-1.61659068506988</v>
      </c>
      <c r="Q185" s="46">
        <f>(VLOOKUP($A185,'The List'!$B1:$AH730,29,FALSE)-AVERAGE('The List'!AD2:AD730))/STDEV('The List'!AD2:AD730)</f>
        <v>-0.697156365846081</v>
      </c>
      <c r="R185" s="46">
        <f>(VLOOKUP($A185,'The List'!$B1:$AH730,30,FALSE)-AVERAGE('The List'!AE2:AE730))/STDEV('The List'!AE2:AE730)</f>
        <v>0.200508085534906</v>
      </c>
      <c r="S185" s="46">
        <f>(VLOOKUP($A185,'The List'!$B1:$AH730,31,FALSE)-AVERAGE('The List'!AF2:AF730))/STDEV('The List'!AF2:AF730)</f>
        <v>-0.350798030032817</v>
      </c>
      <c r="T185" s="46">
        <f>(VLOOKUP($A185,'The List'!$B1:$AH730,32,FALSE)-AVERAGE('The List'!AG2:AG730))/STDEV('The List'!AG2:AG730)</f>
        <v>-0.0231778995863632</v>
      </c>
      <c r="U185" s="46">
        <f>(VLOOKUP($A185,'The List'!$B1:$AH730,33,FALSE)-AVERAGE('The List'!AH2:AH730))/STDEV('The List'!AH2:AH730)</f>
        <v>-0.00397381998337848</v>
      </c>
      <c r="V185" s="46"/>
      <c r="W185" s="48"/>
      <c r="X185" s="46"/>
      <c r="Y185" s="46"/>
      <c r="Z185" s="46"/>
      <c r="AA185" s="46"/>
      <c r="AB185" s="46"/>
      <c r="AC185" s="46"/>
      <c r="AD185" s="46"/>
      <c r="AE185" s="46"/>
    </row>
    <row r="186" ht="21.25" customHeight="1">
      <c r="A186" t="s" s="8">
        <v>270</v>
      </c>
      <c r="B186" t="s" s="42">
        <f>VLOOKUP(A186,'Player Data'!A1:B734,2,FALSE)</f>
        <v>234</v>
      </c>
      <c r="C186" s="44">
        <f>((E186)*'Settings'!$C$12)+(F186*'Settings'!$C$2)+(G186*'Settings'!$C$3)+(H186*'Settings'!$C$4)+(I186*'Settings'!$C$5)+(K186*'Settings'!$C$9)+(N186*'Settings'!$C$6)+(J186*'Settings'!$C$8)+(O186*'Settings'!$C$7)+(P186*'Settings'!$C$14)+(Q186*'Settings'!$C$15)+(R186*'Settings'!$C$16)+(S186*'Settings'!$C$17)+(T186*'Settings'!$C$18)+(U186*'Settings'!$C$19)+(L186*'Settings'!$C$10)+('Settings'!$C$11*M186)</f>
        <v>1.17030282178725</v>
      </c>
      <c r="D186" s="48">
        <f>IF('Settings'!$E$12="YES",VLOOKUP(A186,'Player Data'!A1:E734,5,FALSE),82)</f>
        <v>81.205</v>
      </c>
      <c r="E186" s="46">
        <f>(VLOOKUP($A186,'The List'!$B1:$AH730,17,FALSE)-AVERAGE('The List'!R2:R730))/STDEV('The List'!R2:R730)</f>
        <v>2.16591626904499</v>
      </c>
      <c r="F186" s="46">
        <f>(VLOOKUP($A186,'The List'!$B1:$AH730,18,FALSE)-AVERAGE('The List'!S2:S730))/STDEV('The List'!S2:S730)</f>
        <v>-0.286879074383285</v>
      </c>
      <c r="G186" s="46">
        <f>(VLOOKUP($A186,'The List'!$B1:$AH730,19,FALSE)-AVERAGE('The List'!T2:T730))/STDEV('The List'!T2:T730)</f>
        <v>1.115195246991</v>
      </c>
      <c r="H186" s="46">
        <f>(VLOOKUP($A186,'The List'!$B1:$AH730,20,FALSE)-AVERAGE('The List'!U2:U730))/STDEV('The List'!U2:U730)</f>
        <v>0.556967479597801</v>
      </c>
      <c r="I186" s="46">
        <f>(VLOOKUP($A186,'The List'!$B1:$AH730,21,FALSE)-AVERAGE('The List'!V2:V730))/STDEV('The List'!V2:V730)</f>
        <v>0.142200675659892</v>
      </c>
      <c r="J186" s="46">
        <f>(VLOOKUP($A186,'The List'!$B1:$AH730,22,FALSE)-AVERAGE('The List'!W2:W730))/STDEV('The List'!W2:W730)</f>
        <v>0.59347127025872</v>
      </c>
      <c r="K186" s="46">
        <f>(VLOOKUP($A186,'The List'!$B1:$AH730,23,FALSE)-AVERAGE('The List'!X2:X730))/STDEV('The List'!X2:X730)</f>
        <v>1.09345118781728</v>
      </c>
      <c r="L186" s="46">
        <f>(VLOOKUP($A186,'The List'!$B1:$AH730,24,FALSE)-AVERAGE('The List'!Y2:Y730))/STDEV('The List'!Y2:Y730)</f>
        <v>-0.497328116646452</v>
      </c>
      <c r="M186" s="46">
        <f>(VLOOKUP($A186,'The List'!$B1:$AH730,25,FALSE)-AVERAGE('The List'!Z2:Z730))/STDEV('The List'!Z2:Z730)</f>
        <v>-0.6133340740616831</v>
      </c>
      <c r="N186" s="46">
        <f>(VLOOKUP($A186,'The List'!$B1:$AH730,26,FALSE)-AVERAGE('The List'!AA2:AA730))/STDEV('The List'!AA2:AA730)</f>
        <v>1.29908345140969</v>
      </c>
      <c r="O186" s="46">
        <f>(VLOOKUP($A186,'The List'!$B1:$AH730,27,FALSE)-AVERAGE('The List'!AB2:AB730))/STDEV('The List'!AB2:AB730)</f>
        <v>-1.11101237161273</v>
      </c>
      <c r="P186" s="46">
        <f>(VLOOKUP($A186,'The List'!$B1:$AH730,28,FALSE)-AVERAGE('The List'!AC2:AC730))/STDEV('The List'!AC2:AC730)</f>
        <v>-2.19274866570733</v>
      </c>
      <c r="Q186" s="46">
        <f>(VLOOKUP($A186,'The List'!$B1:$AH730,29,FALSE)-AVERAGE('The List'!AD2:AD730))/STDEV('The List'!AD2:AD730)</f>
        <v>-0.5428162449128719</v>
      </c>
      <c r="R186" s="46">
        <f>(VLOOKUP($A186,'The List'!$B1:$AH730,30,FALSE)-AVERAGE('The List'!AE2:AE730))/STDEV('The List'!AE2:AE730)</f>
        <v>-0.555283593593916</v>
      </c>
      <c r="S186" s="46">
        <f>(VLOOKUP($A186,'The List'!$B1:$AH730,31,FALSE)-AVERAGE('The List'!AF2:AF730))/STDEV('The List'!AF2:AF730)</f>
        <v>-0.5569063253591</v>
      </c>
      <c r="T186" s="46">
        <f>(VLOOKUP($A186,'The List'!$B1:$AH730,32,FALSE)-AVERAGE('The List'!AG2:AG730))/STDEV('The List'!AG2:AG730)</f>
        <v>-0.600856269042678</v>
      </c>
      <c r="U186" s="46">
        <f>(VLOOKUP($A186,'The List'!$B1:$AH730,33,FALSE)-AVERAGE('The List'!AH2:AH730))/STDEV('The List'!AH2:AH730)</f>
        <v>-1.2363238714826</v>
      </c>
      <c r="V186" s="46"/>
      <c r="W186" s="48"/>
      <c r="X186" s="46"/>
      <c r="Y186" s="46"/>
      <c r="Z186" s="46"/>
      <c r="AA186" s="46"/>
      <c r="AB186" s="46"/>
      <c r="AC186" s="46"/>
      <c r="AD186" s="46"/>
      <c r="AE186" s="46"/>
    </row>
    <row r="187" ht="21.25" customHeight="1">
      <c r="A187" t="s" s="8">
        <v>388</v>
      </c>
      <c r="B187" t="s" s="42">
        <f>VLOOKUP(A187,'Player Data'!A1:B734,2,FALSE)</f>
        <v>136</v>
      </c>
      <c r="C187" s="44">
        <f>((E187)*'Settings'!$C$12)+(F187*'Settings'!$C$2)+(G187*'Settings'!$C$3)+(H187*'Settings'!$C$4)+(I187*'Settings'!$C$5)+(K187*'Settings'!$C$9)+(N187*'Settings'!$C$6)+(J187*'Settings'!$C$8)+(O187*'Settings'!$C$7)+(P187*'Settings'!$C$14)+(Q187*'Settings'!$C$15)+(R187*'Settings'!$C$16)+(S187*'Settings'!$C$17)+(T187*'Settings'!$C$18)+(U187*'Settings'!$C$19)+(L187*'Settings'!$C$10)+('Settings'!$C$11*M187)</f>
        <v>2.78655981619413</v>
      </c>
      <c r="D187" s="48">
        <f>IF('Settings'!$E$12="YES",VLOOKUP(A187,'Player Data'!A1:E734,5,FALSE),82)</f>
        <v>80.83</v>
      </c>
      <c r="E187" s="46">
        <f>(VLOOKUP($A187,'The List'!$B1:$AH730,17,FALSE)-AVERAGE('The List'!R2:R730))/STDEV('The List'!R2:R730)</f>
        <v>-0.0518639447845713</v>
      </c>
      <c r="F187" s="46">
        <f>(VLOOKUP($A187,'The List'!$B1:$AH730,18,FALSE)-AVERAGE('The List'!S2:S730))/STDEV('The List'!S2:S730)</f>
        <v>1.31884674475252</v>
      </c>
      <c r="G187" s="46">
        <f>(VLOOKUP($A187,'The List'!$B1:$AH730,19,FALSE)-AVERAGE('The List'!T2:T730))/STDEV('The List'!T2:T730)</f>
        <v>0.0678414595331383</v>
      </c>
      <c r="H187" s="46">
        <f>(VLOOKUP($A187,'The List'!$B1:$AH730,20,FALSE)-AVERAGE('The List'!U2:U730))/STDEV('The List'!U2:U730)</f>
        <v>0.641925087371475</v>
      </c>
      <c r="I187" s="46">
        <f>(VLOOKUP($A187,'The List'!$B1:$AH730,21,FALSE)-AVERAGE('The List'!V2:V730))/STDEV('The List'!V2:V730)</f>
        <v>0.626170528170483</v>
      </c>
      <c r="J187" s="46">
        <f>(VLOOKUP($A187,'The List'!$B1:$AH730,22,FALSE)-AVERAGE('The List'!W2:W730))/STDEV('The List'!W2:W730)</f>
        <v>0.324373678132914</v>
      </c>
      <c r="K187" s="46">
        <f>(VLOOKUP($A187,'The List'!$B1:$AH730,23,FALSE)-AVERAGE('The List'!X2:X730))/STDEV('The List'!X2:X730)</f>
        <v>0.159148956284128</v>
      </c>
      <c r="L187" s="46">
        <f>(VLOOKUP($A187,'The List'!$B1:$AH730,24,FALSE)-AVERAGE('The List'!Y2:Y730))/STDEV('The List'!Y2:Y730)</f>
        <v>-0.224082826808203</v>
      </c>
      <c r="M187" s="46">
        <f>(VLOOKUP($A187,'The List'!$B1:$AH730,25,FALSE)-AVERAGE('The List'!Z2:Z730))/STDEV('The List'!Z2:Z730)</f>
        <v>-0.36089095476018</v>
      </c>
      <c r="N187" s="46">
        <f>(VLOOKUP($A187,'The List'!$B1:$AH730,26,FALSE)-AVERAGE('The List'!AA2:AA730))/STDEV('The List'!AA2:AA730)</f>
        <v>-0.662964699828725</v>
      </c>
      <c r="O187" s="46">
        <f>(VLOOKUP($A187,'The List'!$B1:$AH730,27,FALSE)-AVERAGE('The List'!AB2:AB730))/STDEV('The List'!AB2:AB730)</f>
        <v>-1.26621370850242</v>
      </c>
      <c r="P187" s="46">
        <f>(VLOOKUP($A187,'The List'!$B1:$AH730,28,FALSE)-AVERAGE('The List'!AC2:AC730))/STDEV('The List'!AC2:AC730)</f>
        <v>1.27751682728259</v>
      </c>
      <c r="Q187" s="46">
        <f>(VLOOKUP($A187,'The List'!$B1:$AH730,29,FALSE)-AVERAGE('The List'!AD2:AD730))/STDEV('The List'!AD2:AD730)</f>
        <v>-0.467644231078238</v>
      </c>
      <c r="R187" s="46">
        <f>(VLOOKUP($A187,'The List'!$B1:$AH730,30,FALSE)-AVERAGE('The List'!AE2:AE730))/STDEV('The List'!AE2:AE730)</f>
        <v>1.53734487083653</v>
      </c>
      <c r="S187" s="46">
        <f>(VLOOKUP($A187,'The List'!$B1:$AH730,31,FALSE)-AVERAGE('The List'!AF2:AF730))/STDEV('The List'!AF2:AF730)</f>
        <v>0.184896039515363</v>
      </c>
      <c r="T187" s="46">
        <f>(VLOOKUP($A187,'The List'!$B1:$AH730,32,FALSE)-AVERAGE('The List'!AG2:AG730))/STDEV('The List'!AG2:AG730)</f>
        <v>0.421485142149191</v>
      </c>
      <c r="U187" s="46">
        <f>(VLOOKUP($A187,'The List'!$B1:$AH730,33,FALSE)-AVERAGE('The List'!AH2:AH730))/STDEV('The List'!AH2:AH730)</f>
        <v>0.718512355996739</v>
      </c>
      <c r="V187" s="46"/>
      <c r="W187" s="50"/>
      <c r="X187" s="48"/>
      <c r="Y187" s="48"/>
      <c r="Z187" s="48"/>
      <c r="AA187" s="48"/>
      <c r="AB187" s="48"/>
      <c r="AC187" s="51"/>
      <c r="AD187" s="52"/>
      <c r="AE187" s="46"/>
    </row>
    <row r="188" ht="21.25" customHeight="1">
      <c r="A188" t="s" s="8">
        <v>447</v>
      </c>
      <c r="B188" t="s" s="42">
        <f>VLOOKUP(A188,'Player Data'!A1:B734,2,FALSE)</f>
        <v>131</v>
      </c>
      <c r="C188" s="44">
        <f>((E188)*'Settings'!$C$12)+(F188*'Settings'!$C$2)+(G188*'Settings'!$C$3)+(H188*'Settings'!$C$4)+(I188*'Settings'!$C$5)+(K188*'Settings'!$C$9)+(N188*'Settings'!$C$6)+(J188*'Settings'!$C$8)+(O188*'Settings'!$C$7)+(P188*'Settings'!$C$14)+(Q188*'Settings'!$C$15)+(R188*'Settings'!$C$16)+(S188*'Settings'!$C$17)+(T188*'Settings'!$C$18)+(U188*'Settings'!$C$19)+(L188*'Settings'!$C$10)+('Settings'!$C$11*M188)</f>
        <v>0.8992070465470891</v>
      </c>
      <c r="D188" s="48">
        <f>IF('Settings'!$E$12="YES",VLOOKUP(A188,'Player Data'!A1:E734,5,FALSE),82)</f>
        <v>70.1697321428571</v>
      </c>
      <c r="E188" s="46">
        <f>(VLOOKUP($A188,'The List'!$B1:$AH730,17,FALSE)-AVERAGE('The List'!R2:R730))/STDEV('The List'!R2:R730)</f>
        <v>-0.00354094483587654</v>
      </c>
      <c r="F188" s="46">
        <f>(VLOOKUP($A188,'The List'!$B1:$AH730,18,FALSE)-AVERAGE('The List'!S2:S730))/STDEV('The List'!S2:S730)</f>
        <v>0.424426823061346</v>
      </c>
      <c r="G188" s="46">
        <f>(VLOOKUP($A188,'The List'!$B1:$AH730,19,FALSE)-AVERAGE('The List'!T2:T730))/STDEV('The List'!T2:T730)</f>
        <v>0.234700710871757</v>
      </c>
      <c r="H188" s="46">
        <f>(VLOOKUP($A188,'The List'!$B1:$AH730,20,FALSE)-AVERAGE('The List'!U2:U730))/STDEV('The List'!U2:U730)</f>
        <v>0.33781262009131</v>
      </c>
      <c r="I188" s="46">
        <f>(VLOOKUP($A188,'The List'!$B1:$AH730,21,FALSE)-AVERAGE('The List'!V2:V730))/STDEV('The List'!V2:V730)</f>
        <v>0.205565835909354</v>
      </c>
      <c r="J188" s="46">
        <f>(VLOOKUP($A188,'The List'!$B1:$AH730,22,FALSE)-AVERAGE('The List'!W2:W730))/STDEV('The List'!W2:W730)</f>
        <v>1.33392080395797</v>
      </c>
      <c r="K188" s="46">
        <f>(VLOOKUP($A188,'The List'!$B1:$AH730,23,FALSE)-AVERAGE('The List'!X2:X730))/STDEV('The List'!X2:X730)</f>
        <v>0.523594489184004</v>
      </c>
      <c r="L188" s="46">
        <f>(VLOOKUP($A188,'The List'!$B1:$AH730,24,FALSE)-AVERAGE('The List'!Y2:Y730))/STDEV('The List'!Y2:Y730)</f>
        <v>-0.438040834871805</v>
      </c>
      <c r="M188" s="46">
        <f>(VLOOKUP($A188,'The List'!$B1:$AH730,25,FALSE)-AVERAGE('The List'!Z2:Z730))/STDEV('The List'!Z2:Z730)</f>
        <v>-0.6048875954949799</v>
      </c>
      <c r="N188" s="46">
        <f>(VLOOKUP($A188,'The List'!$B1:$AH730,26,FALSE)-AVERAGE('The List'!AA2:AA730))/STDEV('The List'!AA2:AA730)</f>
        <v>-0.657683264228182</v>
      </c>
      <c r="O188" s="46">
        <f>(VLOOKUP($A188,'The List'!$B1:$AH730,27,FALSE)-AVERAGE('The List'!AB2:AB730))/STDEV('The List'!AB2:AB730)</f>
        <v>-0.479524043995392</v>
      </c>
      <c r="P188" s="46">
        <f>(VLOOKUP($A188,'The List'!$B1:$AH730,28,FALSE)-AVERAGE('The List'!AC2:AC730))/STDEV('The List'!AC2:AC730)</f>
        <v>0.16860245174881</v>
      </c>
      <c r="Q188" s="46">
        <f>(VLOOKUP($A188,'The List'!$B1:$AH730,29,FALSE)-AVERAGE('The List'!AD2:AD730))/STDEV('The List'!AD2:AD730)</f>
        <v>-0.551378122284608</v>
      </c>
      <c r="R188" s="46">
        <f>(VLOOKUP($A188,'The List'!$B1:$AH730,30,FALSE)-AVERAGE('The List'!AE2:AE730))/STDEV('The List'!AE2:AE730)</f>
        <v>0.44985371673579</v>
      </c>
      <c r="S188" s="46">
        <f>(VLOOKUP($A188,'The List'!$B1:$AH730,31,FALSE)-AVERAGE('The List'!AF2:AF730))/STDEV('The List'!AF2:AF730)</f>
        <v>1.29251192949965</v>
      </c>
      <c r="T188" s="46">
        <f>(VLOOKUP($A188,'The List'!$B1:$AH730,32,FALSE)-AVERAGE('The List'!AG2:AG730))/STDEV('The List'!AG2:AG730)</f>
        <v>1.53250727759278</v>
      </c>
      <c r="U188" s="46">
        <f>(VLOOKUP($A188,'The List'!$B1:$AH730,33,FALSE)-AVERAGE('The List'!AH2:AH730))/STDEV('The List'!AH2:AH730)</f>
        <v>0.917650641148072</v>
      </c>
      <c r="V188" s="46"/>
      <c r="W188" s="50"/>
      <c r="X188" s="48"/>
      <c r="Y188" s="48"/>
      <c r="Z188" s="48"/>
      <c r="AA188" s="48"/>
      <c r="AB188" s="48"/>
      <c r="AC188" s="51"/>
      <c r="AD188" s="52"/>
      <c r="AE188" s="46"/>
    </row>
    <row r="189" ht="21.25" customHeight="1">
      <c r="A189" t="s" s="8">
        <v>405</v>
      </c>
      <c r="B189" t="s" s="42">
        <f>VLOOKUP(A189,'Player Data'!A1:B734,2,FALSE)</f>
        <v>136</v>
      </c>
      <c r="C189" s="44">
        <f>((E189)*'Settings'!$C$12)+(F189*'Settings'!$C$2)+(G189*'Settings'!$C$3)+(H189*'Settings'!$C$4)+(I189*'Settings'!$C$5)+(K189*'Settings'!$C$9)+(N189*'Settings'!$C$6)+(J189*'Settings'!$C$8)+(O189*'Settings'!$C$7)+(P189*'Settings'!$C$14)+(Q189*'Settings'!$C$15)+(R189*'Settings'!$C$16)+(S189*'Settings'!$C$17)+(T189*'Settings'!$C$18)+(U189*'Settings'!$C$19)+(L189*'Settings'!$C$10)+('Settings'!$C$11*M189)</f>
        <v>1.49513379496146</v>
      </c>
      <c r="D189" s="48">
        <f>IF('Settings'!$E$12="YES",VLOOKUP(A189,'Player Data'!A1:E734,5,FALSE),82)</f>
        <v>73.0667857142857</v>
      </c>
      <c r="E189" s="46">
        <f>(VLOOKUP($A189,'The List'!$B1:$AH730,17,FALSE)-AVERAGE('The List'!R2:R730))/STDEV('The List'!R2:R730)</f>
        <v>0.09108949309734279</v>
      </c>
      <c r="F189" s="46">
        <f>(VLOOKUP($A189,'The List'!$B1:$AH730,18,FALSE)-AVERAGE('The List'!S2:S730))/STDEV('The List'!S2:S730)</f>
        <v>0.571470982250423</v>
      </c>
      <c r="G189" s="46">
        <f>(VLOOKUP($A189,'The List'!$B1:$AH730,19,FALSE)-AVERAGE('The List'!T2:T730))/STDEV('The List'!T2:T730)</f>
        <v>0.0944679769150949</v>
      </c>
      <c r="H189" s="46">
        <f>(VLOOKUP($A189,'The List'!$B1:$AH730,20,FALSE)-AVERAGE('The List'!U2:U730))/STDEV('The List'!U2:U730)</f>
        <v>0.318269024285363</v>
      </c>
      <c r="I189" s="46">
        <f>(VLOOKUP($A189,'The List'!$B1:$AH730,21,FALSE)-AVERAGE('The List'!V2:V730))/STDEV('The List'!V2:V730)</f>
        <v>0.750103620786849</v>
      </c>
      <c r="J189" s="46">
        <f>(VLOOKUP($A189,'The List'!$B1:$AH730,22,FALSE)-AVERAGE('The List'!W2:W730))/STDEV('The List'!W2:W730)</f>
        <v>0.46284665407292</v>
      </c>
      <c r="K189" s="46">
        <f>(VLOOKUP($A189,'The List'!$B1:$AH730,23,FALSE)-AVERAGE('The List'!X2:X730))/STDEV('The List'!X2:X730)</f>
        <v>0.161634602202802</v>
      </c>
      <c r="L189" s="46">
        <f>(VLOOKUP($A189,'The List'!$B1:$AH730,24,FALSE)-AVERAGE('The List'!Y2:Y730))/STDEV('The List'!Y2:Y730)</f>
        <v>1.06964455809457</v>
      </c>
      <c r="M189" s="46">
        <f>(VLOOKUP($A189,'The List'!$B1:$AH730,25,FALSE)-AVERAGE('The List'!Z2:Z730))/STDEV('The List'!Z2:Z730)</f>
        <v>1.25218750139876</v>
      </c>
      <c r="N189" s="46">
        <f>(VLOOKUP($A189,'The List'!$B1:$AH730,26,FALSE)-AVERAGE('The List'!AA2:AA730))/STDEV('The List'!AA2:AA730)</f>
        <v>-0.838854686213696</v>
      </c>
      <c r="O189" s="46">
        <f>(VLOOKUP($A189,'The List'!$B1:$AH730,27,FALSE)-AVERAGE('The List'!AB2:AB730))/STDEV('The List'!AB2:AB730)</f>
        <v>-0.227132197519442</v>
      </c>
      <c r="P189" s="46">
        <f>(VLOOKUP($A189,'The List'!$B1:$AH730,28,FALSE)-AVERAGE('The List'!AC2:AC730))/STDEV('The List'!AC2:AC730)</f>
        <v>0.7563112990199879</v>
      </c>
      <c r="Q189" s="46">
        <f>(VLOOKUP($A189,'The List'!$B1:$AH730,29,FALSE)-AVERAGE('The List'!AD2:AD730))/STDEV('The List'!AD2:AD730)</f>
        <v>-0.408916993078872</v>
      </c>
      <c r="R189" s="46">
        <f>(VLOOKUP($A189,'The List'!$B1:$AH730,30,FALSE)-AVERAGE('The List'!AE2:AE730))/STDEV('The List'!AE2:AE730)</f>
        <v>0.759257551754396</v>
      </c>
      <c r="S189" s="46">
        <f>(VLOOKUP($A189,'The List'!$B1:$AH730,31,FALSE)-AVERAGE('The List'!AF2:AF730))/STDEV('The List'!AF2:AF730)</f>
        <v>1.68135314815079</v>
      </c>
      <c r="T189" s="46">
        <f>(VLOOKUP($A189,'The List'!$B1:$AH730,32,FALSE)-AVERAGE('The List'!AG2:AG730))/STDEV('The List'!AG2:AG730)</f>
        <v>1.29857439798666</v>
      </c>
      <c r="U189" s="46">
        <f>(VLOOKUP($A189,'The List'!$B1:$AH730,33,FALSE)-AVERAGE('The List'!AH2:AH730))/STDEV('The List'!AH2:AH730)</f>
        <v>1.26324982182745</v>
      </c>
      <c r="V189" s="46"/>
      <c r="W189" s="50"/>
      <c r="X189" s="48"/>
      <c r="Y189" s="48"/>
      <c r="Z189" s="48"/>
      <c r="AA189" s="48"/>
      <c r="AB189" s="48"/>
      <c r="AC189" s="51"/>
      <c r="AD189" s="52"/>
      <c r="AE189" s="46"/>
    </row>
    <row r="190" ht="21.25" customHeight="1">
      <c r="A190" t="s" s="8">
        <v>446</v>
      </c>
      <c r="B190" t="s" s="42">
        <f>VLOOKUP(A190,'Player Data'!A1:B734,2,FALSE)</f>
        <v>236</v>
      </c>
      <c r="C190" s="44">
        <f>((E190)*'Settings'!$C$12)+(F190*'Settings'!$C$2)+(G190*'Settings'!$C$3)+(H190*'Settings'!$C$4)+(I190*'Settings'!$C$5)+(K190*'Settings'!$C$9)+(N190*'Settings'!$C$6)+(J190*'Settings'!$C$8)+(O190*'Settings'!$C$7)+(P190*'Settings'!$C$14)+(Q190*'Settings'!$C$15)+(R190*'Settings'!$C$16)+(S190*'Settings'!$C$17)+(T190*'Settings'!$C$18)+(U190*'Settings'!$C$19)+(L190*'Settings'!$C$10)+('Settings'!$C$11*M190)</f>
        <v>-0.83059271465519</v>
      </c>
      <c r="D190" s="48">
        <f>IF('Settings'!$E$12="YES",VLOOKUP(A190,'Player Data'!A1:E734,5,FALSE),82)</f>
        <v>66.2375</v>
      </c>
      <c r="E190" s="46">
        <f>(VLOOKUP($A190,'The List'!$B1:$AH730,17,FALSE)-AVERAGE('The List'!R2:R730))/STDEV('The List'!R2:R730)</f>
        <v>-0.0531847913672468</v>
      </c>
      <c r="F190" s="46">
        <f>(VLOOKUP($A190,'The List'!$B1:$AH730,18,FALSE)-AVERAGE('The List'!S2:S730))/STDEV('The List'!S2:S730)</f>
        <v>0.224839702089034</v>
      </c>
      <c r="G190" s="46">
        <f>(VLOOKUP($A190,'The List'!$B1:$AH730,19,FALSE)-AVERAGE('The List'!T2:T730))/STDEV('The List'!T2:T730)</f>
        <v>0.0581402538768098</v>
      </c>
      <c r="H190" s="46">
        <f>(VLOOKUP($A190,'The List'!$B1:$AH730,20,FALSE)-AVERAGE('The List'!U2:U730))/STDEV('The List'!U2:U730)</f>
        <v>0.138149276106144</v>
      </c>
      <c r="I190" s="46">
        <f>(VLOOKUP($A190,'The List'!$B1:$AH730,21,FALSE)-AVERAGE('The List'!V2:V730))/STDEV('The List'!V2:V730)</f>
        <v>0.543364862805408</v>
      </c>
      <c r="J190" s="46">
        <f>(VLOOKUP($A190,'The List'!$B1:$AH730,22,FALSE)-AVERAGE('The List'!W2:W730))/STDEV('The List'!W2:W730)</f>
        <v>0.0417380154501865</v>
      </c>
      <c r="K190" s="46">
        <f>(VLOOKUP($A190,'The List'!$B1:$AH730,23,FALSE)-AVERAGE('The List'!X2:X730))/STDEV('The List'!X2:X730)</f>
        <v>0.0874088935516793</v>
      </c>
      <c r="L190" s="46">
        <f>(VLOOKUP($A190,'The List'!$B1:$AH730,24,FALSE)-AVERAGE('The List'!Y2:Y730))/STDEV('The List'!Y2:Y730)</f>
        <v>-0.428714829721098</v>
      </c>
      <c r="M190" s="46">
        <f>(VLOOKUP($A190,'The List'!$B1:$AH730,25,FALSE)-AVERAGE('The List'!Z2:Z730))/STDEV('The List'!Z2:Z730)</f>
        <v>-0.645608701785734</v>
      </c>
      <c r="N190" s="46">
        <f>(VLOOKUP($A190,'The List'!$B1:$AH730,26,FALSE)-AVERAGE('The List'!AA2:AA730))/STDEV('The List'!AA2:AA730)</f>
        <v>-0.6818929928784609</v>
      </c>
      <c r="O190" s="46">
        <f>(VLOOKUP($A190,'The List'!$B1:$AH730,27,FALSE)-AVERAGE('The List'!AB2:AB730))/STDEV('The List'!AB2:AB730)</f>
        <v>-1.16804032204927</v>
      </c>
      <c r="P190" s="46">
        <f>(VLOOKUP($A190,'The List'!$B1:$AH730,28,FALSE)-AVERAGE('The List'!AC2:AC730))/STDEV('The List'!AC2:AC730)</f>
        <v>-1.06245343409966</v>
      </c>
      <c r="Q190" s="46">
        <f>(VLOOKUP($A190,'The List'!$B1:$AH730,29,FALSE)-AVERAGE('The List'!AD2:AD730))/STDEV('The List'!AD2:AD730)</f>
        <v>-2.20349239295021</v>
      </c>
      <c r="R190" s="46">
        <f>(VLOOKUP($A190,'The List'!$B1:$AH730,30,FALSE)-AVERAGE('The List'!AE2:AE730))/STDEV('The List'!AE2:AE730)</f>
        <v>-0.0215636916918774</v>
      </c>
      <c r="S190" s="46">
        <f>(VLOOKUP($A190,'The List'!$B1:$AH730,31,FALSE)-AVERAGE('The List'!AF2:AF730))/STDEV('The List'!AF2:AF730)</f>
        <v>-0.528456404890296</v>
      </c>
      <c r="T190" s="46">
        <f>(VLOOKUP($A190,'The List'!$B1:$AH730,32,FALSE)-AVERAGE('The List'!AG2:AG730))/STDEV('The List'!AG2:AG730)</f>
        <v>-0.520843248141368</v>
      </c>
      <c r="U190" s="46">
        <f>(VLOOKUP($A190,'The List'!$B1:$AH730,33,FALSE)-AVERAGE('The List'!AH2:AH730))/STDEV('The List'!AH2:AH730)</f>
        <v>-0.00704365055178544</v>
      </c>
      <c r="V190" s="46"/>
      <c r="W190" s="50"/>
      <c r="X190" s="48"/>
      <c r="Y190" s="48"/>
      <c r="Z190" s="48"/>
      <c r="AA190" s="48"/>
      <c r="AB190" s="48"/>
      <c r="AC190" s="51"/>
      <c r="AD190" s="52"/>
      <c r="AE190" s="46"/>
    </row>
    <row r="191" ht="21.25" customHeight="1">
      <c r="A191" t="s" s="8">
        <v>451</v>
      </c>
      <c r="B191" t="s" s="42">
        <f>VLOOKUP(A191,'Player Data'!A1:B734,2,FALSE)</f>
        <v>156</v>
      </c>
      <c r="C191" s="44">
        <f>((E191)*'Settings'!$C$12)+(F191*'Settings'!$C$2)+(G191*'Settings'!$C$3)+(H191*'Settings'!$C$4)+(I191*'Settings'!$C$5)+(K191*'Settings'!$C$9)+(N191*'Settings'!$C$6)+(J191*'Settings'!$C$8)+(O191*'Settings'!$C$7)+(P191*'Settings'!$C$14)+(Q191*'Settings'!$C$15)+(R191*'Settings'!$C$16)+(S191*'Settings'!$C$17)+(T191*'Settings'!$C$18)+(U191*'Settings'!$C$19)+(L191*'Settings'!$C$10)+('Settings'!$C$11*M191)</f>
        <v>0.143705731552272</v>
      </c>
      <c r="D191" s="48">
        <f>IF('Settings'!$E$12="YES",VLOOKUP(A191,'Player Data'!A1:E734,5,FALSE),82)</f>
        <v>71.3596428571429</v>
      </c>
      <c r="E191" s="46">
        <f>(VLOOKUP($A191,'The List'!$B1:$AH730,17,FALSE)-AVERAGE('The List'!R2:R730))/STDEV('The List'!R2:R730)</f>
        <v>0.13493216354509</v>
      </c>
      <c r="F191" s="46">
        <f>(VLOOKUP($A191,'The List'!$B1:$AH730,18,FALSE)-AVERAGE('The List'!S2:S730))/STDEV('The List'!S2:S730)</f>
        <v>0.744459007489729</v>
      </c>
      <c r="G191" s="46">
        <f>(VLOOKUP($A191,'The List'!$B1:$AH730,19,FALSE)-AVERAGE('The List'!T2:T730))/STDEV('The List'!T2:T730)</f>
        <v>-0.136974215831077</v>
      </c>
      <c r="H191" s="46">
        <f>(VLOOKUP($A191,'The List'!$B1:$AH730,20,FALSE)-AVERAGE('The List'!U2:U730))/STDEV('The List'!U2:U730)</f>
        <v>0.254300975338675</v>
      </c>
      <c r="I191" s="46">
        <f>(VLOOKUP($A191,'The List'!$B1:$AH730,21,FALSE)-AVERAGE('The List'!V2:V730))/STDEV('The List'!V2:V730)</f>
        <v>0.472729086491125</v>
      </c>
      <c r="J191" s="46">
        <f>(VLOOKUP($A191,'The List'!$B1:$AH730,22,FALSE)-AVERAGE('The List'!W2:W730))/STDEV('The List'!W2:W730)</f>
        <v>-0.00356048061832523</v>
      </c>
      <c r="K191" s="46">
        <f>(VLOOKUP($A191,'The List'!$B1:$AH730,23,FALSE)-AVERAGE('The List'!X2:X730))/STDEV('The List'!X2:X730)</f>
        <v>-0.257076118360308</v>
      </c>
      <c r="L191" s="46">
        <f>(VLOOKUP($A191,'The List'!$B1:$AH730,24,FALSE)-AVERAGE('The List'!Y2:Y730))/STDEV('The List'!Y2:Y730)</f>
        <v>2.66102174520591</v>
      </c>
      <c r="M191" s="46">
        <f>(VLOOKUP($A191,'The List'!$B1:$AH730,25,FALSE)-AVERAGE('The List'!Z2:Z730))/STDEV('The List'!Z2:Z730)</f>
        <v>1.66536939758842</v>
      </c>
      <c r="N191" s="46">
        <f>(VLOOKUP($A191,'The List'!$B1:$AH730,26,FALSE)-AVERAGE('The List'!AA2:AA730))/STDEV('The List'!AA2:AA730)</f>
        <v>-0.819868069081894</v>
      </c>
      <c r="O191" s="46">
        <f>(VLOOKUP($A191,'The List'!$B1:$AH730,27,FALSE)-AVERAGE('The List'!AB2:AB730))/STDEV('The List'!AB2:AB730)</f>
        <v>-0.980579348555874</v>
      </c>
      <c r="P191" s="46">
        <f>(VLOOKUP($A191,'The List'!$B1:$AH730,28,FALSE)-AVERAGE('The List'!AC2:AC730))/STDEV('The List'!AC2:AC730)</f>
        <v>0.140436040844697</v>
      </c>
      <c r="Q191" s="46">
        <f>(VLOOKUP($A191,'The List'!$B1:$AH730,29,FALSE)-AVERAGE('The List'!AD2:AD730))/STDEV('The List'!AD2:AD730)</f>
        <v>-1.0770129860096</v>
      </c>
      <c r="R191" s="46">
        <f>(VLOOKUP($A191,'The List'!$B1:$AH730,30,FALSE)-AVERAGE('The List'!AE2:AE730))/STDEV('The List'!AE2:AE730)</f>
        <v>0.694660261254806</v>
      </c>
      <c r="S191" s="46">
        <f>(VLOOKUP($A191,'The List'!$B1:$AH730,31,FALSE)-AVERAGE('The List'!AF2:AF730))/STDEV('The List'!AF2:AF730)</f>
        <v>-0.5381587040306</v>
      </c>
      <c r="T191" s="46">
        <f>(VLOOKUP($A191,'The List'!$B1:$AH730,32,FALSE)-AVERAGE('The List'!AG2:AG730))/STDEV('The List'!AG2:AG730)</f>
        <v>-0.558845131947041</v>
      </c>
      <c r="U191" s="46">
        <f>(VLOOKUP($A191,'The List'!$B1:$AH730,33,FALSE)-AVERAGE('The List'!AH2:AH730))/STDEV('The List'!AH2:AH730)</f>
        <v>0.2063346646583</v>
      </c>
      <c r="V191" s="46"/>
      <c r="W191" s="48"/>
      <c r="X191" s="46"/>
      <c r="Y191" s="46"/>
      <c r="Z191" s="46"/>
      <c r="AA191" s="46"/>
      <c r="AB191" s="46"/>
      <c r="AC191" s="46"/>
      <c r="AD191" s="46"/>
      <c r="AE191" s="46"/>
    </row>
    <row r="192" ht="21.25" customHeight="1">
      <c r="A192" t="s" s="8">
        <v>418</v>
      </c>
      <c r="B192" t="s" s="42">
        <f>VLOOKUP(A192,'Player Data'!A1:B734,2,FALSE)</f>
        <v>189</v>
      </c>
      <c r="C192" s="44">
        <f>((E192)*'Settings'!$C$12)+(F192*'Settings'!$C$2)+(G192*'Settings'!$C$3)+(H192*'Settings'!$C$4)+(I192*'Settings'!$C$5)+(K192*'Settings'!$C$9)+(N192*'Settings'!$C$6)+(J192*'Settings'!$C$8)+(O192*'Settings'!$C$7)+(P192*'Settings'!$C$14)+(Q192*'Settings'!$C$15)+(R192*'Settings'!$C$16)+(S192*'Settings'!$C$17)+(T192*'Settings'!$C$18)+(U192*'Settings'!$C$19)+(L192*'Settings'!$C$10)+('Settings'!$C$11*M192)</f>
        <v>-0.7263020551403701</v>
      </c>
      <c r="D192" s="48">
        <f>IF('Settings'!$E$12="YES",VLOOKUP(A192,'Player Data'!A1:E734,5,FALSE),82)</f>
        <v>80.34</v>
      </c>
      <c r="E192" s="46">
        <f>(VLOOKUP($A192,'The List'!$B1:$AH730,17,FALSE)-AVERAGE('The List'!R2:R730))/STDEV('The List'!R2:R730)</f>
        <v>-0.0857226931465155</v>
      </c>
      <c r="F192" s="46">
        <f>(VLOOKUP($A192,'The List'!$B1:$AH730,18,FALSE)-AVERAGE('The List'!S2:S730))/STDEV('The List'!S2:S730)</f>
        <v>0.348431481371186</v>
      </c>
      <c r="G192" s="46">
        <f>(VLOOKUP($A192,'The List'!$B1:$AH730,19,FALSE)-AVERAGE('The List'!T2:T730))/STDEV('The List'!T2:T730)</f>
        <v>0.531249998357759</v>
      </c>
      <c r="H192" s="46">
        <f>(VLOOKUP($A192,'The List'!$B1:$AH730,20,FALSE)-AVERAGE('The List'!U2:U730))/STDEV('The List'!U2:U730)</f>
        <v>0.486051953469321</v>
      </c>
      <c r="I192" s="46">
        <f>(VLOOKUP($A192,'The List'!$B1:$AH730,21,FALSE)-AVERAGE('The List'!V2:V730))/STDEV('The List'!V2:V730)</f>
        <v>0.0114475884753474</v>
      </c>
      <c r="J192" s="46">
        <f>(VLOOKUP($A192,'The List'!$B1:$AH730,22,FALSE)-AVERAGE('The List'!W2:W730))/STDEV('The List'!W2:W730)</f>
        <v>0.148780052677038</v>
      </c>
      <c r="K192" s="46">
        <f>(VLOOKUP($A192,'The List'!$B1:$AH730,23,FALSE)-AVERAGE('The List'!X2:X730))/STDEV('The List'!X2:X730)</f>
        <v>0.136222775566307</v>
      </c>
      <c r="L192" s="46">
        <f>(VLOOKUP($A192,'The List'!$B1:$AH730,24,FALSE)-AVERAGE('The List'!Y2:Y730))/STDEV('The List'!Y2:Y730)</f>
        <v>2.34948789331148</v>
      </c>
      <c r="M192" s="46">
        <f>(VLOOKUP($A192,'The List'!$B1:$AH730,25,FALSE)-AVERAGE('The List'!Z2:Z730))/STDEV('The List'!Z2:Z730)</f>
        <v>1.99920650286611</v>
      </c>
      <c r="N192" s="46">
        <f>(VLOOKUP($A192,'The List'!$B1:$AH730,26,FALSE)-AVERAGE('The List'!AA2:AA730))/STDEV('The List'!AA2:AA730)</f>
        <v>-0.287761345480969</v>
      </c>
      <c r="O192" s="46">
        <f>(VLOOKUP($A192,'The List'!$B1:$AH730,27,FALSE)-AVERAGE('The List'!AB2:AB730))/STDEV('The List'!AB2:AB730)</f>
        <v>-0.779761012037587</v>
      </c>
      <c r="P192" s="46">
        <f>(VLOOKUP($A192,'The List'!$B1:$AH730,28,FALSE)-AVERAGE('The List'!AC2:AC730))/STDEV('The List'!AC2:AC730)</f>
        <v>-1.465892553430</v>
      </c>
      <c r="Q192" s="46">
        <f>(VLOOKUP($A192,'The List'!$B1:$AH730,29,FALSE)-AVERAGE('The List'!AD2:AD730))/STDEV('The List'!AD2:AD730)</f>
        <v>-1.00490258924571</v>
      </c>
      <c r="R192" s="46">
        <f>(VLOOKUP($A192,'The List'!$B1:$AH730,30,FALSE)-AVERAGE('The List'!AE2:AE730))/STDEV('The List'!AE2:AE730)</f>
        <v>-0.0381650167359565</v>
      </c>
      <c r="S192" s="46">
        <f>(VLOOKUP($A192,'The List'!$B1:$AH730,31,FALSE)-AVERAGE('The List'!AF2:AF730))/STDEV('The List'!AF2:AF730)</f>
        <v>1.41631959089348</v>
      </c>
      <c r="T192" s="46">
        <f>(VLOOKUP($A192,'The List'!$B1:$AH730,32,FALSE)-AVERAGE('The List'!AG2:AG730))/STDEV('The List'!AG2:AG730)</f>
        <v>2.10820610417142</v>
      </c>
      <c r="U192" s="46">
        <f>(VLOOKUP($A192,'The List'!$B1:$AH730,33,FALSE)-AVERAGE('The List'!AH2:AH730))/STDEV('The List'!AH2:AH730)</f>
        <v>0.7227654284520419</v>
      </c>
      <c r="V192" s="46"/>
      <c r="W192" s="48"/>
      <c r="X192" s="46"/>
      <c r="Y192" s="46"/>
      <c r="Z192" s="46"/>
      <c r="AA192" s="46"/>
      <c r="AB192" s="46"/>
      <c r="AC192" s="46"/>
      <c r="AD192" s="46"/>
      <c r="AE192" s="46"/>
    </row>
    <row r="193" ht="21.25" customHeight="1">
      <c r="A193" t="s" s="8">
        <v>440</v>
      </c>
      <c r="B193" t="s" s="42">
        <f>VLOOKUP(A193,'Player Data'!A1:B734,2,FALSE)</f>
        <v>236</v>
      </c>
      <c r="C193" s="44">
        <f>((E193)*'Settings'!$C$12)+(F193*'Settings'!$C$2)+(G193*'Settings'!$C$3)+(H193*'Settings'!$C$4)+(I193*'Settings'!$C$5)+(K193*'Settings'!$C$9)+(N193*'Settings'!$C$6)+(J193*'Settings'!$C$8)+(O193*'Settings'!$C$7)+(P193*'Settings'!$C$14)+(Q193*'Settings'!$C$15)+(R193*'Settings'!$C$16)+(S193*'Settings'!$C$17)+(T193*'Settings'!$C$18)+(U193*'Settings'!$C$19)+(L193*'Settings'!$C$10)+('Settings'!$C$11*M193)</f>
        <v>-0.861623010412331</v>
      </c>
      <c r="D193" s="48">
        <f>IF('Settings'!$E$12="YES",VLOOKUP(A193,'Player Data'!A1:E734,5,FALSE),82)</f>
        <v>79.2710714285714</v>
      </c>
      <c r="E193" s="46">
        <f>(VLOOKUP($A193,'The List'!$B1:$AH730,17,FALSE)-AVERAGE('The List'!R2:R730))/STDEV('The List'!R2:R730)</f>
        <v>0.185994727142623</v>
      </c>
      <c r="F193" s="46">
        <f>(VLOOKUP($A193,'The List'!$B1:$AH730,18,FALSE)-AVERAGE('The List'!S2:S730))/STDEV('The List'!S2:S730)</f>
        <v>0.659341626922874</v>
      </c>
      <c r="G193" s="46">
        <f>(VLOOKUP($A193,'The List'!$B1:$AH730,19,FALSE)-AVERAGE('The List'!T2:T730))/STDEV('The List'!T2:T730)</f>
        <v>0.235361297927773</v>
      </c>
      <c r="H193" s="46">
        <f>(VLOOKUP($A193,'The List'!$B1:$AH730,20,FALSE)-AVERAGE('The List'!U2:U730))/STDEV('The List'!U2:U730)</f>
        <v>0.445110810466368</v>
      </c>
      <c r="I193" s="46">
        <f>(VLOOKUP($A193,'The List'!$B1:$AH730,21,FALSE)-AVERAGE('The List'!V2:V730))/STDEV('The List'!V2:V730)</f>
        <v>0.312933399624901</v>
      </c>
      <c r="J193" s="46">
        <f>(VLOOKUP($A193,'The List'!$B1:$AH730,22,FALSE)-AVERAGE('The List'!W2:W730))/STDEV('The List'!W2:W730)</f>
        <v>-0.28062330095163</v>
      </c>
      <c r="K193" s="46">
        <f>(VLOOKUP($A193,'The List'!$B1:$AH730,23,FALSE)-AVERAGE('The List'!X2:X730))/STDEV('The List'!X2:X730)</f>
        <v>-0.272698221846271</v>
      </c>
      <c r="L193" s="46">
        <f>(VLOOKUP($A193,'The List'!$B1:$AH730,24,FALSE)-AVERAGE('The List'!Y2:Y730))/STDEV('The List'!Y2:Y730)</f>
        <v>0.00970877812628987</v>
      </c>
      <c r="M193" s="46">
        <f>(VLOOKUP($A193,'The List'!$B1:$AH730,25,FALSE)-AVERAGE('The List'!Z2:Z730))/STDEV('The List'!Z2:Z730)</f>
        <v>-0.306392161420512</v>
      </c>
      <c r="N193" s="46">
        <f>(VLOOKUP($A193,'The List'!$B1:$AH730,26,FALSE)-AVERAGE('The List'!AA2:AA730))/STDEV('The List'!AA2:AA730)</f>
        <v>-0.422485761727268</v>
      </c>
      <c r="O193" s="46">
        <f>(VLOOKUP($A193,'The List'!$B1:$AH730,27,FALSE)-AVERAGE('The List'!AB2:AB730))/STDEV('The List'!AB2:AB730)</f>
        <v>-0.337977631670704</v>
      </c>
      <c r="P193" s="46">
        <f>(VLOOKUP($A193,'The List'!$B1:$AH730,28,FALSE)-AVERAGE('The List'!AC2:AC730))/STDEV('The List'!AC2:AC730)</f>
        <v>-1.37407535131434</v>
      </c>
      <c r="Q193" s="46">
        <f>(VLOOKUP($A193,'The List'!$B1:$AH730,29,FALSE)-AVERAGE('The List'!AD2:AD730))/STDEV('The List'!AD2:AD730)</f>
        <v>0.751867941328712</v>
      </c>
      <c r="R193" s="46">
        <f>(VLOOKUP($A193,'The List'!$B1:$AH730,30,FALSE)-AVERAGE('The List'!AE2:AE730))/STDEV('The List'!AE2:AE730)</f>
        <v>0.310779530579781</v>
      </c>
      <c r="S193" s="46">
        <f>(VLOOKUP($A193,'The List'!$B1:$AH730,31,FALSE)-AVERAGE('The List'!AF2:AF730))/STDEV('The List'!AF2:AF730)</f>
        <v>-0.458409109986831</v>
      </c>
      <c r="T193" s="46">
        <f>(VLOOKUP($A193,'The List'!$B1:$AH730,32,FALSE)-AVERAGE('The List'!AG2:AG730))/STDEV('The List'!AG2:AG730)</f>
        <v>-0.400961201745758</v>
      </c>
      <c r="U193" s="46">
        <f>(VLOOKUP($A193,'The List'!$B1:$AH730,33,FALSE)-AVERAGE('The List'!AH2:AH730))/STDEV('The List'!AH2:AH730)</f>
        <v>0.305327961555989</v>
      </c>
      <c r="V193" s="46"/>
      <c r="W193" s="50"/>
      <c r="X193" s="48"/>
      <c r="Y193" s="48"/>
      <c r="Z193" s="48"/>
      <c r="AA193" s="48"/>
      <c r="AB193" s="48"/>
      <c r="AC193" s="51"/>
      <c r="AD193" s="52"/>
      <c r="AE193" s="46"/>
    </row>
    <row r="194" ht="21.25" customHeight="1">
      <c r="A194" t="s" s="8">
        <v>224</v>
      </c>
      <c r="B194" t="s" s="42">
        <f>VLOOKUP(A194,'Player Data'!A1:B734,2,FALSE)</f>
        <v>225</v>
      </c>
      <c r="C194" s="44">
        <f>((E194)*'Settings'!$C$12)+(F194*'Settings'!$C$2)+(G194*'Settings'!$C$3)+(H194*'Settings'!$C$4)+(I194*'Settings'!$C$5)+(K194*'Settings'!$C$9)+(N194*'Settings'!$C$6)+(J194*'Settings'!$C$8)+(O194*'Settings'!$C$7)+(P194*'Settings'!$C$14)+(Q194*'Settings'!$C$15)+(R194*'Settings'!$C$16)+(S194*'Settings'!$C$17)+(T194*'Settings'!$C$18)+(U194*'Settings'!$C$19)+(L194*'Settings'!$C$10)+('Settings'!$C$11*M194)</f>
        <v>2.73315530491557</v>
      </c>
      <c r="D194" s="48">
        <f>IF('Settings'!$E$12="YES",VLOOKUP(A194,'Player Data'!A1:E734,5,FALSE),82)</f>
        <v>79.705</v>
      </c>
      <c r="E194" s="46">
        <f>(VLOOKUP($A194,'The List'!$B1:$AH730,17,FALSE)-AVERAGE('The List'!R2:R730))/STDEV('The List'!R2:R730)</f>
        <v>2.23347962993343</v>
      </c>
      <c r="F194" s="46">
        <f>(VLOOKUP($A194,'The List'!$B1:$AH730,18,FALSE)-AVERAGE('The List'!S2:S730))/STDEV('The List'!S2:S730)</f>
        <v>-0.396812626547291</v>
      </c>
      <c r="G194" s="46">
        <f>(VLOOKUP($A194,'The List'!$B1:$AH730,19,FALSE)-AVERAGE('The List'!T2:T730))/STDEV('The List'!T2:T730)</f>
        <v>1.1947319018823</v>
      </c>
      <c r="H194" s="46">
        <f>(VLOOKUP($A194,'The List'!$B1:$AH730,20,FALSE)-AVERAGE('The List'!U2:U730))/STDEV('The List'!U2:U730)</f>
        <v>0.55597881090525</v>
      </c>
      <c r="I194" s="46">
        <f>(VLOOKUP($A194,'The List'!$B1:$AH730,21,FALSE)-AVERAGE('The List'!V2:V730))/STDEV('The List'!V2:V730)</f>
        <v>1.114389699487</v>
      </c>
      <c r="J194" s="46">
        <f>(VLOOKUP($A194,'The List'!$B1:$AH730,22,FALSE)-AVERAGE('The List'!W2:W730))/STDEV('The List'!W2:W730)</f>
        <v>-0.198991774775625</v>
      </c>
      <c r="K194" s="46">
        <f>(VLOOKUP($A194,'The List'!$B1:$AH730,23,FALSE)-AVERAGE('The List'!X2:X730))/STDEV('The List'!X2:X730)</f>
        <v>1.04641275687919</v>
      </c>
      <c r="L194" s="46">
        <f>(VLOOKUP($A194,'The List'!$B1:$AH730,24,FALSE)-AVERAGE('The List'!Y2:Y730))/STDEV('The List'!Y2:Y730)</f>
        <v>-0.495174438552285</v>
      </c>
      <c r="M194" s="46">
        <f>(VLOOKUP($A194,'The List'!$B1:$AH730,25,FALSE)-AVERAGE('The List'!Z2:Z730))/STDEV('The List'!Z2:Z730)</f>
        <v>0.35499833376012</v>
      </c>
      <c r="N194" s="46">
        <f>(VLOOKUP($A194,'The List'!$B1:$AH730,26,FALSE)-AVERAGE('The List'!AA2:AA730))/STDEV('The List'!AA2:AA730)</f>
        <v>2.12564604595277</v>
      </c>
      <c r="O194" s="46">
        <f>(VLOOKUP($A194,'The List'!$B1:$AH730,27,FALSE)-AVERAGE('The List'!AB2:AB730))/STDEV('The List'!AB2:AB730)</f>
        <v>0.388693952074798</v>
      </c>
      <c r="P194" s="46">
        <f>(VLOOKUP($A194,'The List'!$B1:$AH730,28,FALSE)-AVERAGE('The List'!AC2:AC730))/STDEV('The List'!AC2:AC730)</f>
        <v>-2.3512124727384</v>
      </c>
      <c r="Q194" s="46">
        <f>(VLOOKUP($A194,'The List'!$B1:$AH730,29,FALSE)-AVERAGE('The List'!AD2:AD730))/STDEV('The List'!AD2:AD730)</f>
        <v>0.199328878311544</v>
      </c>
      <c r="R194" s="46">
        <f>(VLOOKUP($A194,'The List'!$B1:$AH730,30,FALSE)-AVERAGE('The List'!AE2:AE730))/STDEV('The List'!AE2:AE730)</f>
        <v>-0.499184384930643</v>
      </c>
      <c r="S194" s="46">
        <f>(VLOOKUP($A194,'The List'!$B1:$AH730,31,FALSE)-AVERAGE('The List'!AF2:AF730))/STDEV('The List'!AF2:AF730)</f>
        <v>-0.5569063253591</v>
      </c>
      <c r="T194" s="46">
        <f>(VLOOKUP($A194,'The List'!$B1:$AH730,32,FALSE)-AVERAGE('The List'!AG2:AG730))/STDEV('The List'!AG2:AG730)</f>
        <v>-0.600856269042678</v>
      </c>
      <c r="U194" s="46">
        <f>(VLOOKUP($A194,'The List'!$B1:$AH730,33,FALSE)-AVERAGE('The List'!AH2:AH730))/STDEV('The List'!AH2:AH730)</f>
        <v>-1.2363238714826</v>
      </c>
      <c r="V194" s="46"/>
      <c r="W194" s="50"/>
      <c r="X194" s="48"/>
      <c r="Y194" s="48"/>
      <c r="Z194" s="48"/>
      <c r="AA194" s="48"/>
      <c r="AB194" s="48"/>
      <c r="AC194" s="51"/>
      <c r="AD194" s="52"/>
      <c r="AE194" s="46"/>
    </row>
    <row r="195" ht="21.25" customHeight="1">
      <c r="A195" t="s" s="8">
        <v>212</v>
      </c>
      <c r="B195" t="s" s="42">
        <f>VLOOKUP(A195,'Player Data'!A1:B734,2,FALSE)</f>
        <v>202</v>
      </c>
      <c r="C195" s="44">
        <f>((E195)*'Settings'!$C$12)+(F195*'Settings'!$C$2)+(G195*'Settings'!$C$3)+(H195*'Settings'!$C$4)+(I195*'Settings'!$C$5)+(K195*'Settings'!$C$9)+(N195*'Settings'!$C$6)+(J195*'Settings'!$C$8)+(O195*'Settings'!$C$7)+(P195*'Settings'!$C$14)+(Q195*'Settings'!$C$15)+(R195*'Settings'!$C$16)+(S195*'Settings'!$C$17)+(T195*'Settings'!$C$18)+(U195*'Settings'!$C$19)+(L195*'Settings'!$C$10)+('Settings'!$C$11*M195)</f>
        <v>6.51249131037835</v>
      </c>
      <c r="D195" s="48">
        <f>IF('Settings'!$E$12="YES",VLOOKUP(A195,'Player Data'!A1:E734,5,FALSE),82)</f>
        <v>82</v>
      </c>
      <c r="E195" s="46">
        <f>(VLOOKUP($A195,'The List'!$B1:$AH730,17,FALSE)-AVERAGE('The List'!R2:R730))/STDEV('The List'!R2:R730)</f>
        <v>1.32045447871246</v>
      </c>
      <c r="F195" s="46">
        <f>(VLOOKUP($A195,'The List'!$B1:$AH730,18,FALSE)-AVERAGE('The List'!S2:S730))/STDEV('The List'!S2:S730)</f>
        <v>-0.19620349526485</v>
      </c>
      <c r="G195" s="46">
        <f>(VLOOKUP($A195,'The List'!$B1:$AH730,19,FALSE)-AVERAGE('The List'!T2:T730))/STDEV('The List'!T2:T730)</f>
        <v>1.11507828327014</v>
      </c>
      <c r="H195" s="46">
        <f>(VLOOKUP($A195,'The List'!$B1:$AH730,20,FALSE)-AVERAGE('The List'!U2:U730))/STDEV('The List'!U2:U730)</f>
        <v>0.598154580062225</v>
      </c>
      <c r="I195" s="46">
        <f>(VLOOKUP($A195,'The List'!$B1:$AH730,21,FALSE)-AVERAGE('The List'!V2:V730))/STDEV('The List'!V2:V730)</f>
        <v>1.36269827495988</v>
      </c>
      <c r="J195" s="46">
        <f>(VLOOKUP($A195,'The List'!$B1:$AH730,22,FALSE)-AVERAGE('The List'!W2:W730))/STDEV('The List'!W2:W730)</f>
        <v>0.285837894696752</v>
      </c>
      <c r="K195" s="46">
        <f>(VLOOKUP($A195,'The List'!$B1:$AH730,23,FALSE)-AVERAGE('The List'!X2:X730))/STDEV('The List'!X2:X730)</f>
        <v>1.16852758963546</v>
      </c>
      <c r="L195" s="46">
        <f>(VLOOKUP($A195,'The List'!$B1:$AH730,24,FALSE)-AVERAGE('The List'!Y2:Y730))/STDEV('The List'!Y2:Y730)</f>
        <v>-0.515726600413306</v>
      </c>
      <c r="M195" s="46">
        <f>(VLOOKUP($A195,'The List'!$B1:$AH730,25,FALSE)-AVERAGE('The List'!Z2:Z730))/STDEV('The List'!Z2:Z730)</f>
        <v>-0.42104529418279</v>
      </c>
      <c r="N195" s="46">
        <f>(VLOOKUP($A195,'The List'!$B1:$AH730,26,FALSE)-AVERAGE('The List'!AA2:AA730))/STDEV('The List'!AA2:AA730)</f>
        <v>1.00482903997507</v>
      </c>
      <c r="O195" s="46">
        <f>(VLOOKUP($A195,'The List'!$B1:$AH730,27,FALSE)-AVERAGE('The List'!AB2:AB730))/STDEV('The List'!AB2:AB730)</f>
        <v>-0.7942025330040809</v>
      </c>
      <c r="P195" s="46">
        <f>(VLOOKUP($A195,'The List'!$B1:$AH730,28,FALSE)-AVERAGE('The List'!AC2:AC730))/STDEV('The List'!AC2:AC730)</f>
        <v>2.05756161780265</v>
      </c>
      <c r="Q195" s="46">
        <f>(VLOOKUP($A195,'The List'!$B1:$AH730,29,FALSE)-AVERAGE('The List'!AD2:AD730))/STDEV('The List'!AD2:AD730)</f>
        <v>0.622894423407664</v>
      </c>
      <c r="R195" s="46">
        <f>(VLOOKUP($A195,'The List'!$B1:$AH730,30,FALSE)-AVERAGE('The List'!AE2:AE730))/STDEV('The List'!AE2:AE730)</f>
        <v>0.0990277464258877</v>
      </c>
      <c r="S195" s="46">
        <f>(VLOOKUP($A195,'The List'!$B1:$AH730,31,FALSE)-AVERAGE('The List'!AF2:AF730))/STDEV('The List'!AF2:AF730)</f>
        <v>-0.555254282181509</v>
      </c>
      <c r="T195" s="46">
        <f>(VLOOKUP($A195,'The List'!$B1:$AH730,32,FALSE)-AVERAGE('The List'!AG2:AG730))/STDEV('The List'!AG2:AG730)</f>
        <v>-0.5984476026587709</v>
      </c>
      <c r="U195" s="46">
        <f>(VLOOKUP($A195,'The List'!$B1:$AH730,33,FALSE)-AVERAGE('The List'!AH2:AH730))/STDEV('The List'!AH2:AH730)</f>
        <v>0.656351567887143</v>
      </c>
      <c r="V195" s="46"/>
      <c r="W195" s="50"/>
      <c r="X195" s="48"/>
      <c r="Y195" s="48"/>
      <c r="Z195" s="48"/>
      <c r="AA195" s="48"/>
      <c r="AB195" s="48"/>
      <c r="AC195" s="51"/>
      <c r="AD195" s="52"/>
      <c r="AE195" s="46"/>
    </row>
    <row r="196" ht="21.25" customHeight="1">
      <c r="A196" t="s" s="8">
        <v>262</v>
      </c>
      <c r="B196" t="s" s="42">
        <f>VLOOKUP(A196,'Player Data'!A1:B734,2,FALSE)</f>
        <v>194</v>
      </c>
      <c r="C196" s="44">
        <f>((E196)*'Settings'!$C$12)+(F196*'Settings'!$C$2)+(G196*'Settings'!$C$3)+(H196*'Settings'!$C$4)+(I196*'Settings'!$C$5)+(K196*'Settings'!$C$9)+(N196*'Settings'!$C$6)+(J196*'Settings'!$C$8)+(O196*'Settings'!$C$7)+(P196*'Settings'!$C$14)+(Q196*'Settings'!$C$15)+(R196*'Settings'!$C$16)+(S196*'Settings'!$C$17)+(T196*'Settings'!$C$18)+(U196*'Settings'!$C$19)+(L196*'Settings'!$C$10)+('Settings'!$C$11*M196)</f>
        <v>2.65629037137229</v>
      </c>
      <c r="D196" s="48">
        <f>IF('Settings'!$E$12="YES",VLOOKUP(A196,'Player Data'!A1:E734,5,FALSE),82)</f>
        <v>81.205</v>
      </c>
      <c r="E196" s="46">
        <f>(VLOOKUP($A196,'The List'!$B1:$AH730,17,FALSE)-AVERAGE('The List'!R2:R730))/STDEV('The List'!R2:R730)</f>
        <v>1.89255855018549</v>
      </c>
      <c r="F196" s="46">
        <f>(VLOOKUP($A196,'The List'!$B1:$AH730,18,FALSE)-AVERAGE('The List'!S2:S730))/STDEV('The List'!S2:S730)</f>
        <v>-0.09711495279426061</v>
      </c>
      <c r="G196" s="46">
        <f>(VLOOKUP($A196,'The List'!$B1:$AH730,19,FALSE)-AVERAGE('The List'!T2:T730))/STDEV('The List'!T2:T730)</f>
        <v>0.832979978614902</v>
      </c>
      <c r="H196" s="46">
        <f>(VLOOKUP($A196,'The List'!$B1:$AH730,20,FALSE)-AVERAGE('The List'!U2:U730))/STDEV('The List'!U2:U730)</f>
        <v>0.469331957165689</v>
      </c>
      <c r="I196" s="46">
        <f>(VLOOKUP($A196,'The List'!$B1:$AH730,21,FALSE)-AVERAGE('The List'!V2:V730))/STDEV('The List'!V2:V730)</f>
        <v>0.890122004866937</v>
      </c>
      <c r="J196" s="46">
        <f>(VLOOKUP($A196,'The List'!$B1:$AH730,22,FALSE)-AVERAGE('The List'!W2:W730))/STDEV('The List'!W2:W730)</f>
        <v>-0.197358948982111</v>
      </c>
      <c r="K196" s="46">
        <f>(VLOOKUP($A196,'The List'!$B1:$AH730,23,FALSE)-AVERAGE('The List'!X2:X730))/STDEV('The List'!X2:X730)</f>
        <v>0.285091497802822</v>
      </c>
      <c r="L196" s="46">
        <f>(VLOOKUP($A196,'The List'!$B1:$AH730,24,FALSE)-AVERAGE('The List'!Y2:Y730))/STDEV('The List'!Y2:Y730)</f>
        <v>-0.499001977940123</v>
      </c>
      <c r="M196" s="46">
        <f>(VLOOKUP($A196,'The List'!$B1:$AH730,25,FALSE)-AVERAGE('The List'!Z2:Z730))/STDEV('The List'!Z2:Z730)</f>
        <v>-0.391841999859428</v>
      </c>
      <c r="N196" s="46">
        <f>(VLOOKUP($A196,'The List'!$B1:$AH730,26,FALSE)-AVERAGE('The List'!AA2:AA730))/STDEV('The List'!AA2:AA730)</f>
        <v>1.86551654658135</v>
      </c>
      <c r="O196" s="46">
        <f>(VLOOKUP($A196,'The List'!$B1:$AH730,27,FALSE)-AVERAGE('The List'!AB2:AB730))/STDEV('The List'!AB2:AB730)</f>
        <v>0.633693602748628</v>
      </c>
      <c r="P196" s="46">
        <f>(VLOOKUP($A196,'The List'!$B1:$AH730,28,FALSE)-AVERAGE('The List'!AC2:AC730))/STDEV('The List'!AC2:AC730)</f>
        <v>-1.12030470369946</v>
      </c>
      <c r="Q196" s="46">
        <f>(VLOOKUP($A196,'The List'!$B1:$AH730,29,FALSE)-AVERAGE('The List'!AD2:AD730))/STDEV('The List'!AD2:AD730)</f>
        <v>0.542405929380167</v>
      </c>
      <c r="R196" s="46">
        <f>(VLOOKUP($A196,'The List'!$B1:$AH730,30,FALSE)-AVERAGE('The List'!AE2:AE730))/STDEV('The List'!AE2:AE730)</f>
        <v>-0.287106049176498</v>
      </c>
      <c r="S196" s="46">
        <f>(VLOOKUP($A196,'The List'!$B1:$AH730,31,FALSE)-AVERAGE('The List'!AF2:AF730))/STDEV('The List'!AF2:AF730)</f>
        <v>-0.5569063253591</v>
      </c>
      <c r="T196" s="46">
        <f>(VLOOKUP($A196,'The List'!$B1:$AH730,32,FALSE)-AVERAGE('The List'!AG2:AG730))/STDEV('The List'!AG2:AG730)</f>
        <v>-0.600856269042678</v>
      </c>
      <c r="U196" s="46">
        <f>(VLOOKUP($A196,'The List'!$B1:$AH730,33,FALSE)-AVERAGE('The List'!AH2:AH730))/STDEV('The List'!AH2:AH730)</f>
        <v>-1.2363238714826</v>
      </c>
      <c r="V196" s="46"/>
      <c r="W196" s="50"/>
      <c r="X196" s="48"/>
      <c r="Y196" s="48"/>
      <c r="Z196" s="48"/>
      <c r="AA196" s="48"/>
      <c r="AB196" s="48"/>
      <c r="AC196" s="51"/>
      <c r="AD196" s="52"/>
      <c r="AE196" s="46"/>
    </row>
    <row r="197" ht="21.25" customHeight="1">
      <c r="A197" t="s" s="8">
        <v>428</v>
      </c>
      <c r="B197" t="s" s="42">
        <f>VLOOKUP(A197,'Player Data'!A1:B734,2,FALSE)</f>
        <v>196</v>
      </c>
      <c r="C197" s="44">
        <f>((E197)*'Settings'!$C$12)+(F197*'Settings'!$C$2)+(G197*'Settings'!$C$3)+(H197*'Settings'!$C$4)+(I197*'Settings'!$C$5)+(K197*'Settings'!$C$9)+(N197*'Settings'!$C$6)+(J197*'Settings'!$C$8)+(O197*'Settings'!$C$7)+(P197*'Settings'!$C$14)+(Q197*'Settings'!$C$15)+(R197*'Settings'!$C$16)+(S197*'Settings'!$C$17)+(T197*'Settings'!$C$18)+(U197*'Settings'!$C$19)+(L197*'Settings'!$C$10)+('Settings'!$C$11*M197)</f>
        <v>0.239525693790043</v>
      </c>
      <c r="D197" s="48">
        <f>IF('Settings'!$E$12="YES",VLOOKUP(A197,'Player Data'!A1:E734,5,FALSE),82)</f>
        <v>76.80500000000001</v>
      </c>
      <c r="E197" s="46">
        <f>(VLOOKUP($A197,'The List'!$B1:$AH730,17,FALSE)-AVERAGE('The List'!R2:R730))/STDEV('The List'!R2:R730)</f>
        <v>0.371097255125316</v>
      </c>
      <c r="F197" s="46">
        <f>(VLOOKUP($A197,'The List'!$B1:$AH730,18,FALSE)-AVERAGE('The List'!S2:S730))/STDEV('The List'!S2:S730)</f>
        <v>0.554650615237668</v>
      </c>
      <c r="G197" s="46">
        <f>(VLOOKUP($A197,'The List'!$B1:$AH730,19,FALSE)-AVERAGE('The List'!T2:T730))/STDEV('The List'!T2:T730)</f>
        <v>0.165720684009216</v>
      </c>
      <c r="H197" s="46">
        <f>(VLOOKUP($A197,'The List'!$B1:$AH730,20,FALSE)-AVERAGE('The List'!U2:U730))/STDEV('The List'!U2:U730)</f>
        <v>0.354541777351218</v>
      </c>
      <c r="I197" s="46">
        <f>(VLOOKUP($A197,'The List'!$B1:$AH730,21,FALSE)-AVERAGE('The List'!V2:V730))/STDEV('The List'!V2:V730)</f>
        <v>0.505641036608624</v>
      </c>
      <c r="J197" s="46">
        <f>(VLOOKUP($A197,'The List'!$B1:$AH730,22,FALSE)-AVERAGE('The List'!W2:W730))/STDEV('The List'!W2:W730)</f>
        <v>0.433800746242879</v>
      </c>
      <c r="K197" s="46">
        <f>(VLOOKUP($A197,'The List'!$B1:$AH730,23,FALSE)-AVERAGE('The List'!X2:X730))/STDEV('The List'!X2:X730)</f>
        <v>0.365364921993093</v>
      </c>
      <c r="L197" s="46">
        <f>(VLOOKUP($A197,'The List'!$B1:$AH730,24,FALSE)-AVERAGE('The List'!Y2:Y730))/STDEV('The List'!Y2:Y730)</f>
        <v>-0.346686236108577</v>
      </c>
      <c r="M197" s="46">
        <f>(VLOOKUP($A197,'The List'!$B1:$AH730,25,FALSE)-AVERAGE('The List'!Z2:Z730))/STDEV('The List'!Z2:Z730)</f>
        <v>0.06596249573699391</v>
      </c>
      <c r="N197" s="46">
        <f>(VLOOKUP($A197,'The List'!$B1:$AH730,26,FALSE)-AVERAGE('The List'!AA2:AA730))/STDEV('The List'!AA2:AA730)</f>
        <v>-0.634612397650674</v>
      </c>
      <c r="O197" s="46">
        <f>(VLOOKUP($A197,'The List'!$B1:$AH730,27,FALSE)-AVERAGE('The List'!AB2:AB730))/STDEV('The List'!AB2:AB730)</f>
        <v>-0.088227503444128</v>
      </c>
      <c r="P197" s="46">
        <f>(VLOOKUP($A197,'The List'!$B1:$AH730,28,FALSE)-AVERAGE('The List'!AC2:AC730))/STDEV('The List'!AC2:AC730)</f>
        <v>-0.717239166407884</v>
      </c>
      <c r="Q197" s="46">
        <f>(VLOOKUP($A197,'The List'!$B1:$AH730,29,FALSE)-AVERAGE('The List'!AD2:AD730))/STDEV('The List'!AD2:AD730)</f>
        <v>0.252784619152098</v>
      </c>
      <c r="R197" s="46">
        <f>(VLOOKUP($A197,'The List'!$B1:$AH730,30,FALSE)-AVERAGE('The List'!AE2:AE730))/STDEV('The List'!AE2:AE730)</f>
        <v>0.334856103198785</v>
      </c>
      <c r="S197" s="46">
        <f>(VLOOKUP($A197,'The List'!$B1:$AH730,31,FALSE)-AVERAGE('The List'!AF2:AF730))/STDEV('The List'!AF2:AF730)</f>
        <v>2.33393464393066</v>
      </c>
      <c r="T197" s="46">
        <f>(VLOOKUP($A197,'The List'!$B1:$AH730,32,FALSE)-AVERAGE('The List'!AG2:AG730))/STDEV('The List'!AG2:AG730)</f>
        <v>2.43821398518418</v>
      </c>
      <c r="U197" s="46">
        <f>(VLOOKUP($A197,'The List'!$B1:$AH730,33,FALSE)-AVERAGE('The List'!AH2:AH730))/STDEV('The List'!AH2:AH730)</f>
        <v>1.0223835388957</v>
      </c>
      <c r="V197" s="46"/>
      <c r="W197" s="48"/>
      <c r="X197" s="46"/>
      <c r="Y197" s="46"/>
      <c r="Z197" s="46"/>
      <c r="AA197" s="46"/>
      <c r="AB197" s="46"/>
      <c r="AC197" s="46"/>
      <c r="AD197" s="46"/>
      <c r="AE197" s="46"/>
    </row>
    <row r="198" ht="21.25" customHeight="1">
      <c r="A198" t="s" s="8">
        <v>422</v>
      </c>
      <c r="B198" t="s" s="42">
        <f>VLOOKUP(A198,'Player Data'!A1:B734,2,FALSE)</f>
        <v>166</v>
      </c>
      <c r="C198" s="44">
        <f>((E198)*'Settings'!$C$12)+(F198*'Settings'!$C$2)+(G198*'Settings'!$C$3)+(H198*'Settings'!$C$4)+(I198*'Settings'!$C$5)+(K198*'Settings'!$C$9)+(N198*'Settings'!$C$6)+(J198*'Settings'!$C$8)+(O198*'Settings'!$C$7)+(P198*'Settings'!$C$14)+(Q198*'Settings'!$C$15)+(R198*'Settings'!$C$16)+(S198*'Settings'!$C$17)+(T198*'Settings'!$C$18)+(U198*'Settings'!$C$19)+(L198*'Settings'!$C$10)+('Settings'!$C$11*M198)</f>
        <v>-0.071961960214841</v>
      </c>
      <c r="D198" s="48">
        <f>IF('Settings'!$E$12="YES",VLOOKUP(A198,'Player Data'!A1:E734,5,FALSE),82)</f>
        <v>72.1057142857143</v>
      </c>
      <c r="E198" s="46">
        <f>(VLOOKUP($A198,'The List'!$B1:$AH730,17,FALSE)-AVERAGE('The List'!R2:R730))/STDEV('The List'!R2:R730)</f>
        <v>0.0299986248730718</v>
      </c>
      <c r="F198" s="46">
        <f>(VLOOKUP($A198,'The List'!$B1:$AH730,18,FALSE)-AVERAGE('The List'!S2:S730))/STDEV('The List'!S2:S730)</f>
        <v>0.711778045478396</v>
      </c>
      <c r="G198" s="46">
        <f>(VLOOKUP($A198,'The List'!$B1:$AH730,19,FALSE)-AVERAGE('The List'!T2:T730))/STDEV('The List'!T2:T730)</f>
        <v>-0.147043061955697</v>
      </c>
      <c r="H198" s="46">
        <f>(VLOOKUP($A198,'The List'!$B1:$AH730,20,FALSE)-AVERAGE('The List'!U2:U730))/STDEV('The List'!U2:U730)</f>
        <v>0.233223170889829</v>
      </c>
      <c r="I198" s="46">
        <f>(VLOOKUP($A198,'The List'!$B1:$AH730,21,FALSE)-AVERAGE('The List'!V2:V730))/STDEV('The List'!V2:V730)</f>
        <v>0.258669489903884</v>
      </c>
      <c r="J198" s="46">
        <f>(VLOOKUP($A198,'The List'!$B1:$AH730,22,FALSE)-AVERAGE('The List'!W2:W730))/STDEV('The List'!W2:W730)</f>
        <v>1.75114076981502</v>
      </c>
      <c r="K198" s="46">
        <f>(VLOOKUP($A198,'The List'!$B1:$AH730,23,FALSE)-AVERAGE('The List'!X2:X730))/STDEV('The List'!X2:X730)</f>
        <v>0.603802512645336</v>
      </c>
      <c r="L198" s="46">
        <f>(VLOOKUP($A198,'The List'!$B1:$AH730,24,FALSE)-AVERAGE('The List'!Y2:Y730))/STDEV('The List'!Y2:Y730)</f>
        <v>-0.512543080955341</v>
      </c>
      <c r="M198" s="46">
        <f>(VLOOKUP($A198,'The List'!$B1:$AH730,25,FALSE)-AVERAGE('The List'!Z2:Z730))/STDEV('The List'!Z2:Z730)</f>
        <v>-0.637674891575683</v>
      </c>
      <c r="N198" s="46">
        <f>(VLOOKUP($A198,'The List'!$B1:$AH730,26,FALSE)-AVERAGE('The List'!AA2:AA730))/STDEV('The List'!AA2:AA730)</f>
        <v>-0.46666107775519</v>
      </c>
      <c r="O198" s="46">
        <f>(VLOOKUP($A198,'The List'!$B1:$AH730,27,FALSE)-AVERAGE('The List'!AB2:AB730))/STDEV('The List'!AB2:AB730)</f>
        <v>0.932217132179292</v>
      </c>
      <c r="P198" s="46">
        <f>(VLOOKUP($A198,'The List'!$B1:$AH730,28,FALSE)-AVERAGE('The List'!AC2:AC730))/STDEV('The List'!AC2:AC730)</f>
        <v>-1.03250786853157</v>
      </c>
      <c r="Q198" s="46">
        <f>(VLOOKUP($A198,'The List'!$B1:$AH730,29,FALSE)-AVERAGE('The List'!AD2:AD730))/STDEV('The List'!AD2:AD730)</f>
        <v>0.570251771560529</v>
      </c>
      <c r="R198" s="46">
        <f>(VLOOKUP($A198,'The List'!$B1:$AH730,30,FALSE)-AVERAGE('The List'!AE2:AE730))/STDEV('The List'!AE2:AE730)</f>
        <v>0.42220855237385</v>
      </c>
      <c r="S198" s="46">
        <f>(VLOOKUP($A198,'The List'!$B1:$AH730,31,FALSE)-AVERAGE('The List'!AF2:AF730))/STDEV('The List'!AF2:AF730)</f>
        <v>2.84236330958616e-05</v>
      </c>
      <c r="T198" s="46">
        <f>(VLOOKUP($A198,'The List'!$B1:$AH730,32,FALSE)-AVERAGE('The List'!AG2:AG730))/STDEV('The List'!AG2:AG730)</f>
        <v>0.0992519667164499</v>
      </c>
      <c r="U198" s="46">
        <f>(VLOOKUP($A198,'The List'!$B1:$AH730,33,FALSE)-AVERAGE('The List'!AH2:AH730))/STDEV('The List'!AH2:AH730)</f>
        <v>0.821054165062617</v>
      </c>
      <c r="V198" s="46"/>
      <c r="W198" s="48"/>
      <c r="X198" s="46"/>
      <c r="Y198" s="46"/>
      <c r="Z198" s="46"/>
      <c r="AA198" s="46"/>
      <c r="AB198" s="46"/>
      <c r="AC198" s="46"/>
      <c r="AD198" s="46"/>
      <c r="AE198" s="46"/>
    </row>
    <row r="199" ht="21.25" customHeight="1">
      <c r="A199" t="s" s="8">
        <v>276</v>
      </c>
      <c r="B199" t="s" s="42">
        <f>VLOOKUP(A199,'Player Data'!A1:B734,2,FALSE)</f>
        <v>196</v>
      </c>
      <c r="C199" s="44">
        <f>((E199)*'Settings'!$C$12)+(F199*'Settings'!$C$2)+(G199*'Settings'!$C$3)+(H199*'Settings'!$C$4)+(I199*'Settings'!$C$5)+(K199*'Settings'!$C$9)+(N199*'Settings'!$C$6)+(J199*'Settings'!$C$8)+(O199*'Settings'!$C$7)+(P199*'Settings'!$C$14)+(Q199*'Settings'!$C$15)+(R199*'Settings'!$C$16)+(S199*'Settings'!$C$17)+(T199*'Settings'!$C$18)+(U199*'Settings'!$C$19)+(L199*'Settings'!$C$10)+('Settings'!$C$11*M199)</f>
        <v>3.20258895937039</v>
      </c>
      <c r="D199" s="48">
        <f>IF('Settings'!$E$12="YES",VLOOKUP(A199,'Player Data'!A1:E734,5,FALSE),82)</f>
        <v>76.38</v>
      </c>
      <c r="E199" s="46">
        <f>(VLOOKUP($A199,'The List'!$B1:$AH730,17,FALSE)-AVERAGE('The List'!R2:R730))/STDEV('The List'!R2:R730)</f>
        <v>1.34604927131719</v>
      </c>
      <c r="F199" s="46">
        <f>(VLOOKUP($A199,'The List'!$B1:$AH730,18,FALSE)-AVERAGE('The List'!S2:S730))/STDEV('The List'!S2:S730)</f>
        <v>-0.48842251810224</v>
      </c>
      <c r="G199" s="46">
        <f>(VLOOKUP($A199,'The List'!$B1:$AH730,19,FALSE)-AVERAGE('The List'!T2:T730))/STDEV('The List'!T2:T730)</f>
        <v>0.906979216578316</v>
      </c>
      <c r="H199" s="46">
        <f>(VLOOKUP($A199,'The List'!$B1:$AH730,20,FALSE)-AVERAGE('The List'!U2:U730))/STDEV('The List'!U2:U730)</f>
        <v>0.336898724586129</v>
      </c>
      <c r="I199" s="46">
        <f>(VLOOKUP($A199,'The List'!$B1:$AH730,21,FALSE)-AVERAGE('The List'!V2:V730))/STDEV('The List'!V2:V730)</f>
        <v>0.0776360579511924</v>
      </c>
      <c r="J199" s="46">
        <f>(VLOOKUP($A199,'The List'!$B1:$AH730,22,FALSE)-AVERAGE('The List'!W2:W730))/STDEV('The List'!W2:W730)</f>
        <v>-0.154497217630129</v>
      </c>
      <c r="K199" s="46">
        <f>(VLOOKUP($A199,'The List'!$B1:$AH730,23,FALSE)-AVERAGE('The List'!X2:X730))/STDEV('The List'!X2:X730)</f>
        <v>1.35020931349624</v>
      </c>
      <c r="L199" s="46">
        <f>(VLOOKUP($A199,'The List'!$B1:$AH730,24,FALSE)-AVERAGE('The List'!Y2:Y730))/STDEV('The List'!Y2:Y730)</f>
        <v>-0.474681577556992</v>
      </c>
      <c r="M199" s="46">
        <f>(VLOOKUP($A199,'The List'!$B1:$AH730,25,FALSE)-AVERAGE('The List'!Z2:Z730))/STDEV('The List'!Z2:Z730)</f>
        <v>-0.201321354144318</v>
      </c>
      <c r="N199" s="46">
        <f>(VLOOKUP($A199,'The List'!$B1:$AH730,26,FALSE)-AVERAGE('The List'!AA2:AA730))/STDEV('The List'!AA2:AA730)</f>
        <v>2.34007224012545</v>
      </c>
      <c r="O199" s="46">
        <f>(VLOOKUP($A199,'The List'!$B1:$AH730,27,FALSE)-AVERAGE('The List'!AB2:AB730))/STDEV('The List'!AB2:AB730)</f>
        <v>0.00751874389065495</v>
      </c>
      <c r="P199" s="46">
        <f>(VLOOKUP($A199,'The List'!$B1:$AH730,28,FALSE)-AVERAGE('The List'!AC2:AC730))/STDEV('The List'!AC2:AC730)</f>
        <v>-0.983885350678567</v>
      </c>
      <c r="Q199" s="46">
        <f>(VLOOKUP($A199,'The List'!$B1:$AH730,29,FALSE)-AVERAGE('The List'!AD2:AD730))/STDEV('The List'!AD2:AD730)</f>
        <v>1.96713813269091</v>
      </c>
      <c r="R199" s="46">
        <f>(VLOOKUP($A199,'The List'!$B1:$AH730,30,FALSE)-AVERAGE('The List'!AE2:AE730))/STDEV('The List'!AE2:AE730)</f>
        <v>-0.5216904940964729</v>
      </c>
      <c r="S199" s="46">
        <f>(VLOOKUP($A199,'The List'!$B1:$AH730,31,FALSE)-AVERAGE('The List'!AF2:AF730))/STDEV('The List'!AF2:AF730)</f>
        <v>-0.5569063253591</v>
      </c>
      <c r="T199" s="46">
        <f>(VLOOKUP($A199,'The List'!$B1:$AH730,32,FALSE)-AVERAGE('The List'!AG2:AG730))/STDEV('The List'!AG2:AG730)</f>
        <v>-0.600856269042678</v>
      </c>
      <c r="U199" s="46">
        <f>(VLOOKUP($A199,'The List'!$B1:$AH730,33,FALSE)-AVERAGE('The List'!AH2:AH730))/STDEV('The List'!AH2:AH730)</f>
        <v>-1.2363238714826</v>
      </c>
      <c r="V199" s="46"/>
      <c r="W199" s="50"/>
      <c r="X199" s="48"/>
      <c r="Y199" s="48"/>
      <c r="Z199" s="48"/>
      <c r="AA199" s="48"/>
      <c r="AB199" s="48"/>
      <c r="AC199" s="51"/>
      <c r="AD199" s="52"/>
      <c r="AE199" s="46"/>
    </row>
    <row r="200" ht="21.25" customHeight="1">
      <c r="A200" t="s" s="8">
        <v>370</v>
      </c>
      <c r="B200" t="s" s="42">
        <f>VLOOKUP(A200,'Player Data'!A1:B734,2,FALSE)</f>
        <v>156</v>
      </c>
      <c r="C200" s="44">
        <f>((E200)*'Settings'!$C$12)+(F200*'Settings'!$C$2)+(G200*'Settings'!$C$3)+(H200*'Settings'!$C$4)+(I200*'Settings'!$C$5)+(K200*'Settings'!$C$9)+(N200*'Settings'!$C$6)+(J200*'Settings'!$C$8)+(O200*'Settings'!$C$7)+(P200*'Settings'!$C$14)+(Q200*'Settings'!$C$15)+(R200*'Settings'!$C$16)+(S200*'Settings'!$C$17)+(T200*'Settings'!$C$18)+(U200*'Settings'!$C$19)+(L200*'Settings'!$C$10)+('Settings'!$C$11*M200)</f>
        <v>1.0959759835712</v>
      </c>
      <c r="D200" s="48">
        <f>IF('Settings'!$E$12="YES",VLOOKUP(A200,'Player Data'!A1:E734,5,FALSE),82)</f>
        <v>79.7496428571429</v>
      </c>
      <c r="E200" s="46">
        <f>(VLOOKUP($A200,'The List'!$B1:$AH730,17,FALSE)-AVERAGE('The List'!R2:R730))/STDEV('The List'!R2:R730)</f>
        <v>0.152861538150902</v>
      </c>
      <c r="F200" s="46">
        <f>(VLOOKUP($A200,'The List'!$B1:$AH730,18,FALSE)-AVERAGE('The List'!S2:S730))/STDEV('The List'!S2:S730)</f>
        <v>0.625886335854874</v>
      </c>
      <c r="G200" s="46">
        <f>(VLOOKUP($A200,'The List'!$B1:$AH730,19,FALSE)-AVERAGE('The List'!T2:T730))/STDEV('The List'!T2:T730)</f>
        <v>0.208679717692785</v>
      </c>
      <c r="H200" s="46">
        <f>(VLOOKUP($A200,'The List'!$B1:$AH730,20,FALSE)-AVERAGE('The List'!U2:U730))/STDEV('The List'!U2:U730)</f>
        <v>0.413439138540418</v>
      </c>
      <c r="I200" s="46">
        <f>(VLOOKUP($A200,'The List'!$B1:$AH730,21,FALSE)-AVERAGE('The List'!V2:V730))/STDEV('The List'!V2:V730)</f>
        <v>0.850638467962891</v>
      </c>
      <c r="J200" s="46">
        <f>(VLOOKUP($A200,'The List'!$B1:$AH730,22,FALSE)-AVERAGE('The List'!W2:W730))/STDEV('The List'!W2:W730)</f>
        <v>0.950243649333481</v>
      </c>
      <c r="K200" s="46">
        <f>(VLOOKUP($A200,'The List'!$B1:$AH730,23,FALSE)-AVERAGE('The List'!X2:X730))/STDEV('The List'!X2:X730)</f>
        <v>0.408633299441202</v>
      </c>
      <c r="L200" s="46">
        <f>(VLOOKUP($A200,'The List'!$B1:$AH730,24,FALSE)-AVERAGE('The List'!Y2:Y730))/STDEV('The List'!Y2:Y730)</f>
        <v>-0.436948429634761</v>
      </c>
      <c r="M200" s="46">
        <f>(VLOOKUP($A200,'The List'!$B1:$AH730,25,FALSE)-AVERAGE('The List'!Z2:Z730))/STDEV('The List'!Z2:Z730)</f>
        <v>-0.602924327611096</v>
      </c>
      <c r="N200" s="46">
        <f>(VLOOKUP($A200,'The List'!$B1:$AH730,26,FALSE)-AVERAGE('The List'!AA2:AA730))/STDEV('The List'!AA2:AA730)</f>
        <v>-0.812815627125851</v>
      </c>
      <c r="O200" s="46">
        <f>(VLOOKUP($A200,'The List'!$B1:$AH730,27,FALSE)-AVERAGE('The List'!AB2:AB730))/STDEV('The List'!AB2:AB730)</f>
        <v>-0.496375549787961</v>
      </c>
      <c r="P200" s="46">
        <f>(VLOOKUP($A200,'The List'!$B1:$AH730,28,FALSE)-AVERAGE('The List'!AC2:AC730))/STDEV('The List'!AC2:AC730)</f>
        <v>-0.185046210254706</v>
      </c>
      <c r="Q200" s="46">
        <f>(VLOOKUP($A200,'The List'!$B1:$AH730,29,FALSE)-AVERAGE('The List'!AD2:AD730))/STDEV('The List'!AD2:AD730)</f>
        <v>-0.615255964901831</v>
      </c>
      <c r="R200" s="46">
        <f>(VLOOKUP($A200,'The List'!$B1:$AH730,30,FALSE)-AVERAGE('The List'!AE2:AE730))/STDEV('The List'!AE2:AE730)</f>
        <v>0.585437621117639</v>
      </c>
      <c r="S200" s="46">
        <f>(VLOOKUP($A200,'The List'!$B1:$AH730,31,FALSE)-AVERAGE('The List'!AF2:AF730))/STDEV('The List'!AF2:AF730)</f>
        <v>-0.537825450565354</v>
      </c>
      <c r="T200" s="46">
        <f>(VLOOKUP($A200,'The List'!$B1:$AH730,32,FALSE)-AVERAGE('The List'!AG2:AG730))/STDEV('The List'!AG2:AG730)</f>
        <v>-0.554491724039798</v>
      </c>
      <c r="U200" s="46">
        <f>(VLOOKUP($A200,'The List'!$B1:$AH730,33,FALSE)-AVERAGE('The List'!AH2:AH730))/STDEV('The List'!AH2:AH730)</f>
        <v>0.128013522619337</v>
      </c>
      <c r="V200" s="46"/>
      <c r="W200" s="48"/>
      <c r="X200" s="46"/>
      <c r="Y200" s="46"/>
      <c r="Z200" s="46"/>
      <c r="AA200" s="46"/>
      <c r="AB200" s="46"/>
      <c r="AC200" s="46"/>
      <c r="AD200" s="46"/>
      <c r="AE200" s="46"/>
    </row>
    <row r="201" ht="21.25" customHeight="1">
      <c r="A201" t="s" s="8">
        <v>469</v>
      </c>
      <c r="B201" t="s" s="42">
        <f>VLOOKUP(A201,'Player Data'!A1:B734,2,FALSE)</f>
        <v>202</v>
      </c>
      <c r="C201" s="44">
        <f>((E201)*'Settings'!$C$12)+(F201*'Settings'!$C$2)+(G201*'Settings'!$C$3)+(H201*'Settings'!$C$4)+(I201*'Settings'!$C$5)+(K201*'Settings'!$C$9)+(N201*'Settings'!$C$6)+(J201*'Settings'!$C$8)+(O201*'Settings'!$C$7)+(P201*'Settings'!$C$14)+(Q201*'Settings'!$C$15)+(R201*'Settings'!$C$16)+(S201*'Settings'!$C$17)+(T201*'Settings'!$C$18)+(U201*'Settings'!$C$19)+(L201*'Settings'!$C$10)+('Settings'!$C$11*M201)</f>
        <v>1.71362241353082</v>
      </c>
      <c r="D201" s="48">
        <f>IF('Settings'!$E$12="YES",VLOOKUP(A201,'Player Data'!A1:E734,5,FALSE),82)</f>
        <v>79.83</v>
      </c>
      <c r="E201" s="46">
        <f>(VLOOKUP($A201,'The List'!$B1:$AH730,17,FALSE)-AVERAGE('The List'!R2:R730))/STDEV('The List'!R2:R730)</f>
        <v>-0.258795185803967</v>
      </c>
      <c r="F201" s="46">
        <f>(VLOOKUP($A201,'The List'!$B1:$AH730,18,FALSE)-AVERAGE('The List'!S2:S730))/STDEV('The List'!S2:S730)</f>
        <v>0.509884189148302</v>
      </c>
      <c r="G201" s="46">
        <f>(VLOOKUP($A201,'The List'!$B1:$AH730,19,FALSE)-AVERAGE('The List'!T2:T730))/STDEV('The List'!T2:T730)</f>
        <v>0.297188408647668</v>
      </c>
      <c r="H201" s="46">
        <f>(VLOOKUP($A201,'The List'!$B1:$AH730,20,FALSE)-AVERAGE('The List'!U2:U730))/STDEV('The List'!U2:U730)</f>
        <v>0.415220279928738</v>
      </c>
      <c r="I201" s="46">
        <f>(VLOOKUP($A201,'The List'!$B1:$AH730,21,FALSE)-AVERAGE('The List'!V2:V730))/STDEV('The List'!V2:V730)</f>
        <v>0.0130515337437423</v>
      </c>
      <c r="J201" s="46">
        <f>(VLOOKUP($A201,'The List'!$B1:$AH730,22,FALSE)-AVERAGE('The List'!W2:W730))/STDEV('The List'!W2:W730)</f>
        <v>-0.117849658278915</v>
      </c>
      <c r="K201" s="46">
        <f>(VLOOKUP($A201,'The List'!$B1:$AH730,23,FALSE)-AVERAGE('The List'!X2:X730))/STDEV('The List'!X2:X730)</f>
        <v>0.137146267874545</v>
      </c>
      <c r="L201" s="46">
        <f>(VLOOKUP($A201,'The List'!$B1:$AH730,24,FALSE)-AVERAGE('The List'!Y2:Y730))/STDEV('The List'!Y2:Y730)</f>
        <v>0.0615225640004818</v>
      </c>
      <c r="M201" s="46">
        <f>(VLOOKUP($A201,'The List'!$B1:$AH730,25,FALSE)-AVERAGE('The List'!Z2:Z730))/STDEV('The List'!Z2:Z730)</f>
        <v>-0.297959966014879</v>
      </c>
      <c r="N201" s="46">
        <f>(VLOOKUP($A201,'The List'!$B1:$AH730,26,FALSE)-AVERAGE('The List'!AA2:AA730))/STDEV('The List'!AA2:AA730)</f>
        <v>-0.877572643760296</v>
      </c>
      <c r="O201" s="46">
        <f>(VLOOKUP($A201,'The List'!$B1:$AH730,27,FALSE)-AVERAGE('The List'!AB2:AB730))/STDEV('The List'!AB2:AB730)</f>
        <v>0.332636764400084</v>
      </c>
      <c r="P201" s="46">
        <f>(VLOOKUP($A201,'The List'!$B1:$AH730,28,FALSE)-AVERAGE('The List'!AC2:AC730))/STDEV('The List'!AC2:AC730)</f>
        <v>1.63392465787686</v>
      </c>
      <c r="Q201" s="46">
        <f>(VLOOKUP($A201,'The List'!$B1:$AH730,29,FALSE)-AVERAGE('The List'!AD2:AD730))/STDEV('The List'!AD2:AD730)</f>
        <v>0.607610263583956</v>
      </c>
      <c r="R201" s="46">
        <f>(VLOOKUP($A201,'The List'!$B1:$AH730,30,FALSE)-AVERAGE('The List'!AE2:AE730))/STDEV('The List'!AE2:AE730)</f>
        <v>0.923400948859312</v>
      </c>
      <c r="S201" s="46">
        <f>(VLOOKUP($A201,'The List'!$B1:$AH730,31,FALSE)-AVERAGE('The List'!AF2:AF730))/STDEV('The List'!AF2:AF730)</f>
        <v>1.21530966987615</v>
      </c>
      <c r="T201" s="46">
        <f>(VLOOKUP($A201,'The List'!$B1:$AH730,32,FALSE)-AVERAGE('The List'!AG2:AG730))/STDEV('The List'!AG2:AG730)</f>
        <v>1.21436508277415</v>
      </c>
      <c r="U201" s="46">
        <f>(VLOOKUP($A201,'The List'!$B1:$AH730,33,FALSE)-AVERAGE('The List'!AH2:AH730))/STDEV('The List'!AH2:AH730)</f>
        <v>1.05176908478016</v>
      </c>
      <c r="V201" s="46"/>
      <c r="W201" s="50"/>
      <c r="X201" s="48"/>
      <c r="Y201" s="48"/>
      <c r="Z201" s="48"/>
      <c r="AA201" s="48"/>
      <c r="AB201" s="48"/>
      <c r="AC201" s="51"/>
      <c r="AD201" s="52"/>
      <c r="AE201" s="46"/>
    </row>
    <row r="202" ht="21.25" customHeight="1">
      <c r="A202" t="s" s="8">
        <v>366</v>
      </c>
      <c r="B202" t="s" s="42">
        <f>VLOOKUP(A202,'Player Data'!A1:B734,2,FALSE)</f>
        <v>248</v>
      </c>
      <c r="C202" s="44">
        <f>((E202)*'Settings'!$C$12)+(F202*'Settings'!$C$2)+(G202*'Settings'!$C$3)+(H202*'Settings'!$C$4)+(I202*'Settings'!$C$5)+(K202*'Settings'!$C$9)+(N202*'Settings'!$C$6)+(J202*'Settings'!$C$8)+(O202*'Settings'!$C$7)+(P202*'Settings'!$C$14)+(Q202*'Settings'!$C$15)+(R202*'Settings'!$C$16)+(S202*'Settings'!$C$17)+(T202*'Settings'!$C$18)+(U202*'Settings'!$C$19)+(L202*'Settings'!$C$10)+('Settings'!$C$11*M202)</f>
        <v>1.13527810435822</v>
      </c>
      <c r="D202" s="48">
        <f>IF('Settings'!$E$12="YES",VLOOKUP(A202,'Player Data'!A1:E734,5,FALSE),82)</f>
        <v>81.09999999999999</v>
      </c>
      <c r="E202" s="46">
        <f>(VLOOKUP($A202,'The List'!$B1:$AH730,17,FALSE)-AVERAGE('The List'!R2:R730))/STDEV('The List'!R2:R730)</f>
        <v>-0.316696460384827</v>
      </c>
      <c r="F202" s="46">
        <f>(VLOOKUP($A202,'The List'!$B1:$AH730,18,FALSE)-AVERAGE('The List'!S2:S730))/STDEV('The List'!S2:S730)</f>
        <v>0.7103622128131371</v>
      </c>
      <c r="G202" s="46">
        <f>(VLOOKUP($A202,'The List'!$B1:$AH730,19,FALSE)-AVERAGE('The List'!T2:T730))/STDEV('The List'!T2:T730)</f>
        <v>0.19700060025775</v>
      </c>
      <c r="H202" s="46">
        <f>(VLOOKUP($A202,'The List'!$B1:$AH730,20,FALSE)-AVERAGE('The List'!U2:U730))/STDEV('The List'!U2:U730)</f>
        <v>0.444677334387041</v>
      </c>
      <c r="I202" s="46">
        <f>(VLOOKUP($A202,'The List'!$B1:$AH730,21,FALSE)-AVERAGE('The List'!V2:V730))/STDEV('The List'!V2:V730)</f>
        <v>0.8927413341249461</v>
      </c>
      <c r="J202" s="46">
        <f>(VLOOKUP($A202,'The List'!$B1:$AH730,22,FALSE)-AVERAGE('The List'!W2:W730))/STDEV('The List'!W2:W730)</f>
        <v>0.495477535038663</v>
      </c>
      <c r="K202" s="46">
        <f>(VLOOKUP($A202,'The List'!$B1:$AH730,23,FALSE)-AVERAGE('The List'!X2:X730))/STDEV('The List'!X2:X730)</f>
        <v>0.235198957141702</v>
      </c>
      <c r="L202" s="46">
        <f>(VLOOKUP($A202,'The List'!$B1:$AH730,24,FALSE)-AVERAGE('The List'!Y2:Y730))/STDEV('The List'!Y2:Y730)</f>
        <v>-0.538641447292564</v>
      </c>
      <c r="M202" s="46">
        <f>(VLOOKUP($A202,'The List'!$B1:$AH730,25,FALSE)-AVERAGE('The List'!Z2:Z730))/STDEV('The List'!Z2:Z730)</f>
        <v>-0.717044849600969</v>
      </c>
      <c r="N202" s="46">
        <f>(VLOOKUP($A202,'The List'!$B1:$AH730,26,FALSE)-AVERAGE('The List'!AA2:AA730))/STDEV('The List'!AA2:AA730)</f>
        <v>-0.609986300238893</v>
      </c>
      <c r="O202" s="46">
        <f>(VLOOKUP($A202,'The List'!$B1:$AH730,27,FALSE)-AVERAGE('The List'!AB2:AB730))/STDEV('The List'!AB2:AB730)</f>
        <v>-0.462373067068139</v>
      </c>
      <c r="P202" s="46">
        <f>(VLOOKUP($A202,'The List'!$B1:$AH730,28,FALSE)-AVERAGE('The List'!AC2:AC730))/STDEV('The List'!AC2:AC730)</f>
        <v>-0.290038699740425</v>
      </c>
      <c r="Q202" s="46">
        <f>(VLOOKUP($A202,'The List'!$B1:$AH730,29,FALSE)-AVERAGE('The List'!AD2:AD730))/STDEV('The List'!AD2:AD730)</f>
        <v>-0.946651536429242</v>
      </c>
      <c r="R202" s="46">
        <f>(VLOOKUP($A202,'The List'!$B1:$AH730,30,FALSE)-AVERAGE('The List'!AE2:AE730))/STDEV('The List'!AE2:AE730)</f>
        <v>0.650216779064933</v>
      </c>
      <c r="S202" s="46">
        <f>(VLOOKUP($A202,'The List'!$B1:$AH730,31,FALSE)-AVERAGE('The List'!AF2:AF730))/STDEV('The List'!AF2:AF730)</f>
        <v>-0.471060414420344</v>
      </c>
      <c r="T202" s="46">
        <f>(VLOOKUP($A202,'The List'!$B1:$AH730,32,FALSE)-AVERAGE('The List'!AG2:AG730))/STDEV('The List'!AG2:AG730)</f>
        <v>-0.453255633989883</v>
      </c>
      <c r="U202" s="46">
        <f>(VLOOKUP($A202,'The List'!$B1:$AH730,33,FALSE)-AVERAGE('The List'!AH2:AH730))/STDEV('The List'!AH2:AH730)</f>
        <v>0.477833910158195</v>
      </c>
      <c r="V202" s="46"/>
      <c r="W202" s="48"/>
      <c r="X202" s="46"/>
      <c r="Y202" s="46"/>
      <c r="Z202" s="46"/>
      <c r="AA202" s="46"/>
      <c r="AB202" s="46"/>
      <c r="AC202" s="46"/>
      <c r="AD202" s="46"/>
      <c r="AE202" s="46"/>
    </row>
    <row r="203" ht="21.25" customHeight="1">
      <c r="A203" t="s" s="8">
        <v>524</v>
      </c>
      <c r="B203" t="s" s="42">
        <f>VLOOKUP(A203,'Player Data'!A1:B734,2,FALSE)</f>
        <v>131</v>
      </c>
      <c r="C203" s="44">
        <f>((E203)*'Settings'!$C$12)+(F203*'Settings'!$C$2)+(G203*'Settings'!$C$3)+(H203*'Settings'!$C$4)+(I203*'Settings'!$C$5)+(K203*'Settings'!$C$9)+(N203*'Settings'!$C$6)+(J203*'Settings'!$C$8)+(O203*'Settings'!$C$7)+(P203*'Settings'!$C$14)+(Q203*'Settings'!$C$15)+(R203*'Settings'!$C$16)+(S203*'Settings'!$C$17)+(T203*'Settings'!$C$18)+(U203*'Settings'!$C$19)+(L203*'Settings'!$C$10)+('Settings'!$C$11*M203)</f>
        <v>-0.587567450918798</v>
      </c>
      <c r="D203" s="48">
        <f>IF('Settings'!$E$12="YES",VLOOKUP(A203,'Player Data'!A1:E734,5,FALSE),82)</f>
        <v>69.35250000000001</v>
      </c>
      <c r="E203" s="46">
        <f>(VLOOKUP($A203,'The List'!$B1:$AH730,17,FALSE)-AVERAGE('The List'!R2:R730))/STDEV('The List'!R2:R730)</f>
        <v>-0.466557556980538</v>
      </c>
      <c r="F203" s="46">
        <f>(VLOOKUP($A203,'The List'!$B1:$AH730,18,FALSE)-AVERAGE('The List'!S2:S730))/STDEV('The List'!S2:S730)</f>
        <v>0.0241895599906158</v>
      </c>
      <c r="G203" s="46">
        <f>(VLOOKUP($A203,'The List'!$B1:$AH730,19,FALSE)-AVERAGE('The List'!T2:T730))/STDEV('The List'!T2:T730)</f>
        <v>0.201095599996642</v>
      </c>
      <c r="H203" s="46">
        <f>(VLOOKUP($A203,'The List'!$B1:$AH730,20,FALSE)-AVERAGE('The List'!U2:U730))/STDEV('The List'!U2:U730)</f>
        <v>0.134979529196345</v>
      </c>
      <c r="I203" s="46">
        <f>(VLOOKUP($A203,'The List'!$B1:$AH730,21,FALSE)-AVERAGE('The List'!V2:V730))/STDEV('The List'!V2:V730)</f>
        <v>-0.176970304230357</v>
      </c>
      <c r="J203" s="46">
        <f>(VLOOKUP($A203,'The List'!$B1:$AH730,22,FALSE)-AVERAGE('The List'!W2:W730))/STDEV('The List'!W2:W730)</f>
        <v>0.743520394050118</v>
      </c>
      <c r="K203" s="46">
        <f>(VLOOKUP($A203,'The List'!$B1:$AH730,23,FALSE)-AVERAGE('The List'!X2:X730))/STDEV('The List'!X2:X730)</f>
        <v>0.334719853000864</v>
      </c>
      <c r="L203" s="46">
        <f>(VLOOKUP($A203,'The List'!$B1:$AH730,24,FALSE)-AVERAGE('The List'!Y2:Y730))/STDEV('The List'!Y2:Y730)</f>
        <v>-0.541839048971325</v>
      </c>
      <c r="M203" s="46">
        <f>(VLOOKUP($A203,'The List'!$B1:$AH730,25,FALSE)-AVERAGE('The List'!Z2:Z730))/STDEV('The List'!Z2:Z730)</f>
        <v>-0.720666395596462</v>
      </c>
      <c r="N203" s="46">
        <f>(VLOOKUP($A203,'The List'!$B1:$AH730,26,FALSE)-AVERAGE('The List'!AA2:AA730))/STDEV('The List'!AA2:AA730)</f>
        <v>-0.671975885084774</v>
      </c>
      <c r="O203" s="46">
        <f>(VLOOKUP($A203,'The List'!$B1:$AH730,27,FALSE)-AVERAGE('The List'!AB2:AB730))/STDEV('The List'!AB2:AB730)</f>
        <v>-0.597812333306186</v>
      </c>
      <c r="P203" s="46">
        <f>(VLOOKUP($A203,'The List'!$B1:$AH730,28,FALSE)-AVERAGE('The List'!AC2:AC730))/STDEV('The List'!AC2:AC730)</f>
        <v>-0.298626274591789</v>
      </c>
      <c r="Q203" s="46">
        <f>(VLOOKUP($A203,'The List'!$B1:$AH730,29,FALSE)-AVERAGE('The List'!AD2:AD730))/STDEV('The List'!AD2:AD730)</f>
        <v>-1.02483687360615</v>
      </c>
      <c r="R203" s="46">
        <f>(VLOOKUP($A203,'The List'!$B1:$AH730,30,FALSE)-AVERAGE('The List'!AE2:AE730))/STDEV('The List'!AE2:AE730)</f>
        <v>0.06954458361327299</v>
      </c>
      <c r="S203" s="46">
        <f>(VLOOKUP($A203,'The List'!$B1:$AH730,31,FALSE)-AVERAGE('The List'!AF2:AF730))/STDEV('The List'!AF2:AF730)</f>
        <v>-0.456139134549554</v>
      </c>
      <c r="T203" s="46">
        <f>(VLOOKUP($A203,'The List'!$B1:$AH730,32,FALSE)-AVERAGE('The List'!AG2:AG730))/STDEV('The List'!AG2:AG730)</f>
        <v>-0.47413315830319</v>
      </c>
      <c r="U203" s="46">
        <f>(VLOOKUP($A203,'The List'!$B1:$AH730,33,FALSE)-AVERAGE('The List'!AH2:AH730))/STDEV('The List'!AH2:AH730)</f>
        <v>0.820600731138913</v>
      </c>
      <c r="V203" s="46"/>
      <c r="W203" s="50"/>
      <c r="X203" s="48"/>
      <c r="Y203" s="48"/>
      <c r="Z203" s="48"/>
      <c r="AA203" s="48"/>
      <c r="AB203" s="48"/>
      <c r="AC203" s="51"/>
      <c r="AD203" s="52"/>
      <c r="AE203" s="46"/>
    </row>
    <row r="204" ht="21.25" customHeight="1">
      <c r="A204" t="s" s="8">
        <v>353</v>
      </c>
      <c r="B204" t="s" s="42">
        <f>VLOOKUP(A204,'Player Data'!A1:B734,2,FALSE)</f>
        <v>238</v>
      </c>
      <c r="C204" s="44">
        <f>((E204)*'Settings'!$C$12)+(F204*'Settings'!$C$2)+(G204*'Settings'!$C$3)+(H204*'Settings'!$C$4)+(I204*'Settings'!$C$5)+(K204*'Settings'!$C$9)+(N204*'Settings'!$C$6)+(J204*'Settings'!$C$8)+(O204*'Settings'!$C$7)+(P204*'Settings'!$C$14)+(Q204*'Settings'!$C$15)+(R204*'Settings'!$C$16)+(S204*'Settings'!$C$17)+(T204*'Settings'!$C$18)+(U204*'Settings'!$C$19)+(L204*'Settings'!$C$10)+('Settings'!$C$11*M204)</f>
        <v>3.24623541119633</v>
      </c>
      <c r="D204" s="48">
        <f>IF('Settings'!$E$12="YES",VLOOKUP(A204,'Player Data'!A1:E734,5,FALSE),82)</f>
        <v>81.59999999999999</v>
      </c>
      <c r="E204" s="46">
        <f>(VLOOKUP($A204,'The List'!$B1:$AH730,17,FALSE)-AVERAGE('The List'!R2:R730))/STDEV('The List'!R2:R730)</f>
        <v>0.337928985892183</v>
      </c>
      <c r="F204" s="46">
        <f>(VLOOKUP($A204,'The List'!$B1:$AH730,18,FALSE)-AVERAGE('The List'!S2:S730))/STDEV('The List'!S2:S730)</f>
        <v>0.141580747212953</v>
      </c>
      <c r="G204" s="46">
        <f>(VLOOKUP($A204,'The List'!$B1:$AH730,19,FALSE)-AVERAGE('The List'!T2:T730))/STDEV('The List'!T2:T730)</f>
        <v>0.607800404892341</v>
      </c>
      <c r="H204" s="46">
        <f>(VLOOKUP($A204,'The List'!$B1:$AH730,20,FALSE)-AVERAGE('The List'!U2:U730))/STDEV('The List'!U2:U730)</f>
        <v>0.439123040365947</v>
      </c>
      <c r="I204" s="46">
        <f>(VLOOKUP($A204,'The List'!$B1:$AH730,21,FALSE)-AVERAGE('The List'!V2:V730))/STDEV('The List'!V2:V730)</f>
        <v>1.73118830453755</v>
      </c>
      <c r="J204" s="46">
        <f>(VLOOKUP($A204,'The List'!$B1:$AH730,22,FALSE)-AVERAGE('The List'!W2:W730))/STDEV('The List'!W2:W730)</f>
        <v>0.0254692738373429</v>
      </c>
      <c r="K204" s="46">
        <f>(VLOOKUP($A204,'The List'!$B1:$AH730,23,FALSE)-AVERAGE('The List'!X2:X730))/STDEV('The List'!X2:X730)</f>
        <v>0.203060637100804</v>
      </c>
      <c r="L204" s="46">
        <f>(VLOOKUP($A204,'The List'!$B1:$AH730,24,FALSE)-AVERAGE('The List'!Y2:Y730))/STDEV('The List'!Y2:Y730)</f>
        <v>0.661072038745308</v>
      </c>
      <c r="M204" s="46">
        <f>(VLOOKUP($A204,'The List'!$B1:$AH730,25,FALSE)-AVERAGE('The List'!Z2:Z730))/STDEV('The List'!Z2:Z730)</f>
        <v>1.88082384955786</v>
      </c>
      <c r="N204" s="46">
        <f>(VLOOKUP($A204,'The List'!$B1:$AH730,26,FALSE)-AVERAGE('The List'!AA2:AA730))/STDEV('The List'!AA2:AA730)</f>
        <v>-0.715306912132047</v>
      </c>
      <c r="O204" s="46">
        <f>(VLOOKUP($A204,'The List'!$B1:$AH730,27,FALSE)-AVERAGE('The List'!AB2:AB730))/STDEV('The List'!AB2:AB730)</f>
        <v>-0.143111831770472</v>
      </c>
      <c r="P204" s="46">
        <f>(VLOOKUP($A204,'The List'!$B1:$AH730,28,FALSE)-AVERAGE('The List'!AC2:AC730))/STDEV('The List'!AC2:AC730)</f>
        <v>1.27791222958473</v>
      </c>
      <c r="Q204" s="46">
        <f>(VLOOKUP($A204,'The List'!$B1:$AH730,29,FALSE)-AVERAGE('The List'!AD2:AD730))/STDEV('The List'!AD2:AD730)</f>
        <v>0.322848286465568</v>
      </c>
      <c r="R204" s="46">
        <f>(VLOOKUP($A204,'The List'!$B1:$AH730,30,FALSE)-AVERAGE('The List'!AE2:AE730))/STDEV('The List'!AE2:AE730)</f>
        <v>0.378148202689687</v>
      </c>
      <c r="S204" s="46">
        <f>(VLOOKUP($A204,'The List'!$B1:$AH730,31,FALSE)-AVERAGE('The List'!AF2:AF730))/STDEV('The List'!AF2:AF730)</f>
        <v>2.74511290690822</v>
      </c>
      <c r="T204" s="46">
        <f>(VLOOKUP($A204,'The List'!$B1:$AH730,32,FALSE)-AVERAGE('The List'!AG2:AG730))/STDEV('The List'!AG2:AG730)</f>
        <v>2.74506007325915</v>
      </c>
      <c r="U204" s="46">
        <f>(VLOOKUP($A204,'The List'!$B1:$AH730,33,FALSE)-AVERAGE('The List'!AH2:AH730))/STDEV('The List'!AH2:AH730)</f>
        <v>1.06392650702879</v>
      </c>
      <c r="V204" s="46"/>
      <c r="W204" s="50"/>
      <c r="X204" s="48"/>
      <c r="Y204" s="48"/>
      <c r="Z204" s="48"/>
      <c r="AA204" s="48"/>
      <c r="AB204" s="48"/>
      <c r="AC204" s="51"/>
      <c r="AD204" s="52"/>
      <c r="AE204" s="46"/>
    </row>
    <row r="205" ht="21.25" customHeight="1">
      <c r="A205" t="s" s="8">
        <v>503</v>
      </c>
      <c r="B205" t="s" s="42">
        <f>VLOOKUP(A205,'Player Data'!A1:B734,2,FALSE)</f>
        <v>236</v>
      </c>
      <c r="C205" s="44">
        <f>((E205)*'Settings'!$C$12)+(F205*'Settings'!$C$2)+(G205*'Settings'!$C$3)+(H205*'Settings'!$C$4)+(I205*'Settings'!$C$5)+(K205*'Settings'!$C$9)+(N205*'Settings'!$C$6)+(J205*'Settings'!$C$8)+(O205*'Settings'!$C$7)+(P205*'Settings'!$C$14)+(Q205*'Settings'!$C$15)+(R205*'Settings'!$C$16)+(S205*'Settings'!$C$17)+(T205*'Settings'!$C$18)+(U205*'Settings'!$C$19)+(L205*'Settings'!$C$10)+('Settings'!$C$11*M205)</f>
        <v>-1.01240671783756</v>
      </c>
      <c r="D205" s="48">
        <f>IF('Settings'!$E$12="YES",VLOOKUP(A205,'Player Data'!A1:E734,5,FALSE),82)</f>
        <v>74.1925</v>
      </c>
      <c r="E205" s="46">
        <f>(VLOOKUP($A205,'The List'!$B1:$AH730,17,FALSE)-AVERAGE('The List'!R2:R730))/STDEV('The List'!R2:R730)</f>
        <v>0.408189215620256</v>
      </c>
      <c r="F205" s="46">
        <f>(VLOOKUP($A205,'The List'!$B1:$AH730,18,FALSE)-AVERAGE('The List'!S2:S730))/STDEV('The List'!S2:S730)</f>
        <v>0.264281285564336</v>
      </c>
      <c r="G205" s="46">
        <f>(VLOOKUP($A205,'The List'!$B1:$AH730,19,FALSE)-AVERAGE('The List'!T2:T730))/STDEV('The List'!T2:T730)</f>
        <v>0.194893646555642</v>
      </c>
      <c r="H205" s="46">
        <f>(VLOOKUP($A205,'The List'!$B1:$AH730,20,FALSE)-AVERAGE('The List'!U2:U730))/STDEV('The List'!U2:U730)</f>
        <v>0.240402656759847</v>
      </c>
      <c r="I205" s="46">
        <f>(VLOOKUP($A205,'The List'!$B1:$AH730,21,FALSE)-AVERAGE('The List'!V2:V730))/STDEV('The List'!V2:V730)</f>
        <v>-0.395295753043511</v>
      </c>
      <c r="J205" s="46">
        <f>(VLOOKUP($A205,'The List'!$B1:$AH730,22,FALSE)-AVERAGE('The List'!W2:W730))/STDEV('The List'!W2:W730)</f>
        <v>0.258754571842544</v>
      </c>
      <c r="K205" s="46">
        <f>(VLOOKUP($A205,'The List'!$B1:$AH730,23,FALSE)-AVERAGE('The List'!X2:X730))/STDEV('The List'!X2:X730)</f>
        <v>0.0996221131333369</v>
      </c>
      <c r="L205" s="46">
        <f>(VLOOKUP($A205,'The List'!$B1:$AH730,24,FALSE)-AVERAGE('The List'!Y2:Y730))/STDEV('The List'!Y2:Y730)</f>
        <v>1.23662585167199</v>
      </c>
      <c r="M205" s="46">
        <f>(VLOOKUP($A205,'The List'!$B1:$AH730,25,FALSE)-AVERAGE('The List'!Z2:Z730))/STDEV('The List'!Z2:Z730)</f>
        <v>1.39235224189388</v>
      </c>
      <c r="N205" s="46">
        <f>(VLOOKUP($A205,'The List'!$B1:$AH730,26,FALSE)-AVERAGE('The List'!AA2:AA730))/STDEV('The List'!AA2:AA730)</f>
        <v>-0.105402005500833</v>
      </c>
      <c r="O205" s="46">
        <f>(VLOOKUP($A205,'The List'!$B1:$AH730,27,FALSE)-AVERAGE('The List'!AB2:AB730))/STDEV('The List'!AB2:AB730)</f>
        <v>-0.232274159229693</v>
      </c>
      <c r="P205" s="46">
        <f>(VLOOKUP($A205,'The List'!$B1:$AH730,28,FALSE)-AVERAGE('The List'!AC2:AC730))/STDEV('The List'!AC2:AC730)</f>
        <v>-1.07050600454653</v>
      </c>
      <c r="Q205" s="46">
        <f>(VLOOKUP($A205,'The List'!$B1:$AH730,29,FALSE)-AVERAGE('The List'!AD2:AD730))/STDEV('The List'!AD2:AD730)</f>
        <v>-0.94254232090253</v>
      </c>
      <c r="R205" s="46">
        <f>(VLOOKUP($A205,'The List'!$B1:$AH730,30,FALSE)-AVERAGE('The List'!AE2:AE730))/STDEV('The List'!AE2:AE730)</f>
        <v>0.008604512853345989</v>
      </c>
      <c r="S205" s="46">
        <f>(VLOOKUP($A205,'The List'!$B1:$AH730,31,FALSE)-AVERAGE('The List'!AF2:AF730))/STDEV('The List'!AF2:AF730)</f>
        <v>1.07050403848568</v>
      </c>
      <c r="T205" s="46">
        <f>(VLOOKUP($A205,'The List'!$B1:$AH730,32,FALSE)-AVERAGE('The List'!AG2:AG730))/STDEV('The List'!AG2:AG730)</f>
        <v>2.55439500498821</v>
      </c>
      <c r="U205" s="46">
        <f>(VLOOKUP($A205,'The List'!$B1:$AH730,33,FALSE)-AVERAGE('The List'!AH2:AH730))/STDEV('The List'!AH2:AH730)</f>
        <v>0.352048664013929</v>
      </c>
      <c r="V205" s="46"/>
      <c r="W205" s="50"/>
      <c r="X205" s="48"/>
      <c r="Y205" s="48"/>
      <c r="Z205" s="48"/>
      <c r="AA205" s="48"/>
      <c r="AB205" s="48"/>
      <c r="AC205" s="51"/>
      <c r="AD205" s="52"/>
      <c r="AE205" s="46"/>
    </row>
    <row r="206" ht="21.25" customHeight="1">
      <c r="A206" t="s" s="8">
        <v>409</v>
      </c>
      <c r="B206" t="s" s="42">
        <f>VLOOKUP(A206,'Player Data'!A1:B734,2,FALSE)</f>
        <v>164</v>
      </c>
      <c r="C206" s="44">
        <f>((E206)*'Settings'!$C$12)+(F206*'Settings'!$C$2)+(G206*'Settings'!$C$3)+(H206*'Settings'!$C$4)+(I206*'Settings'!$C$5)+(K206*'Settings'!$C$9)+(N206*'Settings'!$C$6)+(J206*'Settings'!$C$8)+(O206*'Settings'!$C$7)+(P206*'Settings'!$C$14)+(Q206*'Settings'!$C$15)+(R206*'Settings'!$C$16)+(S206*'Settings'!$C$17)+(T206*'Settings'!$C$18)+(U206*'Settings'!$C$19)+(L206*'Settings'!$C$10)+('Settings'!$C$11*M206)</f>
        <v>1.69598562769997</v>
      </c>
      <c r="D206" s="48">
        <f>IF('Settings'!$E$12="YES",VLOOKUP(A206,'Player Data'!A1:E734,5,FALSE),82)</f>
        <v>79.59999999999999</v>
      </c>
      <c r="E206" s="46">
        <f>(VLOOKUP($A206,'The List'!$B1:$AH730,17,FALSE)-AVERAGE('The List'!R2:R730))/STDEV('The List'!R2:R730)</f>
        <v>-0.144186490547764</v>
      </c>
      <c r="F206" s="46">
        <f>(VLOOKUP($A206,'The List'!$B1:$AH730,18,FALSE)-AVERAGE('The List'!S2:S730))/STDEV('The List'!S2:S730)</f>
        <v>1.04787710627925</v>
      </c>
      <c r="G206" s="46">
        <f>(VLOOKUP($A206,'The List'!$B1:$AH730,19,FALSE)-AVERAGE('The List'!T2:T730))/STDEV('The List'!T2:T730)</f>
        <v>-0.185444729726224</v>
      </c>
      <c r="H206" s="46">
        <f>(VLOOKUP($A206,'The List'!$B1:$AH730,20,FALSE)-AVERAGE('The List'!U2:U730))/STDEV('The List'!U2:U730)</f>
        <v>0.362480860814413</v>
      </c>
      <c r="I206" s="46">
        <f>(VLOOKUP($A206,'The List'!$B1:$AH730,21,FALSE)-AVERAGE('The List'!V2:V730))/STDEV('The List'!V2:V730)</f>
        <v>0.73812865506432</v>
      </c>
      <c r="J206" s="46">
        <f>(VLOOKUP($A206,'The List'!$B1:$AH730,22,FALSE)-AVERAGE('The List'!W2:W730))/STDEV('The List'!W2:W730)</f>
        <v>0.309886665125432</v>
      </c>
      <c r="K206" s="46">
        <f>(VLOOKUP($A206,'The List'!$B1:$AH730,23,FALSE)-AVERAGE('The List'!X2:X730))/STDEV('The List'!X2:X730)</f>
        <v>-0.11659648502173</v>
      </c>
      <c r="L206" s="46">
        <f>(VLOOKUP($A206,'The List'!$B1:$AH730,24,FALSE)-AVERAGE('The List'!Y2:Y730))/STDEV('The List'!Y2:Y730)</f>
        <v>-0.525506513090077</v>
      </c>
      <c r="M206" s="46">
        <f>(VLOOKUP($A206,'The List'!$B1:$AH730,25,FALSE)-AVERAGE('The List'!Z2:Z730))/STDEV('The List'!Z2:Z730)</f>
        <v>-0.702394763859169</v>
      </c>
      <c r="N206" s="46">
        <f>(VLOOKUP($A206,'The List'!$B1:$AH730,26,FALSE)-AVERAGE('The List'!AA2:AA730))/STDEV('The List'!AA2:AA730)</f>
        <v>-0.7466327505338129</v>
      </c>
      <c r="O206" s="46">
        <f>(VLOOKUP($A206,'The List'!$B1:$AH730,27,FALSE)-AVERAGE('The List'!AB2:AB730))/STDEV('The List'!AB2:AB730)</f>
        <v>1.17033407832904</v>
      </c>
      <c r="P206" s="46">
        <f>(VLOOKUP($A206,'The List'!$B1:$AH730,28,FALSE)-AVERAGE('The List'!AC2:AC730))/STDEV('The List'!AC2:AC730)</f>
        <v>0.958653831638167</v>
      </c>
      <c r="Q206" s="46">
        <f>(VLOOKUP($A206,'The List'!$B1:$AH730,29,FALSE)-AVERAGE('The List'!AD2:AD730))/STDEV('The List'!AD2:AD730)</f>
        <v>-0.196995751443518</v>
      </c>
      <c r="R206" s="46">
        <f>(VLOOKUP($A206,'The List'!$B1:$AH730,30,FALSE)-AVERAGE('The List'!AE2:AE730))/STDEV('The List'!AE2:AE730)</f>
        <v>1.19440371570295</v>
      </c>
      <c r="S206" s="46">
        <f>(VLOOKUP($A206,'The List'!$B1:$AH730,31,FALSE)-AVERAGE('The List'!AF2:AF730))/STDEV('The List'!AF2:AF730)</f>
        <v>-0.516597822584424</v>
      </c>
      <c r="T206" s="46">
        <f>(VLOOKUP($A206,'The List'!$B1:$AH730,32,FALSE)-AVERAGE('The List'!AG2:AG730))/STDEV('The List'!AG2:AG730)</f>
        <v>-0.555201575882572</v>
      </c>
      <c r="U206" s="46">
        <f>(VLOOKUP($A206,'The List'!$B1:$AH730,33,FALSE)-AVERAGE('The List'!AH2:AH730))/STDEV('The List'!AH2:AH730)</f>
        <v>0.938259874273689</v>
      </c>
      <c r="V206" s="46"/>
      <c r="W206" s="48"/>
      <c r="X206" s="46"/>
      <c r="Y206" s="46"/>
      <c r="Z206" s="46"/>
      <c r="AA206" s="46"/>
      <c r="AB206" s="46"/>
      <c r="AC206" s="46"/>
      <c r="AD206" s="46"/>
      <c r="AE206" s="46"/>
    </row>
    <row r="207" ht="21.25" customHeight="1">
      <c r="A207" t="s" s="8">
        <v>453</v>
      </c>
      <c r="B207" t="s" s="42">
        <f>VLOOKUP(A207,'Player Data'!A1:B734,2,FALSE)</f>
        <v>204</v>
      </c>
      <c r="C207" s="44">
        <f>((E207)*'Settings'!$C$12)+(F207*'Settings'!$C$2)+(G207*'Settings'!$C$3)+(H207*'Settings'!$C$4)+(I207*'Settings'!$C$5)+(K207*'Settings'!$C$9)+(N207*'Settings'!$C$6)+(J207*'Settings'!$C$8)+(O207*'Settings'!$C$7)+(P207*'Settings'!$C$14)+(Q207*'Settings'!$C$15)+(R207*'Settings'!$C$16)+(S207*'Settings'!$C$17)+(T207*'Settings'!$C$18)+(U207*'Settings'!$C$19)+(L207*'Settings'!$C$10)+('Settings'!$C$11*M207)</f>
        <v>0.284422905979091</v>
      </c>
      <c r="D207" s="48">
        <f>IF('Settings'!$E$12="YES",VLOOKUP(A207,'Player Data'!A1:E734,5,FALSE),82)</f>
        <v>71.2375</v>
      </c>
      <c r="E207" s="46">
        <f>(VLOOKUP($A207,'The List'!$B1:$AH730,17,FALSE)-AVERAGE('The List'!R2:R730))/STDEV('The List'!R2:R730)</f>
        <v>0.0966581763512137</v>
      </c>
      <c r="F207" s="46">
        <f>(VLOOKUP($A207,'The List'!$B1:$AH730,18,FALSE)-AVERAGE('The List'!S2:S730))/STDEV('The List'!S2:S730)</f>
        <v>0.159186137657526</v>
      </c>
      <c r="G207" s="46">
        <f>(VLOOKUP($A207,'The List'!$B1:$AH730,19,FALSE)-AVERAGE('The List'!T2:T730))/STDEV('The List'!T2:T730)</f>
        <v>0.701418424480635</v>
      </c>
      <c r="H207" s="46">
        <f>(VLOOKUP($A207,'The List'!$B1:$AH730,20,FALSE)-AVERAGE('The List'!U2:U730))/STDEV('The List'!U2:U730)</f>
        <v>0.5048481246977</v>
      </c>
      <c r="I207" s="46">
        <f>(VLOOKUP($A207,'The List'!$B1:$AH730,21,FALSE)-AVERAGE('The List'!V2:V730))/STDEV('The List'!V2:V730)</f>
        <v>0.122763016722659</v>
      </c>
      <c r="J207" s="46">
        <f>(VLOOKUP($A207,'The List'!$B1:$AH730,22,FALSE)-AVERAGE('The List'!W2:W730))/STDEV('The List'!W2:W730)</f>
        <v>0.360957656042561</v>
      </c>
      <c r="K207" s="46">
        <f>(VLOOKUP($A207,'The List'!$B1:$AH730,23,FALSE)-AVERAGE('The List'!X2:X730))/STDEV('The List'!X2:X730)</f>
        <v>0.0333062774412201</v>
      </c>
      <c r="L207" s="46">
        <f>(VLOOKUP($A207,'The List'!$B1:$AH730,24,FALSE)-AVERAGE('The List'!Y2:Y730))/STDEV('The List'!Y2:Y730)</f>
        <v>-0.471024634453032</v>
      </c>
      <c r="M207" s="46">
        <f>(VLOOKUP($A207,'The List'!$B1:$AH730,25,FALSE)-AVERAGE('The List'!Z2:Z730))/STDEV('The List'!Z2:Z730)</f>
        <v>-0.644420053262126</v>
      </c>
      <c r="N207" s="46">
        <f>(VLOOKUP($A207,'The List'!$B1:$AH730,26,FALSE)-AVERAGE('The List'!AA2:AA730))/STDEV('The List'!AA2:AA730)</f>
        <v>-0.843112586229809</v>
      </c>
      <c r="O207" s="46">
        <f>(VLOOKUP($A207,'The List'!$B1:$AH730,27,FALSE)-AVERAGE('The List'!AB2:AB730))/STDEV('The List'!AB2:AB730)</f>
        <v>-0.380253240257139</v>
      </c>
      <c r="P207" s="46">
        <f>(VLOOKUP($A207,'The List'!$B1:$AH730,28,FALSE)-AVERAGE('The List'!AC2:AC730))/STDEV('The List'!AC2:AC730)</f>
        <v>0.11086163590686</v>
      </c>
      <c r="Q207" s="46">
        <f>(VLOOKUP($A207,'The List'!$B1:$AH730,29,FALSE)-AVERAGE('The List'!AD2:AD730))/STDEV('The List'!AD2:AD730)</f>
        <v>0.763329442075826</v>
      </c>
      <c r="R207" s="46">
        <f>(VLOOKUP($A207,'The List'!$B1:$AH730,30,FALSE)-AVERAGE('The List'!AE2:AE730))/STDEV('The List'!AE2:AE730)</f>
        <v>0.217082243196778</v>
      </c>
      <c r="S207" s="46">
        <f>(VLOOKUP($A207,'The List'!$B1:$AH730,31,FALSE)-AVERAGE('The List'!AF2:AF730))/STDEV('The List'!AF2:AF730)</f>
        <v>0.00659027774047884</v>
      </c>
      <c r="T207" s="46">
        <f>(VLOOKUP($A207,'The List'!$B1:$AH730,32,FALSE)-AVERAGE('The List'!AG2:AG730))/STDEV('The List'!AG2:AG730)</f>
        <v>0.08729491717545131</v>
      </c>
      <c r="U207" s="46">
        <f>(VLOOKUP($A207,'The List'!$B1:$AH730,33,FALSE)-AVERAGE('The List'!AH2:AH730))/STDEV('The List'!AH2:AH730)</f>
        <v>0.853510622835413</v>
      </c>
      <c r="V207" s="46"/>
      <c r="W207" s="50"/>
      <c r="X207" s="48"/>
      <c r="Y207" s="48"/>
      <c r="Z207" s="48"/>
      <c r="AA207" s="48"/>
      <c r="AB207" s="48"/>
      <c r="AC207" s="51"/>
      <c r="AD207" s="52"/>
      <c r="AE207" s="46"/>
    </row>
    <row r="208" ht="21.25" customHeight="1">
      <c r="A208" t="s" s="8">
        <v>457</v>
      </c>
      <c r="B208" t="s" s="42">
        <f>VLOOKUP(A208,'Player Data'!A1:B734,2,FALSE)</f>
        <v>151</v>
      </c>
      <c r="C208" s="44">
        <f>((E208)*'Settings'!$C$12)+(F208*'Settings'!$C$2)+(G208*'Settings'!$C$3)+(H208*'Settings'!$C$4)+(I208*'Settings'!$C$5)+(K208*'Settings'!$C$9)+(N208*'Settings'!$C$6)+(J208*'Settings'!$C$8)+(O208*'Settings'!$C$7)+(P208*'Settings'!$C$14)+(Q208*'Settings'!$C$15)+(R208*'Settings'!$C$16)+(S208*'Settings'!$C$17)+(T208*'Settings'!$C$18)+(U208*'Settings'!$C$19)+(L208*'Settings'!$C$10)+('Settings'!$C$11*M208)</f>
        <v>1.51475706487968</v>
      </c>
      <c r="D208" s="48">
        <f>IF('Settings'!$E$12="YES",VLOOKUP(A208,'Player Data'!A1:E734,5,FALSE),82)</f>
        <v>76.4975</v>
      </c>
      <c r="E208" s="46">
        <f>(VLOOKUP($A208,'The List'!$B1:$AH730,17,FALSE)-AVERAGE('The List'!R2:R730))/STDEV('The List'!R2:R730)</f>
        <v>-0.442194827605504</v>
      </c>
      <c r="F208" s="46">
        <f>(VLOOKUP($A208,'The List'!$B1:$AH730,18,FALSE)-AVERAGE('The List'!S2:S730))/STDEV('The List'!S2:S730)</f>
        <v>0.527836702651331</v>
      </c>
      <c r="G208" s="46">
        <f>(VLOOKUP($A208,'The List'!$B1:$AH730,19,FALSE)-AVERAGE('The List'!T2:T730))/STDEV('The List'!T2:T730)</f>
        <v>0.0700959901862475</v>
      </c>
      <c r="H208" s="46">
        <f>(VLOOKUP($A208,'The List'!$B1:$AH730,20,FALSE)-AVERAGE('The List'!U2:U730))/STDEV('The List'!U2:U730)</f>
        <v>0.283389542471018</v>
      </c>
      <c r="I208" s="46">
        <f>(VLOOKUP($A208,'The List'!$B1:$AH730,21,FALSE)-AVERAGE('The List'!V2:V730))/STDEV('The List'!V2:V730)</f>
        <v>0.725363421383514</v>
      </c>
      <c r="J208" s="46">
        <f>(VLOOKUP($A208,'The List'!$B1:$AH730,22,FALSE)-AVERAGE('The List'!W2:W730))/STDEV('The List'!W2:W730)</f>
        <v>-0.340405491539795</v>
      </c>
      <c r="K208" s="46">
        <f>(VLOOKUP($A208,'The List'!$B1:$AH730,23,FALSE)-AVERAGE('The List'!X2:X730))/STDEV('The List'!X2:X730)</f>
        <v>-0.382225785888432</v>
      </c>
      <c r="L208" s="46">
        <f>(VLOOKUP($A208,'The List'!$B1:$AH730,24,FALSE)-AVERAGE('The List'!Y2:Y730))/STDEV('The List'!Y2:Y730)</f>
        <v>-0.502523542833895</v>
      </c>
      <c r="M208" s="46">
        <f>(VLOOKUP($A208,'The List'!$B1:$AH730,25,FALSE)-AVERAGE('The List'!Z2:Z730))/STDEV('The List'!Z2:Z730)</f>
        <v>-0.676632570974722</v>
      </c>
      <c r="N208" s="46">
        <f>(VLOOKUP($A208,'The List'!$B1:$AH730,26,FALSE)-AVERAGE('The List'!AA2:AA730))/STDEV('The List'!AA2:AA730)</f>
        <v>-0.545011651889175</v>
      </c>
      <c r="O208" s="46">
        <f>(VLOOKUP($A208,'The List'!$B1:$AH730,27,FALSE)-AVERAGE('The List'!AB2:AB730))/STDEV('The List'!AB2:AB730)</f>
        <v>-1.03304235570662</v>
      </c>
      <c r="P208" s="46">
        <f>(VLOOKUP($A208,'The List'!$B1:$AH730,28,FALSE)-AVERAGE('The List'!AC2:AC730))/STDEV('The List'!AC2:AC730)</f>
        <v>1.11869838843619</v>
      </c>
      <c r="Q208" s="46">
        <f>(VLOOKUP($A208,'The List'!$B1:$AH730,29,FALSE)-AVERAGE('The List'!AD2:AD730))/STDEV('The List'!AD2:AD730)</f>
        <v>-0.35515848570202</v>
      </c>
      <c r="R208" s="46">
        <f>(VLOOKUP($A208,'The List'!$B1:$AH730,30,FALSE)-AVERAGE('The List'!AE2:AE730))/STDEV('The List'!AE2:AE730)</f>
        <v>0.837288127055603</v>
      </c>
      <c r="S208" s="46">
        <f>(VLOOKUP($A208,'The List'!$B1:$AH730,31,FALSE)-AVERAGE('The List'!AF2:AF730))/STDEV('The List'!AF2:AF730)</f>
        <v>0.71530542032058</v>
      </c>
      <c r="T208" s="46">
        <f>(VLOOKUP($A208,'The List'!$B1:$AH730,32,FALSE)-AVERAGE('The List'!AG2:AG730))/STDEV('The List'!AG2:AG730)</f>
        <v>1.28756168899261</v>
      </c>
      <c r="U208" s="46">
        <f>(VLOOKUP($A208,'The List'!$B1:$AH730,33,FALSE)-AVERAGE('The List'!AH2:AH730))/STDEV('The List'!AH2:AH730)</f>
        <v>0.636675163558008</v>
      </c>
      <c r="V208" s="46"/>
      <c r="W208" s="48"/>
      <c r="X208" s="46"/>
      <c r="Y208" s="46"/>
      <c r="Z208" s="46"/>
      <c r="AA208" s="46"/>
      <c r="AB208" s="46"/>
      <c r="AC208" s="46"/>
      <c r="AD208" s="46"/>
      <c r="AE208" s="46"/>
    </row>
    <row r="209" ht="21.25" customHeight="1">
      <c r="A209" t="s" s="8">
        <v>449</v>
      </c>
      <c r="B209" t="s" s="42">
        <f>VLOOKUP(A209,'Player Data'!A1:B734,2,FALSE)</f>
        <v>122</v>
      </c>
      <c r="C209" s="44">
        <f>((E209)*'Settings'!$C$12)+(F209*'Settings'!$C$2)+(G209*'Settings'!$C$3)+(H209*'Settings'!$C$4)+(I209*'Settings'!$C$5)+(K209*'Settings'!$C$9)+(N209*'Settings'!$C$6)+(J209*'Settings'!$C$8)+(O209*'Settings'!$C$7)+(P209*'Settings'!$C$14)+(Q209*'Settings'!$C$15)+(R209*'Settings'!$C$16)+(S209*'Settings'!$C$17)+(T209*'Settings'!$C$18)+(U209*'Settings'!$C$19)+(L209*'Settings'!$C$10)+('Settings'!$C$11*M209)</f>
        <v>1.4567612962064</v>
      </c>
      <c r="D209" s="48">
        <f>IF('Settings'!$E$12="YES",VLOOKUP(A209,'Player Data'!A1:E734,5,FALSE),82)</f>
        <v>81.2978571428571</v>
      </c>
      <c r="E209" s="46">
        <f>(VLOOKUP($A209,'The List'!$B1:$AH730,17,FALSE)-AVERAGE('The List'!R2:R730))/STDEV('The List'!R2:R730)</f>
        <v>0.603583008918093</v>
      </c>
      <c r="F209" s="46">
        <f>(VLOOKUP($A209,'The List'!$B1:$AH730,18,FALSE)-AVERAGE('The List'!S2:S730))/STDEV('The List'!S2:S730)</f>
        <v>0.269350202059537</v>
      </c>
      <c r="G209" s="46">
        <f>(VLOOKUP($A209,'The List'!$B1:$AH730,19,FALSE)-AVERAGE('The List'!T2:T730))/STDEV('The List'!T2:T730)</f>
        <v>0.451504647017401</v>
      </c>
      <c r="H209" s="46">
        <f>(VLOOKUP($A209,'The List'!$B1:$AH730,20,FALSE)-AVERAGE('The List'!U2:U730))/STDEV('The List'!U2:U730)</f>
        <v>0.400906424398097</v>
      </c>
      <c r="I209" s="46">
        <f>(VLOOKUP($A209,'The List'!$B1:$AH730,21,FALSE)-AVERAGE('The List'!V2:V730))/STDEV('The List'!V2:V730)</f>
        <v>0.370303442984429</v>
      </c>
      <c r="J209" s="46">
        <f>(VLOOKUP($A209,'The List'!$B1:$AH730,22,FALSE)-AVERAGE('The List'!W2:W730))/STDEV('The List'!W2:W730)</f>
        <v>-0.209161633900024</v>
      </c>
      <c r="K209" s="46">
        <f>(VLOOKUP($A209,'The List'!$B1:$AH730,23,FALSE)-AVERAGE('The List'!X2:X730))/STDEV('The List'!X2:X730)</f>
        <v>-0.206594704283863</v>
      </c>
      <c r="L209" s="46">
        <f>(VLOOKUP($A209,'The List'!$B1:$AH730,24,FALSE)-AVERAGE('The List'!Y2:Y730))/STDEV('The List'!Y2:Y730)</f>
        <v>0.517029552690621</v>
      </c>
      <c r="M209" s="46">
        <f>(VLOOKUP($A209,'The List'!$B1:$AH730,25,FALSE)-AVERAGE('The List'!Z2:Z730))/STDEV('The List'!Z2:Z730)</f>
        <v>1.79518749011959</v>
      </c>
      <c r="N209" s="46">
        <f>(VLOOKUP($A209,'The List'!$B1:$AH730,26,FALSE)-AVERAGE('The List'!AA2:AA730))/STDEV('The List'!AA2:AA730)</f>
        <v>-0.0526186980675829</v>
      </c>
      <c r="O209" s="46">
        <f>(VLOOKUP($A209,'The List'!$B1:$AH730,27,FALSE)-AVERAGE('The List'!AB2:AB730))/STDEV('The List'!AB2:AB730)</f>
        <v>-0.265157927143552</v>
      </c>
      <c r="P209" s="46">
        <f>(VLOOKUP($A209,'The List'!$B1:$AH730,28,FALSE)-AVERAGE('The List'!AC2:AC730))/STDEV('The List'!AC2:AC730)</f>
        <v>0.624816406496475</v>
      </c>
      <c r="Q209" s="46">
        <f>(VLOOKUP($A209,'The List'!$B1:$AH730,29,FALSE)-AVERAGE('The List'!AD2:AD730))/STDEV('The List'!AD2:AD730)</f>
        <v>0.0224227334289399</v>
      </c>
      <c r="R209" s="46">
        <f>(VLOOKUP($A209,'The List'!$B1:$AH730,30,FALSE)-AVERAGE('The List'!AE2:AE730))/STDEV('The List'!AE2:AE730)</f>
        <v>0.525039300953317</v>
      </c>
      <c r="S209" s="46">
        <f>(VLOOKUP($A209,'The List'!$B1:$AH730,31,FALSE)-AVERAGE('The List'!AF2:AF730))/STDEV('The List'!AF2:AF730)</f>
        <v>2.20449422485925</v>
      </c>
      <c r="T209" s="46">
        <f>(VLOOKUP($A209,'The List'!$B1:$AH730,32,FALSE)-AVERAGE('The List'!AG2:AG730))/STDEV('The List'!AG2:AG730)</f>
        <v>2.23998303751027</v>
      </c>
      <c r="U209" s="46">
        <f>(VLOOKUP($A209,'The List'!$B1:$AH730,33,FALSE)-AVERAGE('The List'!AH2:AH730))/STDEV('The List'!AH2:AH730)</f>
        <v>1.04681892840836</v>
      </c>
      <c r="V209" s="46"/>
      <c r="W209" s="50"/>
      <c r="X209" s="48"/>
      <c r="Y209" s="48"/>
      <c r="Z209" s="48"/>
      <c r="AA209" s="48"/>
      <c r="AB209" s="48"/>
      <c r="AC209" s="51"/>
      <c r="AD209" s="52"/>
      <c r="AE209" s="46"/>
    </row>
    <row r="210" ht="21.25" customHeight="1">
      <c r="A210" t="s" s="8">
        <v>465</v>
      </c>
      <c r="B210" t="s" s="42">
        <f>VLOOKUP(A210,'Player Data'!A1:B734,2,FALSE)</f>
        <v>194</v>
      </c>
      <c r="C210" s="44">
        <f>((E210)*'Settings'!$C$12)+(F210*'Settings'!$C$2)+(G210*'Settings'!$C$3)+(H210*'Settings'!$C$4)+(I210*'Settings'!$C$5)+(K210*'Settings'!$C$9)+(N210*'Settings'!$C$6)+(J210*'Settings'!$C$8)+(O210*'Settings'!$C$7)+(P210*'Settings'!$C$14)+(Q210*'Settings'!$C$15)+(R210*'Settings'!$C$16)+(S210*'Settings'!$C$17)+(T210*'Settings'!$C$18)+(U210*'Settings'!$C$19)+(L210*'Settings'!$C$10)+('Settings'!$C$11*M210)</f>
        <v>-0.88044534764462</v>
      </c>
      <c r="D210" s="48">
        <f>IF('Settings'!$E$12="YES",VLOOKUP(A210,'Player Data'!A1:E734,5,FALSE),82)</f>
        <v>77.77035714285709</v>
      </c>
      <c r="E210" s="46">
        <f>(VLOOKUP($A210,'The List'!$B1:$AH730,17,FALSE)-AVERAGE('The List'!R2:R730))/STDEV('The List'!R2:R730)</f>
        <v>-0.0164122351171452</v>
      </c>
      <c r="F210" s="46">
        <f>(VLOOKUP($A210,'The List'!$B1:$AH730,18,FALSE)-AVERAGE('The List'!S2:S730))/STDEV('The List'!S2:S730)</f>
        <v>0.784055705755431</v>
      </c>
      <c r="G210" s="46">
        <f>(VLOOKUP($A210,'The List'!$B1:$AH730,19,FALSE)-AVERAGE('The List'!T2:T730))/STDEV('The List'!T2:T730)</f>
        <v>-0.0727742533527569</v>
      </c>
      <c r="H210" s="46">
        <f>(VLOOKUP($A210,'The List'!$B1:$AH730,20,FALSE)-AVERAGE('The List'!U2:U730))/STDEV('The List'!U2:U730)</f>
        <v>0.311896700233267</v>
      </c>
      <c r="I210" s="46">
        <f>(VLOOKUP($A210,'The List'!$B1:$AH730,21,FALSE)-AVERAGE('The List'!V2:V730))/STDEV('The List'!V2:V730)</f>
        <v>0.195280161159114</v>
      </c>
      <c r="J210" s="46">
        <f>(VLOOKUP($A210,'The List'!$B1:$AH730,22,FALSE)-AVERAGE('The List'!W2:W730))/STDEV('The List'!W2:W730)</f>
        <v>0.332073180832137</v>
      </c>
      <c r="K210" s="46">
        <f>(VLOOKUP($A210,'The List'!$B1:$AH730,23,FALSE)-AVERAGE('The List'!X2:X730))/STDEV('The List'!X2:X730)</f>
        <v>-0.0593366001048</v>
      </c>
      <c r="L210" s="46">
        <f>(VLOOKUP($A210,'The List'!$B1:$AH730,24,FALSE)-AVERAGE('The List'!Y2:Y730))/STDEV('The List'!Y2:Y730)</f>
        <v>1.89246478453163</v>
      </c>
      <c r="M210" s="46">
        <f>(VLOOKUP($A210,'The List'!$B1:$AH730,25,FALSE)-AVERAGE('The List'!Z2:Z730))/STDEV('The List'!Z2:Z730)</f>
        <v>2.0376974627842</v>
      </c>
      <c r="N210" s="46">
        <f>(VLOOKUP($A210,'The List'!$B1:$AH730,26,FALSE)-AVERAGE('The List'!AA2:AA730))/STDEV('The List'!AA2:AA730)</f>
        <v>-0.733788059476518</v>
      </c>
      <c r="O210" s="46">
        <f>(VLOOKUP($A210,'The List'!$B1:$AH730,27,FALSE)-AVERAGE('The List'!AB2:AB730))/STDEV('The List'!AB2:AB730)</f>
        <v>-1.28217074477507</v>
      </c>
      <c r="P210" s="46">
        <f>(VLOOKUP($A210,'The List'!$B1:$AH730,28,FALSE)-AVERAGE('The List'!AC2:AC730))/STDEV('The List'!AC2:AC730)</f>
        <v>-0.9938823016250899</v>
      </c>
      <c r="Q210" s="46">
        <f>(VLOOKUP($A210,'The List'!$B1:$AH730,29,FALSE)-AVERAGE('The List'!AD2:AD730))/STDEV('The List'!AD2:AD730)</f>
        <v>-0.938623154675718</v>
      </c>
      <c r="R210" s="46">
        <f>(VLOOKUP($A210,'The List'!$B1:$AH730,30,FALSE)-AVERAGE('The List'!AE2:AE730))/STDEV('The List'!AE2:AE730)</f>
        <v>0.372707209131928</v>
      </c>
      <c r="S210" s="46">
        <f>(VLOOKUP($A210,'The List'!$B1:$AH730,31,FALSE)-AVERAGE('The List'!AF2:AF730))/STDEV('The List'!AF2:AF730)</f>
        <v>-0.51151548127621</v>
      </c>
      <c r="T210" s="46">
        <f>(VLOOKUP($A210,'The List'!$B1:$AH730,32,FALSE)-AVERAGE('The List'!AG2:AG730))/STDEV('The List'!AG2:AG730)</f>
        <v>-0.544585427619527</v>
      </c>
      <c r="U210" s="46">
        <f>(VLOOKUP($A210,'The List'!$B1:$AH730,33,FALSE)-AVERAGE('The List'!AH2:AH730))/STDEV('The List'!AH2:AH730)</f>
        <v>0.836657065845527</v>
      </c>
      <c r="V210" s="46"/>
      <c r="W210" s="48"/>
      <c r="X210" s="48"/>
      <c r="Y210" s="48"/>
      <c r="Z210" s="48"/>
      <c r="AA210" s="48"/>
      <c r="AB210" s="48"/>
      <c r="AC210" s="51"/>
      <c r="AD210" s="52"/>
      <c r="AE210" s="46"/>
    </row>
    <row r="211" ht="21.25" customHeight="1">
      <c r="A211" t="s" s="8">
        <v>484</v>
      </c>
      <c r="B211" t="s" s="42">
        <f>VLOOKUP(A211,'Player Data'!A1:B734,2,FALSE)</f>
        <v>248</v>
      </c>
      <c r="C211" s="44">
        <f>((E211)*'Settings'!$C$12)+(F211*'Settings'!$C$2)+(G211*'Settings'!$C$3)+(H211*'Settings'!$C$4)+(I211*'Settings'!$C$5)+(K211*'Settings'!$C$9)+(N211*'Settings'!$C$6)+(J211*'Settings'!$C$8)+(O211*'Settings'!$C$7)+(P211*'Settings'!$C$14)+(Q211*'Settings'!$C$15)+(R211*'Settings'!$C$16)+(S211*'Settings'!$C$17)+(T211*'Settings'!$C$18)+(U211*'Settings'!$C$19)+(L211*'Settings'!$C$10)+('Settings'!$C$11*M211)</f>
        <v>0.0669683551466</v>
      </c>
      <c r="D211" s="48">
        <f>IF('Settings'!$E$12="YES",VLOOKUP(A211,'Player Data'!A1:E734,5,FALSE),82)</f>
        <v>80.7525</v>
      </c>
      <c r="E211" s="46">
        <f>(VLOOKUP($A211,'The List'!$B1:$AH730,17,FALSE)-AVERAGE('The List'!R2:R730))/STDEV('The List'!R2:R730)</f>
        <v>0.216291174490523</v>
      </c>
      <c r="F211" s="46">
        <f>(VLOOKUP($A211,'The List'!$B1:$AH730,18,FALSE)-AVERAGE('The List'!S2:S730))/STDEV('The List'!S2:S730)</f>
        <v>0.250240810490388</v>
      </c>
      <c r="G211" s="46">
        <f>(VLOOKUP($A211,'The List'!$B1:$AH730,19,FALSE)-AVERAGE('The List'!T2:T730))/STDEV('The List'!T2:T730)</f>
        <v>0.422929843642089</v>
      </c>
      <c r="H211" s="46">
        <f>(VLOOKUP($A211,'The List'!$B1:$AH730,20,FALSE)-AVERAGE('The List'!U2:U730))/STDEV('The List'!U2:U730)</f>
        <v>0.37459527727907</v>
      </c>
      <c r="I211" s="46">
        <f>(VLOOKUP($A211,'The List'!$B1:$AH730,21,FALSE)-AVERAGE('The List'!V2:V730))/STDEV('The List'!V2:V730)</f>
        <v>0.147270347632046</v>
      </c>
      <c r="J211" s="46">
        <f>(VLOOKUP($A211,'The List'!$B1:$AH730,22,FALSE)-AVERAGE('The List'!W2:W730))/STDEV('The List'!W2:W730)</f>
        <v>-0.45985214891514</v>
      </c>
      <c r="K211" s="46">
        <f>(VLOOKUP($A211,'The List'!$B1:$AH730,23,FALSE)-AVERAGE('The List'!X2:X730))/STDEV('The List'!X2:X730)</f>
        <v>-0.596552214243516</v>
      </c>
      <c r="L211" s="46">
        <f>(VLOOKUP($A211,'The List'!$B1:$AH730,24,FALSE)-AVERAGE('The List'!Y2:Y730))/STDEV('The List'!Y2:Y730)</f>
        <v>1.26425846664807</v>
      </c>
      <c r="M211" s="46">
        <f>(VLOOKUP($A211,'The List'!$B1:$AH730,25,FALSE)-AVERAGE('The List'!Z2:Z730))/STDEV('The List'!Z2:Z730)</f>
        <v>1.66484203533326</v>
      </c>
      <c r="N211" s="46">
        <f>(VLOOKUP($A211,'The List'!$B1:$AH730,26,FALSE)-AVERAGE('The List'!AA2:AA730))/STDEV('The List'!AA2:AA730)</f>
        <v>-0.277792490608284</v>
      </c>
      <c r="O211" s="46">
        <f>(VLOOKUP($A211,'The List'!$B1:$AH730,27,FALSE)-AVERAGE('The List'!AB2:AB730))/STDEV('The List'!AB2:AB730)</f>
        <v>0.315168187188966</v>
      </c>
      <c r="P211" s="46">
        <f>(VLOOKUP($A211,'The List'!$B1:$AH730,28,FALSE)-AVERAGE('The List'!AC2:AC730))/STDEV('The List'!AC2:AC730)</f>
        <v>0.120872058233877</v>
      </c>
      <c r="Q211" s="46">
        <f>(VLOOKUP($A211,'The List'!$B1:$AH730,29,FALSE)-AVERAGE('The List'!AD2:AD730))/STDEV('The List'!AD2:AD730)</f>
        <v>1.54034652432669</v>
      </c>
      <c r="R211" s="46">
        <f>(VLOOKUP($A211,'The List'!$B1:$AH730,30,FALSE)-AVERAGE('The List'!AE2:AE730))/STDEV('The List'!AE2:AE730)</f>
        <v>0.229368275647878</v>
      </c>
      <c r="S211" s="46">
        <f>(VLOOKUP($A211,'The List'!$B1:$AH730,31,FALSE)-AVERAGE('The List'!AF2:AF730))/STDEV('The List'!AF2:AF730)</f>
        <v>1.79384048317119</v>
      </c>
      <c r="T211" s="46">
        <f>(VLOOKUP($A211,'The List'!$B1:$AH730,32,FALSE)-AVERAGE('The List'!AG2:AG730))/STDEV('The List'!AG2:AG730)</f>
        <v>1.93017891726367</v>
      </c>
      <c r="U211" s="46">
        <f>(VLOOKUP($A211,'The List'!$B1:$AH730,33,FALSE)-AVERAGE('The List'!AH2:AH730))/STDEV('The List'!AH2:AH730)</f>
        <v>0.995409588876065</v>
      </c>
      <c r="V211" s="46"/>
      <c r="W211" s="50"/>
      <c r="X211" s="48"/>
      <c r="Y211" s="48"/>
      <c r="Z211" s="48"/>
      <c r="AA211" s="48"/>
      <c r="AB211" s="48"/>
      <c r="AC211" s="51"/>
      <c r="AD211" s="52"/>
      <c r="AE211" s="46"/>
    </row>
    <row r="212" ht="21.25" customHeight="1">
      <c r="A212" t="s" s="8">
        <v>296</v>
      </c>
      <c r="B212" t="s" s="42">
        <f>VLOOKUP(A212,'Player Data'!A1:B734,2,FALSE)</f>
        <v>194</v>
      </c>
      <c r="C212" s="44">
        <f>((E212)*'Settings'!$C$12)+(F212*'Settings'!$C$2)+(G212*'Settings'!$C$3)+(H212*'Settings'!$C$4)+(I212*'Settings'!$C$5)+(K212*'Settings'!$C$9)+(N212*'Settings'!$C$6)+(J212*'Settings'!$C$8)+(O212*'Settings'!$C$7)+(P212*'Settings'!$C$14)+(Q212*'Settings'!$C$15)+(R212*'Settings'!$C$16)+(S212*'Settings'!$C$17)+(T212*'Settings'!$C$18)+(U212*'Settings'!$C$19)+(L212*'Settings'!$C$10)+('Settings'!$C$11*M212)</f>
        <v>1.50684073360614</v>
      </c>
      <c r="D212" s="48">
        <f>IF('Settings'!$E$12="YES",VLOOKUP(A212,'Player Data'!A1:E734,5,FALSE),82)</f>
        <v>76.23</v>
      </c>
      <c r="E212" s="46">
        <f>(VLOOKUP($A212,'The List'!$B1:$AH730,17,FALSE)-AVERAGE('The List'!R2:R730))/STDEV('The List'!R2:R730)</f>
        <v>0.804860611915449</v>
      </c>
      <c r="F212" s="46">
        <f>(VLOOKUP($A212,'The List'!$B1:$AH730,18,FALSE)-AVERAGE('The List'!S2:S730))/STDEV('The List'!S2:S730)</f>
        <v>-0.557349772892913</v>
      </c>
      <c r="G212" s="46">
        <f>(VLOOKUP($A212,'The List'!$B1:$AH730,19,FALSE)-AVERAGE('The List'!T2:T730))/STDEV('The List'!T2:T730)</f>
        <v>0.824170931555941</v>
      </c>
      <c r="H212" s="46">
        <f>(VLOOKUP($A212,'The List'!$B1:$AH730,20,FALSE)-AVERAGE('The List'!U2:U730))/STDEV('The List'!U2:U730)</f>
        <v>0.254485221961257</v>
      </c>
      <c r="I212" s="46">
        <f>(VLOOKUP($A212,'The List'!$B1:$AH730,21,FALSE)-AVERAGE('The List'!V2:V730))/STDEV('The List'!V2:V730)</f>
        <v>0.241144291824635</v>
      </c>
      <c r="J212" s="46">
        <f>(VLOOKUP($A212,'The List'!$B1:$AH730,22,FALSE)-AVERAGE('The List'!W2:W730))/STDEV('The List'!W2:W730)</f>
        <v>0.205180694482371</v>
      </c>
      <c r="K212" s="46">
        <f>(VLOOKUP($A212,'The List'!$B1:$AH730,23,FALSE)-AVERAGE('The List'!X2:X730))/STDEV('The List'!X2:X730)</f>
        <v>1.07242611438323</v>
      </c>
      <c r="L212" s="46">
        <f>(VLOOKUP($A212,'The List'!$B1:$AH730,24,FALSE)-AVERAGE('The List'!Y2:Y730))/STDEV('The List'!Y2:Y730)</f>
        <v>-0.537012850746971</v>
      </c>
      <c r="M212" s="46">
        <f>(VLOOKUP($A212,'The List'!$B1:$AH730,25,FALSE)-AVERAGE('The List'!Z2:Z730))/STDEV('The List'!Z2:Z730)</f>
        <v>-0.7081902007044401</v>
      </c>
      <c r="N212" s="46">
        <f>(VLOOKUP($A212,'The List'!$B1:$AH730,26,FALSE)-AVERAGE('The List'!AA2:AA730))/STDEV('The List'!AA2:AA730)</f>
        <v>1.00729798904866</v>
      </c>
      <c r="O212" s="46">
        <f>(VLOOKUP($A212,'The List'!$B1:$AH730,27,FALSE)-AVERAGE('The List'!AB2:AB730))/STDEV('The List'!AB2:AB730)</f>
        <v>-0.486391900254339</v>
      </c>
      <c r="P212" s="46">
        <f>(VLOOKUP($A212,'The List'!$B1:$AH730,28,FALSE)-AVERAGE('The List'!AC2:AC730))/STDEV('The List'!AC2:AC730)</f>
        <v>-1.08084882031341</v>
      </c>
      <c r="Q212" s="46">
        <f>(VLOOKUP($A212,'The List'!$B1:$AH730,29,FALSE)-AVERAGE('The List'!AD2:AD730))/STDEV('The List'!AD2:AD730)</f>
        <v>0.690381561794476</v>
      </c>
      <c r="R212" s="46">
        <f>(VLOOKUP($A212,'The List'!$B1:$AH730,30,FALSE)-AVERAGE('The List'!AE2:AE730))/STDEV('The List'!AE2:AE730)</f>
        <v>-0.631726053587548</v>
      </c>
      <c r="S212" s="46">
        <f>(VLOOKUP($A212,'The List'!$B1:$AH730,31,FALSE)-AVERAGE('The List'!AF2:AF730))/STDEV('The List'!AF2:AF730)</f>
        <v>-0.5569063253591</v>
      </c>
      <c r="T212" s="46">
        <f>(VLOOKUP($A212,'The List'!$B1:$AH730,32,FALSE)-AVERAGE('The List'!AG2:AG730))/STDEV('The List'!AG2:AG730)</f>
        <v>-0.600856269042678</v>
      </c>
      <c r="U212" s="46">
        <f>(VLOOKUP($A212,'The List'!$B1:$AH730,33,FALSE)-AVERAGE('The List'!AH2:AH730))/STDEV('The List'!AH2:AH730)</f>
        <v>-1.2363238714826</v>
      </c>
      <c r="V212" s="46"/>
      <c r="W212" s="48"/>
      <c r="X212" s="46"/>
      <c r="Y212" s="46"/>
      <c r="Z212" s="46"/>
      <c r="AA212" s="46"/>
      <c r="AB212" s="46"/>
      <c r="AC212" s="46"/>
      <c r="AD212" s="46"/>
      <c r="AE212" s="46"/>
    </row>
    <row r="213" ht="21.25" customHeight="1">
      <c r="A213" t="s" s="8">
        <v>438</v>
      </c>
      <c r="B213" t="s" s="42">
        <f>VLOOKUP(A213,'Player Data'!A1:B734,2,FALSE)</f>
        <v>194</v>
      </c>
      <c r="C213" s="44">
        <f>((E213)*'Settings'!$C$12)+(F213*'Settings'!$C$2)+(G213*'Settings'!$C$3)+(H213*'Settings'!$C$4)+(I213*'Settings'!$C$5)+(K213*'Settings'!$C$9)+(N213*'Settings'!$C$6)+(J213*'Settings'!$C$8)+(O213*'Settings'!$C$7)+(P213*'Settings'!$C$14)+(Q213*'Settings'!$C$15)+(R213*'Settings'!$C$16)+(S213*'Settings'!$C$17)+(T213*'Settings'!$C$18)+(U213*'Settings'!$C$19)+(L213*'Settings'!$C$10)+('Settings'!$C$11*M213)</f>
        <v>-0.650659950265147</v>
      </c>
      <c r="D213" s="48">
        <f>IF('Settings'!$E$12="YES",VLOOKUP(A213,'Player Data'!A1:E734,5,FALSE),82)</f>
        <v>77.36</v>
      </c>
      <c r="E213" s="46">
        <f>(VLOOKUP($A213,'The List'!$B1:$AH730,17,FALSE)-AVERAGE('The List'!R2:R730))/STDEV('The List'!R2:R730)</f>
        <v>-0.206953733928504</v>
      </c>
      <c r="F213" s="46">
        <f>(VLOOKUP($A213,'The List'!$B1:$AH730,18,FALSE)-AVERAGE('The List'!S2:S730))/STDEV('The List'!S2:S730)</f>
        <v>0.107935954683628</v>
      </c>
      <c r="G213" s="46">
        <f>(VLOOKUP($A213,'The List'!$B1:$AH730,19,FALSE)-AVERAGE('The List'!T2:T730))/STDEV('The List'!T2:T730)</f>
        <v>0.377105291958154</v>
      </c>
      <c r="H213" s="46">
        <f>(VLOOKUP($A213,'The List'!$B1:$AH730,20,FALSE)-AVERAGE('The List'!U2:U730))/STDEV('The List'!U2:U730)</f>
        <v>0.281593480053668</v>
      </c>
      <c r="I213" s="46">
        <f>(VLOOKUP($A213,'The List'!$B1:$AH730,21,FALSE)-AVERAGE('The List'!V2:V730))/STDEV('The List'!V2:V730)</f>
        <v>0.709557965434197</v>
      </c>
      <c r="J213" s="46">
        <f>(VLOOKUP($A213,'The List'!$B1:$AH730,22,FALSE)-AVERAGE('The List'!W2:W730))/STDEV('The List'!W2:W730)</f>
        <v>0.233695611626204</v>
      </c>
      <c r="K213" s="46">
        <f>(VLOOKUP($A213,'The List'!$B1:$AH730,23,FALSE)-AVERAGE('The List'!X2:X730))/STDEV('The List'!X2:X730)</f>
        <v>0.210681178611568</v>
      </c>
      <c r="L213" s="46">
        <f>(VLOOKUP($A213,'The List'!$B1:$AH730,24,FALSE)-AVERAGE('The List'!Y2:Y730))/STDEV('The List'!Y2:Y730)</f>
        <v>-0.502056942576554</v>
      </c>
      <c r="M213" s="46">
        <f>(VLOOKUP($A213,'The List'!$B1:$AH730,25,FALSE)-AVERAGE('The List'!Z2:Z730))/STDEV('The List'!Z2:Z730)</f>
        <v>-0.6050785317064979</v>
      </c>
      <c r="N213" s="46">
        <f>(VLOOKUP($A213,'The List'!$B1:$AH730,26,FALSE)-AVERAGE('The List'!AA2:AA730))/STDEV('The List'!AA2:AA730)</f>
        <v>-0.972463379672964</v>
      </c>
      <c r="O213" s="46">
        <f>(VLOOKUP($A213,'The List'!$B1:$AH730,27,FALSE)-AVERAGE('The List'!AB2:AB730))/STDEV('The List'!AB2:AB730)</f>
        <v>-0.807764011167078</v>
      </c>
      <c r="P213" s="46">
        <f>(VLOOKUP($A213,'The List'!$B1:$AH730,28,FALSE)-AVERAGE('The List'!AC2:AC730))/STDEV('The List'!AC2:AC730)</f>
        <v>-1.08347696127973</v>
      </c>
      <c r="Q213" s="46">
        <f>(VLOOKUP($A213,'The List'!$B1:$AH730,29,FALSE)-AVERAGE('The List'!AD2:AD730))/STDEV('The List'!AD2:AD730)</f>
        <v>-0.534014317508</v>
      </c>
      <c r="R213" s="46">
        <f>(VLOOKUP($A213,'The List'!$B1:$AH730,30,FALSE)-AVERAGE('The List'!AE2:AE730))/STDEV('The List'!AE2:AE730)</f>
        <v>-0.133565635558133</v>
      </c>
      <c r="S213" s="46">
        <f>(VLOOKUP($A213,'The List'!$B1:$AH730,31,FALSE)-AVERAGE('The List'!AF2:AF730))/STDEV('The List'!AF2:AF730)</f>
        <v>0.86997551537179</v>
      </c>
      <c r="T213" s="46">
        <f>(VLOOKUP($A213,'The List'!$B1:$AH730,32,FALSE)-AVERAGE('The List'!AG2:AG730))/STDEV('The List'!AG2:AG730)</f>
        <v>1.05274220557346</v>
      </c>
      <c r="U213" s="46">
        <f>(VLOOKUP($A213,'The List'!$B1:$AH730,33,FALSE)-AVERAGE('The List'!AH2:AH730))/STDEV('The List'!AH2:AH730)</f>
        <v>0.912430676808678</v>
      </c>
      <c r="V213" s="46"/>
      <c r="W213" s="50"/>
      <c r="X213" s="48"/>
      <c r="Y213" s="48"/>
      <c r="Z213" s="48"/>
      <c r="AA213" s="48"/>
      <c r="AB213" s="48"/>
      <c r="AC213" s="51"/>
      <c r="AD213" s="52"/>
      <c r="AE213" s="46"/>
    </row>
    <row r="214" ht="21.25" customHeight="1">
      <c r="A214" t="s" s="8">
        <v>439</v>
      </c>
      <c r="B214" t="s" s="42">
        <f>VLOOKUP(A214,'Player Data'!A1:B734,2,FALSE)</f>
        <v>238</v>
      </c>
      <c r="C214" s="44">
        <f>((E214)*'Settings'!$C$12)+(F214*'Settings'!$C$2)+(G214*'Settings'!$C$3)+(H214*'Settings'!$C$4)+(I214*'Settings'!$C$5)+(K214*'Settings'!$C$9)+(N214*'Settings'!$C$6)+(J214*'Settings'!$C$8)+(O214*'Settings'!$C$7)+(P214*'Settings'!$C$14)+(Q214*'Settings'!$C$15)+(R214*'Settings'!$C$16)+(S214*'Settings'!$C$17)+(T214*'Settings'!$C$18)+(U214*'Settings'!$C$19)+(L214*'Settings'!$C$10)+('Settings'!$C$11*M214)</f>
        <v>0.0470929130486768</v>
      </c>
      <c r="D214" s="48">
        <f>IF('Settings'!$E$12="YES",VLOOKUP(A214,'Player Data'!A1:E734,5,FALSE),82)</f>
        <v>80.59999999999999</v>
      </c>
      <c r="E214" s="46">
        <f>(VLOOKUP($A214,'The List'!$B1:$AH730,17,FALSE)-AVERAGE('The List'!R2:R730))/STDEV('The List'!R2:R730)</f>
        <v>-0.229605245433016</v>
      </c>
      <c r="F214" s="46">
        <f>(VLOOKUP($A214,'The List'!$B1:$AH730,18,FALSE)-AVERAGE('The List'!S2:S730))/STDEV('The List'!S2:S730)</f>
        <v>0.642295153603054</v>
      </c>
      <c r="G214" s="46">
        <f>(VLOOKUP($A214,'The List'!$B1:$AH730,19,FALSE)-AVERAGE('The List'!T2:T730))/STDEV('The List'!T2:T730)</f>
        <v>0.09991886713193091</v>
      </c>
      <c r="H214" s="46">
        <f>(VLOOKUP($A214,'The List'!$B1:$AH730,20,FALSE)-AVERAGE('The List'!U2:U730))/STDEV('The List'!U2:U730)</f>
        <v>0.353855844852998</v>
      </c>
      <c r="I214" s="46">
        <f>(VLOOKUP($A214,'The List'!$B1:$AH730,21,FALSE)-AVERAGE('The List'!V2:V730))/STDEV('The List'!V2:V730)</f>
        <v>0.409801749729143</v>
      </c>
      <c r="J214" s="46">
        <f>(VLOOKUP($A214,'The List'!$B1:$AH730,22,FALSE)-AVERAGE('The List'!W2:W730))/STDEV('The List'!W2:W730)</f>
        <v>-0.124903671935981</v>
      </c>
      <c r="K214" s="46">
        <f>(VLOOKUP($A214,'The List'!$B1:$AH730,23,FALSE)-AVERAGE('The List'!X2:X730))/STDEV('The List'!X2:X730)</f>
        <v>-0.272871537933185</v>
      </c>
      <c r="L214" s="46">
        <f>(VLOOKUP($A214,'The List'!$B1:$AH730,24,FALSE)-AVERAGE('The List'!Y2:Y730))/STDEV('The List'!Y2:Y730)</f>
        <v>2.28472432681873</v>
      </c>
      <c r="M214" s="46">
        <f>(VLOOKUP($A214,'The List'!$B1:$AH730,25,FALSE)-AVERAGE('The List'!Z2:Z730))/STDEV('The List'!Z2:Z730)</f>
        <v>1.49522523237127</v>
      </c>
      <c r="N214" s="46">
        <f>(VLOOKUP($A214,'The List'!$B1:$AH730,26,FALSE)-AVERAGE('The List'!AA2:AA730))/STDEV('The List'!AA2:AA730)</f>
        <v>-0.913726614576361</v>
      </c>
      <c r="O214" s="46">
        <f>(VLOOKUP($A214,'The List'!$B1:$AH730,27,FALSE)-AVERAGE('The List'!AB2:AB730))/STDEV('The List'!AB2:AB730)</f>
        <v>0.727066063388366</v>
      </c>
      <c r="P214" s="46">
        <f>(VLOOKUP($A214,'The List'!$B1:$AH730,28,FALSE)-AVERAGE('The List'!AC2:AC730))/STDEV('The List'!AC2:AC730)</f>
        <v>0.08167529509409489</v>
      </c>
      <c r="Q214" s="46">
        <f>(VLOOKUP($A214,'The List'!$B1:$AH730,29,FALSE)-AVERAGE('The List'!AD2:AD730))/STDEV('The List'!AD2:AD730)</f>
        <v>0.134983441831638</v>
      </c>
      <c r="R214" s="46">
        <f>(VLOOKUP($A214,'The List'!$B1:$AH730,30,FALSE)-AVERAGE('The List'!AE2:AE730))/STDEV('The List'!AE2:AE730)</f>
        <v>0.9225888936918299</v>
      </c>
      <c r="S214" s="46">
        <f>(VLOOKUP($A214,'The List'!$B1:$AH730,31,FALSE)-AVERAGE('The List'!AF2:AF730))/STDEV('The List'!AF2:AF730)</f>
        <v>-0.293713973185453</v>
      </c>
      <c r="T214" s="46">
        <f>(VLOOKUP($A214,'The List'!$B1:$AH730,32,FALSE)-AVERAGE('The List'!AG2:AG730))/STDEV('The List'!AG2:AG730)</f>
        <v>-0.290197548964949</v>
      </c>
      <c r="U214" s="46">
        <f>(VLOOKUP($A214,'The List'!$B1:$AH730,33,FALSE)-AVERAGE('The List'!AH2:AH730))/STDEV('The List'!AH2:AH730)</f>
        <v>0.891773128640452</v>
      </c>
      <c r="V214" s="46"/>
      <c r="W214" s="48"/>
      <c r="X214" s="46"/>
      <c r="Y214" s="46"/>
      <c r="Z214" s="46"/>
      <c r="AA214" s="46"/>
      <c r="AB214" s="46"/>
      <c r="AC214" s="46"/>
      <c r="AD214" s="46"/>
      <c r="AE214" s="46"/>
    </row>
    <row r="215" ht="21.25" customHeight="1">
      <c r="A215" t="s" s="8">
        <v>433</v>
      </c>
      <c r="B215" t="s" s="42">
        <f>VLOOKUP(A215,'Player Data'!A1:B734,2,FALSE)</f>
        <v>184</v>
      </c>
      <c r="C215" s="44">
        <f>((E215)*'Settings'!$C$12)+(F215*'Settings'!$C$2)+(G215*'Settings'!$C$3)+(H215*'Settings'!$C$4)+(I215*'Settings'!$C$5)+(K215*'Settings'!$C$9)+(N215*'Settings'!$C$6)+(J215*'Settings'!$C$8)+(O215*'Settings'!$C$7)+(P215*'Settings'!$C$14)+(Q215*'Settings'!$C$15)+(R215*'Settings'!$C$16)+(S215*'Settings'!$C$17)+(T215*'Settings'!$C$18)+(U215*'Settings'!$C$19)+(L215*'Settings'!$C$10)+('Settings'!$C$11*M215)</f>
        <v>0.335692164514917</v>
      </c>
      <c r="D215" s="48">
        <f>IF('Settings'!$E$12="YES",VLOOKUP(A215,'Player Data'!A1:E734,5,FALSE),82)</f>
        <v>74.5275</v>
      </c>
      <c r="E215" s="46">
        <f>(VLOOKUP($A215,'The List'!$B1:$AH730,17,FALSE)-AVERAGE('The List'!R2:R730))/STDEV('The List'!R2:R730)</f>
        <v>-1.0118631203218</v>
      </c>
      <c r="F215" s="46">
        <f>(VLOOKUP($A215,'The List'!$B1:$AH730,18,FALSE)-AVERAGE('The List'!S2:S730))/STDEV('The List'!S2:S730)</f>
        <v>0.706522482042324</v>
      </c>
      <c r="G215" s="46">
        <f>(VLOOKUP($A215,'The List'!$B1:$AH730,19,FALSE)-AVERAGE('The List'!T2:T730))/STDEV('The List'!T2:T730)</f>
        <v>-0.190076787383517</v>
      </c>
      <c r="H215" s="46">
        <f>(VLOOKUP($A215,'The List'!$B1:$AH730,20,FALSE)-AVERAGE('The List'!U2:U730))/STDEV('The List'!U2:U730)</f>
        <v>0.204302058017605</v>
      </c>
      <c r="I215" s="46">
        <f>(VLOOKUP($A215,'The List'!$B1:$AH730,21,FALSE)-AVERAGE('The List'!V2:V730))/STDEV('The List'!V2:V730)</f>
        <v>0.586843149644551</v>
      </c>
      <c r="J215" s="46">
        <f>(VLOOKUP($A215,'The List'!$B1:$AH730,22,FALSE)-AVERAGE('The List'!W2:W730))/STDEV('The List'!W2:W730)</f>
        <v>0.419660217915571</v>
      </c>
      <c r="K215" s="46">
        <f>(VLOOKUP($A215,'The List'!$B1:$AH730,23,FALSE)-AVERAGE('The List'!X2:X730))/STDEV('The List'!X2:X730)</f>
        <v>0.149721851591136</v>
      </c>
      <c r="L215" s="46">
        <f>(VLOOKUP($A215,'The List'!$B1:$AH730,24,FALSE)-AVERAGE('The List'!Y2:Y730))/STDEV('The List'!Y2:Y730)</f>
        <v>-0.540505253062966</v>
      </c>
      <c r="M215" s="46">
        <f>(VLOOKUP($A215,'The List'!$B1:$AH730,25,FALSE)-AVERAGE('The List'!Z2:Z730))/STDEV('The List'!Z2:Z730)</f>
        <v>-0.719155000532622</v>
      </c>
      <c r="N215" s="46">
        <f>(VLOOKUP($A215,'The List'!$B1:$AH730,26,FALSE)-AVERAGE('The List'!AA2:AA730))/STDEV('The List'!AA2:AA730)</f>
        <v>-0.977265855892255</v>
      </c>
      <c r="O215" s="46">
        <f>(VLOOKUP($A215,'The List'!$B1:$AH730,27,FALSE)-AVERAGE('The List'!AB2:AB730))/STDEV('The List'!AB2:AB730)</f>
        <v>-0.788886806026134</v>
      </c>
      <c r="P215" s="46">
        <f>(VLOOKUP($A215,'The List'!$B1:$AH730,28,FALSE)-AVERAGE('The List'!AC2:AC730))/STDEV('The List'!AC2:AC730)</f>
        <v>0.0599473245126776</v>
      </c>
      <c r="Q215" s="46">
        <f>(VLOOKUP($A215,'The List'!$B1:$AH730,29,FALSE)-AVERAGE('The List'!AD2:AD730))/STDEV('The List'!AD2:AD730)</f>
        <v>-0.95230344953676</v>
      </c>
      <c r="R215" s="46">
        <f>(VLOOKUP($A215,'The List'!$B1:$AH730,30,FALSE)-AVERAGE('The List'!AE2:AE730))/STDEV('The List'!AE2:AE730)</f>
        <v>0.539550238900807</v>
      </c>
      <c r="S215" s="46">
        <f>(VLOOKUP($A215,'The List'!$B1:$AH730,31,FALSE)-AVERAGE('The List'!AF2:AF730))/STDEV('The List'!AF2:AF730)</f>
        <v>-0.548062881340843</v>
      </c>
      <c r="T215" s="46">
        <f>(VLOOKUP($A215,'The List'!$B1:$AH730,32,FALSE)-AVERAGE('The List'!AG2:AG730))/STDEV('The List'!AG2:AG730)</f>
        <v>-0.57424173839184</v>
      </c>
      <c r="U215" s="46">
        <f>(VLOOKUP($A215,'The List'!$B1:$AH730,33,FALSE)-AVERAGE('The List'!AH2:AH730))/STDEV('The List'!AH2:AH730)</f>
        <v>-0.06670366949980699</v>
      </c>
      <c r="V215" s="46"/>
      <c r="W215" s="50"/>
      <c r="X215" s="48"/>
      <c r="Y215" s="48"/>
      <c r="Z215" s="48"/>
      <c r="AA215" s="48"/>
      <c r="AB215" s="48"/>
      <c r="AC215" s="51"/>
      <c r="AD215" s="52"/>
      <c r="AE215" s="46"/>
    </row>
    <row r="216" ht="21.25" customHeight="1">
      <c r="A216" t="s" s="8">
        <v>466</v>
      </c>
      <c r="B216" t="s" s="42">
        <f>VLOOKUP(A216,'Player Data'!A1:B734,2,FALSE)</f>
        <v>115</v>
      </c>
      <c r="C216" s="44">
        <f>((E216)*'Settings'!$C$12)+(F216*'Settings'!$C$2)+(G216*'Settings'!$C$3)+(H216*'Settings'!$C$4)+(I216*'Settings'!$C$5)+(K216*'Settings'!$C$9)+(N216*'Settings'!$C$6)+(J216*'Settings'!$C$8)+(O216*'Settings'!$C$7)+(P216*'Settings'!$C$14)+(Q216*'Settings'!$C$15)+(R216*'Settings'!$C$16)+(S216*'Settings'!$C$17)+(T216*'Settings'!$C$18)+(U216*'Settings'!$C$19)+(L216*'Settings'!$C$10)+('Settings'!$C$11*M216)</f>
        <v>0.581697901946639</v>
      </c>
      <c r="D216" s="48">
        <f>IF('Settings'!$E$12="YES",VLOOKUP(A216,'Player Data'!A1:E734,5,FALSE),82)</f>
        <v>80.0071428571429</v>
      </c>
      <c r="E216" s="46">
        <f>(VLOOKUP($A216,'The List'!$B1:$AH730,17,FALSE)-AVERAGE('The List'!R2:R730))/STDEV('The List'!R2:R730)</f>
        <v>-0.450636932231973</v>
      </c>
      <c r="F216" s="46">
        <f>(VLOOKUP($A216,'The List'!$B1:$AH730,18,FALSE)-AVERAGE('The List'!S2:S730))/STDEV('The List'!S2:S730)</f>
        <v>0.158057452118991</v>
      </c>
      <c r="G216" s="46">
        <f>(VLOOKUP($A216,'The List'!$B1:$AH730,19,FALSE)-AVERAGE('The List'!T2:T730))/STDEV('The List'!T2:T730)</f>
        <v>0.428648014467274</v>
      </c>
      <c r="H216" s="46">
        <f>(VLOOKUP($A216,'The List'!$B1:$AH730,20,FALSE)-AVERAGE('The List'!U2:U730))/STDEV('The List'!U2:U730)</f>
        <v>0.336175177574335</v>
      </c>
      <c r="I216" s="46">
        <f>(VLOOKUP($A216,'The List'!$B1:$AH730,21,FALSE)-AVERAGE('The List'!V2:V730))/STDEV('The List'!V2:V730)</f>
        <v>0.138008508899044</v>
      </c>
      <c r="J216" s="46">
        <f>(VLOOKUP($A216,'The List'!$B1:$AH730,22,FALSE)-AVERAGE('The List'!W2:W730))/STDEV('The List'!W2:W730)</f>
        <v>0.108749084583591</v>
      </c>
      <c r="K216" s="46">
        <f>(VLOOKUP($A216,'The List'!$B1:$AH730,23,FALSE)-AVERAGE('The List'!X2:X730))/STDEV('The List'!X2:X730)</f>
        <v>0.0371633359415854</v>
      </c>
      <c r="L216" s="46">
        <f>(VLOOKUP($A216,'The List'!$B1:$AH730,24,FALSE)-AVERAGE('The List'!Y2:Y730))/STDEV('The List'!Y2:Y730)</f>
        <v>-0.51948982435875</v>
      </c>
      <c r="M216" s="46">
        <f>(VLOOKUP($A216,'The List'!$B1:$AH730,25,FALSE)-AVERAGE('The List'!Z2:Z730))/STDEV('The List'!Z2:Z730)</f>
        <v>-0.695289033412693</v>
      </c>
      <c r="N216" s="46">
        <f>(VLOOKUP($A216,'The List'!$B1:$AH730,26,FALSE)-AVERAGE('The List'!AA2:AA730))/STDEV('The List'!AA2:AA730)</f>
        <v>-0.97924806607106</v>
      </c>
      <c r="O216" s="46">
        <f>(VLOOKUP($A216,'The List'!$B1:$AH730,27,FALSE)-AVERAGE('The List'!AB2:AB730))/STDEV('The List'!AB2:AB730)</f>
        <v>-1.30825615309172</v>
      </c>
      <c r="P216" s="46">
        <f>(VLOOKUP($A216,'The List'!$B1:$AH730,28,FALSE)-AVERAGE('The List'!AC2:AC730))/STDEV('The List'!AC2:AC730)</f>
        <v>0.7990686565908049</v>
      </c>
      <c r="Q216" s="46">
        <f>(VLOOKUP($A216,'The List'!$B1:$AH730,29,FALSE)-AVERAGE('The List'!AD2:AD730))/STDEV('The List'!AD2:AD730)</f>
        <v>1.16666075981588</v>
      </c>
      <c r="R216" s="46">
        <f>(VLOOKUP($A216,'The List'!$B1:$AH730,30,FALSE)-AVERAGE('The List'!AE2:AE730))/STDEV('The List'!AE2:AE730)</f>
        <v>0.335068574515992</v>
      </c>
      <c r="S216" s="46">
        <f>(VLOOKUP($A216,'The List'!$B1:$AH730,31,FALSE)-AVERAGE('The List'!AF2:AF730))/STDEV('The List'!AF2:AF730)</f>
        <v>1.16853198878707</v>
      </c>
      <c r="T216" s="46">
        <f>(VLOOKUP($A216,'The List'!$B1:$AH730,32,FALSE)-AVERAGE('The List'!AG2:AG730))/STDEV('The List'!AG2:AG730)</f>
        <v>1.19813931150632</v>
      </c>
      <c r="U216" s="46">
        <f>(VLOOKUP($A216,'The List'!$B1:$AH730,33,FALSE)-AVERAGE('The List'!AH2:AH730))/STDEV('The List'!AH2:AH730)</f>
        <v>1.03170611000642</v>
      </c>
      <c r="V216" s="46"/>
      <c r="W216" s="48"/>
      <c r="X216" s="46"/>
      <c r="Y216" s="46"/>
      <c r="Z216" s="46"/>
      <c r="AA216" s="46"/>
      <c r="AB216" s="46"/>
      <c r="AC216" s="46"/>
      <c r="AD216" s="46"/>
      <c r="AE216" s="46"/>
    </row>
    <row r="217" ht="21.25" customHeight="1">
      <c r="A217" t="s" s="8">
        <v>445</v>
      </c>
      <c r="B217" t="s" s="42">
        <f>VLOOKUP(A217,'Player Data'!A1:B734,2,FALSE)</f>
        <v>184</v>
      </c>
      <c r="C217" s="44">
        <f>((E217)*'Settings'!$C$12)+(F217*'Settings'!$C$2)+(G217*'Settings'!$C$3)+(H217*'Settings'!$C$4)+(I217*'Settings'!$C$5)+(K217*'Settings'!$C$9)+(N217*'Settings'!$C$6)+(J217*'Settings'!$C$8)+(O217*'Settings'!$C$7)+(P217*'Settings'!$C$14)+(Q217*'Settings'!$C$15)+(R217*'Settings'!$C$16)+(S217*'Settings'!$C$17)+(T217*'Settings'!$C$18)+(U217*'Settings'!$C$19)+(L217*'Settings'!$C$10)+('Settings'!$C$11*M217)</f>
        <v>0.567124638483451</v>
      </c>
      <c r="D217" s="48">
        <f>IF('Settings'!$E$12="YES",VLOOKUP(A217,'Player Data'!A1:E734,5,FALSE),82)</f>
        <v>79.2085714285714</v>
      </c>
      <c r="E217" s="46">
        <f>(VLOOKUP($A217,'The List'!$B1:$AH730,17,FALSE)-AVERAGE('The List'!R2:R730))/STDEV('The List'!R2:R730)</f>
        <v>0.488806535180119</v>
      </c>
      <c r="F217" s="46">
        <f>(VLOOKUP($A217,'The List'!$B1:$AH730,18,FALSE)-AVERAGE('The List'!S2:S730))/STDEV('The List'!S2:S730)</f>
        <v>0.375594130477519</v>
      </c>
      <c r="G217" s="46">
        <f>(VLOOKUP($A217,'The List'!$B1:$AH730,19,FALSE)-AVERAGE('The List'!T2:T730))/STDEV('The List'!T2:T730)</f>
        <v>0.229075134230437</v>
      </c>
      <c r="H217" s="46">
        <f>(VLOOKUP($A217,'The List'!$B1:$AH730,20,FALSE)-AVERAGE('The List'!U2:U730))/STDEV('The List'!U2:U730)</f>
        <v>0.312124671533284</v>
      </c>
      <c r="I217" s="46">
        <f>(VLOOKUP($A217,'The List'!$B1:$AH730,21,FALSE)-AVERAGE('The List'!V2:V730))/STDEV('The List'!V2:V730)</f>
        <v>-0.0139548923417115</v>
      </c>
      <c r="J217" s="46">
        <f>(VLOOKUP($A217,'The List'!$B1:$AH730,22,FALSE)-AVERAGE('The List'!W2:W730))/STDEV('The List'!W2:W730)</f>
        <v>0.136364133960671</v>
      </c>
      <c r="K217" s="46">
        <f>(VLOOKUP($A217,'The List'!$B1:$AH730,23,FALSE)-AVERAGE('The List'!X2:X730))/STDEV('The List'!X2:X730)</f>
        <v>-0.0329454747909453</v>
      </c>
      <c r="L217" s="46">
        <f>(VLOOKUP($A217,'The List'!$B1:$AH730,24,FALSE)-AVERAGE('The List'!Y2:Y730))/STDEV('The List'!Y2:Y730)</f>
        <v>0.196416262784668</v>
      </c>
      <c r="M217" s="46">
        <f>(VLOOKUP($A217,'The List'!$B1:$AH730,25,FALSE)-AVERAGE('The List'!Z2:Z730))/STDEV('The List'!Z2:Z730)</f>
        <v>-0.164119102042494</v>
      </c>
      <c r="N217" s="46">
        <f>(VLOOKUP($A217,'The List'!$B1:$AH730,26,FALSE)-AVERAGE('The List'!AA2:AA730))/STDEV('The List'!AA2:AA730)</f>
        <v>0.28899902014056</v>
      </c>
      <c r="O217" s="46">
        <f>(VLOOKUP($A217,'The List'!$B1:$AH730,27,FALSE)-AVERAGE('The List'!AB2:AB730))/STDEV('The List'!AB2:AB730)</f>
        <v>-1.08308060662739</v>
      </c>
      <c r="P217" s="46">
        <f>(VLOOKUP($A217,'The List'!$B1:$AH730,28,FALSE)-AVERAGE('The List'!AC2:AC730))/STDEV('The List'!AC2:AC730)</f>
        <v>-0.279643279232408</v>
      </c>
      <c r="Q217" s="46">
        <f>(VLOOKUP($A217,'The List'!$B1:$AH730,29,FALSE)-AVERAGE('The List'!AD2:AD730))/STDEV('The List'!AD2:AD730)</f>
        <v>0.0504144445341971</v>
      </c>
      <c r="R217" s="46">
        <f>(VLOOKUP($A217,'The List'!$B1:$AH730,30,FALSE)-AVERAGE('The List'!AE2:AE730))/STDEV('The List'!AE2:AE730)</f>
        <v>0.254579605873719</v>
      </c>
      <c r="S217" s="46">
        <f>(VLOOKUP($A217,'The List'!$B1:$AH730,31,FALSE)-AVERAGE('The List'!AF2:AF730))/STDEV('The List'!AF2:AF730)</f>
        <v>2.68700846851007</v>
      </c>
      <c r="T217" s="46">
        <f>(VLOOKUP($A217,'The List'!$B1:$AH730,32,FALSE)-AVERAGE('The List'!AG2:AG730))/STDEV('The List'!AG2:AG730)</f>
        <v>2.9167105047245</v>
      </c>
      <c r="U217" s="46">
        <f>(VLOOKUP($A217,'The List'!$B1:$AH730,33,FALSE)-AVERAGE('The List'!AH2:AH730))/STDEV('The List'!AH2:AH730)</f>
        <v>0.98740209507805</v>
      </c>
      <c r="V217" s="46"/>
      <c r="W217" s="50"/>
      <c r="X217" s="48"/>
      <c r="Y217" s="48"/>
      <c r="Z217" s="48"/>
      <c r="AA217" s="48"/>
      <c r="AB217" s="48"/>
      <c r="AC217" s="51"/>
      <c r="AD217" s="52"/>
      <c r="AE217" s="46"/>
    </row>
    <row r="218" ht="21.25" customHeight="1">
      <c r="A218" t="s" s="8">
        <v>589</v>
      </c>
      <c r="B218" t="s" s="42">
        <f>VLOOKUP(A218,'Player Data'!A1:B734,2,FALSE)</f>
        <v>131</v>
      </c>
      <c r="C218" s="44">
        <f>((E218)*'Settings'!$C$12)+(F218*'Settings'!$C$2)+(G218*'Settings'!$C$3)+(H218*'Settings'!$C$4)+(I218*'Settings'!$C$5)+(K218*'Settings'!$C$9)+(N218*'Settings'!$C$6)+(J218*'Settings'!$C$8)+(O218*'Settings'!$C$7)+(P218*'Settings'!$C$14)+(Q218*'Settings'!$C$15)+(R218*'Settings'!$C$16)+(S218*'Settings'!$C$17)+(T218*'Settings'!$C$18)+(U218*'Settings'!$C$19)+(L218*'Settings'!$C$10)+('Settings'!$C$11*M218)</f>
        <v>-1.16851549966749</v>
      </c>
      <c r="D218" s="48">
        <f>IF('Settings'!$E$12="YES",VLOOKUP(A218,'Player Data'!A1:E734,5,FALSE),82)</f>
        <v>71.59999999999999</v>
      </c>
      <c r="E218" s="46">
        <f>(VLOOKUP($A218,'The List'!$B1:$AH730,17,FALSE)-AVERAGE('The List'!R2:R730))/STDEV('The List'!R2:R730)</f>
        <v>-0.633497408608941</v>
      </c>
      <c r="F218" s="46">
        <f>(VLOOKUP($A218,'The List'!$B1:$AH730,18,FALSE)-AVERAGE('The List'!S2:S730))/STDEV('The List'!S2:S730)</f>
        <v>-0.107900664246376</v>
      </c>
      <c r="G218" s="46">
        <f>(VLOOKUP($A218,'The List'!$B1:$AH730,19,FALSE)-AVERAGE('The List'!T2:T730))/STDEV('The List'!T2:T730)</f>
        <v>0.285126487591718</v>
      </c>
      <c r="H218" s="46">
        <f>(VLOOKUP($A218,'The List'!$B1:$AH730,20,FALSE)-AVERAGE('The List'!U2:U730))/STDEV('The List'!U2:U730)</f>
        <v>0.12667976573417</v>
      </c>
      <c r="I218" s="46">
        <f>(VLOOKUP($A218,'The List'!$B1:$AH730,21,FALSE)-AVERAGE('The List'!V2:V730))/STDEV('The List'!V2:V730)</f>
        <v>-0.700993547640633</v>
      </c>
      <c r="J218" s="46">
        <f>(VLOOKUP($A218,'The List'!$B1:$AH730,22,FALSE)-AVERAGE('The List'!W2:W730))/STDEV('The List'!W2:W730)</f>
        <v>-0.127841106859332</v>
      </c>
      <c r="K218" s="46">
        <f>(VLOOKUP($A218,'The List'!$B1:$AH730,23,FALSE)-AVERAGE('The List'!X2:X730))/STDEV('The List'!X2:X730)</f>
        <v>0.250263660466305</v>
      </c>
      <c r="L218" s="46">
        <f>(VLOOKUP($A218,'The List'!$B1:$AH730,24,FALSE)-AVERAGE('The List'!Y2:Y730))/STDEV('The List'!Y2:Y730)</f>
        <v>-0.514199280491398</v>
      </c>
      <c r="M218" s="46">
        <f>(VLOOKUP($A218,'The List'!$B1:$AH730,25,FALSE)-AVERAGE('The List'!Z2:Z730))/STDEV('The List'!Z2:Z730)</f>
        <v>-0.690324721032021</v>
      </c>
      <c r="N218" s="46">
        <f>(VLOOKUP($A218,'The List'!$B1:$AH730,26,FALSE)-AVERAGE('The List'!AA2:AA730))/STDEV('The List'!AA2:AA730)</f>
        <v>-0.761350619343132</v>
      </c>
      <c r="O218" s="46">
        <f>(VLOOKUP($A218,'The List'!$B1:$AH730,27,FALSE)-AVERAGE('The List'!AB2:AB730))/STDEV('The List'!AB2:AB730)</f>
        <v>0.377902022402731</v>
      </c>
      <c r="P218" s="46">
        <f>(VLOOKUP($A218,'The List'!$B1:$AH730,28,FALSE)-AVERAGE('The List'!AC2:AC730))/STDEV('The List'!AC2:AC730)</f>
        <v>-0.133660816495371</v>
      </c>
      <c r="Q218" s="46">
        <f>(VLOOKUP($A218,'The List'!$B1:$AH730,29,FALSE)-AVERAGE('The List'!AD2:AD730))/STDEV('The List'!AD2:AD730)</f>
        <v>-0.47459225601564</v>
      </c>
      <c r="R218" s="46">
        <f>(VLOOKUP($A218,'The List'!$B1:$AH730,30,FALSE)-AVERAGE('The List'!AE2:AE730))/STDEV('The List'!AE2:AE730)</f>
        <v>-0.0559687638649493</v>
      </c>
      <c r="S218" s="46">
        <f>(VLOOKUP($A218,'The List'!$B1:$AH730,31,FALSE)-AVERAGE('The List'!AF2:AF730))/STDEV('The List'!AF2:AF730)</f>
        <v>0.6420063050845261</v>
      </c>
      <c r="T218" s="46">
        <f>(VLOOKUP($A218,'The List'!$B1:$AH730,32,FALSE)-AVERAGE('The List'!AG2:AG730))/STDEV('The List'!AG2:AG730)</f>
        <v>0.668263403677768</v>
      </c>
      <c r="U218" s="46">
        <f>(VLOOKUP($A218,'The List'!$B1:$AH730,33,FALSE)-AVERAGE('The List'!AH2:AH730))/STDEV('The List'!AH2:AH730)</f>
        <v>1.01458800592875</v>
      </c>
      <c r="V218" s="46"/>
      <c r="W218" s="48"/>
      <c r="X218" s="46"/>
      <c r="Y218" s="46"/>
      <c r="Z218" s="46"/>
      <c r="AA218" s="46"/>
      <c r="AB218" s="46"/>
      <c r="AC218" s="46"/>
      <c r="AD218" s="46"/>
      <c r="AE218" s="46"/>
    </row>
    <row r="219" ht="21.25" customHeight="1">
      <c r="A219" t="s" s="8">
        <v>479</v>
      </c>
      <c r="B219" t="s" s="42">
        <f>VLOOKUP(A219,'Player Data'!A1:B734,2,FALSE)</f>
        <v>124</v>
      </c>
      <c r="C219" s="44">
        <f>((E219)*'Settings'!$C$12)+(F219*'Settings'!$C$2)+(G219*'Settings'!$C$3)+(H219*'Settings'!$C$4)+(I219*'Settings'!$C$5)+(K219*'Settings'!$C$9)+(N219*'Settings'!$C$6)+(J219*'Settings'!$C$8)+(O219*'Settings'!$C$7)+(P219*'Settings'!$C$14)+(Q219*'Settings'!$C$15)+(R219*'Settings'!$C$16)+(S219*'Settings'!$C$17)+(T219*'Settings'!$C$18)+(U219*'Settings'!$C$19)+(L219*'Settings'!$C$10)+('Settings'!$C$11*M219)</f>
        <v>0.576856550935734</v>
      </c>
      <c r="D219" s="48">
        <f>IF('Settings'!$E$12="YES",VLOOKUP(A219,'Player Data'!A1:E734,5,FALSE),82)</f>
        <v>76.0664285714286</v>
      </c>
      <c r="E219" s="46">
        <f>(VLOOKUP($A219,'The List'!$B1:$AH730,17,FALSE)-AVERAGE('The List'!R2:R730))/STDEV('The List'!R2:R730)</f>
        <v>0.226800668939832</v>
      </c>
      <c r="F219" s="46">
        <f>(VLOOKUP($A219,'The List'!$B1:$AH730,18,FALSE)-AVERAGE('The List'!S2:S730))/STDEV('The List'!S2:S730)</f>
        <v>0.298678322827004</v>
      </c>
      <c r="G219" s="46">
        <f>(VLOOKUP($A219,'The List'!$B1:$AH730,19,FALSE)-AVERAGE('The List'!T2:T730))/STDEV('The List'!T2:T730)</f>
        <v>0.150717414175318</v>
      </c>
      <c r="H219" s="46">
        <f>(VLOOKUP($A219,'The List'!$B1:$AH730,20,FALSE)-AVERAGE('The List'!U2:U730))/STDEV('The List'!U2:U730)</f>
        <v>0.228819931946695</v>
      </c>
      <c r="I219" s="46">
        <f>(VLOOKUP($A219,'The List'!$B1:$AH730,21,FALSE)-AVERAGE('The List'!V2:V730))/STDEV('The List'!V2:V730)</f>
        <v>0.220352045884448</v>
      </c>
      <c r="J219" s="46">
        <f>(VLOOKUP($A219,'The List'!$B1:$AH730,22,FALSE)-AVERAGE('The List'!W2:W730))/STDEV('The List'!W2:W730)</f>
        <v>-0.0534289035233782</v>
      </c>
      <c r="K219" s="46">
        <f>(VLOOKUP($A219,'The List'!$B1:$AH730,23,FALSE)-AVERAGE('The List'!X2:X730))/STDEV('The List'!X2:X730)</f>
        <v>-0.150057588471706</v>
      </c>
      <c r="L219" s="46">
        <f>(VLOOKUP($A219,'The List'!$B1:$AH730,24,FALSE)-AVERAGE('The List'!Y2:Y730))/STDEV('The List'!Y2:Y730)</f>
        <v>3.13113440667386</v>
      </c>
      <c r="M219" s="46">
        <f>(VLOOKUP($A219,'The List'!$B1:$AH730,25,FALSE)-AVERAGE('The List'!Z2:Z730))/STDEV('The List'!Z2:Z730)</f>
        <v>1.65460991276239</v>
      </c>
      <c r="N219" s="46">
        <f>(VLOOKUP($A219,'The List'!$B1:$AH730,26,FALSE)-AVERAGE('The List'!AA2:AA730))/STDEV('The List'!AA2:AA730)</f>
        <v>0.00236457916280504</v>
      </c>
      <c r="O219" s="46">
        <f>(VLOOKUP($A219,'The List'!$B1:$AH730,27,FALSE)-AVERAGE('The List'!AB2:AB730))/STDEV('The List'!AB2:AB730)</f>
        <v>-0.68212955171335</v>
      </c>
      <c r="P219" s="46">
        <f>(VLOOKUP($A219,'The List'!$B1:$AH730,28,FALSE)-AVERAGE('The List'!AC2:AC730))/STDEV('The List'!AC2:AC730)</f>
        <v>0.0548017773578652</v>
      </c>
      <c r="Q219" s="46">
        <f>(VLOOKUP($A219,'The List'!$B1:$AH730,29,FALSE)-AVERAGE('The List'!AD2:AD730))/STDEV('The List'!AD2:AD730)</f>
        <v>0.21773992048026</v>
      </c>
      <c r="R219" s="46">
        <f>(VLOOKUP($A219,'The List'!$B1:$AH730,30,FALSE)-AVERAGE('The List'!AE2:AE730))/STDEV('The List'!AE2:AE730)</f>
        <v>0.43902404278082</v>
      </c>
      <c r="S219" s="46">
        <f>(VLOOKUP($A219,'The List'!$B1:$AH730,31,FALSE)-AVERAGE('The List'!AF2:AF730))/STDEV('The List'!AF2:AF730)</f>
        <v>1.92923145657703</v>
      </c>
      <c r="T219" s="46">
        <f>(VLOOKUP($A219,'The List'!$B1:$AH730,32,FALSE)-AVERAGE('The List'!AG2:AG730))/STDEV('The List'!AG2:AG730)</f>
        <v>2.14644503426029</v>
      </c>
      <c r="U219" s="46">
        <f>(VLOOKUP($A219,'The List'!$B1:$AH730,33,FALSE)-AVERAGE('The List'!AH2:AH730))/STDEV('The List'!AH2:AH730)</f>
        <v>0.9660709828199719</v>
      </c>
      <c r="V219" s="46"/>
      <c r="W219" s="48"/>
      <c r="X219" s="46"/>
      <c r="Y219" s="46"/>
      <c r="Z219" s="46"/>
      <c r="AA219" s="46"/>
      <c r="AB219" s="46"/>
      <c r="AC219" s="46"/>
      <c r="AD219" s="46"/>
      <c r="AE219" s="46"/>
    </row>
    <row r="220" ht="21.25" customHeight="1">
      <c r="A220" t="s" s="8">
        <v>493</v>
      </c>
      <c r="B220" t="s" s="42">
        <f>VLOOKUP(A220,'Player Data'!A1:B734,2,FALSE)</f>
        <v>236</v>
      </c>
      <c r="C220" s="44">
        <f>((E220)*'Settings'!$C$12)+(F220*'Settings'!$C$2)+(G220*'Settings'!$C$3)+(H220*'Settings'!$C$4)+(I220*'Settings'!$C$5)+(K220*'Settings'!$C$9)+(N220*'Settings'!$C$6)+(J220*'Settings'!$C$8)+(O220*'Settings'!$C$7)+(P220*'Settings'!$C$14)+(Q220*'Settings'!$C$15)+(R220*'Settings'!$C$16)+(S220*'Settings'!$C$17)+(T220*'Settings'!$C$18)+(U220*'Settings'!$C$19)+(L220*'Settings'!$C$10)+('Settings'!$C$11*M220)</f>
        <v>-1.2704638434726</v>
      </c>
      <c r="D220" s="48">
        <f>IF('Settings'!$E$12="YES",VLOOKUP(A220,'Player Data'!A1:E734,5,FALSE),82)</f>
        <v>75.44</v>
      </c>
      <c r="E220" s="46">
        <f>(VLOOKUP($A220,'The List'!$B1:$AH730,17,FALSE)-AVERAGE('The List'!R2:R730))/STDEV('The List'!R2:R730)</f>
        <v>-0.094161804740178</v>
      </c>
      <c r="F220" s="46">
        <f>(VLOOKUP($A220,'The List'!$B1:$AH730,18,FALSE)-AVERAGE('The List'!S2:S730))/STDEV('The List'!S2:S730)</f>
        <v>0.279678036504513</v>
      </c>
      <c r="G220" s="46">
        <f>(VLOOKUP($A220,'The List'!$B1:$AH730,19,FALSE)-AVERAGE('The List'!T2:T730))/STDEV('The List'!T2:T730)</f>
        <v>0.138247144098547</v>
      </c>
      <c r="H220" s="46">
        <f>(VLOOKUP($A220,'The List'!$B1:$AH730,20,FALSE)-AVERAGE('The List'!U2:U730))/STDEV('The List'!U2:U730)</f>
        <v>0.212486663008827</v>
      </c>
      <c r="I220" s="46">
        <f>(VLOOKUP($A220,'The List'!$B1:$AH730,21,FALSE)-AVERAGE('The List'!V2:V730))/STDEV('The List'!V2:V730)</f>
        <v>0.181140867189672</v>
      </c>
      <c r="J220" s="46">
        <f>(VLOOKUP($A220,'The List'!$B1:$AH730,22,FALSE)-AVERAGE('The List'!W2:W730))/STDEV('The List'!W2:W730)</f>
        <v>-0.215370977946221</v>
      </c>
      <c r="K220" s="46">
        <f>(VLOOKUP($A220,'The List'!$B1:$AH730,23,FALSE)-AVERAGE('The List'!X2:X730))/STDEV('The List'!X2:X730)</f>
        <v>-0.185923228430583</v>
      </c>
      <c r="L220" s="46">
        <f>(VLOOKUP($A220,'The List'!$B1:$AH730,24,FALSE)-AVERAGE('The List'!Y2:Y730))/STDEV('The List'!Y2:Y730)</f>
        <v>-0.41187299889479</v>
      </c>
      <c r="M220" s="46">
        <f>(VLOOKUP($A220,'The List'!$B1:$AH730,25,FALSE)-AVERAGE('The List'!Z2:Z730))/STDEV('The List'!Z2:Z730)</f>
        <v>-0.57575946044677</v>
      </c>
      <c r="N220" s="46">
        <f>(VLOOKUP($A220,'The List'!$B1:$AH730,26,FALSE)-AVERAGE('The List'!AA2:AA730))/STDEV('The List'!AA2:AA730)</f>
        <v>-0.338241097351666</v>
      </c>
      <c r="O220" s="46">
        <f>(VLOOKUP($A220,'The List'!$B1:$AH730,27,FALSE)-AVERAGE('The List'!AB2:AB730))/STDEV('The List'!AB2:AB730)</f>
        <v>-0.335268482894912</v>
      </c>
      <c r="P220" s="46">
        <f>(VLOOKUP($A220,'The List'!$B1:$AH730,28,FALSE)-AVERAGE('The List'!AC2:AC730))/STDEV('The List'!AC2:AC730)</f>
        <v>-1.34536556548308</v>
      </c>
      <c r="Q220" s="46">
        <f>(VLOOKUP($A220,'The List'!$B1:$AH730,29,FALSE)-AVERAGE('The List'!AD2:AD730))/STDEV('The List'!AD2:AD730)</f>
        <v>-0.508874610677694</v>
      </c>
      <c r="R220" s="46">
        <f>(VLOOKUP($A220,'The List'!$B1:$AH730,30,FALSE)-AVERAGE('The List'!AE2:AE730))/STDEV('The List'!AE2:AE730)</f>
        <v>0.0203812289678381</v>
      </c>
      <c r="S220" s="46">
        <f>(VLOOKUP($A220,'The List'!$B1:$AH730,31,FALSE)-AVERAGE('The List'!AF2:AF730))/STDEV('The List'!AF2:AF730)</f>
        <v>1.4264792656769</v>
      </c>
      <c r="T220" s="46">
        <f>(VLOOKUP($A220,'The List'!$B1:$AH730,32,FALSE)-AVERAGE('The List'!AG2:AG730))/STDEV('The List'!AG2:AG730)</f>
        <v>1.78072696717095</v>
      </c>
      <c r="U220" s="46">
        <f>(VLOOKUP($A220,'The List'!$B1:$AH730,33,FALSE)-AVERAGE('The List'!AH2:AH730))/STDEV('The List'!AH2:AH730)</f>
        <v>0.872483087517016</v>
      </c>
      <c r="V220" s="46"/>
      <c r="W220" s="50"/>
      <c r="X220" s="48"/>
      <c r="Y220" s="48"/>
      <c r="Z220" s="48"/>
      <c r="AA220" s="48"/>
      <c r="AB220" s="48"/>
      <c r="AC220" s="51"/>
      <c r="AD220" s="52"/>
      <c r="AE220" s="46"/>
    </row>
    <row r="221" ht="21.25" customHeight="1">
      <c r="A221" t="s" s="8">
        <v>414</v>
      </c>
      <c r="B221" t="s" s="42">
        <f>VLOOKUP(A221,'Player Data'!A1:B734,2,FALSE)</f>
        <v>204</v>
      </c>
      <c r="C221" s="44">
        <f>((E221)*'Settings'!$C$12)+(F221*'Settings'!$C$2)+(G221*'Settings'!$C$3)+(H221*'Settings'!$C$4)+(I221*'Settings'!$C$5)+(K221*'Settings'!$C$9)+(N221*'Settings'!$C$6)+(J221*'Settings'!$C$8)+(O221*'Settings'!$C$7)+(P221*'Settings'!$C$14)+(Q221*'Settings'!$C$15)+(R221*'Settings'!$C$16)+(S221*'Settings'!$C$17)+(T221*'Settings'!$C$18)+(U221*'Settings'!$C$19)+(L221*'Settings'!$C$10)+('Settings'!$C$11*M221)</f>
        <v>0.7244161223109929</v>
      </c>
      <c r="D221" s="48">
        <f>IF('Settings'!$E$12="YES",VLOOKUP(A221,'Player Data'!A1:E734,5,FALSE),82)</f>
        <v>77.81</v>
      </c>
      <c r="E221" s="46">
        <f>(VLOOKUP($A221,'The List'!$B1:$AH730,17,FALSE)-AVERAGE('The List'!R2:R730))/STDEV('The List'!R2:R730)</f>
        <v>0.00170813251378222</v>
      </c>
      <c r="F221" s="46">
        <f>(VLOOKUP($A221,'The List'!$B1:$AH730,18,FALSE)-AVERAGE('The List'!S2:S730))/STDEV('The List'!S2:S730)</f>
        <v>0.175868841205133</v>
      </c>
      <c r="G221" s="46">
        <f>(VLOOKUP($A221,'The List'!$B1:$AH730,19,FALSE)-AVERAGE('The List'!T2:T730))/STDEV('The List'!T2:T730)</f>
        <v>0.278168968476546</v>
      </c>
      <c r="H221" s="46">
        <f>(VLOOKUP($A221,'The List'!$B1:$AH730,20,FALSE)-AVERAGE('The List'!U2:U730))/STDEV('The List'!U2:U730)</f>
        <v>0.251511362823253</v>
      </c>
      <c r="I221" s="46">
        <f>(VLOOKUP($A221,'The List'!$B1:$AH730,21,FALSE)-AVERAGE('The List'!V2:V730))/STDEV('The List'!V2:V730)</f>
        <v>1.02441769582924</v>
      </c>
      <c r="J221" s="46">
        <f>(VLOOKUP($A221,'The List'!$B1:$AH730,22,FALSE)-AVERAGE('The List'!W2:W730))/STDEV('The List'!W2:W730)</f>
        <v>-0.00827738747205181</v>
      </c>
      <c r="K221" s="46">
        <f>(VLOOKUP($A221,'The List'!$B1:$AH730,23,FALSE)-AVERAGE('The List'!X2:X730))/STDEV('The List'!X2:X730)</f>
        <v>-0.0186509267370674</v>
      </c>
      <c r="L221" s="46">
        <f>(VLOOKUP($A221,'The List'!$B1:$AH730,24,FALSE)-AVERAGE('The List'!Y2:Y730))/STDEV('The List'!Y2:Y730)</f>
        <v>3.63866337815509</v>
      </c>
      <c r="M221" s="46">
        <f>(VLOOKUP($A221,'The List'!$B1:$AH730,25,FALSE)-AVERAGE('The List'!Z2:Z730))/STDEV('The List'!Z2:Z730)</f>
        <v>2.85030222185802</v>
      </c>
      <c r="N221" s="46">
        <f>(VLOOKUP($A221,'The List'!$B1:$AH730,26,FALSE)-AVERAGE('The List'!AA2:AA730))/STDEV('The List'!AA2:AA730)</f>
        <v>-0.722318880160024</v>
      </c>
      <c r="O221" s="46">
        <f>(VLOOKUP($A221,'The List'!$B1:$AH730,27,FALSE)-AVERAGE('The List'!AB2:AB730))/STDEV('The List'!AB2:AB730)</f>
        <v>-0.325771212237447</v>
      </c>
      <c r="P221" s="46">
        <f>(VLOOKUP($A221,'The List'!$B1:$AH730,28,FALSE)-AVERAGE('The List'!AC2:AC730))/STDEV('The List'!AC2:AC730)</f>
        <v>-0.0130695763028346</v>
      </c>
      <c r="Q221" s="46">
        <f>(VLOOKUP($A221,'The List'!$B1:$AH730,29,FALSE)-AVERAGE('The List'!AD2:AD730))/STDEV('The List'!AD2:AD730)</f>
        <v>-0.574692490320529</v>
      </c>
      <c r="R221" s="46">
        <f>(VLOOKUP($A221,'The List'!$B1:$AH730,30,FALSE)-AVERAGE('The List'!AE2:AE730))/STDEV('The List'!AE2:AE730)</f>
        <v>0.233155203123056</v>
      </c>
      <c r="S221" s="46">
        <f>(VLOOKUP($A221,'The List'!$B1:$AH730,31,FALSE)-AVERAGE('The List'!AF2:AF730))/STDEV('The List'!AF2:AF730)</f>
        <v>-0.465419741952001</v>
      </c>
      <c r="T221" s="46">
        <f>(VLOOKUP($A221,'The List'!$B1:$AH730,32,FALSE)-AVERAGE('The List'!AG2:AG730))/STDEV('The List'!AG2:AG730)</f>
        <v>-0.442947805361385</v>
      </c>
      <c r="U221" s="46">
        <f>(VLOOKUP($A221,'The List'!$B1:$AH730,33,FALSE)-AVERAGE('The List'!AH2:AH730))/STDEV('The List'!AH2:AH730)</f>
        <v>0.473723128046006</v>
      </c>
      <c r="V221" s="46"/>
      <c r="W221" s="48"/>
      <c r="X221" s="46"/>
      <c r="Y221" s="46"/>
      <c r="Z221" s="46"/>
      <c r="AA221" s="46"/>
      <c r="AB221" s="46"/>
      <c r="AC221" s="46"/>
      <c r="AD221" s="46"/>
      <c r="AE221" s="46"/>
    </row>
    <row r="222" ht="21.25" customHeight="1">
      <c r="A222" t="s" s="8">
        <v>327</v>
      </c>
      <c r="B222" t="s" s="42">
        <f>VLOOKUP(A222,'Player Data'!A1:B734,2,FALSE)</f>
        <v>119</v>
      </c>
      <c r="C222" s="44">
        <f>((E222)*'Settings'!$C$12)+(F222*'Settings'!$C$2)+(G222*'Settings'!$C$3)+(H222*'Settings'!$C$4)+(I222*'Settings'!$C$5)+(K222*'Settings'!$C$9)+(N222*'Settings'!$C$6)+(J222*'Settings'!$C$8)+(O222*'Settings'!$C$7)+(P222*'Settings'!$C$14)+(Q222*'Settings'!$C$15)+(R222*'Settings'!$C$16)+(S222*'Settings'!$C$17)+(T222*'Settings'!$C$18)+(U222*'Settings'!$C$19)+(L222*'Settings'!$C$10)+('Settings'!$C$11*M222)</f>
        <v>1.48496717049532</v>
      </c>
      <c r="D222" s="48">
        <f>IF('Settings'!$E$12="YES",VLOOKUP(A222,'Player Data'!A1:E734,5,FALSE),82)</f>
        <v>65</v>
      </c>
      <c r="E222" s="46">
        <f>(VLOOKUP($A222,'The List'!$B1:$AH730,17,FALSE)-AVERAGE('The List'!R2:R730))/STDEV('The List'!R2:R730)</f>
        <v>1.37806234079061</v>
      </c>
      <c r="F222" s="46">
        <f>(VLOOKUP($A222,'The List'!$B1:$AH730,18,FALSE)-AVERAGE('The List'!S2:S730))/STDEV('The List'!S2:S730)</f>
        <v>-0.197583768651265</v>
      </c>
      <c r="G222" s="46">
        <f>(VLOOKUP($A222,'The List'!$B1:$AH730,19,FALSE)-AVERAGE('The List'!T2:T730))/STDEV('The List'!T2:T730)</f>
        <v>0.0541878190695707</v>
      </c>
      <c r="H222" s="46">
        <f>(VLOOKUP($A222,'The List'!$B1:$AH730,20,FALSE)-AVERAGE('The List'!U2:U730))/STDEV('The List'!U2:U730)</f>
        <v>-0.0564984991877614</v>
      </c>
      <c r="I222" s="46">
        <f>(VLOOKUP($A222,'The List'!$B1:$AH730,21,FALSE)-AVERAGE('The List'!V2:V730))/STDEV('The List'!V2:V730)</f>
        <v>0.487004044797954</v>
      </c>
      <c r="J222" s="46">
        <f>(VLOOKUP($A222,'The List'!$B1:$AH730,22,FALSE)-AVERAGE('The List'!W2:W730))/STDEV('The List'!W2:W730)</f>
        <v>0.197637774608927</v>
      </c>
      <c r="K222" s="46">
        <f>(VLOOKUP($A222,'The List'!$B1:$AH730,23,FALSE)-AVERAGE('The List'!X2:X730))/STDEV('The List'!X2:X730)</f>
        <v>0.236677260185163</v>
      </c>
      <c r="L222" s="46">
        <f>(VLOOKUP($A222,'The List'!$B1:$AH730,24,FALSE)-AVERAGE('The List'!Y2:Y730))/STDEV('The List'!Y2:Y730)</f>
        <v>0.215294913900129</v>
      </c>
      <c r="M222" s="46">
        <f>(VLOOKUP($A222,'The List'!$B1:$AH730,25,FALSE)-AVERAGE('The List'!Z2:Z730))/STDEV('The List'!Z2:Z730)</f>
        <v>0.608303057237087</v>
      </c>
      <c r="N222" s="46">
        <f>(VLOOKUP($A222,'The List'!$B1:$AH730,26,FALSE)-AVERAGE('The List'!AA2:AA730))/STDEV('The List'!AA2:AA730)</f>
        <v>0.482733072320747</v>
      </c>
      <c r="O222" s="46">
        <f>(VLOOKUP($A222,'The List'!$B1:$AH730,27,FALSE)-AVERAGE('The List'!AB2:AB730))/STDEV('The List'!AB2:AB730)</f>
        <v>-0.396960809439767</v>
      </c>
      <c r="P222" s="46">
        <f>(VLOOKUP($A222,'The List'!$B1:$AH730,28,FALSE)-AVERAGE('The List'!AC2:AC730))/STDEV('The List'!AC2:AC730)</f>
        <v>0.421948742773151</v>
      </c>
      <c r="Q222" s="46">
        <f>(VLOOKUP($A222,'The List'!$B1:$AH730,29,FALSE)-AVERAGE('The List'!AD2:AD730))/STDEV('The List'!AD2:AD730)</f>
        <v>0.651964439876679</v>
      </c>
      <c r="R222" s="46">
        <f>(VLOOKUP($A222,'The List'!$B1:$AH730,30,FALSE)-AVERAGE('The List'!AE2:AE730))/STDEV('The List'!AE2:AE730)</f>
        <v>-0.159575766382617</v>
      </c>
      <c r="S222" s="46">
        <f>(VLOOKUP($A222,'The List'!$B1:$AH730,31,FALSE)-AVERAGE('The List'!AF2:AF730))/STDEV('The List'!AF2:AF730)</f>
        <v>-0.5569063253591</v>
      </c>
      <c r="T222" s="46">
        <f>(VLOOKUP($A222,'The List'!$B1:$AH730,32,FALSE)-AVERAGE('The List'!AG2:AG730))/STDEV('The List'!AG2:AG730)</f>
        <v>-0.600856269042678</v>
      </c>
      <c r="U222" s="46">
        <f>(VLOOKUP($A222,'The List'!$B1:$AH730,33,FALSE)-AVERAGE('The List'!AH2:AH730))/STDEV('The List'!AH2:AH730)</f>
        <v>-1.2363238714826</v>
      </c>
      <c r="V222" s="46"/>
      <c r="W222" s="48"/>
      <c r="X222" s="46"/>
      <c r="Y222" s="46"/>
      <c r="Z222" s="46"/>
      <c r="AA222" s="46"/>
      <c r="AB222" s="46"/>
      <c r="AC222" s="46"/>
      <c r="AD222" s="46"/>
      <c r="AE222" s="46"/>
    </row>
    <row r="223" ht="21.25" customHeight="1">
      <c r="A223" t="s" s="8">
        <v>573</v>
      </c>
      <c r="B223" t="s" s="42">
        <f>VLOOKUP(A223,'Player Data'!A1:B734,2,FALSE)</f>
        <v>258</v>
      </c>
      <c r="C223" s="44">
        <f>((E223)*'Settings'!$C$12)+(F223*'Settings'!$C$2)+(G223*'Settings'!$C$3)+(H223*'Settings'!$C$4)+(I223*'Settings'!$C$5)+(K223*'Settings'!$C$9)+(N223*'Settings'!$C$6)+(J223*'Settings'!$C$8)+(O223*'Settings'!$C$7)+(P223*'Settings'!$C$14)+(Q223*'Settings'!$C$15)+(R223*'Settings'!$C$16)+(S223*'Settings'!$C$17)+(T223*'Settings'!$C$18)+(U223*'Settings'!$C$19)+(L223*'Settings'!$C$10)+('Settings'!$C$11*M223)</f>
        <v>-1.20424129309636</v>
      </c>
      <c r="D223" s="48">
        <f>IF('Settings'!$E$12="YES",VLOOKUP(A223,'Player Data'!A1:E734,5,FALSE),82)</f>
        <v>67.035</v>
      </c>
      <c r="E223" s="46">
        <f>(VLOOKUP($A223,'The List'!$B1:$AH730,17,FALSE)-AVERAGE('The List'!R2:R730))/STDEV('The List'!R2:R730)</f>
        <v>-0.254131444064815</v>
      </c>
      <c r="F223" s="46">
        <f>(VLOOKUP($A223,'The List'!$B1:$AH730,18,FALSE)-AVERAGE('The List'!S2:S730))/STDEV('The List'!S2:S730)</f>
        <v>0.729863876944711</v>
      </c>
      <c r="G223" s="46">
        <f>(VLOOKUP($A223,'The List'!$B1:$AH730,19,FALSE)-AVERAGE('The List'!T2:T730))/STDEV('The List'!T2:T730)</f>
        <v>-0.559665429540079</v>
      </c>
      <c r="H223" s="46">
        <f>(VLOOKUP($A223,'The List'!$B1:$AH730,20,FALSE)-AVERAGE('The List'!U2:U730))/STDEV('The List'!U2:U730)</f>
        <v>-0.0129236793091752</v>
      </c>
      <c r="I223" s="46">
        <f>(VLOOKUP($A223,'The List'!$B1:$AH730,21,FALSE)-AVERAGE('The List'!V2:V730))/STDEV('The List'!V2:V730)</f>
        <v>-0.39004460312655</v>
      </c>
      <c r="J223" s="46">
        <f>(VLOOKUP($A223,'The List'!$B1:$AH730,22,FALSE)-AVERAGE('The List'!W2:W730))/STDEV('The List'!W2:W730)</f>
        <v>0.262947348035221</v>
      </c>
      <c r="K223" s="46">
        <f>(VLOOKUP($A223,'The List'!$B1:$AH730,23,FALSE)-AVERAGE('The List'!X2:X730))/STDEV('The List'!X2:X730)</f>
        <v>-0.243175998233875</v>
      </c>
      <c r="L223" s="46">
        <f>(VLOOKUP($A223,'The List'!$B1:$AH730,24,FALSE)-AVERAGE('The List'!Y2:Y730))/STDEV('The List'!Y2:Y730)</f>
        <v>1.38323342008451</v>
      </c>
      <c r="M223" s="46">
        <f>(VLOOKUP($A223,'The List'!$B1:$AH730,25,FALSE)-AVERAGE('The List'!Z2:Z730))/STDEV('The List'!Z2:Z730)</f>
        <v>0.649811743197691</v>
      </c>
      <c r="N223" s="46">
        <f>(VLOOKUP($A223,'The List'!$B1:$AH730,26,FALSE)-AVERAGE('The List'!AA2:AA730))/STDEV('The List'!AA2:AA730)</f>
        <v>0.507455987457518</v>
      </c>
      <c r="O223" s="46">
        <f>(VLOOKUP($A223,'The List'!$B1:$AH730,27,FALSE)-AVERAGE('The List'!AB2:AB730))/STDEV('The List'!AB2:AB730)</f>
        <v>0.195091658042639</v>
      </c>
      <c r="P223" s="46">
        <f>(VLOOKUP($A223,'The List'!$B1:$AH730,28,FALSE)-AVERAGE('The List'!AC2:AC730))/STDEV('The List'!AC2:AC730)</f>
        <v>-1.24867512659808</v>
      </c>
      <c r="Q223" s="46">
        <f>(VLOOKUP($A223,'The List'!$B1:$AH730,29,FALSE)-AVERAGE('The List'!AD2:AD730))/STDEV('The List'!AD2:AD730)</f>
        <v>-0.702812690837243</v>
      </c>
      <c r="R223" s="46">
        <f>(VLOOKUP($A223,'The List'!$B1:$AH730,30,FALSE)-AVERAGE('The List'!AE2:AE730))/STDEV('The List'!AE2:AE730)</f>
        <v>0.165662226090518</v>
      </c>
      <c r="S223" s="46">
        <f>(VLOOKUP($A223,'The List'!$B1:$AH730,31,FALSE)-AVERAGE('The List'!AF2:AF730))/STDEV('The List'!AF2:AF730)</f>
        <v>-0.5569063253591</v>
      </c>
      <c r="T223" s="46">
        <f>(VLOOKUP($A223,'The List'!$B1:$AH730,32,FALSE)-AVERAGE('The List'!AG2:AG730))/STDEV('The List'!AG2:AG730)</f>
        <v>-0.58993376067033</v>
      </c>
      <c r="U223" s="46">
        <f>(VLOOKUP($A223,'The List'!$B1:$AH730,33,FALSE)-AVERAGE('The List'!AH2:AH730))/STDEV('The List'!AH2:AH730)</f>
        <v>-1.2363238714826</v>
      </c>
      <c r="V223" s="46"/>
      <c r="W223" s="48"/>
      <c r="X223" s="48"/>
      <c r="Y223" s="48"/>
      <c r="Z223" s="48"/>
      <c r="AA223" s="48"/>
      <c r="AB223" s="48"/>
      <c r="AC223" s="51"/>
      <c r="AD223" s="52"/>
      <c r="AE223" s="46"/>
    </row>
    <row r="224" ht="21.25" customHeight="1">
      <c r="A224" t="s" s="8">
        <v>455</v>
      </c>
      <c r="B224" t="s" s="42">
        <f>VLOOKUP(A224,'Player Data'!A1:B734,2,FALSE)</f>
        <v>236</v>
      </c>
      <c r="C224" s="44">
        <f>((E224)*'Settings'!$C$12)+(F224*'Settings'!$C$2)+(G224*'Settings'!$C$3)+(H224*'Settings'!$C$4)+(I224*'Settings'!$C$5)+(K224*'Settings'!$C$9)+(N224*'Settings'!$C$6)+(J224*'Settings'!$C$8)+(O224*'Settings'!$C$7)+(P224*'Settings'!$C$14)+(Q224*'Settings'!$C$15)+(R224*'Settings'!$C$16)+(S224*'Settings'!$C$17)+(T224*'Settings'!$C$18)+(U224*'Settings'!$C$19)+(L224*'Settings'!$C$10)+('Settings'!$C$11*M224)</f>
        <v>-0.74294940918567</v>
      </c>
      <c r="D224" s="48">
        <f>IF('Settings'!$E$12="YES",VLOOKUP(A224,'Player Data'!A1:E734,5,FALSE),82)</f>
        <v>78.8182142857143</v>
      </c>
      <c r="E224" s="46">
        <f>(VLOOKUP($A224,'The List'!$B1:$AH730,17,FALSE)-AVERAGE('The List'!R2:R730))/STDEV('The List'!R2:R730)</f>
        <v>0.316806582923335</v>
      </c>
      <c r="F224" s="46">
        <f>(VLOOKUP($A224,'The List'!$B1:$AH730,18,FALSE)-AVERAGE('The List'!S2:S730))/STDEV('The List'!S2:S730)</f>
        <v>0.363798800711876</v>
      </c>
      <c r="G224" s="46">
        <f>(VLOOKUP($A224,'The List'!$B1:$AH730,19,FALSE)-AVERAGE('The List'!T2:T730))/STDEV('The List'!T2:T730)</f>
        <v>0.133622594088837</v>
      </c>
      <c r="H224" s="46">
        <f>(VLOOKUP($A224,'The List'!$B1:$AH730,20,FALSE)-AVERAGE('The List'!U2:U730))/STDEV('The List'!U2:U730)</f>
        <v>0.247912323526506</v>
      </c>
      <c r="I224" s="46">
        <f>(VLOOKUP($A224,'The List'!$B1:$AH730,21,FALSE)-AVERAGE('The List'!V2:V730))/STDEV('The List'!V2:V730)</f>
        <v>0.502152322200981</v>
      </c>
      <c r="J224" s="46">
        <f>(VLOOKUP($A224,'The List'!$B1:$AH730,22,FALSE)-AVERAGE('The List'!W2:W730))/STDEV('The List'!W2:W730)</f>
        <v>0.322559649254616</v>
      </c>
      <c r="K224" s="46">
        <f>(VLOOKUP($A224,'The List'!$B1:$AH730,23,FALSE)-AVERAGE('The List'!X2:X730))/STDEV('The List'!X2:X730)</f>
        <v>-0.04239188071431</v>
      </c>
      <c r="L224" s="46">
        <f>(VLOOKUP($A224,'The List'!$B1:$AH730,24,FALSE)-AVERAGE('The List'!Y2:Y730))/STDEV('The List'!Y2:Y730)</f>
        <v>3.62127507434336</v>
      </c>
      <c r="M224" s="46">
        <f>(VLOOKUP($A224,'The List'!$B1:$AH730,25,FALSE)-AVERAGE('The List'!Z2:Z730))/STDEV('The List'!Z2:Z730)</f>
        <v>4.16456819050242</v>
      </c>
      <c r="N224" s="46">
        <f>(VLOOKUP($A224,'The List'!$B1:$AH730,26,FALSE)-AVERAGE('The List'!AA2:AA730))/STDEV('The List'!AA2:AA730)</f>
        <v>-0.131018581585224</v>
      </c>
      <c r="O224" s="46">
        <f>(VLOOKUP($A224,'The List'!$B1:$AH730,27,FALSE)-AVERAGE('The List'!AB2:AB730))/STDEV('The List'!AB2:AB730)</f>
        <v>1.32236536978101</v>
      </c>
      <c r="P224" s="46">
        <f>(VLOOKUP($A224,'The List'!$B1:$AH730,28,FALSE)-AVERAGE('The List'!AC2:AC730))/STDEV('The List'!AC2:AC730)</f>
        <v>-1.56911266388783</v>
      </c>
      <c r="Q224" s="46">
        <f>(VLOOKUP($A224,'The List'!$B1:$AH730,29,FALSE)-AVERAGE('The List'!AD2:AD730))/STDEV('The List'!AD2:AD730)</f>
        <v>0.706697834212452</v>
      </c>
      <c r="R224" s="46">
        <f>(VLOOKUP($A224,'The List'!$B1:$AH730,30,FALSE)-AVERAGE('The List'!AE2:AE730))/STDEV('The List'!AE2:AE730)</f>
        <v>0.08472378820349701</v>
      </c>
      <c r="S224" s="46">
        <f>(VLOOKUP($A224,'The List'!$B1:$AH730,31,FALSE)-AVERAGE('The List'!AF2:AF730))/STDEV('The List'!AF2:AF730)</f>
        <v>1.8823437802571</v>
      </c>
      <c r="T224" s="46">
        <f>(VLOOKUP($A224,'The List'!$B1:$AH730,32,FALSE)-AVERAGE('The List'!AG2:AG730))/STDEV('The List'!AG2:AG730)</f>
        <v>2.0913370943389</v>
      </c>
      <c r="U224" s="46">
        <f>(VLOOKUP($A224,'The List'!$B1:$AH730,33,FALSE)-AVERAGE('The List'!AH2:AH730))/STDEV('The List'!AH2:AH730)</f>
        <v>0.967451136522535</v>
      </c>
      <c r="V224" s="46"/>
      <c r="W224" s="50"/>
      <c r="X224" s="48"/>
      <c r="Y224" s="48"/>
      <c r="Z224" s="48"/>
      <c r="AA224" s="48"/>
      <c r="AB224" s="48"/>
      <c r="AC224" s="51"/>
      <c r="AD224" s="52"/>
      <c r="AE224" s="46"/>
    </row>
    <row r="225" ht="21.25" customHeight="1">
      <c r="A225" t="s" s="8">
        <v>699</v>
      </c>
      <c r="B225" t="s" s="42">
        <f>VLOOKUP(A225,'Player Data'!A1:B734,2,FALSE)</f>
        <v>139</v>
      </c>
      <c r="C225" s="44">
        <f>((E225)*'Settings'!$C$12)+(F225*'Settings'!$C$2)+(G225*'Settings'!$C$3)+(H225*'Settings'!$C$4)+(I225*'Settings'!$C$5)+(K225*'Settings'!$C$9)+(N225*'Settings'!$C$6)+(J225*'Settings'!$C$8)+(O225*'Settings'!$C$7)+(P225*'Settings'!$C$14)+(Q225*'Settings'!$C$15)+(R225*'Settings'!$C$16)+(S225*'Settings'!$C$17)+(T225*'Settings'!$C$18)+(U225*'Settings'!$C$19)+(L225*'Settings'!$C$10)+('Settings'!$C$11*M225)</f>
        <v>-3.15780926522827</v>
      </c>
      <c r="D225" s="48">
        <f>IF('Settings'!$E$12="YES",VLOOKUP(A225,'Player Data'!A1:E734,5,FALSE),82)</f>
        <v>50</v>
      </c>
      <c r="E225" s="46">
        <f>(VLOOKUP($A225,'The List'!$B1:$AH730,17,FALSE)-AVERAGE('The List'!R2:R730))/STDEV('The List'!R2:R730)</f>
        <v>-0.64936842608552</v>
      </c>
      <c r="F225" s="46">
        <f>(VLOOKUP($A225,'The List'!$B1:$AH730,18,FALSE)-AVERAGE('The List'!S2:S730))/STDEV('The List'!S2:S730)</f>
        <v>-0.269572991275718</v>
      </c>
      <c r="G225" s="46">
        <f>(VLOOKUP($A225,'The List'!$B1:$AH730,19,FALSE)-AVERAGE('The List'!T2:T730))/STDEV('The List'!T2:T730)</f>
        <v>-0.49652613165216</v>
      </c>
      <c r="H225" s="46">
        <f>(VLOOKUP($A225,'The List'!$B1:$AH730,20,FALSE)-AVERAGE('The List'!U2:U730))/STDEV('The List'!U2:U730)</f>
        <v>-0.428762951489078</v>
      </c>
      <c r="I225" s="46">
        <f>(VLOOKUP($A225,'The List'!$B1:$AH730,21,FALSE)-AVERAGE('The List'!V2:V730))/STDEV('The List'!V2:V730)</f>
        <v>-0.67421491692935</v>
      </c>
      <c r="J225" s="46">
        <f>(VLOOKUP($A225,'The List'!$B1:$AH730,22,FALSE)-AVERAGE('The List'!W2:W730))/STDEV('The List'!W2:W730)</f>
        <v>-0.354323998451043</v>
      </c>
      <c r="K225" s="46">
        <f>(VLOOKUP($A225,'The List'!$B1:$AH730,23,FALSE)-AVERAGE('The List'!X2:X730))/STDEV('The List'!X2:X730)</f>
        <v>-0.385408825431874</v>
      </c>
      <c r="L225" s="46">
        <f>(VLOOKUP($A225,'The List'!$B1:$AH730,24,FALSE)-AVERAGE('The List'!Y2:Y730))/STDEV('The List'!Y2:Y730)</f>
        <v>-0.48089490710429</v>
      </c>
      <c r="M225" s="46">
        <f>(VLOOKUP($A225,'The List'!$B1:$AH730,25,FALSE)-AVERAGE('The List'!Z2:Z730))/STDEV('The List'!Z2:Z730)</f>
        <v>-0.474103939117324</v>
      </c>
      <c r="N225" s="46">
        <f>(VLOOKUP($A225,'The List'!$B1:$AH730,26,FALSE)-AVERAGE('The List'!AA2:AA730))/STDEV('The List'!AA2:AA730)</f>
        <v>-1.11131143421153</v>
      </c>
      <c r="O225" s="46">
        <f>(VLOOKUP($A225,'The List'!$B1:$AH730,27,FALSE)-AVERAGE('The List'!AB2:AB730))/STDEV('The List'!AB2:AB730)</f>
        <v>-1.17079123507883</v>
      </c>
      <c r="P225" s="46">
        <f>(VLOOKUP($A225,'The List'!$B1:$AH730,28,FALSE)-AVERAGE('The List'!AC2:AC730))/STDEV('The List'!AC2:AC730)</f>
        <v>-0.220774965727639</v>
      </c>
      <c r="Q225" s="46">
        <f>(VLOOKUP($A225,'The List'!$B1:$AH730,29,FALSE)-AVERAGE('The List'!AD2:AD730))/STDEV('The List'!AD2:AD730)</f>
        <v>-1.30984059777657</v>
      </c>
      <c r="R225" s="46">
        <f>(VLOOKUP($A225,'The List'!$B1:$AH730,30,FALSE)-AVERAGE('The List'!AE2:AE730))/STDEV('The List'!AE2:AE730)</f>
        <v>-0.329809501398484</v>
      </c>
      <c r="S225" s="46">
        <f>(VLOOKUP($A225,'The List'!$B1:$AH730,31,FALSE)-AVERAGE('The List'!AF2:AF730))/STDEV('The List'!AF2:AF730)</f>
        <v>-0.521222203617555</v>
      </c>
      <c r="T225" s="46">
        <f>(VLOOKUP($A225,'The List'!$B1:$AH730,32,FALSE)-AVERAGE('The List'!AG2:AG730))/STDEV('The List'!AG2:AG730)</f>
        <v>-0.523117763575989</v>
      </c>
      <c r="U225" s="46">
        <f>(VLOOKUP($A225,'The List'!$B1:$AH730,33,FALSE)-AVERAGE('The List'!AH2:AH730))/STDEV('The List'!AH2:AH730)</f>
        <v>0.23418490893538</v>
      </c>
      <c r="V225" s="46"/>
      <c r="W225" s="50"/>
      <c r="X225" s="48"/>
      <c r="Y225" s="48"/>
      <c r="Z225" s="48"/>
      <c r="AA225" s="48"/>
      <c r="AB225" s="48"/>
      <c r="AC225" s="51"/>
      <c r="AD225" s="52"/>
      <c r="AE225" s="46"/>
    </row>
    <row r="226" ht="21.25" customHeight="1">
      <c r="A226" t="s" s="8">
        <v>513</v>
      </c>
      <c r="B226" t="s" s="42">
        <f>VLOOKUP(A226,'Player Data'!A1:B734,2,FALSE)</f>
        <v>131</v>
      </c>
      <c r="C226" s="44">
        <f>((E226)*'Settings'!$C$12)+(F226*'Settings'!$C$2)+(G226*'Settings'!$C$3)+(H226*'Settings'!$C$4)+(I226*'Settings'!$C$5)+(K226*'Settings'!$C$9)+(N226*'Settings'!$C$6)+(J226*'Settings'!$C$8)+(O226*'Settings'!$C$7)+(P226*'Settings'!$C$14)+(Q226*'Settings'!$C$15)+(R226*'Settings'!$C$16)+(S226*'Settings'!$C$17)+(T226*'Settings'!$C$18)+(U226*'Settings'!$C$19)+(L226*'Settings'!$C$10)+('Settings'!$C$11*M226)</f>
        <v>-0.937154148569837</v>
      </c>
      <c r="D226" s="48">
        <f>IF('Settings'!$E$12="YES",VLOOKUP(A226,'Player Data'!A1:E734,5,FALSE),82)</f>
        <v>75.0275</v>
      </c>
      <c r="E226" s="46">
        <f>(VLOOKUP($A226,'The List'!$B1:$AH730,17,FALSE)-AVERAGE('The List'!R2:R730))/STDEV('The List'!R2:R730)</f>
        <v>0.0450247541777828</v>
      </c>
      <c r="F226" s="46">
        <f>(VLOOKUP($A226,'The List'!$B1:$AH730,18,FALSE)-AVERAGE('The List'!S2:S730))/STDEV('The List'!S2:S730)</f>
        <v>0.08838967972397151</v>
      </c>
      <c r="G226" s="46">
        <f>(VLOOKUP($A226,'The List'!$B1:$AH730,19,FALSE)-AVERAGE('The List'!T2:T730))/STDEV('The List'!T2:T730)</f>
        <v>0.188386239079973</v>
      </c>
      <c r="H226" s="46">
        <f>(VLOOKUP($A226,'The List'!$B1:$AH730,20,FALSE)-AVERAGE('The List'!U2:U730))/STDEV('The List'!U2:U730)</f>
        <v>0.156356717295915</v>
      </c>
      <c r="I226" s="46">
        <f>(VLOOKUP($A226,'The List'!$B1:$AH730,21,FALSE)-AVERAGE('The List'!V2:V730))/STDEV('The List'!V2:V730)</f>
        <v>0.0273097282205159</v>
      </c>
      <c r="J226" s="46">
        <f>(VLOOKUP($A226,'The List'!$B1:$AH730,22,FALSE)-AVERAGE('The List'!W2:W730))/STDEV('The List'!W2:W730)</f>
        <v>-0.215334163884742</v>
      </c>
      <c r="K226" s="46">
        <f>(VLOOKUP($A226,'The List'!$B1:$AH730,23,FALSE)-AVERAGE('The List'!X2:X730))/STDEV('The List'!X2:X730)</f>
        <v>-0.255827045190529</v>
      </c>
      <c r="L226" s="46">
        <f>(VLOOKUP($A226,'The List'!$B1:$AH730,24,FALSE)-AVERAGE('The List'!Y2:Y730))/STDEV('The List'!Y2:Y730)</f>
        <v>2.27843192879259</v>
      </c>
      <c r="M226" s="46">
        <f>(VLOOKUP($A226,'The List'!$B1:$AH730,25,FALSE)-AVERAGE('The List'!Z2:Z730))/STDEV('The List'!Z2:Z730)</f>
        <v>1.16434964364825</v>
      </c>
      <c r="N226" s="46">
        <f>(VLOOKUP($A226,'The List'!$B1:$AH730,26,FALSE)-AVERAGE('The List'!AA2:AA730))/STDEV('The List'!AA2:AA730)</f>
        <v>-0.458633619232185</v>
      </c>
      <c r="O226" s="46">
        <f>(VLOOKUP($A226,'The List'!$B1:$AH730,27,FALSE)-AVERAGE('The List'!AB2:AB730))/STDEV('The List'!AB2:AB730)</f>
        <v>-0.830280125249693</v>
      </c>
      <c r="P226" s="46">
        <f>(VLOOKUP($A226,'The List'!$B1:$AH730,28,FALSE)-AVERAGE('The List'!AC2:AC730))/STDEV('The List'!AC2:AC730)</f>
        <v>-0.526779131171583</v>
      </c>
      <c r="Q226" s="46">
        <f>(VLOOKUP($A226,'The List'!$B1:$AH730,29,FALSE)-AVERAGE('The List'!AD2:AD730))/STDEV('The List'!AD2:AD730)</f>
        <v>-0.486598599316415</v>
      </c>
      <c r="R226" s="46">
        <f>(VLOOKUP($A226,'The List'!$B1:$AH730,30,FALSE)-AVERAGE('The List'!AE2:AE730))/STDEV('The List'!AE2:AE730)</f>
        <v>0.130548128597635</v>
      </c>
      <c r="S226" s="46">
        <f>(VLOOKUP($A226,'The List'!$B1:$AH730,31,FALSE)-AVERAGE('The List'!AF2:AF730))/STDEV('The List'!AF2:AF730)</f>
        <v>-0.46784554376265</v>
      </c>
      <c r="T226" s="46">
        <f>(VLOOKUP($A226,'The List'!$B1:$AH730,32,FALSE)-AVERAGE('The List'!AG2:AG730))/STDEV('The List'!AG2:AG730)</f>
        <v>-0.488319351084152</v>
      </c>
      <c r="U226" s="46">
        <f>(VLOOKUP($A226,'The List'!$B1:$AH730,33,FALSE)-AVERAGE('The List'!AH2:AH730))/STDEV('The List'!AH2:AH730)</f>
        <v>0.815258248999208</v>
      </c>
      <c r="V226" s="46"/>
      <c r="W226" s="48"/>
      <c r="X226" s="46"/>
      <c r="Y226" s="46"/>
      <c r="Z226" s="46"/>
      <c r="AA226" s="46"/>
      <c r="AB226" s="46"/>
      <c r="AC226" s="46"/>
      <c r="AD226" s="46"/>
      <c r="AE226" s="46"/>
    </row>
    <row r="227" ht="21.25" customHeight="1">
      <c r="A227" t="s" s="8">
        <v>498</v>
      </c>
      <c r="B227" t="s" s="42">
        <f>VLOOKUP(A227,'Player Data'!A1:B734,2,FALSE)</f>
        <v>225</v>
      </c>
      <c r="C227" s="44">
        <f>((E227)*'Settings'!$C$12)+(F227*'Settings'!$C$2)+(G227*'Settings'!$C$3)+(H227*'Settings'!$C$4)+(I227*'Settings'!$C$5)+(K227*'Settings'!$C$9)+(N227*'Settings'!$C$6)+(J227*'Settings'!$C$8)+(O227*'Settings'!$C$7)+(P227*'Settings'!$C$14)+(Q227*'Settings'!$C$15)+(R227*'Settings'!$C$16)+(S227*'Settings'!$C$17)+(T227*'Settings'!$C$18)+(U227*'Settings'!$C$19)+(L227*'Settings'!$C$10)+('Settings'!$C$11*M227)</f>
        <v>-1.73391063942743</v>
      </c>
      <c r="D227" s="48">
        <f>IF('Settings'!$E$12="YES",VLOOKUP(A227,'Player Data'!A1:E734,5,FALSE),82)</f>
        <v>73.1096428571429</v>
      </c>
      <c r="E227" s="46">
        <f>(VLOOKUP($A227,'The List'!$B1:$AH730,17,FALSE)-AVERAGE('The List'!R2:R730))/STDEV('The List'!R2:R730)</f>
        <v>-0.100951921037014</v>
      </c>
      <c r="F227" s="46">
        <f>(VLOOKUP($A227,'The List'!$B1:$AH730,18,FALSE)-AVERAGE('The List'!S2:S730))/STDEV('The List'!S2:S730)</f>
        <v>0.557752167881584</v>
      </c>
      <c r="G227" s="46">
        <f>(VLOOKUP($A227,'The List'!$B1:$AH730,19,FALSE)-AVERAGE('The List'!T2:T730))/STDEV('The List'!T2:T730)</f>
        <v>-0.234088302253198</v>
      </c>
      <c r="H227" s="46">
        <f>(VLOOKUP($A227,'The List'!$B1:$AH730,20,FALSE)-AVERAGE('The List'!U2:U730))/STDEV('The List'!U2:U730)</f>
        <v>0.109476060937871</v>
      </c>
      <c r="I227" s="46">
        <f>(VLOOKUP($A227,'The List'!$B1:$AH730,21,FALSE)-AVERAGE('The List'!V2:V730))/STDEV('The List'!V2:V730)</f>
        <v>0.437374596037</v>
      </c>
      <c r="J227" s="46">
        <f>(VLOOKUP($A227,'The List'!$B1:$AH730,22,FALSE)-AVERAGE('The List'!W2:W730))/STDEV('The List'!W2:W730)</f>
        <v>-0.141039470269413</v>
      </c>
      <c r="K227" s="46">
        <f>(VLOOKUP($A227,'The List'!$B1:$AH730,23,FALSE)-AVERAGE('The List'!X2:X730))/STDEV('The List'!X2:X730)</f>
        <v>-0.230629342232649</v>
      </c>
      <c r="L227" s="46">
        <f>(VLOOKUP($A227,'The List'!$B1:$AH730,24,FALSE)-AVERAGE('The List'!Y2:Y730))/STDEV('The List'!Y2:Y730)</f>
        <v>-0.365844079037347</v>
      </c>
      <c r="M227" s="46">
        <f>(VLOOKUP($A227,'The List'!$B1:$AH730,25,FALSE)-AVERAGE('The List'!Z2:Z730))/STDEV('The List'!Z2:Z730)</f>
        <v>-0.523011856581668</v>
      </c>
      <c r="N227" s="46">
        <f>(VLOOKUP($A227,'The List'!$B1:$AH730,26,FALSE)-AVERAGE('The List'!AA2:AA730))/STDEV('The List'!AA2:AA730)</f>
        <v>-0.548179264615946</v>
      </c>
      <c r="O227" s="46">
        <f>(VLOOKUP($A227,'The List'!$B1:$AH730,27,FALSE)-AVERAGE('The List'!AB2:AB730))/STDEV('The List'!AB2:AB730)</f>
        <v>-1.0542448706762</v>
      </c>
      <c r="P227" s="46">
        <f>(VLOOKUP($A227,'The List'!$B1:$AH730,28,FALSE)-AVERAGE('The List'!AC2:AC730))/STDEV('The List'!AC2:AC730)</f>
        <v>-1.71614049424422</v>
      </c>
      <c r="Q227" s="46">
        <f>(VLOOKUP($A227,'The List'!$B1:$AH730,29,FALSE)-AVERAGE('The List'!AD2:AD730))/STDEV('The List'!AD2:AD730)</f>
        <v>-0.367631805765016</v>
      </c>
      <c r="R227" s="46">
        <f>(VLOOKUP($A227,'The List'!$B1:$AH730,30,FALSE)-AVERAGE('The List'!AE2:AE730))/STDEV('The List'!AE2:AE730)</f>
        <v>0.228684653882667</v>
      </c>
      <c r="S227" s="46">
        <f>(VLOOKUP($A227,'The List'!$B1:$AH730,31,FALSE)-AVERAGE('The List'!AF2:AF730))/STDEV('The List'!AF2:AF730)</f>
        <v>-0.146110251901845</v>
      </c>
      <c r="T227" s="46">
        <f>(VLOOKUP($A227,'The List'!$B1:$AH730,32,FALSE)-AVERAGE('The List'!AG2:AG730))/STDEV('The List'!AG2:AG730)</f>
        <v>-0.317832212347556</v>
      </c>
      <c r="U227" s="46">
        <f>(VLOOKUP($A227,'The List'!$B1:$AH730,33,FALSE)-AVERAGE('The List'!AH2:AH730))/STDEV('The List'!AH2:AH730)</f>
        <v>1.49250233110874</v>
      </c>
      <c r="V227" s="46"/>
      <c r="W227" s="48"/>
      <c r="X227" s="46"/>
      <c r="Y227" s="46"/>
      <c r="Z227" s="46"/>
      <c r="AA227" s="46"/>
      <c r="AB227" s="46"/>
      <c r="AC227" s="46"/>
      <c r="AD227" s="46"/>
      <c r="AE227" s="46"/>
    </row>
    <row r="228" ht="21.25" customHeight="1">
      <c r="A228" t="s" s="8">
        <v>527</v>
      </c>
      <c r="B228" t="s" s="42">
        <f>VLOOKUP(A228,'Player Data'!A1:B734,2,FALSE)</f>
        <v>184</v>
      </c>
      <c r="C228" s="44">
        <f>((E228)*'Settings'!$C$12)+(F228*'Settings'!$C$2)+(G228*'Settings'!$C$3)+(H228*'Settings'!$C$4)+(I228*'Settings'!$C$5)+(K228*'Settings'!$C$9)+(N228*'Settings'!$C$6)+(J228*'Settings'!$C$8)+(O228*'Settings'!$C$7)+(P228*'Settings'!$C$14)+(Q228*'Settings'!$C$15)+(R228*'Settings'!$C$16)+(S228*'Settings'!$C$17)+(T228*'Settings'!$C$18)+(U228*'Settings'!$C$19)+(L228*'Settings'!$C$10)+('Settings'!$C$11*M228)</f>
        <v>-1.07876542269626</v>
      </c>
      <c r="D228" s="48">
        <f>IF('Settings'!$E$12="YES",VLOOKUP(A228,'Player Data'!A1:E734,5,FALSE),82)</f>
        <v>80.5085714285714</v>
      </c>
      <c r="E228" s="46">
        <f>(VLOOKUP($A228,'The List'!$B1:$AH730,17,FALSE)-AVERAGE('The List'!R2:R730))/STDEV('The List'!R2:R730)</f>
        <v>0.103070871557998</v>
      </c>
      <c r="F228" s="46">
        <f>(VLOOKUP($A228,'The List'!$B1:$AH730,18,FALSE)-AVERAGE('The List'!S2:S730))/STDEV('The List'!S2:S730)</f>
        <v>-0.0192866708962345</v>
      </c>
      <c r="G228" s="46">
        <f>(VLOOKUP($A228,'The List'!$B1:$AH730,19,FALSE)-AVERAGE('The List'!T2:T730))/STDEV('The List'!T2:T730)</f>
        <v>0.451754388833803</v>
      </c>
      <c r="H228" s="46">
        <f>(VLOOKUP($A228,'The List'!$B1:$AH730,20,FALSE)-AVERAGE('The List'!U2:U730))/STDEV('The List'!U2:U730)</f>
        <v>0.269724820936291</v>
      </c>
      <c r="I228" s="46">
        <f>(VLOOKUP($A228,'The List'!$B1:$AH730,21,FALSE)-AVERAGE('The List'!V2:V730))/STDEV('The List'!V2:V730)</f>
        <v>-0.045406163112525</v>
      </c>
      <c r="J228" s="46">
        <f>(VLOOKUP($A228,'The List'!$B1:$AH730,22,FALSE)-AVERAGE('The List'!W2:W730))/STDEV('The List'!W2:W730)</f>
        <v>-0.428486476982713</v>
      </c>
      <c r="K228" s="46">
        <f>(VLOOKUP($A228,'The List'!$B1:$AH730,23,FALSE)-AVERAGE('The List'!X2:X730))/STDEV('The List'!X2:X730)</f>
        <v>-0.484060843990</v>
      </c>
      <c r="L228" s="46">
        <f>(VLOOKUP($A228,'The List'!$B1:$AH730,24,FALSE)-AVERAGE('The List'!Y2:Y730))/STDEV('The List'!Y2:Y730)</f>
        <v>1.01192560121594</v>
      </c>
      <c r="M228" s="46">
        <f>(VLOOKUP($A228,'The List'!$B1:$AH730,25,FALSE)-AVERAGE('The List'!Z2:Z730))/STDEV('The List'!Z2:Z730)</f>
        <v>0.875384596264199</v>
      </c>
      <c r="N228" s="46">
        <f>(VLOOKUP($A228,'The List'!$B1:$AH730,26,FALSE)-AVERAGE('The List'!AA2:AA730))/STDEV('The List'!AA2:AA730)</f>
        <v>-0.377136927042421</v>
      </c>
      <c r="O228" s="46">
        <f>(VLOOKUP($A228,'The List'!$B1:$AH730,27,FALSE)-AVERAGE('The List'!AB2:AB730))/STDEV('The List'!AB2:AB730)</f>
        <v>-1.05163161221092</v>
      </c>
      <c r="P228" s="46">
        <f>(VLOOKUP($A228,'The List'!$B1:$AH730,28,FALSE)-AVERAGE('The List'!AC2:AC730))/STDEV('The List'!AC2:AC730)</f>
        <v>-0.604629206488881</v>
      </c>
      <c r="Q228" s="46">
        <f>(VLOOKUP($A228,'The List'!$B1:$AH730,29,FALSE)-AVERAGE('The List'!AD2:AD730))/STDEV('The List'!AD2:AD730)</f>
        <v>-0.555806127296621</v>
      </c>
      <c r="R228" s="46">
        <f>(VLOOKUP($A228,'The List'!$B1:$AH730,30,FALSE)-AVERAGE('The List'!AE2:AE730))/STDEV('The List'!AE2:AE730)</f>
        <v>-0.08546207204727981</v>
      </c>
      <c r="S228" s="46">
        <f>(VLOOKUP($A228,'The List'!$B1:$AH730,31,FALSE)-AVERAGE('The List'!AF2:AF730))/STDEV('The List'!AF2:AF730)</f>
        <v>2.04849762542227</v>
      </c>
      <c r="T228" s="46">
        <f>(VLOOKUP($A228,'The List'!$B1:$AH730,32,FALSE)-AVERAGE('The List'!AG2:AG730))/STDEV('The List'!AG2:AG730)</f>
        <v>1.97043883559696</v>
      </c>
      <c r="U228" s="46">
        <f>(VLOOKUP($A228,'The List'!$B1:$AH730,33,FALSE)-AVERAGE('The List'!AH2:AH730))/STDEV('The List'!AH2:AH730)</f>
        <v>1.0936974510893</v>
      </c>
      <c r="V228" s="46"/>
      <c r="W228" s="50"/>
      <c r="X228" s="48"/>
      <c r="Y228" s="48"/>
      <c r="Z228" s="48"/>
      <c r="AA228" s="48"/>
      <c r="AB228" s="48"/>
      <c r="AC228" s="51"/>
      <c r="AD228" s="52"/>
      <c r="AE228" s="46"/>
    </row>
    <row r="229" ht="21.25" customHeight="1">
      <c r="A229" t="s" s="8">
        <v>569</v>
      </c>
      <c r="B229" t="s" s="42">
        <f>VLOOKUP(A229,'Player Data'!A1:B734,2,FALSE)</f>
        <v>113</v>
      </c>
      <c r="C229" s="44">
        <f>((E229)*'Settings'!$C$12)+(F229*'Settings'!$C$2)+(G229*'Settings'!$C$3)+(H229*'Settings'!$C$4)+(I229*'Settings'!$C$5)+(K229*'Settings'!$C$9)+(N229*'Settings'!$C$6)+(J229*'Settings'!$C$8)+(O229*'Settings'!$C$7)+(P229*'Settings'!$C$14)+(Q229*'Settings'!$C$15)+(R229*'Settings'!$C$16)+(S229*'Settings'!$C$17)+(T229*'Settings'!$C$18)+(U229*'Settings'!$C$19)+(L229*'Settings'!$C$10)+('Settings'!$C$11*M229)</f>
        <v>-0.007950914484358701</v>
      </c>
      <c r="D229" s="48">
        <f>IF('Settings'!$E$12="YES",VLOOKUP(A229,'Player Data'!A1:E734,5,FALSE),82)</f>
        <v>75.6535714285714</v>
      </c>
      <c r="E229" s="46">
        <f>(VLOOKUP($A229,'The List'!$B1:$AH730,17,FALSE)-AVERAGE('The List'!R2:R730))/STDEV('The List'!R2:R730)</f>
        <v>-0.243951109074639</v>
      </c>
      <c r="F229" s="46">
        <f>(VLOOKUP($A229,'The List'!$B1:$AH730,18,FALSE)-AVERAGE('The List'!S2:S730))/STDEV('The List'!S2:S730)</f>
        <v>0.214465225390219</v>
      </c>
      <c r="G229" s="46">
        <f>(VLOOKUP($A229,'The List'!$B1:$AH730,19,FALSE)-AVERAGE('The List'!T2:T730))/STDEV('The List'!T2:T730)</f>
        <v>0.0958820685190226</v>
      </c>
      <c r="H229" s="46">
        <f>(VLOOKUP($A229,'The List'!$B1:$AH730,20,FALSE)-AVERAGE('The List'!U2:U730))/STDEV('The List'!U2:U730)</f>
        <v>0.156696013801462</v>
      </c>
      <c r="I229" s="46">
        <f>(VLOOKUP($A229,'The List'!$B1:$AH730,21,FALSE)-AVERAGE('The List'!V2:V730))/STDEV('The List'!V2:V730)</f>
        <v>-0.402064556354499</v>
      </c>
      <c r="J229" s="46">
        <f>(VLOOKUP($A229,'The List'!$B1:$AH730,22,FALSE)-AVERAGE('The List'!W2:W730))/STDEV('The List'!W2:W730)</f>
        <v>0.250564505292615</v>
      </c>
      <c r="K229" s="46">
        <f>(VLOOKUP($A229,'The List'!$B1:$AH730,23,FALSE)-AVERAGE('The List'!X2:X730))/STDEV('The List'!X2:X730)</f>
        <v>0.0243278927501747</v>
      </c>
      <c r="L229" s="46">
        <f>(VLOOKUP($A229,'The List'!$B1:$AH730,24,FALSE)-AVERAGE('The List'!Y2:Y730))/STDEV('The List'!Y2:Y730)</f>
        <v>-0.5189253211627221</v>
      </c>
      <c r="M229" s="46">
        <f>(VLOOKUP($A229,'The List'!$B1:$AH730,25,FALSE)-AVERAGE('The List'!Z2:Z730))/STDEV('The List'!Z2:Z730)</f>
        <v>-0.694530062577162</v>
      </c>
      <c r="N229" s="46">
        <f>(VLOOKUP($A229,'The List'!$B1:$AH730,26,FALSE)-AVERAGE('The List'!AA2:AA730))/STDEV('The List'!AA2:AA730)</f>
        <v>-0.726451614730147</v>
      </c>
      <c r="O229" s="46">
        <f>(VLOOKUP($A229,'The List'!$B1:$AH730,27,FALSE)-AVERAGE('The List'!AB2:AB730))/STDEV('The List'!AB2:AB730)</f>
        <v>-0.416842201389875</v>
      </c>
      <c r="P229" s="46">
        <f>(VLOOKUP($A229,'The List'!$B1:$AH730,28,FALSE)-AVERAGE('The List'!AC2:AC730))/STDEV('The List'!AC2:AC730)</f>
        <v>0.785890069940871</v>
      </c>
      <c r="Q229" s="46">
        <f>(VLOOKUP($A229,'The List'!$B1:$AH730,29,FALSE)-AVERAGE('The List'!AD2:AD730))/STDEV('The List'!AD2:AD730)</f>
        <v>0.645195616306525</v>
      </c>
      <c r="R229" s="46">
        <f>(VLOOKUP($A229,'The List'!$B1:$AH730,30,FALSE)-AVERAGE('The List'!AE2:AE730))/STDEV('The List'!AE2:AE730)</f>
        <v>0.37011269720944</v>
      </c>
      <c r="S229" s="46">
        <f>(VLOOKUP($A229,'The List'!$B1:$AH730,31,FALSE)-AVERAGE('The List'!AF2:AF730))/STDEV('The List'!AF2:AF730)</f>
        <v>2.58805438888057</v>
      </c>
      <c r="T229" s="46">
        <f>(VLOOKUP($A229,'The List'!$B1:$AH730,32,FALSE)-AVERAGE('The List'!AG2:AG730))/STDEV('The List'!AG2:AG730)</f>
        <v>2.13627932632978</v>
      </c>
      <c r="U229" s="46">
        <f>(VLOOKUP($A229,'The List'!$B1:$AH730,33,FALSE)-AVERAGE('The List'!AH2:AH730))/STDEV('The List'!AH2:AH730)</f>
        <v>1.23502409372399</v>
      </c>
      <c r="V229" s="46"/>
      <c r="W229" s="50"/>
      <c r="X229" s="48"/>
      <c r="Y229" s="48"/>
      <c r="Z229" s="48"/>
      <c r="AA229" s="48"/>
      <c r="AB229" s="48"/>
      <c r="AC229" s="51"/>
      <c r="AD229" s="52"/>
      <c r="AE229" s="46"/>
    </row>
    <row r="230" ht="21.25" customHeight="1">
      <c r="A230" t="s" s="8">
        <v>298</v>
      </c>
      <c r="B230" t="s" s="42">
        <f>VLOOKUP(A230,'Player Data'!A1:B734,2,FALSE)</f>
        <v>204</v>
      </c>
      <c r="C230" s="44">
        <f>((E230)*'Settings'!$C$12)+(F230*'Settings'!$C$2)+(G230*'Settings'!$C$3)+(H230*'Settings'!$C$4)+(I230*'Settings'!$C$5)+(K230*'Settings'!$C$9)+(N230*'Settings'!$C$6)+(J230*'Settings'!$C$8)+(O230*'Settings'!$C$7)+(P230*'Settings'!$C$14)+(Q230*'Settings'!$C$15)+(R230*'Settings'!$C$16)+(S230*'Settings'!$C$17)+(T230*'Settings'!$C$18)+(U230*'Settings'!$C$19)+(L230*'Settings'!$C$10)+('Settings'!$C$11*M230)</f>
        <v>2.20874140800865</v>
      </c>
      <c r="D230" s="48">
        <f>IF('Settings'!$E$12="YES",VLOOKUP(A230,'Player Data'!A1:E734,5,FALSE),82)</f>
        <v>74</v>
      </c>
      <c r="E230" s="46">
        <f>(VLOOKUP($A230,'The List'!$B1:$AH730,17,FALSE)-AVERAGE('The List'!R2:R730))/STDEV('The List'!R2:R730)</f>
        <v>0.679063732001328</v>
      </c>
      <c r="F230" s="46">
        <f>(VLOOKUP($A230,'The List'!$B1:$AH730,18,FALSE)-AVERAGE('The List'!S2:S730))/STDEV('The List'!S2:S730)</f>
        <v>-0.125364624047337</v>
      </c>
      <c r="G230" s="46">
        <f>(VLOOKUP($A230,'The List'!$B1:$AH730,19,FALSE)-AVERAGE('The List'!T2:T730))/STDEV('The List'!T2:T730)</f>
        <v>0.456906467874417</v>
      </c>
      <c r="H230" s="46">
        <f>(VLOOKUP($A230,'The List'!$B1:$AH730,20,FALSE)-AVERAGE('The List'!U2:U730))/STDEV('The List'!U2:U730)</f>
        <v>0.224633413796322</v>
      </c>
      <c r="I230" s="46">
        <f>(VLOOKUP($A230,'The List'!$B1:$AH730,21,FALSE)-AVERAGE('The List'!V2:V730))/STDEV('The List'!V2:V730)</f>
        <v>0.734051064346575</v>
      </c>
      <c r="J230" s="46">
        <f>(VLOOKUP($A230,'The List'!$B1:$AH730,22,FALSE)-AVERAGE('The List'!W2:W730))/STDEV('The List'!W2:W730)</f>
        <v>0.0774830675116301</v>
      </c>
      <c r="K230" s="46">
        <f>(VLOOKUP($A230,'The List'!$B1:$AH730,23,FALSE)-AVERAGE('The List'!X2:X730))/STDEV('The List'!X2:X730)</f>
        <v>0.235441533411917</v>
      </c>
      <c r="L230" s="46">
        <f>(VLOOKUP($A230,'The List'!$B1:$AH730,24,FALSE)-AVERAGE('The List'!Y2:Y730))/STDEV('The List'!Y2:Y730)</f>
        <v>-0.542843480388394</v>
      </c>
      <c r="M230" s="46">
        <f>(VLOOKUP($A230,'The List'!$B1:$AH730,25,FALSE)-AVERAGE('The List'!Z2:Z730))/STDEV('The List'!Z2:Z730)</f>
        <v>-0.72177514995105</v>
      </c>
      <c r="N230" s="46">
        <f>(VLOOKUP($A230,'The List'!$B1:$AH730,26,FALSE)-AVERAGE('The List'!AA2:AA730))/STDEV('The List'!AA2:AA730)</f>
        <v>0.853897143777542</v>
      </c>
      <c r="O230" s="46">
        <f>(VLOOKUP($A230,'The List'!$B1:$AH730,27,FALSE)-AVERAGE('The List'!AB2:AB730))/STDEV('The List'!AB2:AB730)</f>
        <v>0.347360285576594</v>
      </c>
      <c r="P230" s="46">
        <f>(VLOOKUP($A230,'The List'!$B1:$AH730,28,FALSE)-AVERAGE('The List'!AC2:AC730))/STDEV('The List'!AC2:AC730)</f>
        <v>0.0538098226455337</v>
      </c>
      <c r="Q230" s="46">
        <f>(VLOOKUP($A230,'The List'!$B1:$AH730,29,FALSE)-AVERAGE('The List'!AD2:AD730))/STDEV('The List'!AD2:AD730)</f>
        <v>0.731595785018285</v>
      </c>
      <c r="R230" s="46">
        <f>(VLOOKUP($A230,'The List'!$B1:$AH730,30,FALSE)-AVERAGE('The List'!AE2:AE730))/STDEV('The List'!AE2:AE730)</f>
        <v>-0.0570683449751417</v>
      </c>
      <c r="S230" s="46">
        <f>(VLOOKUP($A230,'The List'!$B1:$AH730,31,FALSE)-AVERAGE('The List'!AF2:AF730))/STDEV('The List'!AF2:AF730)</f>
        <v>-0.5569063253591</v>
      </c>
      <c r="T230" s="46">
        <f>(VLOOKUP($A230,'The List'!$B1:$AH730,32,FALSE)-AVERAGE('The List'!AG2:AG730))/STDEV('The List'!AG2:AG730)</f>
        <v>-0.600856269042678</v>
      </c>
      <c r="U230" s="46">
        <f>(VLOOKUP($A230,'The List'!$B1:$AH730,33,FALSE)-AVERAGE('The List'!AH2:AH730))/STDEV('The List'!AH2:AH730)</f>
        <v>-1.2363238714826</v>
      </c>
      <c r="V230" s="46"/>
      <c r="W230" s="50"/>
      <c r="X230" s="48"/>
      <c r="Y230" s="48"/>
      <c r="Z230" s="48"/>
      <c r="AA230" s="48"/>
      <c r="AB230" s="48"/>
      <c r="AC230" s="51"/>
      <c r="AD230" s="52"/>
      <c r="AE230" s="46"/>
    </row>
    <row r="231" ht="21.25" customHeight="1">
      <c r="A231" t="s" s="8">
        <v>474</v>
      </c>
      <c r="B231" t="s" s="42">
        <f>VLOOKUP(A231,'Player Data'!A1:B734,2,FALSE)</f>
        <v>151</v>
      </c>
      <c r="C231" s="44">
        <f>((E231)*'Settings'!$C$12)+(F231*'Settings'!$C$2)+(G231*'Settings'!$C$3)+(H231*'Settings'!$C$4)+(I231*'Settings'!$C$5)+(K231*'Settings'!$C$9)+(N231*'Settings'!$C$6)+(J231*'Settings'!$C$8)+(O231*'Settings'!$C$7)+(P231*'Settings'!$C$14)+(Q231*'Settings'!$C$15)+(R231*'Settings'!$C$16)+(S231*'Settings'!$C$17)+(T231*'Settings'!$C$18)+(U231*'Settings'!$C$19)+(L231*'Settings'!$C$10)+('Settings'!$C$11*M231)</f>
        <v>0.829602612481418</v>
      </c>
      <c r="D231" s="48">
        <f>IF('Settings'!$E$12="YES",VLOOKUP(A231,'Player Data'!A1:E734,5,FALSE),82)</f>
        <v>81.44</v>
      </c>
      <c r="E231" s="46">
        <f>(VLOOKUP($A231,'The List'!$B1:$AH730,17,FALSE)-AVERAGE('The List'!R2:R730))/STDEV('The List'!R2:R730)</f>
        <v>-0.305703907847388</v>
      </c>
      <c r="F231" s="46">
        <f>(VLOOKUP($A231,'The List'!$B1:$AH730,18,FALSE)-AVERAGE('The List'!S2:S730))/STDEV('The List'!S2:S730)</f>
        <v>0.772889413485546</v>
      </c>
      <c r="G231" s="46">
        <f>(VLOOKUP($A231,'The List'!$B1:$AH730,19,FALSE)-AVERAGE('The List'!T2:T730))/STDEV('The List'!T2:T730)</f>
        <v>0.0438276069581479</v>
      </c>
      <c r="H231" s="46">
        <f>(VLOOKUP($A231,'The List'!$B1:$AH730,20,FALSE)-AVERAGE('The List'!U2:U730))/STDEV('The List'!U2:U730)</f>
        <v>0.37869932760702</v>
      </c>
      <c r="I231" s="46">
        <f>(VLOOKUP($A231,'The List'!$B1:$AH730,21,FALSE)-AVERAGE('The List'!V2:V730))/STDEV('The List'!V2:V730)</f>
        <v>0.10035512477466</v>
      </c>
      <c r="J231" s="46">
        <f>(VLOOKUP($A231,'The List'!$B1:$AH730,22,FALSE)-AVERAGE('The List'!W2:W730))/STDEV('The List'!W2:W730)</f>
        <v>-0.0495500177026796</v>
      </c>
      <c r="K231" s="46">
        <f>(VLOOKUP($A231,'The List'!$B1:$AH730,23,FALSE)-AVERAGE('The List'!X2:X730))/STDEV('The List'!X2:X730)</f>
        <v>-0.300308024083553</v>
      </c>
      <c r="L231" s="46">
        <f>(VLOOKUP($A231,'The List'!$B1:$AH730,24,FALSE)-AVERAGE('The List'!Y2:Y730))/STDEV('The List'!Y2:Y730)</f>
        <v>-0.5095618787787241</v>
      </c>
      <c r="M231" s="46">
        <f>(VLOOKUP($A231,'The List'!$B1:$AH730,25,FALSE)-AVERAGE('The List'!Z2:Z730))/STDEV('The List'!Z2:Z730)</f>
        <v>-0.684385000460339</v>
      </c>
      <c r="N231" s="46">
        <f>(VLOOKUP($A231,'The List'!$B1:$AH730,26,FALSE)-AVERAGE('The List'!AA2:AA730))/STDEV('The List'!AA2:AA730)</f>
        <v>-0.774411018527516</v>
      </c>
      <c r="O231" s="46">
        <f>(VLOOKUP($A231,'The List'!$B1:$AH730,27,FALSE)-AVERAGE('The List'!AB2:AB730))/STDEV('The List'!AB2:AB730)</f>
        <v>0.771309741326646</v>
      </c>
      <c r="P231" s="46">
        <f>(VLOOKUP($A231,'The List'!$B1:$AH730,28,FALSE)-AVERAGE('The List'!AC2:AC730))/STDEV('The List'!AC2:AC730)</f>
        <v>0.987249509874133</v>
      </c>
      <c r="Q231" s="46">
        <f>(VLOOKUP($A231,'The List'!$B1:$AH730,29,FALSE)-AVERAGE('The List'!AD2:AD730))/STDEV('The List'!AD2:AD730)</f>
        <v>0.0753731353473947</v>
      </c>
      <c r="R231" s="46">
        <f>(VLOOKUP($A231,'The List'!$B1:$AH730,30,FALSE)-AVERAGE('The List'!AE2:AE730))/STDEV('The List'!AE2:AE730)</f>
        <v>1.10900269896362</v>
      </c>
      <c r="S231" s="46">
        <f>(VLOOKUP($A231,'The List'!$B1:$AH730,31,FALSE)-AVERAGE('The List'!AF2:AF730))/STDEV('The List'!AF2:AF730)</f>
        <v>-0.433931206267595</v>
      </c>
      <c r="T231" s="46">
        <f>(VLOOKUP($A231,'The List'!$B1:$AH730,32,FALSE)-AVERAGE('The List'!AG2:AG730))/STDEV('The List'!AG2:AG730)</f>
        <v>-0.361032424562547</v>
      </c>
      <c r="U231" s="46">
        <f>(VLOOKUP($A231,'The List'!$B1:$AH730,33,FALSE)-AVERAGE('The List'!AH2:AH730))/STDEV('The List'!AH2:AH730)</f>
        <v>0.346035509385011</v>
      </c>
      <c r="V231" s="46"/>
      <c r="W231" s="50"/>
      <c r="X231" s="48"/>
      <c r="Y231" s="48"/>
      <c r="Z231" s="48"/>
      <c r="AA231" s="48"/>
      <c r="AB231" s="48"/>
      <c r="AC231" s="51"/>
      <c r="AD231" s="52"/>
      <c r="AE231" s="46"/>
    </row>
    <row r="232" ht="21.25" customHeight="1">
      <c r="A232" t="s" s="8">
        <v>521</v>
      </c>
      <c r="B232" t="s" s="42">
        <f>VLOOKUP(A232,'Player Data'!A1:B734,2,FALSE)</f>
        <v>248</v>
      </c>
      <c r="C232" s="44">
        <f>((E232)*'Settings'!$C$12)+(F232*'Settings'!$C$2)+(G232*'Settings'!$C$3)+(H232*'Settings'!$C$4)+(I232*'Settings'!$C$5)+(K232*'Settings'!$C$9)+(N232*'Settings'!$C$6)+(J232*'Settings'!$C$8)+(O232*'Settings'!$C$7)+(P232*'Settings'!$C$14)+(Q232*'Settings'!$C$15)+(R232*'Settings'!$C$16)+(S232*'Settings'!$C$17)+(T232*'Settings'!$C$18)+(U232*'Settings'!$C$19)+(L232*'Settings'!$C$10)+('Settings'!$C$11*M232)</f>
        <v>-1.03464643508656</v>
      </c>
      <c r="D232" s="48">
        <f>IF('Settings'!$E$12="YES",VLOOKUP(A232,'Player Data'!A1:E734,5,FALSE),82)</f>
        <v>69.8</v>
      </c>
      <c r="E232" s="46">
        <f>(VLOOKUP($A232,'The List'!$B1:$AH730,17,FALSE)-AVERAGE('The List'!R2:R730))/STDEV('The List'!R2:R730)</f>
        <v>-0.0702124241893195</v>
      </c>
      <c r="F232" s="46">
        <f>(VLOOKUP($A232,'The List'!$B1:$AH730,18,FALSE)-AVERAGE('The List'!S2:S730))/STDEV('The List'!S2:S730)</f>
        <v>0.293452268135178</v>
      </c>
      <c r="G232" s="46">
        <f>(VLOOKUP($A232,'The List'!$B1:$AH730,19,FALSE)-AVERAGE('The List'!T2:T730))/STDEV('The List'!T2:T730)</f>
        <v>-0.206674237734192</v>
      </c>
      <c r="H232" s="46">
        <f>(VLOOKUP($A232,'The List'!$B1:$AH730,20,FALSE)-AVERAGE('The List'!U2:U730))/STDEV('The List'!U2:U730)</f>
        <v>0.00611471628837345</v>
      </c>
      <c r="I232" s="46">
        <f>(VLOOKUP($A232,'The List'!$B1:$AH730,21,FALSE)-AVERAGE('The List'!V2:V730))/STDEV('The List'!V2:V730)</f>
        <v>0.296151626218035</v>
      </c>
      <c r="J232" s="46">
        <f>(VLOOKUP($A232,'The List'!$B1:$AH730,22,FALSE)-AVERAGE('The List'!W2:W730))/STDEV('The List'!W2:W730)</f>
        <v>0.212156545293284</v>
      </c>
      <c r="K232" s="46">
        <f>(VLOOKUP($A232,'The List'!$B1:$AH730,23,FALSE)-AVERAGE('The List'!X2:X730))/STDEV('The List'!X2:X730)</f>
        <v>-0.124196317842038</v>
      </c>
      <c r="L232" s="46">
        <f>(VLOOKUP($A232,'The List'!$B1:$AH730,24,FALSE)-AVERAGE('The List'!Y2:Y730))/STDEV('The List'!Y2:Y730)</f>
        <v>-0.441972563499648</v>
      </c>
      <c r="M232" s="46">
        <f>(VLOOKUP($A232,'The List'!$B1:$AH730,25,FALSE)-AVERAGE('The List'!Z2:Z730))/STDEV('The List'!Z2:Z730)</f>
        <v>-0.607850850698507</v>
      </c>
      <c r="N232" s="46">
        <f>(VLOOKUP($A232,'The List'!$B1:$AH730,26,FALSE)-AVERAGE('The List'!AA2:AA730))/STDEV('The List'!AA2:AA730)</f>
        <v>-0.880498591257063</v>
      </c>
      <c r="O232" s="46">
        <f>(VLOOKUP($A232,'The List'!$B1:$AH730,27,FALSE)-AVERAGE('The List'!AB2:AB730))/STDEV('The List'!AB2:AB730)</f>
        <v>-0.746757803946667</v>
      </c>
      <c r="P232" s="46">
        <f>(VLOOKUP($A232,'The List'!$B1:$AH730,28,FALSE)-AVERAGE('The List'!AC2:AC730))/STDEV('The List'!AC2:AC730)</f>
        <v>-0.41288118260648</v>
      </c>
      <c r="Q232" s="46">
        <f>(VLOOKUP($A232,'The List'!$B1:$AH730,29,FALSE)-AVERAGE('The List'!AD2:AD730))/STDEV('The List'!AD2:AD730)</f>
        <v>-0.488980194679174</v>
      </c>
      <c r="R232" s="46">
        <f>(VLOOKUP($A232,'The List'!$B1:$AH730,30,FALSE)-AVERAGE('The List'!AE2:AE730))/STDEV('The List'!AE2:AE730)</f>
        <v>0.268891491017729</v>
      </c>
      <c r="S232" s="46">
        <f>(VLOOKUP($A232,'The List'!$B1:$AH730,31,FALSE)-AVERAGE('The List'!AF2:AF730))/STDEV('The List'!AF2:AF730)</f>
        <v>-0.260779543205336</v>
      </c>
      <c r="T232" s="46">
        <f>(VLOOKUP($A232,'The List'!$B1:$AH730,32,FALSE)-AVERAGE('The List'!AG2:AG730))/STDEV('The List'!AG2:AG730)</f>
        <v>-0.268873323943681</v>
      </c>
      <c r="U232" s="46">
        <f>(VLOOKUP($A232,'The List'!$B1:$AH730,33,FALSE)-AVERAGE('The List'!AH2:AH730))/STDEV('The List'!AH2:AH730)</f>
        <v>0.949817054938808</v>
      </c>
      <c r="V232" s="46"/>
      <c r="W232" s="50"/>
      <c r="X232" s="48"/>
      <c r="Y232" s="48"/>
      <c r="Z232" s="48"/>
      <c r="AA232" s="48"/>
      <c r="AB232" s="48"/>
      <c r="AC232" s="51"/>
      <c r="AD232" s="52"/>
      <c r="AE232" s="46"/>
    </row>
    <row r="233" ht="21.25" customHeight="1">
      <c r="A233" t="s" s="8">
        <v>303</v>
      </c>
      <c r="B233" t="s" s="42">
        <f>VLOOKUP(A233,'Player Data'!A1:B734,2,FALSE)</f>
        <v>119</v>
      </c>
      <c r="C233" s="44">
        <f>((E233)*'Settings'!$C$12)+(F233*'Settings'!$C$2)+(G233*'Settings'!$C$3)+(H233*'Settings'!$C$4)+(I233*'Settings'!$C$5)+(K233*'Settings'!$C$9)+(N233*'Settings'!$C$6)+(J233*'Settings'!$C$8)+(O233*'Settings'!$C$7)+(P233*'Settings'!$C$14)+(Q233*'Settings'!$C$15)+(R233*'Settings'!$C$16)+(S233*'Settings'!$C$17)+(T233*'Settings'!$C$18)+(U233*'Settings'!$C$19)+(L233*'Settings'!$C$10)+('Settings'!$C$11*M233)</f>
        <v>3.07425220321962</v>
      </c>
      <c r="D233" s="48">
        <f>IF('Settings'!$E$12="YES",VLOOKUP(A233,'Player Data'!A1:E734,5,FALSE),82)</f>
        <v>78.6139285714286</v>
      </c>
      <c r="E233" s="46">
        <f>(VLOOKUP($A233,'The List'!$B1:$AH730,17,FALSE)-AVERAGE('The List'!R2:R730))/STDEV('The List'!R2:R730)</f>
        <v>1.72417053003582</v>
      </c>
      <c r="F233" s="46">
        <f>(VLOOKUP($A233,'The List'!$B1:$AH730,18,FALSE)-AVERAGE('The List'!S2:S730))/STDEV('The List'!S2:S730)</f>
        <v>-0.187857159481778</v>
      </c>
      <c r="G233" s="46">
        <f>(VLOOKUP($A233,'The List'!$B1:$AH730,19,FALSE)-AVERAGE('The List'!T2:T730))/STDEV('The List'!T2:T730)</f>
        <v>0.471980102975326</v>
      </c>
      <c r="H233" s="46">
        <f>(VLOOKUP($A233,'The List'!$B1:$AH730,20,FALSE)-AVERAGE('The List'!U2:U730))/STDEV('The List'!U2:U730)</f>
        <v>0.205490754758878</v>
      </c>
      <c r="I233" s="46">
        <f>(VLOOKUP($A233,'The List'!$B1:$AH730,21,FALSE)-AVERAGE('The List'!V2:V730))/STDEV('The List'!V2:V730)</f>
        <v>0.92532439253244</v>
      </c>
      <c r="J233" s="46">
        <f>(VLOOKUP($A233,'The List'!$B1:$AH730,22,FALSE)-AVERAGE('The List'!W2:W730))/STDEV('The List'!W2:W730)</f>
        <v>-0.475020746333196</v>
      </c>
      <c r="K233" s="46">
        <f>(VLOOKUP($A233,'The List'!$B1:$AH730,23,FALSE)-AVERAGE('The List'!X2:X730))/STDEV('The List'!X2:X730)</f>
        <v>-0.339578479218245</v>
      </c>
      <c r="L233" s="46">
        <f>(VLOOKUP($A233,'The List'!$B1:$AH730,24,FALSE)-AVERAGE('The List'!Y2:Y730))/STDEV('The List'!Y2:Y730)</f>
        <v>-0.499890207271561</v>
      </c>
      <c r="M233" s="46">
        <f>(VLOOKUP($A233,'The List'!$B1:$AH730,25,FALSE)-AVERAGE('The List'!Z2:Z730))/STDEV('The List'!Z2:Z730)</f>
        <v>0.470125766084344</v>
      </c>
      <c r="N233" s="46">
        <f>(VLOOKUP($A233,'The List'!$B1:$AH730,26,FALSE)-AVERAGE('The List'!AA2:AA730))/STDEV('The List'!AA2:AA730)</f>
        <v>1.16813071998398</v>
      </c>
      <c r="O233" s="46">
        <f>(VLOOKUP($A233,'The List'!$B1:$AH730,27,FALSE)-AVERAGE('The List'!AB2:AB730))/STDEV('The List'!AB2:AB730)</f>
        <v>-0.48787495158131</v>
      </c>
      <c r="P233" s="46">
        <f>(VLOOKUP($A233,'The List'!$B1:$AH730,28,FALSE)-AVERAGE('The List'!AC2:AC730))/STDEV('The List'!AC2:AC730)</f>
        <v>1.0362526264279</v>
      </c>
      <c r="Q233" s="46">
        <f>(VLOOKUP($A233,'The List'!$B1:$AH730,29,FALSE)-AVERAGE('The List'!AD2:AD730))/STDEV('The List'!AD2:AD730)</f>
        <v>0.165578979901058</v>
      </c>
      <c r="R233" s="46">
        <f>(VLOOKUP($A233,'The List'!$B1:$AH730,30,FALSE)-AVERAGE('The List'!AE2:AE730))/STDEV('The List'!AE2:AE730)</f>
        <v>-0.150496358816983</v>
      </c>
      <c r="S233" s="46">
        <f>(VLOOKUP($A233,'The List'!$B1:$AH730,31,FALSE)-AVERAGE('The List'!AF2:AF730))/STDEV('The List'!AF2:AF730)</f>
        <v>-0.5569063253591</v>
      </c>
      <c r="T233" s="46">
        <f>(VLOOKUP($A233,'The List'!$B1:$AH730,32,FALSE)-AVERAGE('The List'!AG2:AG730))/STDEV('The List'!AG2:AG730)</f>
        <v>-0.600856269042678</v>
      </c>
      <c r="U233" s="46">
        <f>(VLOOKUP($A233,'The List'!$B1:$AH730,33,FALSE)-AVERAGE('The List'!AH2:AH730))/STDEV('The List'!AH2:AH730)</f>
        <v>-1.2363238714826</v>
      </c>
      <c r="V233" s="46"/>
      <c r="W233" s="50"/>
      <c r="X233" s="48"/>
      <c r="Y233" s="48"/>
      <c r="Z233" s="48"/>
      <c r="AA233" s="48"/>
      <c r="AB233" s="48"/>
      <c r="AC233" s="51"/>
      <c r="AD233" s="52"/>
      <c r="AE233" s="46"/>
    </row>
    <row r="234" ht="21.25" customHeight="1">
      <c r="A234" t="s" s="8">
        <v>293</v>
      </c>
      <c r="B234" t="s" s="42">
        <f>VLOOKUP(A234,'Player Data'!A1:B734,2,FALSE)</f>
        <v>238</v>
      </c>
      <c r="C234" s="44">
        <f>((E234)*'Settings'!$C$12)+(F234*'Settings'!$C$2)+(G234*'Settings'!$C$3)+(H234*'Settings'!$C$4)+(I234*'Settings'!$C$5)+(K234*'Settings'!$C$9)+(N234*'Settings'!$C$6)+(J234*'Settings'!$C$8)+(O234*'Settings'!$C$7)+(P234*'Settings'!$C$14)+(Q234*'Settings'!$C$15)+(R234*'Settings'!$C$16)+(S234*'Settings'!$C$17)+(T234*'Settings'!$C$18)+(U234*'Settings'!$C$19)+(L234*'Settings'!$C$10)+('Settings'!$C$11*M234)</f>
        <v>3.53442338417037</v>
      </c>
      <c r="D234" s="48">
        <f>IF('Settings'!$E$12="YES",VLOOKUP(A234,'Player Data'!A1:E734,5,FALSE),82)</f>
        <v>79.8</v>
      </c>
      <c r="E234" s="46">
        <f>(VLOOKUP($A234,'The List'!$B1:$AH730,17,FALSE)-AVERAGE('The List'!R2:R730))/STDEV('The List'!R2:R730)</f>
        <v>1.58932892969745</v>
      </c>
      <c r="F234" s="46">
        <f>(VLOOKUP($A234,'The List'!$B1:$AH730,18,FALSE)-AVERAGE('The List'!S2:S730))/STDEV('The List'!S2:S730)</f>
        <v>-0.481342851261301</v>
      </c>
      <c r="G234" s="46">
        <f>(VLOOKUP($A234,'The List'!$B1:$AH730,19,FALSE)-AVERAGE('The List'!T2:T730))/STDEV('The List'!T2:T730)</f>
        <v>0.727631822696054</v>
      </c>
      <c r="H234" s="46">
        <f>(VLOOKUP($A234,'The List'!$B1:$AH730,20,FALSE)-AVERAGE('The List'!U2:U730))/STDEV('The List'!U2:U730)</f>
        <v>0.229554803942431</v>
      </c>
      <c r="I234" s="46">
        <f>(VLOOKUP($A234,'The List'!$B1:$AH730,21,FALSE)-AVERAGE('The List'!V2:V730))/STDEV('The List'!V2:V730)</f>
        <v>0.715724152077461</v>
      </c>
      <c r="J234" s="46">
        <f>(VLOOKUP($A234,'The List'!$B1:$AH730,22,FALSE)-AVERAGE('The List'!W2:W730))/STDEV('The List'!W2:W730)</f>
        <v>-0.411809136048178</v>
      </c>
      <c r="K234" s="46">
        <f>(VLOOKUP($A234,'The List'!$B1:$AH730,23,FALSE)-AVERAGE('The List'!X2:X730))/STDEV('The List'!X2:X730)</f>
        <v>0.309908322187995</v>
      </c>
      <c r="L234" s="46">
        <f>(VLOOKUP($A234,'The List'!$B1:$AH730,24,FALSE)-AVERAGE('The List'!Y2:Y730))/STDEV('The List'!Y2:Y730)</f>
        <v>-0.498336731453039</v>
      </c>
      <c r="M234" s="46">
        <f>(VLOOKUP($A234,'The List'!$B1:$AH730,25,FALSE)-AVERAGE('The List'!Z2:Z730))/STDEV('The List'!Z2:Z730)</f>
        <v>-0.0355659641220929</v>
      </c>
      <c r="N234" s="46">
        <f>(VLOOKUP($A234,'The List'!$B1:$AH730,26,FALSE)-AVERAGE('The List'!AA2:AA730))/STDEV('The List'!AA2:AA730)</f>
        <v>1.53561736928431</v>
      </c>
      <c r="O234" s="46">
        <f>(VLOOKUP($A234,'The List'!$B1:$AH730,27,FALSE)-AVERAGE('The List'!AB2:AB730))/STDEV('The List'!AB2:AB730)</f>
        <v>-0.181865728276418</v>
      </c>
      <c r="P234" s="46">
        <f>(VLOOKUP($A234,'The List'!$B1:$AH730,28,FALSE)-AVERAGE('The List'!AC2:AC730))/STDEV('The List'!AC2:AC730)</f>
        <v>0.726884569185849</v>
      </c>
      <c r="Q234" s="46">
        <f>(VLOOKUP($A234,'The List'!$B1:$AH730,29,FALSE)-AVERAGE('The List'!AD2:AD730))/STDEV('The List'!AD2:AD730)</f>
        <v>-0.0513617165366486</v>
      </c>
      <c r="R234" s="46">
        <f>(VLOOKUP($A234,'The List'!$B1:$AH730,30,FALSE)-AVERAGE('The List'!AE2:AE730))/STDEV('The List'!AE2:AE730)</f>
        <v>-0.299173939566892</v>
      </c>
      <c r="S234" s="46">
        <f>(VLOOKUP($A234,'The List'!$B1:$AH730,31,FALSE)-AVERAGE('The List'!AF2:AF730))/STDEV('The List'!AF2:AF730)</f>
        <v>-0.5569063253591</v>
      </c>
      <c r="T234" s="46">
        <f>(VLOOKUP($A234,'The List'!$B1:$AH730,32,FALSE)-AVERAGE('The List'!AG2:AG730))/STDEV('The List'!AG2:AG730)</f>
        <v>-0.600856269042678</v>
      </c>
      <c r="U234" s="46">
        <f>(VLOOKUP($A234,'The List'!$B1:$AH730,33,FALSE)-AVERAGE('The List'!AH2:AH730))/STDEV('The List'!AH2:AH730)</f>
        <v>-1.2363238714826</v>
      </c>
      <c r="V234" s="46"/>
      <c r="W234" s="48"/>
      <c r="X234" s="46"/>
      <c r="Y234" s="46"/>
      <c r="Z234" s="46"/>
      <c r="AA234" s="46"/>
      <c r="AB234" s="46"/>
      <c r="AC234" s="46"/>
      <c r="AD234" s="46"/>
      <c r="AE234" s="46"/>
    </row>
    <row r="235" ht="21.25" customHeight="1">
      <c r="A235" t="s" s="8">
        <v>477</v>
      </c>
      <c r="B235" t="s" s="42">
        <f>VLOOKUP(A235,'Player Data'!A1:B734,2,FALSE)</f>
        <v>234</v>
      </c>
      <c r="C235" s="44">
        <f>((E235)*'Settings'!$C$12)+(F235*'Settings'!$C$2)+(G235*'Settings'!$C$3)+(H235*'Settings'!$C$4)+(I235*'Settings'!$C$5)+(K235*'Settings'!$C$9)+(N235*'Settings'!$C$6)+(J235*'Settings'!$C$8)+(O235*'Settings'!$C$7)+(P235*'Settings'!$C$14)+(Q235*'Settings'!$C$15)+(R235*'Settings'!$C$16)+(S235*'Settings'!$C$17)+(T235*'Settings'!$C$18)+(U235*'Settings'!$C$19)+(L235*'Settings'!$C$10)+('Settings'!$C$11*M235)</f>
        <v>-3.024115818745</v>
      </c>
      <c r="D235" s="48">
        <f>IF('Settings'!$E$12="YES",VLOOKUP(A235,'Player Data'!A1:E734,5,FALSE),82)</f>
        <v>80.93000000000001</v>
      </c>
      <c r="E235" s="46">
        <f>(VLOOKUP($A235,'The List'!$B1:$AH730,17,FALSE)-AVERAGE('The List'!R2:R730))/STDEV('The List'!R2:R730)</f>
        <v>-0.35590832390535</v>
      </c>
      <c r="F235" s="46">
        <f>(VLOOKUP($A235,'The List'!$B1:$AH730,18,FALSE)-AVERAGE('The List'!S2:S730))/STDEV('The List'!S2:S730)</f>
        <v>0.155069981682448</v>
      </c>
      <c r="G235" s="46">
        <f>(VLOOKUP($A235,'The List'!$B1:$AH730,19,FALSE)-AVERAGE('The List'!T2:T730))/STDEV('The List'!T2:T730)</f>
        <v>0.284018024238138</v>
      </c>
      <c r="H235" s="46">
        <f>(VLOOKUP($A235,'The List'!$B1:$AH730,20,FALSE)-AVERAGE('The List'!U2:U730))/STDEV('The List'!U2:U730)</f>
        <v>0.245653330603683</v>
      </c>
      <c r="I235" s="46">
        <f>(VLOOKUP($A235,'The List'!$B1:$AH730,21,FALSE)-AVERAGE('The List'!V2:V730))/STDEV('The List'!V2:V730)</f>
        <v>-0.0605676034759344</v>
      </c>
      <c r="J235" s="46">
        <f>(VLOOKUP($A235,'The List'!$B1:$AH730,22,FALSE)-AVERAGE('The List'!W2:W730))/STDEV('The List'!W2:W730)</f>
        <v>-0.105494633230412</v>
      </c>
      <c r="K235" s="46">
        <f>(VLOOKUP($A235,'The List'!$B1:$AH730,23,FALSE)-AVERAGE('The List'!X2:X730))/STDEV('The List'!X2:X730)</f>
        <v>-0.0374614446668913</v>
      </c>
      <c r="L235" s="46">
        <f>(VLOOKUP($A235,'The List'!$B1:$AH730,24,FALSE)-AVERAGE('The List'!Y2:Y730))/STDEV('The List'!Y2:Y730)</f>
        <v>-0.320363084593059</v>
      </c>
      <c r="M235" s="46">
        <f>(VLOOKUP($A235,'The List'!$B1:$AH730,25,FALSE)-AVERAGE('The List'!Z2:Z730))/STDEV('The List'!Z2:Z730)</f>
        <v>-0.426389186763335</v>
      </c>
      <c r="N235" s="46">
        <f>(VLOOKUP($A235,'The List'!$B1:$AH730,26,FALSE)-AVERAGE('The List'!AA2:AA730))/STDEV('The List'!AA2:AA730)</f>
        <v>-0.948313076228681</v>
      </c>
      <c r="O235" s="46">
        <f>(VLOOKUP($A235,'The List'!$B1:$AH730,27,FALSE)-AVERAGE('The List'!AB2:AB730))/STDEV('The List'!AB2:AB730)</f>
        <v>-1.1746443219231</v>
      </c>
      <c r="P235" s="46">
        <f>(VLOOKUP($A235,'The List'!$B1:$AH730,28,FALSE)-AVERAGE('The List'!AC2:AC730))/STDEV('The List'!AC2:AC730)</f>
        <v>-2.41686170029408</v>
      </c>
      <c r="Q235" s="46">
        <f>(VLOOKUP($A235,'The List'!$B1:$AH730,29,FALSE)-AVERAGE('The List'!AD2:AD730))/STDEV('The List'!AD2:AD730)</f>
        <v>1.30086624219028</v>
      </c>
      <c r="R235" s="46">
        <f>(VLOOKUP($A235,'The List'!$B1:$AH730,30,FALSE)-AVERAGE('The List'!AE2:AE730))/STDEV('The List'!AE2:AE730)</f>
        <v>-0.279599359219649</v>
      </c>
      <c r="S235" s="46">
        <f>(VLOOKUP($A235,'The List'!$B1:$AH730,31,FALSE)-AVERAGE('The List'!AF2:AF730))/STDEV('The List'!AF2:AF730)</f>
        <v>1.18824230895758</v>
      </c>
      <c r="T235" s="46">
        <f>(VLOOKUP($A235,'The List'!$B1:$AH730,32,FALSE)-AVERAGE('The List'!AG2:AG730))/STDEV('The List'!AG2:AG730)</f>
        <v>1.74583244811374</v>
      </c>
      <c r="U235" s="46">
        <f>(VLOOKUP($A235,'The List'!$B1:$AH730,33,FALSE)-AVERAGE('The List'!AH2:AH730))/STDEV('The List'!AH2:AH730)</f>
        <v>0.7458330978284829</v>
      </c>
      <c r="V235" s="46"/>
      <c r="W235" s="50"/>
      <c r="X235" s="48"/>
      <c r="Y235" s="48"/>
      <c r="Z235" s="48"/>
      <c r="AA235" s="48"/>
      <c r="AB235" s="48"/>
      <c r="AC235" s="51"/>
      <c r="AD235" s="52"/>
      <c r="AE235" s="46"/>
    </row>
    <row r="236" ht="21.25" customHeight="1">
      <c r="A236" t="s" s="8">
        <v>463</v>
      </c>
      <c r="B236" t="s" s="42">
        <f>VLOOKUP(A236,'Player Data'!A1:B734,2,FALSE)</f>
        <v>196</v>
      </c>
      <c r="C236" s="44">
        <f>((E236)*'Settings'!$C$12)+(F236*'Settings'!$C$2)+(G236*'Settings'!$C$3)+(H236*'Settings'!$C$4)+(I236*'Settings'!$C$5)+(K236*'Settings'!$C$9)+(N236*'Settings'!$C$6)+(J236*'Settings'!$C$8)+(O236*'Settings'!$C$7)+(P236*'Settings'!$C$14)+(Q236*'Settings'!$C$15)+(R236*'Settings'!$C$16)+(S236*'Settings'!$C$17)+(T236*'Settings'!$C$18)+(U236*'Settings'!$C$19)+(L236*'Settings'!$C$10)+('Settings'!$C$11*M236)</f>
        <v>-0.416433541903233</v>
      </c>
      <c r="D236" s="48">
        <f>IF('Settings'!$E$12="YES",VLOOKUP(A236,'Player Data'!A1:E734,5,FALSE),82)</f>
        <v>78.0728571428571</v>
      </c>
      <c r="E236" s="46">
        <f>(VLOOKUP($A236,'The List'!$B1:$AH730,17,FALSE)-AVERAGE('The List'!R2:R730))/STDEV('The List'!R2:R730)</f>
        <v>0.07301809683632909</v>
      </c>
      <c r="F236" s="46">
        <f>(VLOOKUP($A236,'The List'!$B1:$AH730,18,FALSE)-AVERAGE('The List'!S2:S730))/STDEV('The List'!S2:S730)</f>
        <v>0.689571140566512</v>
      </c>
      <c r="G236" s="46">
        <f>(VLOOKUP($A236,'The List'!$B1:$AH730,19,FALSE)-AVERAGE('The List'!T2:T730))/STDEV('The List'!T2:T730)</f>
        <v>-0.219886157884794</v>
      </c>
      <c r="H236" s="46">
        <f>(VLOOKUP($A236,'The List'!$B1:$AH730,20,FALSE)-AVERAGE('The List'!U2:U730))/STDEV('The List'!U2:U730)</f>
        <v>0.178211772565845</v>
      </c>
      <c r="I236" s="46">
        <f>(VLOOKUP($A236,'The List'!$B1:$AH730,21,FALSE)-AVERAGE('The List'!V2:V730))/STDEV('The List'!V2:V730)</f>
        <v>0.219168378766925</v>
      </c>
      <c r="J236" s="46">
        <f>(VLOOKUP($A236,'The List'!$B1:$AH730,22,FALSE)-AVERAGE('The List'!W2:W730))/STDEV('The List'!W2:W730)</f>
        <v>0.264594405859413</v>
      </c>
      <c r="K236" s="46">
        <f>(VLOOKUP($A236,'The List'!$B1:$AH730,23,FALSE)-AVERAGE('The List'!X2:X730))/STDEV('The List'!X2:X730)</f>
        <v>-0.168522034062204</v>
      </c>
      <c r="L236" s="46">
        <f>(VLOOKUP($A236,'The List'!$B1:$AH730,24,FALSE)-AVERAGE('The List'!Y2:Y730))/STDEV('The List'!Y2:Y730)</f>
        <v>0.220971203797352</v>
      </c>
      <c r="M236" s="46">
        <f>(VLOOKUP($A236,'The List'!$B1:$AH730,25,FALSE)-AVERAGE('The List'!Z2:Z730))/STDEV('The List'!Z2:Z730)</f>
        <v>-0.148143640029803</v>
      </c>
      <c r="N236" s="46">
        <f>(VLOOKUP($A236,'The List'!$B1:$AH730,26,FALSE)-AVERAGE('The List'!AA2:AA730))/STDEV('The List'!AA2:AA730)</f>
        <v>-0.181432322910881</v>
      </c>
      <c r="O236" s="46">
        <f>(VLOOKUP($A236,'The List'!$B1:$AH730,27,FALSE)-AVERAGE('The List'!AB2:AB730))/STDEV('The List'!AB2:AB730)</f>
        <v>2.00184032407236</v>
      </c>
      <c r="P236" s="46">
        <f>(VLOOKUP($A236,'The List'!$B1:$AH730,28,FALSE)-AVERAGE('The List'!AC2:AC730))/STDEV('The List'!AC2:AC730)</f>
        <v>-0.755332546378791</v>
      </c>
      <c r="Q236" s="46">
        <f>(VLOOKUP($A236,'The List'!$B1:$AH730,29,FALSE)-AVERAGE('The List'!AD2:AD730))/STDEV('The List'!AD2:AD730)</f>
        <v>0.767764272524833</v>
      </c>
      <c r="R236" s="46">
        <f>(VLOOKUP($A236,'The List'!$B1:$AH730,30,FALSE)-AVERAGE('The List'!AE2:AE730))/STDEV('The List'!AE2:AE730)</f>
        <v>0.44564959713691</v>
      </c>
      <c r="S236" s="46">
        <f>(VLOOKUP($A236,'The List'!$B1:$AH730,31,FALSE)-AVERAGE('The List'!AF2:AF730))/STDEV('The List'!AF2:AF730)</f>
        <v>-0.412662707495883</v>
      </c>
      <c r="T236" s="46">
        <f>(VLOOKUP($A236,'The List'!$B1:$AH730,32,FALSE)-AVERAGE('The List'!AG2:AG730))/STDEV('The List'!AG2:AG730)</f>
        <v>-0.362090311307389</v>
      </c>
      <c r="U236" s="46">
        <f>(VLOOKUP($A236,'The List'!$B1:$AH730,33,FALSE)-AVERAGE('The List'!AH2:AH730))/STDEV('The List'!AH2:AH730)</f>
        <v>0.518404381003059</v>
      </c>
      <c r="V236" s="46"/>
      <c r="W236" s="50"/>
      <c r="X236" s="48"/>
      <c r="Y236" s="48"/>
      <c r="Z236" s="48"/>
      <c r="AA236" s="48"/>
      <c r="AB236" s="48"/>
      <c r="AC236" s="51"/>
      <c r="AD236" s="52"/>
      <c r="AE236" s="46"/>
    </row>
    <row r="237" ht="21.25" customHeight="1">
      <c r="A237" t="s" s="8">
        <v>403</v>
      </c>
      <c r="B237" t="s" s="42">
        <f>VLOOKUP(A237,'Player Data'!A1:B734,2,FALSE)</f>
        <v>189</v>
      </c>
      <c r="C237" s="44">
        <f>((E237)*'Settings'!$C$12)+(F237*'Settings'!$C$2)+(G237*'Settings'!$C$3)+(H237*'Settings'!$C$4)+(I237*'Settings'!$C$5)+(K237*'Settings'!$C$9)+(N237*'Settings'!$C$6)+(J237*'Settings'!$C$8)+(O237*'Settings'!$C$7)+(P237*'Settings'!$C$14)+(Q237*'Settings'!$C$15)+(R237*'Settings'!$C$16)+(S237*'Settings'!$C$17)+(T237*'Settings'!$C$18)+(U237*'Settings'!$C$19)+(L237*'Settings'!$C$10)+('Settings'!$C$11*M237)</f>
        <v>0.083050714412369</v>
      </c>
      <c r="D237" s="48">
        <f>IF('Settings'!$E$12="YES",VLOOKUP(A237,'Player Data'!A1:E734,5,FALSE),82)</f>
        <v>78.34</v>
      </c>
      <c r="E237" s="46">
        <f>(VLOOKUP($A237,'The List'!$B1:$AH730,17,FALSE)-AVERAGE('The List'!R2:R730))/STDEV('The List'!R2:R730)</f>
        <v>-0.0967998529732951</v>
      </c>
      <c r="F237" s="46">
        <f>(VLOOKUP($A237,'The List'!$B1:$AH730,18,FALSE)-AVERAGE('The List'!S2:S730))/STDEV('The List'!S2:S730)</f>
        <v>1.30093051765101</v>
      </c>
      <c r="G237" s="46">
        <f>(VLOOKUP($A237,'The List'!$B1:$AH730,19,FALSE)-AVERAGE('The List'!T2:T730))/STDEV('The List'!T2:T730)</f>
        <v>-0.666603759423796</v>
      </c>
      <c r="H237" s="46">
        <f>(VLOOKUP($A237,'The List'!$B1:$AH730,20,FALSE)-AVERAGE('The List'!U2:U730))/STDEV('The List'!U2:U730)</f>
        <v>0.18099702054247</v>
      </c>
      <c r="I237" s="46">
        <f>(VLOOKUP($A237,'The List'!$B1:$AH730,21,FALSE)-AVERAGE('The List'!V2:V730))/STDEV('The List'!V2:V730)</f>
        <v>0.6749808910944211</v>
      </c>
      <c r="J237" s="46">
        <f>(VLOOKUP($A237,'The List'!$B1:$AH730,22,FALSE)-AVERAGE('The List'!W2:W730))/STDEV('The List'!W2:W730)</f>
        <v>1.66634183477208</v>
      </c>
      <c r="K237" s="46">
        <f>(VLOOKUP($A237,'The List'!$B1:$AH730,23,FALSE)-AVERAGE('The List'!X2:X730))/STDEV('The List'!X2:X730)</f>
        <v>0.55809215299211</v>
      </c>
      <c r="L237" s="46">
        <f>(VLOOKUP($A237,'The List'!$B1:$AH730,24,FALSE)-AVERAGE('The List'!Y2:Y730))/STDEV('The List'!Y2:Y730)</f>
        <v>-0.483878353987689</v>
      </c>
      <c r="M237" s="46">
        <f>(VLOOKUP($A237,'The List'!$B1:$AH730,25,FALSE)-AVERAGE('The List'!Z2:Z730))/STDEV('The List'!Z2:Z730)</f>
        <v>-0.654563081733628</v>
      </c>
      <c r="N237" s="46">
        <f>(VLOOKUP($A237,'The List'!$B1:$AH730,26,FALSE)-AVERAGE('The List'!AA2:AA730))/STDEV('The List'!AA2:AA730)</f>
        <v>-0.261190494881406</v>
      </c>
      <c r="O237" s="46">
        <f>(VLOOKUP($A237,'The List'!$B1:$AH730,27,FALSE)-AVERAGE('The List'!AB2:AB730))/STDEV('The List'!AB2:AB730)</f>
        <v>-0.76712566673351</v>
      </c>
      <c r="P237" s="46">
        <f>(VLOOKUP($A237,'The List'!$B1:$AH730,28,FALSE)-AVERAGE('The List'!AC2:AC730))/STDEV('The List'!AC2:AC730)</f>
        <v>-1.52315859301997</v>
      </c>
      <c r="Q237" s="46">
        <f>(VLOOKUP($A237,'The List'!$B1:$AH730,29,FALSE)-AVERAGE('The List'!AD2:AD730))/STDEV('The List'!AD2:AD730)</f>
        <v>-0.428423667169745</v>
      </c>
      <c r="R237" s="46">
        <f>(VLOOKUP($A237,'The List'!$B1:$AH730,30,FALSE)-AVERAGE('The List'!AE2:AE730))/STDEV('The List'!AE2:AE730)</f>
        <v>0.625995744615567</v>
      </c>
      <c r="S237" s="46">
        <f>(VLOOKUP($A237,'The List'!$B1:$AH730,31,FALSE)-AVERAGE('The List'!AF2:AF730))/STDEV('The List'!AF2:AF730)</f>
        <v>-0.498205107115793</v>
      </c>
      <c r="T237" s="46">
        <f>(VLOOKUP($A237,'The List'!$B1:$AH730,32,FALSE)-AVERAGE('The List'!AG2:AG730))/STDEV('The List'!AG2:AG730)</f>
        <v>-0.552835978268177</v>
      </c>
      <c r="U237" s="46">
        <f>(VLOOKUP($A237,'The List'!$B1:$AH730,33,FALSE)-AVERAGE('The List'!AH2:AH730))/STDEV('The List'!AH2:AH730)</f>
        <v>1.30412062241835</v>
      </c>
      <c r="V237" s="46"/>
      <c r="W237" s="50"/>
      <c r="X237" s="48"/>
      <c r="Y237" s="48"/>
      <c r="Z237" s="48"/>
      <c r="AA237" s="48"/>
      <c r="AB237" s="48"/>
      <c r="AC237" s="51"/>
      <c r="AD237" s="52"/>
      <c r="AE237" s="46"/>
    </row>
    <row r="238" ht="21.25" customHeight="1">
      <c r="A238" t="s" s="8">
        <v>516</v>
      </c>
      <c r="B238" t="s" s="42">
        <f>VLOOKUP(A238,'Player Data'!A1:B734,2,FALSE)</f>
        <v>151</v>
      </c>
      <c r="C238" s="44">
        <f>((E238)*'Settings'!$C$12)+(F238*'Settings'!$C$2)+(G238*'Settings'!$C$3)+(H238*'Settings'!$C$4)+(I238*'Settings'!$C$5)+(K238*'Settings'!$C$9)+(N238*'Settings'!$C$6)+(J238*'Settings'!$C$8)+(O238*'Settings'!$C$7)+(P238*'Settings'!$C$14)+(Q238*'Settings'!$C$15)+(R238*'Settings'!$C$16)+(S238*'Settings'!$C$17)+(T238*'Settings'!$C$18)+(U238*'Settings'!$C$19)+(L238*'Settings'!$C$10)+('Settings'!$C$11*M238)</f>
        <v>0.321146510025262</v>
      </c>
      <c r="D238" s="48">
        <f>IF('Settings'!$E$12="YES",VLOOKUP(A238,'Player Data'!A1:E734,5,FALSE),82)</f>
        <v>75.4960714285714</v>
      </c>
      <c r="E238" s="46">
        <f>(VLOOKUP($A238,'The List'!$B1:$AH730,17,FALSE)-AVERAGE('The List'!R2:R730))/STDEV('The List'!R2:R730)</f>
        <v>-0.281552151791636</v>
      </c>
      <c r="F238" s="46">
        <f>(VLOOKUP($A238,'The List'!$B1:$AH730,18,FALSE)-AVERAGE('The List'!S2:S730))/STDEV('The List'!S2:S730)</f>
        <v>0.439769808797903</v>
      </c>
      <c r="G238" s="46">
        <f>(VLOOKUP($A238,'The List'!$B1:$AH730,19,FALSE)-AVERAGE('The List'!T2:T730))/STDEV('The List'!T2:T730)</f>
        <v>-0.00457652048626174</v>
      </c>
      <c r="H238" s="46">
        <f>(VLOOKUP($A238,'The List'!$B1:$AH730,20,FALSE)-AVERAGE('The List'!U2:U730))/STDEV('The List'!U2:U730)</f>
        <v>0.197282718166448</v>
      </c>
      <c r="I238" s="46">
        <f>(VLOOKUP($A238,'The List'!$B1:$AH730,21,FALSE)-AVERAGE('The List'!V2:V730))/STDEV('The List'!V2:V730)</f>
        <v>-0.13232145369719</v>
      </c>
      <c r="J238" s="46">
        <f>(VLOOKUP($A238,'The List'!$B1:$AH730,22,FALSE)-AVERAGE('The List'!W2:W730))/STDEV('The List'!W2:W730)</f>
        <v>-0.437565346225562</v>
      </c>
      <c r="K238" s="46">
        <f>(VLOOKUP($A238,'The List'!$B1:$AH730,23,FALSE)-AVERAGE('The List'!X2:X730))/STDEV('The List'!X2:X730)</f>
        <v>-0.440855388249092</v>
      </c>
      <c r="L238" s="46">
        <f>(VLOOKUP($A238,'The List'!$B1:$AH730,24,FALSE)-AVERAGE('The List'!Y2:Y730))/STDEV('The List'!Y2:Y730)</f>
        <v>-0.356708455480227</v>
      </c>
      <c r="M238" s="46">
        <f>(VLOOKUP($A238,'The List'!$B1:$AH730,25,FALSE)-AVERAGE('The List'!Z2:Z730))/STDEV('The List'!Z2:Z730)</f>
        <v>-0.513800972221901</v>
      </c>
      <c r="N238" s="46">
        <f>(VLOOKUP($A238,'The List'!$B1:$AH730,26,FALSE)-AVERAGE('The List'!AA2:AA730))/STDEV('The List'!AA2:AA730)</f>
        <v>-0.831288198836757</v>
      </c>
      <c r="O238" s="46">
        <f>(VLOOKUP($A238,'The List'!$B1:$AH730,27,FALSE)-AVERAGE('The List'!AB2:AB730))/STDEV('The List'!AB2:AB730)</f>
        <v>-1.32196284947125</v>
      </c>
      <c r="P238" s="46">
        <f>(VLOOKUP($A238,'The List'!$B1:$AH730,28,FALSE)-AVERAGE('The List'!AC2:AC730))/STDEV('The List'!AC2:AC730)</f>
        <v>1.29041826249666</v>
      </c>
      <c r="Q238" s="46">
        <f>(VLOOKUP($A238,'The List'!$B1:$AH730,29,FALSE)-AVERAGE('The List'!AD2:AD730))/STDEV('The List'!AD2:AD730)</f>
        <v>-1.12944636918636</v>
      </c>
      <c r="R238" s="46">
        <f>(VLOOKUP($A238,'The List'!$B1:$AH730,30,FALSE)-AVERAGE('The List'!AE2:AE730))/STDEV('The List'!AE2:AE730)</f>
        <v>0.7396395098206</v>
      </c>
      <c r="S238" s="46">
        <f>(VLOOKUP($A238,'The List'!$B1:$AH730,31,FALSE)-AVERAGE('The List'!AF2:AF730))/STDEV('The List'!AF2:AF730)</f>
        <v>-0.550302571391121</v>
      </c>
      <c r="T238" s="46">
        <f>(VLOOKUP($A238,'The List'!$B1:$AH730,32,FALSE)-AVERAGE('The List'!AG2:AG730))/STDEV('The List'!AG2:AG730)</f>
        <v>-0.580671235186536</v>
      </c>
      <c r="U238" s="46">
        <f>(VLOOKUP($A238,'The List'!$B1:$AH730,33,FALSE)-AVERAGE('The List'!AH2:AH730))/STDEV('The List'!AH2:AH730)</f>
        <v>-0.0801066473083632</v>
      </c>
      <c r="V238" s="46"/>
      <c r="W238" s="50"/>
      <c r="X238" s="48"/>
      <c r="Y238" s="48"/>
      <c r="Z238" s="48"/>
      <c r="AA238" s="48"/>
      <c r="AB238" s="48"/>
      <c r="AC238" s="51"/>
      <c r="AD238" s="52"/>
      <c r="AE238" s="46"/>
    </row>
    <row r="239" ht="21.25" customHeight="1">
      <c r="A239" t="s" s="8">
        <v>306</v>
      </c>
      <c r="B239" t="s" s="42">
        <f>VLOOKUP(A239,'Player Data'!A1:B734,2,FALSE)</f>
        <v>122</v>
      </c>
      <c r="C239" s="44">
        <f>((E239)*'Settings'!$C$12)+(F239*'Settings'!$C$2)+(G239*'Settings'!$C$3)+(H239*'Settings'!$C$4)+(I239*'Settings'!$C$5)+(K239*'Settings'!$C$9)+(N239*'Settings'!$C$6)+(J239*'Settings'!$C$8)+(O239*'Settings'!$C$7)+(P239*'Settings'!$C$14)+(Q239*'Settings'!$C$15)+(R239*'Settings'!$C$16)+(S239*'Settings'!$C$17)+(T239*'Settings'!$C$18)+(U239*'Settings'!$C$19)+(L239*'Settings'!$C$10)+('Settings'!$C$11*M239)</f>
        <v>3.51520688546886</v>
      </c>
      <c r="D239" s="48">
        <f>IF('Settings'!$E$12="YES",VLOOKUP(A239,'Player Data'!A1:E734,5,FALSE),82)</f>
        <v>76.8625</v>
      </c>
      <c r="E239" s="46">
        <f>(VLOOKUP($A239,'The List'!$B1:$AH730,17,FALSE)-AVERAGE('The List'!R2:R730))/STDEV('The List'!R2:R730)</f>
        <v>1.36696224295472</v>
      </c>
      <c r="F239" s="46">
        <f>(VLOOKUP($A239,'The List'!$B1:$AH730,18,FALSE)-AVERAGE('The List'!S2:S730))/STDEV('The List'!S2:S730)</f>
        <v>-0.555773743346622</v>
      </c>
      <c r="G239" s="46">
        <f>(VLOOKUP($A239,'The List'!$B1:$AH730,19,FALSE)-AVERAGE('The List'!T2:T730))/STDEV('The List'!T2:T730)</f>
        <v>0.768153613311448</v>
      </c>
      <c r="H239" s="46">
        <f>(VLOOKUP($A239,'The List'!$B1:$AH730,20,FALSE)-AVERAGE('The List'!U2:U730))/STDEV('The List'!U2:U730)</f>
        <v>0.220668406589068</v>
      </c>
      <c r="I239" s="46">
        <f>(VLOOKUP($A239,'The List'!$B1:$AH730,21,FALSE)-AVERAGE('The List'!V2:V730))/STDEV('The List'!V2:V730)</f>
        <v>0.217599318160159</v>
      </c>
      <c r="J239" s="46">
        <f>(VLOOKUP($A239,'The List'!$B1:$AH730,22,FALSE)-AVERAGE('The List'!W2:W730))/STDEV('The List'!W2:W730)</f>
        <v>-0.376216271010738</v>
      </c>
      <c r="K239" s="46">
        <f>(VLOOKUP($A239,'The List'!$B1:$AH730,23,FALSE)-AVERAGE('The List'!X2:X730))/STDEV('The List'!X2:X730)</f>
        <v>0.5998699878025771</v>
      </c>
      <c r="L239" s="46">
        <f>(VLOOKUP($A239,'The List'!$B1:$AH730,24,FALSE)-AVERAGE('The List'!Y2:Y730))/STDEV('The List'!Y2:Y730)</f>
        <v>-0.490412654658698</v>
      </c>
      <c r="M239" s="46">
        <f>(VLOOKUP($A239,'The List'!$B1:$AH730,25,FALSE)-AVERAGE('The List'!Z2:Z730))/STDEV('The List'!Z2:Z730)</f>
        <v>-0.31379987404185</v>
      </c>
      <c r="N239" s="46">
        <f>(VLOOKUP($A239,'The List'!$B1:$AH730,26,FALSE)-AVERAGE('The List'!AA2:AA730))/STDEV('The List'!AA2:AA730)</f>
        <v>0.992333665260519</v>
      </c>
      <c r="O239" s="46">
        <f>(VLOOKUP($A239,'The List'!$B1:$AH730,27,FALSE)-AVERAGE('The List'!AB2:AB730))/STDEV('The List'!AB2:AB730)</f>
        <v>-0.226979848286478</v>
      </c>
      <c r="P239" s="46">
        <f>(VLOOKUP($A239,'The List'!$B1:$AH730,28,FALSE)-AVERAGE('The List'!AC2:AC730))/STDEV('The List'!AC2:AC730)</f>
        <v>1.49302404428078</v>
      </c>
      <c r="Q239" s="46">
        <f>(VLOOKUP($A239,'The List'!$B1:$AH730,29,FALSE)-AVERAGE('The List'!AD2:AD730))/STDEV('The List'!AD2:AD730)</f>
        <v>1.35303244396644</v>
      </c>
      <c r="R239" s="46">
        <f>(VLOOKUP($A239,'The List'!$B1:$AH730,30,FALSE)-AVERAGE('The List'!AE2:AE730))/STDEV('The List'!AE2:AE730)</f>
        <v>-0.376339974322431</v>
      </c>
      <c r="S239" s="46">
        <f>(VLOOKUP($A239,'The List'!$B1:$AH730,31,FALSE)-AVERAGE('The List'!AF2:AF730))/STDEV('The List'!AF2:AF730)</f>
        <v>-0.5569063253591</v>
      </c>
      <c r="T239" s="46">
        <f>(VLOOKUP($A239,'The List'!$B1:$AH730,32,FALSE)-AVERAGE('The List'!AG2:AG730))/STDEV('The List'!AG2:AG730)</f>
        <v>-0.600856269042678</v>
      </c>
      <c r="U239" s="46">
        <f>(VLOOKUP($A239,'The List'!$B1:$AH730,33,FALSE)-AVERAGE('The List'!AH2:AH730))/STDEV('The List'!AH2:AH730)</f>
        <v>-1.2363238714826</v>
      </c>
      <c r="V239" s="46"/>
      <c r="W239" s="50"/>
      <c r="X239" s="48"/>
      <c r="Y239" s="48"/>
      <c r="Z239" s="48"/>
      <c r="AA239" s="48"/>
      <c r="AB239" s="48"/>
      <c r="AC239" s="51"/>
      <c r="AD239" s="52"/>
      <c r="AE239" s="46"/>
    </row>
    <row r="240" ht="21.25" customHeight="1">
      <c r="A240" t="s" s="8">
        <v>319</v>
      </c>
      <c r="B240" t="s" s="42">
        <f>VLOOKUP(A240,'Player Data'!A1:B734,2,FALSE)</f>
        <v>156</v>
      </c>
      <c r="C240" s="44">
        <f>((E240)*'Settings'!$C$12)+(F240*'Settings'!$C$2)+(G240*'Settings'!$C$3)+(H240*'Settings'!$C$4)+(I240*'Settings'!$C$5)+(K240*'Settings'!$C$9)+(N240*'Settings'!$C$6)+(J240*'Settings'!$C$8)+(O240*'Settings'!$C$7)+(P240*'Settings'!$C$14)+(Q240*'Settings'!$C$15)+(R240*'Settings'!$C$16)+(S240*'Settings'!$C$17)+(T240*'Settings'!$C$18)+(U240*'Settings'!$C$19)+(L240*'Settings'!$C$10)+('Settings'!$C$11*M240)</f>
        <v>1.28578459754646</v>
      </c>
      <c r="D240" s="48">
        <f>IF('Settings'!$E$12="YES",VLOOKUP(A240,'Player Data'!A1:E734,5,FALSE),82)</f>
        <v>78.285</v>
      </c>
      <c r="E240" s="46">
        <f>(VLOOKUP($A240,'The List'!$B1:$AH730,17,FALSE)-AVERAGE('The List'!R2:R730))/STDEV('The List'!R2:R730)</f>
        <v>1.5020656505201</v>
      </c>
      <c r="F240" s="46">
        <f>(VLOOKUP($A240,'The List'!$B1:$AH730,18,FALSE)-AVERAGE('The List'!S2:S730))/STDEV('The List'!S2:S730)</f>
        <v>-0.606615231302001</v>
      </c>
      <c r="G240" s="46">
        <f>(VLOOKUP($A240,'The List'!$B1:$AH730,19,FALSE)-AVERAGE('The List'!T2:T730))/STDEV('The List'!T2:T730)</f>
        <v>0.7055822277698161</v>
      </c>
      <c r="H240" s="46">
        <f>(VLOOKUP($A240,'The List'!$B1:$AH730,20,FALSE)-AVERAGE('The List'!U2:U730))/STDEV('The List'!U2:U730)</f>
        <v>0.158960073139533</v>
      </c>
      <c r="I240" s="46">
        <f>(VLOOKUP($A240,'The List'!$B1:$AH730,21,FALSE)-AVERAGE('The List'!V2:V730))/STDEV('The List'!V2:V730)</f>
        <v>0.196692385848422</v>
      </c>
      <c r="J240" s="46">
        <f>(VLOOKUP($A240,'The List'!$B1:$AH730,22,FALSE)-AVERAGE('The List'!W2:W730))/STDEV('The List'!W2:W730)</f>
        <v>-0.174049972899145</v>
      </c>
      <c r="K240" s="46">
        <f>(VLOOKUP($A240,'The List'!$B1:$AH730,23,FALSE)-AVERAGE('The List'!X2:X730))/STDEV('The List'!X2:X730)</f>
        <v>0.226705288483087</v>
      </c>
      <c r="L240" s="46">
        <f>(VLOOKUP($A240,'The List'!$B1:$AH730,24,FALSE)-AVERAGE('The List'!Y2:Y730))/STDEV('The List'!Y2:Y730)</f>
        <v>-0.478049017095467</v>
      </c>
      <c r="M240" s="46">
        <f>(VLOOKUP($A240,'The List'!$B1:$AH730,25,FALSE)-AVERAGE('The List'!Z2:Z730))/STDEV('The List'!Z2:Z730)</f>
        <v>-0.570239810723192</v>
      </c>
      <c r="N240" s="46">
        <f>(VLOOKUP($A240,'The List'!$B1:$AH730,26,FALSE)-AVERAGE('The List'!AA2:AA730))/STDEV('The List'!AA2:AA730)</f>
        <v>0.7170264599148291</v>
      </c>
      <c r="O240" s="46">
        <f>(VLOOKUP($A240,'The List'!$B1:$AH730,27,FALSE)-AVERAGE('The List'!AB2:AB730))/STDEV('The List'!AB2:AB730)</f>
        <v>0.302769350527322</v>
      </c>
      <c r="P240" s="46">
        <f>(VLOOKUP($A240,'The List'!$B1:$AH730,28,FALSE)-AVERAGE('The List'!AC2:AC730))/STDEV('The List'!AC2:AC730)</f>
        <v>0.0463934668323057</v>
      </c>
      <c r="Q240" s="46">
        <f>(VLOOKUP($A240,'The List'!$B1:$AH730,29,FALSE)-AVERAGE('The List'!AD2:AD730))/STDEV('The List'!AD2:AD730)</f>
        <v>0.0278356652746833</v>
      </c>
      <c r="R240" s="46">
        <f>(VLOOKUP($A240,'The List'!$B1:$AH730,30,FALSE)-AVERAGE('The List'!AE2:AE730))/STDEV('The List'!AE2:AE730)</f>
        <v>-0.5498752067202241</v>
      </c>
      <c r="S240" s="46">
        <f>(VLOOKUP($A240,'The List'!$B1:$AH730,31,FALSE)-AVERAGE('The List'!AF2:AF730))/STDEV('The List'!AF2:AF730)</f>
        <v>-0.5569063253591</v>
      </c>
      <c r="T240" s="46">
        <f>(VLOOKUP($A240,'The List'!$B1:$AH730,32,FALSE)-AVERAGE('The List'!AG2:AG730))/STDEV('The List'!AG2:AG730)</f>
        <v>-0.600856269042678</v>
      </c>
      <c r="U240" s="46">
        <f>(VLOOKUP($A240,'The List'!$B1:$AH730,33,FALSE)-AVERAGE('The List'!AH2:AH730))/STDEV('The List'!AH2:AH730)</f>
        <v>-1.2363238714826</v>
      </c>
      <c r="V240" s="46"/>
      <c r="W240" s="50"/>
      <c r="X240" s="48"/>
      <c r="Y240" s="48"/>
      <c r="Z240" s="48"/>
      <c r="AA240" s="48"/>
      <c r="AB240" s="48"/>
      <c r="AC240" s="51"/>
      <c r="AD240" s="52"/>
      <c r="AE240" s="46"/>
    </row>
    <row r="241" ht="21.25" customHeight="1">
      <c r="A241" t="s" s="8">
        <v>402</v>
      </c>
      <c r="B241" t="s" s="42">
        <f>VLOOKUP(A241,'Player Data'!A1:B734,2,FALSE)</f>
        <v>113</v>
      </c>
      <c r="C241" s="44">
        <f>((E241)*'Settings'!$C$12)+(F241*'Settings'!$C$2)+(G241*'Settings'!$C$3)+(H241*'Settings'!$C$4)+(I241*'Settings'!$C$5)+(K241*'Settings'!$C$9)+(N241*'Settings'!$C$6)+(J241*'Settings'!$C$8)+(O241*'Settings'!$C$7)+(P241*'Settings'!$C$14)+(Q241*'Settings'!$C$15)+(R241*'Settings'!$C$16)+(S241*'Settings'!$C$17)+(T241*'Settings'!$C$18)+(U241*'Settings'!$C$19)+(L241*'Settings'!$C$10)+('Settings'!$C$11*M241)</f>
        <v>0.113861214648456</v>
      </c>
      <c r="D241" s="48">
        <f>IF('Settings'!$E$12="YES",VLOOKUP(A241,'Player Data'!A1:E734,5,FALSE),82)</f>
        <v>64.005</v>
      </c>
      <c r="E241" s="46">
        <f>(VLOOKUP($A241,'The List'!$B1:$AH730,17,FALSE)-AVERAGE('The List'!R2:R730))/STDEV('The List'!R2:R730)</f>
        <v>1.06918610281418</v>
      </c>
      <c r="F241" s="46">
        <f>(VLOOKUP($A241,'The List'!$B1:$AH730,18,FALSE)-AVERAGE('The List'!S2:S730))/STDEV('The List'!S2:S730)</f>
        <v>-0.269047160933114</v>
      </c>
      <c r="G241" s="46">
        <f>(VLOOKUP($A241,'The List'!$B1:$AH730,19,FALSE)-AVERAGE('The List'!T2:T730))/STDEV('The List'!T2:T730)</f>
        <v>-0.0745538719849145</v>
      </c>
      <c r="H241" s="46">
        <f>(VLOOKUP($A241,'The List'!$B1:$AH730,20,FALSE)-AVERAGE('The List'!U2:U730))/STDEV('The List'!U2:U730)</f>
        <v>-0.168383336320017</v>
      </c>
      <c r="I241" s="46">
        <f>(VLOOKUP($A241,'The List'!$B1:$AH730,21,FALSE)-AVERAGE('The List'!V2:V730))/STDEV('The List'!V2:V730)</f>
        <v>-0.559306758539231</v>
      </c>
      <c r="J241" s="46">
        <f>(VLOOKUP($A241,'The List'!$B1:$AH730,22,FALSE)-AVERAGE('The List'!W2:W730))/STDEV('The List'!W2:W730)</f>
        <v>-0.118720597943221</v>
      </c>
      <c r="K241" s="46">
        <f>(VLOOKUP($A241,'The List'!$B1:$AH730,23,FALSE)-AVERAGE('The List'!X2:X730))/STDEV('The List'!X2:X730)</f>
        <v>-0.114410534295177</v>
      </c>
      <c r="L241" s="46">
        <f>(VLOOKUP($A241,'The List'!$B1:$AH730,24,FALSE)-AVERAGE('The List'!Y2:Y730))/STDEV('The List'!Y2:Y730)</f>
        <v>0.559798969635565</v>
      </c>
      <c r="M241" s="46">
        <f>(VLOOKUP($A241,'The List'!$B1:$AH730,25,FALSE)-AVERAGE('The List'!Z2:Z730))/STDEV('The List'!Z2:Z730)</f>
        <v>0.07836661305488039</v>
      </c>
      <c r="N241" s="46">
        <f>(VLOOKUP($A241,'The List'!$B1:$AH730,26,FALSE)-AVERAGE('The List'!AA2:AA730))/STDEV('The List'!AA2:AA730)</f>
        <v>0.596920991784569</v>
      </c>
      <c r="O241" s="46">
        <f>(VLOOKUP($A241,'The List'!$B1:$AH730,27,FALSE)-AVERAGE('The List'!AB2:AB730))/STDEV('The List'!AB2:AB730)</f>
        <v>0.431580733344411</v>
      </c>
      <c r="P241" s="46">
        <f>(VLOOKUP($A241,'The List'!$B1:$AH730,28,FALSE)-AVERAGE('The List'!AC2:AC730))/STDEV('The List'!AC2:AC730)</f>
        <v>0.534258548616323</v>
      </c>
      <c r="Q241" s="46">
        <f>(VLOOKUP($A241,'The List'!$B1:$AH730,29,FALSE)-AVERAGE('The List'!AD2:AD730))/STDEV('The List'!AD2:AD730)</f>
        <v>1.10070070648005</v>
      </c>
      <c r="R241" s="46">
        <f>(VLOOKUP($A241,'The List'!$B1:$AH730,30,FALSE)-AVERAGE('The List'!AE2:AE730))/STDEV('The List'!AE2:AE730)</f>
        <v>-0.127674853034104</v>
      </c>
      <c r="S241" s="46">
        <f>(VLOOKUP($A241,'The List'!$B1:$AH730,31,FALSE)-AVERAGE('The List'!AF2:AF730))/STDEV('The List'!AF2:AF730)</f>
        <v>-0.5569063253591</v>
      </c>
      <c r="T241" s="46">
        <f>(VLOOKUP($A241,'The List'!$B1:$AH730,32,FALSE)-AVERAGE('The List'!AG2:AG730))/STDEV('The List'!AG2:AG730)</f>
        <v>-0.600856269042678</v>
      </c>
      <c r="U241" s="46">
        <f>(VLOOKUP($A241,'The List'!$B1:$AH730,33,FALSE)-AVERAGE('The List'!AH2:AH730))/STDEV('The List'!AH2:AH730)</f>
        <v>-1.2363238714826</v>
      </c>
      <c r="V241" s="46"/>
      <c r="W241" s="48"/>
      <c r="X241" s="46"/>
      <c r="Y241" s="46"/>
      <c r="Z241" s="46"/>
      <c r="AA241" s="46"/>
      <c r="AB241" s="46"/>
      <c r="AC241" s="46"/>
      <c r="AD241" s="46"/>
      <c r="AE241" s="46"/>
    </row>
    <row r="242" ht="21.25" customHeight="1">
      <c r="A242" t="s" s="8">
        <v>590</v>
      </c>
      <c r="B242" t="s" s="42">
        <f>VLOOKUP(A242,'Player Data'!A1:B734,2,FALSE)</f>
        <v>108</v>
      </c>
      <c r="C242" s="44">
        <f>((E242)*'Settings'!$C$12)+(F242*'Settings'!$C$2)+(G242*'Settings'!$C$3)+(H242*'Settings'!$C$4)+(I242*'Settings'!$C$5)+(K242*'Settings'!$C$9)+(N242*'Settings'!$C$6)+(J242*'Settings'!$C$8)+(O242*'Settings'!$C$7)+(P242*'Settings'!$C$14)+(Q242*'Settings'!$C$15)+(R242*'Settings'!$C$16)+(S242*'Settings'!$C$17)+(T242*'Settings'!$C$18)+(U242*'Settings'!$C$19)+(L242*'Settings'!$C$10)+('Settings'!$C$11*M242)</f>
        <v>-0.691365220513894</v>
      </c>
      <c r="D242" s="48">
        <f>IF('Settings'!$E$12="YES",VLOOKUP(A242,'Player Data'!A1:E734,5,FALSE),82)</f>
        <v>67.66249999999999</v>
      </c>
      <c r="E242" s="46">
        <f>(VLOOKUP($A242,'The List'!$B1:$AH730,17,FALSE)-AVERAGE('The List'!R2:R730))/STDEV('The List'!R2:R730)</f>
        <v>0.100922109091197</v>
      </c>
      <c r="F242" s="46">
        <f>(VLOOKUP($A242,'The List'!$B1:$AH730,18,FALSE)-AVERAGE('The List'!S2:S730))/STDEV('The List'!S2:S730)</f>
        <v>0.0199527221887363</v>
      </c>
      <c r="G242" s="46">
        <f>(VLOOKUP($A242,'The List'!$B1:$AH730,19,FALSE)-AVERAGE('The List'!T2:T730))/STDEV('The List'!T2:T730)</f>
        <v>-0.169806381684445</v>
      </c>
      <c r="H242" s="46">
        <f>(VLOOKUP($A242,'The List'!$B1:$AH730,20,FALSE)-AVERAGE('The List'!U2:U730))/STDEV('The List'!U2:U730)</f>
        <v>-0.0956045136663659</v>
      </c>
      <c r="I242" s="46">
        <f>(VLOOKUP($A242,'The List'!$B1:$AH730,21,FALSE)-AVERAGE('The List'!V2:V730))/STDEV('The List'!V2:V730)</f>
        <v>-0.244005640935865</v>
      </c>
      <c r="J242" s="46">
        <f>(VLOOKUP($A242,'The List'!$B1:$AH730,22,FALSE)-AVERAGE('The List'!W2:W730))/STDEV('The List'!W2:W730)</f>
        <v>-0.560637835861013</v>
      </c>
      <c r="K242" s="46">
        <f>(VLOOKUP($A242,'The List'!$B1:$AH730,23,FALSE)-AVERAGE('The List'!X2:X730))/STDEV('The List'!X2:X730)</f>
        <v>-0.427613718103061</v>
      </c>
      <c r="L242" s="46">
        <f>(VLOOKUP($A242,'The List'!$B1:$AH730,24,FALSE)-AVERAGE('The List'!Y2:Y730))/STDEV('The List'!Y2:Y730)</f>
        <v>2.31379440473305</v>
      </c>
      <c r="M242" s="46">
        <f>(VLOOKUP($A242,'The List'!$B1:$AH730,25,FALSE)-AVERAGE('The List'!Z2:Z730))/STDEV('The List'!Z2:Z730)</f>
        <v>2.37924219912449</v>
      </c>
      <c r="N242" s="46">
        <f>(VLOOKUP($A242,'The List'!$B1:$AH730,26,FALSE)-AVERAGE('The List'!AA2:AA730))/STDEV('The List'!AA2:AA730)</f>
        <v>-0.667402432484412</v>
      </c>
      <c r="O242" s="46">
        <f>(VLOOKUP($A242,'The List'!$B1:$AH730,27,FALSE)-AVERAGE('The List'!AB2:AB730))/STDEV('The List'!AB2:AB730)</f>
        <v>-1.18206437529769</v>
      </c>
      <c r="P242" s="46">
        <f>(VLOOKUP($A242,'The List'!$B1:$AH730,28,FALSE)-AVERAGE('The List'!AC2:AC730))/STDEV('The List'!AC2:AC730)</f>
        <v>0.797510230505153</v>
      </c>
      <c r="Q242" s="46">
        <f>(VLOOKUP($A242,'The List'!$B1:$AH730,29,FALSE)-AVERAGE('The List'!AD2:AD730))/STDEV('The List'!AD2:AD730)</f>
        <v>-1.14130790413581</v>
      </c>
      <c r="R242" s="46">
        <f>(VLOOKUP($A242,'The List'!$B1:$AH730,30,FALSE)-AVERAGE('The List'!AE2:AE730))/STDEV('The List'!AE2:AE730)</f>
        <v>0.17049257103119</v>
      </c>
      <c r="S242" s="46">
        <f>(VLOOKUP($A242,'The List'!$B1:$AH730,31,FALSE)-AVERAGE('The List'!AF2:AF730))/STDEV('The List'!AF2:AF730)</f>
        <v>-0.40265586225309</v>
      </c>
      <c r="T242" s="46">
        <f>(VLOOKUP($A242,'The List'!$B1:$AH730,32,FALSE)-AVERAGE('The List'!AG2:AG730))/STDEV('The List'!AG2:AG730)</f>
        <v>-0.348578484249003</v>
      </c>
      <c r="U242" s="46">
        <f>(VLOOKUP($A242,'The List'!$B1:$AH730,33,FALSE)-AVERAGE('The List'!AH2:AH730))/STDEV('The List'!AH2:AH730)</f>
        <v>0.5313261391317</v>
      </c>
      <c r="V242" s="46"/>
      <c r="W242" s="50"/>
      <c r="X242" s="48"/>
      <c r="Y242" s="48"/>
      <c r="Z242" s="48"/>
      <c r="AA242" s="48"/>
      <c r="AB242" s="48"/>
      <c r="AC242" s="51"/>
      <c r="AD242" s="52"/>
      <c r="AE242" s="46"/>
    </row>
    <row r="243" ht="21.25" customHeight="1">
      <c r="A243" t="s" s="8">
        <v>473</v>
      </c>
      <c r="B243" t="s" s="42">
        <f>VLOOKUP(A243,'Player Data'!A1:B734,2,FALSE)</f>
        <v>113</v>
      </c>
      <c r="C243" s="44">
        <f>((E243)*'Settings'!$C$12)+(F243*'Settings'!$C$2)+(G243*'Settings'!$C$3)+(H243*'Settings'!$C$4)+(I243*'Settings'!$C$5)+(K243*'Settings'!$C$9)+(N243*'Settings'!$C$6)+(J243*'Settings'!$C$8)+(O243*'Settings'!$C$7)+(P243*'Settings'!$C$14)+(Q243*'Settings'!$C$15)+(R243*'Settings'!$C$16)+(S243*'Settings'!$C$17)+(T243*'Settings'!$C$18)+(U243*'Settings'!$C$19)+(L243*'Settings'!$C$10)+('Settings'!$C$11*M243)</f>
        <v>0.88902117963031</v>
      </c>
      <c r="D243" s="48">
        <f>IF('Settings'!$E$12="YES",VLOOKUP(A243,'Player Data'!A1:E734,5,FALSE),82)</f>
        <v>77.63285714285711</v>
      </c>
      <c r="E243" s="46">
        <f>(VLOOKUP($A243,'The List'!$B1:$AH730,17,FALSE)-AVERAGE('The List'!R2:R730))/STDEV('The List'!R2:R730)</f>
        <v>-0.583645642343524</v>
      </c>
      <c r="F243" s="46">
        <f>(VLOOKUP($A243,'The List'!$B1:$AH730,18,FALSE)-AVERAGE('The List'!S2:S730))/STDEV('The List'!S2:S730)</f>
        <v>0.680171784097314</v>
      </c>
      <c r="G243" s="46">
        <f>(VLOOKUP($A243,'The List'!$B1:$AH730,19,FALSE)-AVERAGE('The List'!T2:T730))/STDEV('The List'!T2:T730)</f>
        <v>-0.311858281069022</v>
      </c>
      <c r="H243" s="46">
        <f>(VLOOKUP($A243,'The List'!$B1:$AH730,20,FALSE)-AVERAGE('The List'!U2:U730))/STDEV('The List'!U2:U730)</f>
        <v>0.117235271770607</v>
      </c>
      <c r="I243" s="46">
        <f>(VLOOKUP($A243,'The List'!$B1:$AH730,21,FALSE)-AVERAGE('The List'!V2:V730))/STDEV('The List'!V2:V730)</f>
        <v>0.552315521777867</v>
      </c>
      <c r="J243" s="46">
        <f>(VLOOKUP($A243,'The List'!$B1:$AH730,22,FALSE)-AVERAGE('The List'!W2:W730))/STDEV('The List'!W2:W730)</f>
        <v>-0.0792768029574283</v>
      </c>
      <c r="K243" s="46">
        <f>(VLOOKUP($A243,'The List'!$B1:$AH730,23,FALSE)-AVERAGE('The List'!X2:X730))/STDEV('The List'!X2:X730)</f>
        <v>-0.132464362631854</v>
      </c>
      <c r="L243" s="46">
        <f>(VLOOKUP($A243,'The List'!$B1:$AH730,24,FALSE)-AVERAGE('The List'!Y2:Y730))/STDEV('The List'!Y2:Y730)</f>
        <v>-0.5404627707506861</v>
      </c>
      <c r="M243" s="46">
        <f>(VLOOKUP($A243,'The List'!$B1:$AH730,25,FALSE)-AVERAGE('The List'!Z2:Z730))/STDEV('The List'!Z2:Z730)</f>
        <v>-0.7190980227932759</v>
      </c>
      <c r="N243" s="46">
        <f>(VLOOKUP($A243,'The List'!$B1:$AH730,26,FALSE)-AVERAGE('The List'!AA2:AA730))/STDEV('The List'!AA2:AA730)</f>
        <v>-0.6491973957799551</v>
      </c>
      <c r="O243" s="46">
        <f>(VLOOKUP($A243,'The List'!$B1:$AH730,27,FALSE)-AVERAGE('The List'!AB2:AB730))/STDEV('The List'!AB2:AB730)</f>
        <v>1.9580477997965</v>
      </c>
      <c r="P243" s="46">
        <f>(VLOOKUP($A243,'The List'!$B1:$AH730,28,FALSE)-AVERAGE('The List'!AC2:AC730))/STDEV('The List'!AC2:AC730)</f>
        <v>0.75005391323596</v>
      </c>
      <c r="Q243" s="46">
        <f>(VLOOKUP($A243,'The List'!$B1:$AH730,29,FALSE)-AVERAGE('The List'!AD2:AD730))/STDEV('The List'!AD2:AD730)</f>
        <v>-0.0537149678632697</v>
      </c>
      <c r="R243" s="46">
        <f>(VLOOKUP($A243,'The List'!$B1:$AH730,30,FALSE)-AVERAGE('The List'!AE2:AE730))/STDEV('The List'!AE2:AE730)</f>
        <v>0.8495687226361091</v>
      </c>
      <c r="S243" s="46">
        <f>(VLOOKUP($A243,'The List'!$B1:$AH730,31,FALSE)-AVERAGE('The List'!AF2:AF730))/STDEV('The List'!AF2:AF730)</f>
        <v>0.25579182687194</v>
      </c>
      <c r="T243" s="46">
        <f>(VLOOKUP($A243,'The List'!$B1:$AH730,32,FALSE)-AVERAGE('The List'!AG2:AG730))/STDEV('The List'!AG2:AG730)</f>
        <v>0.134226761956277</v>
      </c>
      <c r="U243" s="46">
        <f>(VLOOKUP($A243,'The List'!$B1:$AH730,33,FALSE)-AVERAGE('The List'!AH2:AH730))/STDEV('The List'!AH2:AH730)</f>
        <v>1.19185382653946</v>
      </c>
      <c r="V243" s="46"/>
      <c r="W243" s="50"/>
      <c r="X243" s="48"/>
      <c r="Y243" s="48"/>
      <c r="Z243" s="48"/>
      <c r="AA243" s="48"/>
      <c r="AB243" s="48"/>
      <c r="AC243" s="51"/>
      <c r="AD243" s="52"/>
      <c r="AE243" s="46"/>
    </row>
    <row r="244" ht="21.25" customHeight="1">
      <c r="A244" t="s" s="8">
        <v>541</v>
      </c>
      <c r="B244" t="s" s="42">
        <f>VLOOKUP(A244,'Player Data'!A1:B734,2,FALSE)</f>
        <v>218</v>
      </c>
      <c r="C244" s="44">
        <f>((E244)*'Settings'!$C$12)+(F244*'Settings'!$C$2)+(G244*'Settings'!$C$3)+(H244*'Settings'!$C$4)+(I244*'Settings'!$C$5)+(K244*'Settings'!$C$9)+(N244*'Settings'!$C$6)+(J244*'Settings'!$C$8)+(O244*'Settings'!$C$7)+(P244*'Settings'!$C$14)+(Q244*'Settings'!$C$15)+(R244*'Settings'!$C$16)+(S244*'Settings'!$C$17)+(T244*'Settings'!$C$18)+(U244*'Settings'!$C$19)+(L244*'Settings'!$C$10)+('Settings'!$C$11*M244)</f>
        <v>0.993613175576638</v>
      </c>
      <c r="D244" s="48">
        <f>IF('Settings'!$E$12="YES",VLOOKUP(A244,'Player Data'!A1:E734,5,FALSE),82)</f>
        <v>77.5839285714286</v>
      </c>
      <c r="E244" s="46">
        <f>(VLOOKUP($A244,'The List'!$B1:$AH730,17,FALSE)-AVERAGE('The List'!R2:R730))/STDEV('The List'!R2:R730)</f>
        <v>0.0212590033877911</v>
      </c>
      <c r="F244" s="46">
        <f>(VLOOKUP($A244,'The List'!$B1:$AH730,18,FALSE)-AVERAGE('The List'!S2:S730))/STDEV('The List'!S2:S730)</f>
        <v>0.289837271184277</v>
      </c>
      <c r="G244" s="46">
        <f>(VLOOKUP($A244,'The List'!$B1:$AH730,19,FALSE)-AVERAGE('The List'!T2:T730))/STDEV('The List'!T2:T730)</f>
        <v>-0.0287668587640191</v>
      </c>
      <c r="H244" s="46">
        <f>(VLOOKUP($A244,'The List'!$B1:$AH730,20,FALSE)-AVERAGE('The List'!U2:U730))/STDEV('The List'!U2:U730)</f>
        <v>0.114147380952202</v>
      </c>
      <c r="I244" s="46">
        <f>(VLOOKUP($A244,'The List'!$B1:$AH730,21,FALSE)-AVERAGE('The List'!V2:V730))/STDEV('The List'!V2:V730)</f>
        <v>-0.0869500881762989</v>
      </c>
      <c r="J244" s="46">
        <f>(VLOOKUP($A244,'The List'!$B1:$AH730,22,FALSE)-AVERAGE('The List'!W2:W730))/STDEV('The List'!W2:W730)</f>
        <v>0.156732990299277</v>
      </c>
      <c r="K244" s="46">
        <f>(VLOOKUP($A244,'The List'!$B1:$AH730,23,FALSE)-AVERAGE('The List'!X2:X730))/STDEV('The List'!X2:X730)</f>
        <v>-0.0191242887056956</v>
      </c>
      <c r="L244" s="46">
        <f>(VLOOKUP($A244,'The List'!$B1:$AH730,24,FALSE)-AVERAGE('The List'!Y2:Y730))/STDEV('The List'!Y2:Y730)</f>
        <v>-0.312851065961334</v>
      </c>
      <c r="M244" s="46">
        <f>(VLOOKUP($A244,'The List'!$B1:$AH730,25,FALSE)-AVERAGE('The List'!Z2:Z730))/STDEV('The List'!Z2:Z730)</f>
        <v>0.591344351534713</v>
      </c>
      <c r="N244" s="46">
        <f>(VLOOKUP($A244,'The List'!$B1:$AH730,26,FALSE)-AVERAGE('The List'!AA2:AA730))/STDEV('The List'!AA2:AA730)</f>
        <v>-0.413562988426095</v>
      </c>
      <c r="O244" s="46">
        <f>(VLOOKUP($A244,'The List'!$B1:$AH730,27,FALSE)-AVERAGE('The List'!AB2:AB730))/STDEV('The List'!AB2:AB730)</f>
        <v>0.00495619286601237</v>
      </c>
      <c r="P244" s="46">
        <f>(VLOOKUP($A244,'The List'!$B1:$AH730,28,FALSE)-AVERAGE('The List'!AC2:AC730))/STDEV('The List'!AC2:AC730)</f>
        <v>1.25218012846447</v>
      </c>
      <c r="Q244" s="46">
        <f>(VLOOKUP($A244,'The List'!$B1:$AH730,29,FALSE)-AVERAGE('The List'!AD2:AD730))/STDEV('The List'!AD2:AD730)</f>
        <v>0.163584662177201</v>
      </c>
      <c r="R244" s="46">
        <f>(VLOOKUP($A244,'The List'!$B1:$AH730,30,FALSE)-AVERAGE('The List'!AE2:AE730))/STDEV('The List'!AE2:AE730)</f>
        <v>0.5014808463220179</v>
      </c>
      <c r="S244" s="46">
        <f>(VLOOKUP($A244,'The List'!$B1:$AH730,31,FALSE)-AVERAGE('The List'!AF2:AF730))/STDEV('The List'!AF2:AF730)</f>
        <v>1.58153792940743</v>
      </c>
      <c r="T244" s="46">
        <f>(VLOOKUP($A244,'The List'!$B1:$AH730,32,FALSE)-AVERAGE('The List'!AG2:AG730))/STDEV('The List'!AG2:AG730)</f>
        <v>1.85033082102102</v>
      </c>
      <c r="U244" s="46">
        <f>(VLOOKUP($A244,'The List'!$B1:$AH730,33,FALSE)-AVERAGE('The List'!AH2:AH730))/STDEV('The List'!AH2:AH730)</f>
        <v>0.924789056852479</v>
      </c>
      <c r="V244" s="46"/>
      <c r="W244" s="48"/>
      <c r="X244" s="46"/>
      <c r="Y244" s="46"/>
      <c r="Z244" s="46"/>
      <c r="AA244" s="46"/>
      <c r="AB244" s="46"/>
      <c r="AC244" s="46"/>
      <c r="AD244" s="46"/>
      <c r="AE244" s="46"/>
    </row>
    <row r="245" ht="21.25" customHeight="1">
      <c r="A245" t="s" s="8">
        <v>560</v>
      </c>
      <c r="B245" t="s" s="42">
        <f>VLOOKUP(A245,'Player Data'!A1:B734,2,FALSE)</f>
        <v>258</v>
      </c>
      <c r="C245" s="44">
        <f>((E245)*'Settings'!$C$12)+(F245*'Settings'!$C$2)+(G245*'Settings'!$C$3)+(H245*'Settings'!$C$4)+(I245*'Settings'!$C$5)+(K245*'Settings'!$C$9)+(N245*'Settings'!$C$6)+(J245*'Settings'!$C$8)+(O245*'Settings'!$C$7)+(P245*'Settings'!$C$14)+(Q245*'Settings'!$C$15)+(R245*'Settings'!$C$16)+(S245*'Settings'!$C$17)+(T245*'Settings'!$C$18)+(U245*'Settings'!$C$19)+(L245*'Settings'!$C$10)+('Settings'!$C$11*M245)</f>
        <v>-2.33805160932486</v>
      </c>
      <c r="D245" s="48">
        <f>IF('Settings'!$E$12="YES",VLOOKUP(A245,'Player Data'!A1:E734,5,FALSE),82)</f>
        <v>68.6964285714286</v>
      </c>
      <c r="E245" s="46">
        <f>(VLOOKUP($A245,'The List'!$B1:$AH730,17,FALSE)-AVERAGE('The List'!R2:R730))/STDEV('The List'!R2:R730)</f>
        <v>-0.0309741805475925</v>
      </c>
      <c r="F245" s="46">
        <f>(VLOOKUP($A245,'The List'!$B1:$AH730,18,FALSE)-AVERAGE('The List'!S2:S730))/STDEV('The List'!S2:S730)</f>
        <v>-0.0919537554115567</v>
      </c>
      <c r="G245" s="46">
        <f>(VLOOKUP($A245,'The List'!$B1:$AH730,19,FALSE)-AVERAGE('The List'!T2:T730))/STDEV('The List'!T2:T730)</f>
        <v>-0.079955130619913</v>
      </c>
      <c r="H245" s="46">
        <f>(VLOOKUP($A245,'The List'!$B1:$AH730,20,FALSE)-AVERAGE('The List'!U2:U730))/STDEV('The List'!U2:U730)</f>
        <v>-0.0911320900317615</v>
      </c>
      <c r="I245" s="46">
        <f>(VLOOKUP($A245,'The List'!$B1:$AH730,21,FALSE)-AVERAGE('The List'!V2:V730))/STDEV('The List'!V2:V730)</f>
        <v>0.0272842468885851</v>
      </c>
      <c r="J245" s="46">
        <f>(VLOOKUP($A245,'The List'!$B1:$AH730,22,FALSE)-AVERAGE('The List'!W2:W730))/STDEV('The List'!W2:W730)</f>
        <v>0.370081035798723</v>
      </c>
      <c r="K245" s="46">
        <f>(VLOOKUP($A245,'The List'!$B1:$AH730,23,FALSE)-AVERAGE('The List'!X2:X730))/STDEV('The List'!X2:X730)</f>
        <v>0.347093642081162</v>
      </c>
      <c r="L245" s="46">
        <f>(VLOOKUP($A245,'The List'!$B1:$AH730,24,FALSE)-AVERAGE('The List'!Y2:Y730))/STDEV('The List'!Y2:Y730)</f>
        <v>-0.142684245458434</v>
      </c>
      <c r="M245" s="46">
        <f>(VLOOKUP($A245,'The List'!$B1:$AH730,25,FALSE)-AVERAGE('The List'!Z2:Z730))/STDEV('The List'!Z2:Z730)</f>
        <v>-0.266764980860795</v>
      </c>
      <c r="N245" s="46">
        <f>(VLOOKUP($A245,'The List'!$B1:$AH730,26,FALSE)-AVERAGE('The List'!AA2:AA730))/STDEV('The List'!AA2:AA730)</f>
        <v>-0.805334017151366</v>
      </c>
      <c r="O245" s="46">
        <f>(VLOOKUP($A245,'The List'!$B1:$AH730,27,FALSE)-AVERAGE('The List'!AB2:AB730))/STDEV('The List'!AB2:AB730)</f>
        <v>-0.751162723911316</v>
      </c>
      <c r="P245" s="46">
        <f>(VLOOKUP($A245,'The List'!$B1:$AH730,28,FALSE)-AVERAGE('The List'!AC2:AC730))/STDEV('The List'!AC2:AC730)</f>
        <v>-1.73518659511177</v>
      </c>
      <c r="Q245" s="46">
        <f>(VLOOKUP($A245,'The List'!$B1:$AH730,29,FALSE)-AVERAGE('The List'!AD2:AD730))/STDEV('The List'!AD2:AD730)</f>
        <v>-0.617410539877853</v>
      </c>
      <c r="R245" s="46">
        <f>(VLOOKUP($A245,'The List'!$B1:$AH730,30,FALSE)-AVERAGE('The List'!AE2:AE730))/STDEV('The List'!AE2:AE730)</f>
        <v>-0.382163694529033</v>
      </c>
      <c r="S245" s="46">
        <f>(VLOOKUP($A245,'The List'!$B1:$AH730,31,FALSE)-AVERAGE('The List'!AF2:AF730))/STDEV('The List'!AF2:AF730)</f>
        <v>1.69870276132424</v>
      </c>
      <c r="T245" s="46">
        <f>(VLOOKUP($A245,'The List'!$B1:$AH730,32,FALSE)-AVERAGE('The List'!AG2:AG730))/STDEV('The List'!AG2:AG730)</f>
        <v>1.55501065613656</v>
      </c>
      <c r="U245" s="46">
        <f>(VLOOKUP($A245,'The List'!$B1:$AH730,33,FALSE)-AVERAGE('The List'!AH2:AH730))/STDEV('The List'!AH2:AH730)</f>
        <v>1.12982549543114</v>
      </c>
      <c r="V245" s="46"/>
      <c r="W245" s="48"/>
      <c r="X245" s="46"/>
      <c r="Y245" s="46"/>
      <c r="Z245" s="46"/>
      <c r="AA245" s="46"/>
      <c r="AB245" s="46"/>
      <c r="AC245" s="46"/>
      <c r="AD245" s="46"/>
      <c r="AE245" s="46"/>
    </row>
    <row r="246" ht="21.25" customHeight="1">
      <c r="A246" t="s" s="8">
        <v>567</v>
      </c>
      <c r="B246" t="s" s="42">
        <f>VLOOKUP(A246,'Player Data'!A1:B734,2,FALSE)</f>
        <v>258</v>
      </c>
      <c r="C246" s="44">
        <f>((E246)*'Settings'!$C$12)+(F246*'Settings'!$C$2)+(G246*'Settings'!$C$3)+(H246*'Settings'!$C$4)+(I246*'Settings'!$C$5)+(K246*'Settings'!$C$9)+(N246*'Settings'!$C$6)+(J246*'Settings'!$C$8)+(O246*'Settings'!$C$7)+(P246*'Settings'!$C$14)+(Q246*'Settings'!$C$15)+(R246*'Settings'!$C$16)+(S246*'Settings'!$C$17)+(T246*'Settings'!$C$18)+(U246*'Settings'!$C$19)+(L246*'Settings'!$C$10)+('Settings'!$C$11*M246)</f>
        <v>-2.37931907862613</v>
      </c>
      <c r="D246" s="48">
        <f>IF('Settings'!$E$12="YES",VLOOKUP(A246,'Player Data'!A1:E734,5,FALSE),82)</f>
        <v>79.4175</v>
      </c>
      <c r="E246" s="46">
        <f>(VLOOKUP($A246,'The List'!$B1:$AH730,17,FALSE)-AVERAGE('The List'!R2:R730))/STDEV('The List'!R2:R730)</f>
        <v>-0.355537923152828</v>
      </c>
      <c r="F246" s="46">
        <f>(VLOOKUP($A246,'The List'!$B1:$AH730,18,FALSE)-AVERAGE('The List'!S2:S730))/STDEV('The List'!S2:S730)</f>
        <v>0.323951929826269</v>
      </c>
      <c r="G246" s="46">
        <f>(VLOOKUP($A246,'The List'!$B1:$AH730,19,FALSE)-AVERAGE('The List'!T2:T730))/STDEV('The List'!T2:T730)</f>
        <v>-0.00734686557127675</v>
      </c>
      <c r="H246" s="46">
        <f>(VLOOKUP($A246,'The List'!$B1:$AH730,20,FALSE)-AVERAGE('The List'!U2:U730))/STDEV('The List'!U2:U730)</f>
        <v>0.142875379093459</v>
      </c>
      <c r="I246" s="46">
        <f>(VLOOKUP($A246,'The List'!$B1:$AH730,21,FALSE)-AVERAGE('The List'!V2:V730))/STDEV('The List'!V2:V730)</f>
        <v>-0.0789991558869514</v>
      </c>
      <c r="J246" s="46">
        <f>(VLOOKUP($A246,'The List'!$B1:$AH730,22,FALSE)-AVERAGE('The List'!W2:W730))/STDEV('The List'!W2:W730)</f>
        <v>-0.252694431761177</v>
      </c>
      <c r="K246" s="46">
        <f>(VLOOKUP($A246,'The List'!$B1:$AH730,23,FALSE)-AVERAGE('The List'!X2:X730))/STDEV('The List'!X2:X730)</f>
        <v>-0.425305422055256</v>
      </c>
      <c r="L246" s="46">
        <f>(VLOOKUP($A246,'The List'!$B1:$AH730,24,FALSE)-AVERAGE('The List'!Y2:Y730))/STDEV('The List'!Y2:Y730)</f>
        <v>-0.508994566878276</v>
      </c>
      <c r="M246" s="46">
        <f>(VLOOKUP($A246,'The List'!$B1:$AH730,25,FALSE)-AVERAGE('The List'!Z2:Z730))/STDEV('The List'!Z2:Z730)</f>
        <v>-0.684049994214649</v>
      </c>
      <c r="N246" s="46">
        <f>(VLOOKUP($A246,'The List'!$B1:$AH730,26,FALSE)-AVERAGE('The List'!AA2:AA730))/STDEV('The List'!AA2:AA730)</f>
        <v>-0.675933012120905</v>
      </c>
      <c r="O246" s="46">
        <f>(VLOOKUP($A246,'The List'!$B1:$AH730,27,FALSE)-AVERAGE('The List'!AB2:AB730))/STDEV('The List'!AB2:AB730)</f>
        <v>-0.597811111747842</v>
      </c>
      <c r="P246" s="46">
        <f>(VLOOKUP($A246,'The List'!$B1:$AH730,28,FALSE)-AVERAGE('The List'!AC2:AC730))/STDEV('The List'!AC2:AC730)</f>
        <v>-1.51568655281801</v>
      </c>
      <c r="Q246" s="46">
        <f>(VLOOKUP($A246,'The List'!$B1:$AH730,29,FALSE)-AVERAGE('The List'!AD2:AD730))/STDEV('The List'!AD2:AD730)</f>
        <v>-0.605544534735537</v>
      </c>
      <c r="R246" s="46">
        <f>(VLOOKUP($A246,'The List'!$B1:$AH730,30,FALSE)-AVERAGE('The List'!AE2:AE730))/STDEV('The List'!AE2:AE730)</f>
        <v>-0.104919807399167</v>
      </c>
      <c r="S246" s="46">
        <f>(VLOOKUP($A246,'The List'!$B1:$AH730,31,FALSE)-AVERAGE('The List'!AF2:AF730))/STDEV('The List'!AF2:AF730)</f>
        <v>0.443541034308505</v>
      </c>
      <c r="T246" s="46">
        <f>(VLOOKUP($A246,'The List'!$B1:$AH730,32,FALSE)-AVERAGE('The List'!AG2:AG730))/STDEV('The List'!AG2:AG730)</f>
        <v>1.06399183155584</v>
      </c>
      <c r="U246" s="46">
        <f>(VLOOKUP($A246,'The List'!$B1:$AH730,33,FALSE)-AVERAGE('The List'!AH2:AH730))/STDEV('The List'!AH2:AH730)</f>
        <v>0.512714091017039</v>
      </c>
      <c r="V246" s="46"/>
      <c r="W246" s="50"/>
      <c r="X246" s="48"/>
      <c r="Y246" s="48"/>
      <c r="Z246" s="48"/>
      <c r="AA246" s="48"/>
      <c r="AB246" s="48"/>
      <c r="AC246" s="51"/>
      <c r="AD246" s="52"/>
      <c r="AE246" s="46"/>
    </row>
    <row r="247" ht="21.25" customHeight="1">
      <c r="A247" t="s" s="8">
        <v>343</v>
      </c>
      <c r="B247" t="s" s="42">
        <f>VLOOKUP(A247,'Player Data'!A1:B734,2,FALSE)</f>
        <v>225</v>
      </c>
      <c r="C247" s="44">
        <f>((E247)*'Settings'!$C$12)+(F247*'Settings'!$C$2)+(G247*'Settings'!$C$3)+(H247*'Settings'!$C$4)+(I247*'Settings'!$C$5)+(K247*'Settings'!$C$9)+(N247*'Settings'!$C$6)+(J247*'Settings'!$C$8)+(O247*'Settings'!$C$7)+(P247*'Settings'!$C$14)+(Q247*'Settings'!$C$15)+(R247*'Settings'!$C$16)+(S247*'Settings'!$C$17)+(T247*'Settings'!$C$18)+(U247*'Settings'!$C$19)+(L247*'Settings'!$C$10)+('Settings'!$C$11*M247)</f>
        <v>0.930455166486531</v>
      </c>
      <c r="D247" s="48">
        <f>IF('Settings'!$E$12="YES",VLOOKUP(A247,'Player Data'!A1:E734,5,FALSE),82)</f>
        <v>77</v>
      </c>
      <c r="E247" s="46">
        <f>(VLOOKUP($A247,'The List'!$B1:$AH730,17,FALSE)-AVERAGE('The List'!R2:R730))/STDEV('The List'!R2:R730)</f>
        <v>0.94805795416634</v>
      </c>
      <c r="F247" s="46">
        <f>(VLOOKUP($A247,'The List'!$B1:$AH730,18,FALSE)-AVERAGE('The List'!S2:S730))/STDEV('The List'!S2:S730)</f>
        <v>-0.6425550114131831</v>
      </c>
      <c r="G247" s="46">
        <f>(VLOOKUP($A247,'The List'!$B1:$AH730,19,FALSE)-AVERAGE('The List'!T2:T730))/STDEV('The List'!T2:T730)</f>
        <v>0.475583382418706</v>
      </c>
      <c r="H247" s="46">
        <f>(VLOOKUP($A247,'The List'!$B1:$AH730,20,FALSE)-AVERAGE('The List'!U2:U730))/STDEV('The List'!U2:U730)</f>
        <v>0.000815487263377916</v>
      </c>
      <c r="I247" s="46">
        <f>(VLOOKUP($A247,'The List'!$B1:$AH730,21,FALSE)-AVERAGE('The List'!V2:V730))/STDEV('The List'!V2:V730)</f>
        <v>-0.068938769213508</v>
      </c>
      <c r="J247" s="46">
        <f>(VLOOKUP($A247,'The List'!$B1:$AH730,22,FALSE)-AVERAGE('The List'!W2:W730))/STDEV('The List'!W2:W730)</f>
        <v>-0.307631579107279</v>
      </c>
      <c r="K247" s="46">
        <f>(VLOOKUP($A247,'The List'!$B1:$AH730,23,FALSE)-AVERAGE('The List'!X2:X730))/STDEV('The List'!X2:X730)</f>
        <v>0.0350098320373861</v>
      </c>
      <c r="L247" s="46">
        <f>(VLOOKUP($A247,'The List'!$B1:$AH730,24,FALSE)-AVERAGE('The List'!Y2:Y730))/STDEV('The List'!Y2:Y730)</f>
        <v>-0.542843480388394</v>
      </c>
      <c r="M247" s="46">
        <f>(VLOOKUP($A247,'The List'!$B1:$AH730,25,FALSE)-AVERAGE('The List'!Z2:Z730))/STDEV('The List'!Z2:Z730)</f>
        <v>-0.72177514995105</v>
      </c>
      <c r="N247" s="46">
        <f>(VLOOKUP($A247,'The List'!$B1:$AH730,26,FALSE)-AVERAGE('The List'!AA2:AA730))/STDEV('The List'!AA2:AA730)</f>
        <v>1.04394693325493</v>
      </c>
      <c r="O247" s="46">
        <f>(VLOOKUP($A247,'The List'!$B1:$AH730,27,FALSE)-AVERAGE('The List'!AB2:AB730))/STDEV('The List'!AB2:AB730)</f>
        <v>0.144177474389157</v>
      </c>
      <c r="P247" s="46">
        <f>(VLOOKUP($A247,'The List'!$B1:$AH730,28,FALSE)-AVERAGE('The List'!AC2:AC730))/STDEV('The List'!AC2:AC730)</f>
        <v>0.0874087994021996</v>
      </c>
      <c r="Q247" s="46">
        <f>(VLOOKUP($A247,'The List'!$B1:$AH730,29,FALSE)-AVERAGE('The List'!AD2:AD730))/STDEV('The List'!AD2:AD730)</f>
        <v>0.154149082458523</v>
      </c>
      <c r="R247" s="46">
        <f>(VLOOKUP($A247,'The List'!$B1:$AH730,30,FALSE)-AVERAGE('The List'!AE2:AE730))/STDEV('The List'!AE2:AE730)</f>
        <v>-0.686566398715302</v>
      </c>
      <c r="S247" s="46">
        <f>(VLOOKUP($A247,'The List'!$B1:$AH730,31,FALSE)-AVERAGE('The List'!AF2:AF730))/STDEV('The List'!AF2:AF730)</f>
        <v>-0.5569063253591</v>
      </c>
      <c r="T247" s="46">
        <f>(VLOOKUP($A247,'The List'!$B1:$AH730,32,FALSE)-AVERAGE('The List'!AG2:AG730))/STDEV('The List'!AG2:AG730)</f>
        <v>-0.600856269042678</v>
      </c>
      <c r="U247" s="46">
        <f>(VLOOKUP($A247,'The List'!$B1:$AH730,33,FALSE)-AVERAGE('The List'!AH2:AH730))/STDEV('The List'!AH2:AH730)</f>
        <v>-1.2363238714826</v>
      </c>
      <c r="V247" s="46"/>
      <c r="W247" s="50"/>
      <c r="X247" s="48"/>
      <c r="Y247" s="48"/>
      <c r="Z247" s="48"/>
      <c r="AA247" s="48"/>
      <c r="AB247" s="48"/>
      <c r="AC247" s="51"/>
      <c r="AD247" s="52"/>
      <c r="AE247" s="46"/>
    </row>
    <row r="248" ht="21.25" customHeight="1">
      <c r="A248" t="s" s="8">
        <v>552</v>
      </c>
      <c r="B248" t="s" s="42">
        <f>VLOOKUP(A248,'Player Data'!A1:B734,2,FALSE)</f>
        <v>127</v>
      </c>
      <c r="C248" s="44">
        <f>((E248)*'Settings'!$C$12)+(F248*'Settings'!$C$2)+(G248*'Settings'!$C$3)+(H248*'Settings'!$C$4)+(I248*'Settings'!$C$5)+(K248*'Settings'!$C$9)+(N248*'Settings'!$C$6)+(J248*'Settings'!$C$8)+(O248*'Settings'!$C$7)+(P248*'Settings'!$C$14)+(Q248*'Settings'!$C$15)+(R248*'Settings'!$C$16)+(S248*'Settings'!$C$17)+(T248*'Settings'!$C$18)+(U248*'Settings'!$C$19)+(L248*'Settings'!$C$10)+('Settings'!$C$11*M248)</f>
        <v>-0.45204604935326</v>
      </c>
      <c r="D248" s="48">
        <f>IF('Settings'!$E$12="YES",VLOOKUP(A248,'Player Data'!A1:E734,5,FALSE),82)</f>
        <v>75.3385714285714</v>
      </c>
      <c r="E248" s="46">
        <f>(VLOOKUP($A248,'The List'!$B1:$AH730,17,FALSE)-AVERAGE('The List'!R2:R730))/STDEV('The List'!R2:R730)</f>
        <v>-0.524749223717898</v>
      </c>
      <c r="F248" s="46">
        <f>(VLOOKUP($A248,'The List'!$B1:$AH730,18,FALSE)-AVERAGE('The List'!S2:S730))/STDEV('The List'!S2:S730)</f>
        <v>0.0042250036529416</v>
      </c>
      <c r="G248" s="46">
        <f>(VLOOKUP($A248,'The List'!$B1:$AH730,19,FALSE)-AVERAGE('The List'!T2:T730))/STDEV('The List'!T2:T730)</f>
        <v>0.07450032107951191</v>
      </c>
      <c r="H248" s="46">
        <f>(VLOOKUP($A248,'The List'!$B1:$AH730,20,FALSE)-AVERAGE('The List'!U2:U730))/STDEV('The List'!U2:U730)</f>
        <v>0.0478509301347649</v>
      </c>
      <c r="I248" s="46">
        <f>(VLOOKUP($A248,'The List'!$B1:$AH730,21,FALSE)-AVERAGE('The List'!V2:V730))/STDEV('The List'!V2:V730)</f>
        <v>-0.197129195021515</v>
      </c>
      <c r="J248" s="46">
        <f>(VLOOKUP($A248,'The List'!$B1:$AH730,22,FALSE)-AVERAGE('The List'!W2:W730))/STDEV('The List'!W2:W730)</f>
        <v>-0.217101349849671</v>
      </c>
      <c r="K248" s="46">
        <f>(VLOOKUP($A248,'The List'!$B1:$AH730,23,FALSE)-AVERAGE('The List'!X2:X730))/STDEV('The List'!X2:X730)</f>
        <v>-0.189288074902702</v>
      </c>
      <c r="L248" s="46">
        <f>(VLOOKUP($A248,'The List'!$B1:$AH730,24,FALSE)-AVERAGE('The List'!Y2:Y730))/STDEV('The List'!Y2:Y730)</f>
        <v>-0.481400124542815</v>
      </c>
      <c r="M248" s="46">
        <f>(VLOOKUP($A248,'The List'!$B1:$AH730,25,FALSE)-AVERAGE('The List'!Z2:Z730))/STDEV('The List'!Z2:Z730)</f>
        <v>-0.545959001548521</v>
      </c>
      <c r="N248" s="46">
        <f>(VLOOKUP($A248,'The List'!$B1:$AH730,26,FALSE)-AVERAGE('The List'!AA2:AA730))/STDEV('The List'!AA2:AA730)</f>
        <v>-0.215072392565495</v>
      </c>
      <c r="O248" s="46">
        <f>(VLOOKUP($A248,'The List'!$B1:$AH730,27,FALSE)-AVERAGE('The List'!AB2:AB730))/STDEV('The List'!AB2:AB730)</f>
        <v>0.214439422059101</v>
      </c>
      <c r="P248" s="46">
        <f>(VLOOKUP($A248,'The List'!$B1:$AH730,28,FALSE)-AVERAGE('The List'!AC2:AC730))/STDEV('The List'!AC2:AC730)</f>
        <v>0.07071828840399889</v>
      </c>
      <c r="Q248" s="46">
        <f>(VLOOKUP($A248,'The List'!$B1:$AH730,29,FALSE)-AVERAGE('The List'!AD2:AD730))/STDEV('The List'!AD2:AD730)</f>
        <v>-0.773021984807538</v>
      </c>
      <c r="R248" s="46">
        <f>(VLOOKUP($A248,'The List'!$B1:$AH730,30,FALSE)-AVERAGE('The List'!AE2:AE730))/STDEV('The List'!AE2:AE730)</f>
        <v>0.0586244325134752</v>
      </c>
      <c r="S248" s="46">
        <f>(VLOOKUP($A248,'The List'!$B1:$AH730,31,FALSE)-AVERAGE('The List'!AF2:AF730))/STDEV('The List'!AF2:AF730)</f>
        <v>-0.553871703902173</v>
      </c>
      <c r="T248" s="46">
        <f>(VLOOKUP($A248,'The List'!$B1:$AH730,32,FALSE)-AVERAGE('The List'!AG2:AG730))/STDEV('The List'!AG2:AG730)</f>
        <v>-0.539168836094039</v>
      </c>
      <c r="U248" s="46">
        <f>(VLOOKUP($A248,'The List'!$B1:$AH730,33,FALSE)-AVERAGE('The List'!AH2:AH730))/STDEV('The List'!AH2:AH730)</f>
        <v>-1.01414201829443</v>
      </c>
      <c r="V248" s="46"/>
      <c r="W248" s="50"/>
      <c r="X248" s="48"/>
      <c r="Y248" s="48"/>
      <c r="Z248" s="48"/>
      <c r="AA248" s="48"/>
      <c r="AB248" s="48"/>
      <c r="AC248" s="51"/>
      <c r="AD248" s="52"/>
      <c r="AE248" s="46"/>
    </row>
    <row r="249" ht="21.25" customHeight="1">
      <c r="A249" t="s" s="8">
        <v>458</v>
      </c>
      <c r="B249" t="s" s="42">
        <f>VLOOKUP(A249,'Player Data'!A1:B734,2,FALSE)</f>
        <v>139</v>
      </c>
      <c r="C249" s="44">
        <f>((E249)*'Settings'!$C$12)+(F249*'Settings'!$C$2)+(G249*'Settings'!$C$3)+(H249*'Settings'!$C$4)+(I249*'Settings'!$C$5)+(K249*'Settings'!$C$9)+(N249*'Settings'!$C$6)+(J249*'Settings'!$C$8)+(O249*'Settings'!$C$7)+(P249*'Settings'!$C$14)+(Q249*'Settings'!$C$15)+(R249*'Settings'!$C$16)+(S249*'Settings'!$C$17)+(T249*'Settings'!$C$18)+(U249*'Settings'!$C$19)+(L249*'Settings'!$C$10)+('Settings'!$C$11*M249)</f>
        <v>-1.14350682122007</v>
      </c>
      <c r="D249" s="48">
        <f>IF('Settings'!$E$12="YES",VLOOKUP(A249,'Player Data'!A1:E734,5,FALSE),82)</f>
        <v>79.41249999999999</v>
      </c>
      <c r="E249" s="46">
        <f>(VLOOKUP($A249,'The List'!$B1:$AH730,17,FALSE)-AVERAGE('The List'!R2:R730))/STDEV('The List'!R2:R730)</f>
        <v>-0.7542358095291209</v>
      </c>
      <c r="F249" s="46">
        <f>(VLOOKUP($A249,'The List'!$B1:$AH730,18,FALSE)-AVERAGE('The List'!S2:S730))/STDEV('The List'!S2:S730)</f>
        <v>0.727461535737575</v>
      </c>
      <c r="G249" s="46">
        <f>(VLOOKUP($A249,'The List'!$B1:$AH730,19,FALSE)-AVERAGE('The List'!T2:T730))/STDEV('The List'!T2:T730)</f>
        <v>-0.315317509883113</v>
      </c>
      <c r="H249" s="46">
        <f>(VLOOKUP($A249,'The List'!$B1:$AH730,20,FALSE)-AVERAGE('The List'!U2:U730))/STDEV('The List'!U2:U730)</f>
        <v>0.136620488099049</v>
      </c>
      <c r="I249" s="46">
        <f>(VLOOKUP($A249,'The List'!$B1:$AH730,21,FALSE)-AVERAGE('The List'!V2:V730))/STDEV('The List'!V2:V730)</f>
        <v>0.361261137432039</v>
      </c>
      <c r="J249" s="46">
        <f>(VLOOKUP($A249,'The List'!$B1:$AH730,22,FALSE)-AVERAGE('The List'!W2:W730))/STDEV('The List'!W2:W730)</f>
        <v>0.73646836710119</v>
      </c>
      <c r="K249" s="46">
        <f>(VLOOKUP($A249,'The List'!$B1:$AH730,23,FALSE)-AVERAGE('The List'!X2:X730))/STDEV('The List'!X2:X730)</f>
        <v>0.236181639407936</v>
      </c>
      <c r="L249" s="46">
        <f>(VLOOKUP($A249,'The List'!$B1:$AH730,24,FALSE)-AVERAGE('The List'!Y2:Y730))/STDEV('The List'!Y2:Y730)</f>
        <v>-0.528764351584909</v>
      </c>
      <c r="M249" s="46">
        <f>(VLOOKUP($A249,'The List'!$B1:$AH730,25,FALSE)-AVERAGE('The List'!Z2:Z730))/STDEV('The List'!Z2:Z730)</f>
        <v>-0.68261034457202</v>
      </c>
      <c r="N249" s="46">
        <f>(VLOOKUP($A249,'The List'!$B1:$AH730,26,FALSE)-AVERAGE('The List'!AA2:AA730))/STDEV('The List'!AA2:AA730)</f>
        <v>-1.04808640567563</v>
      </c>
      <c r="O249" s="46">
        <f>(VLOOKUP($A249,'The List'!$B1:$AH730,27,FALSE)-AVERAGE('The List'!AB2:AB730))/STDEV('The List'!AB2:AB730)</f>
        <v>-1.35887753708489</v>
      </c>
      <c r="P249" s="46">
        <f>(VLOOKUP($A249,'The List'!$B1:$AH730,28,FALSE)-AVERAGE('The List'!AC2:AC730))/STDEV('The List'!AC2:AC730)</f>
        <v>-1.10500721823888</v>
      </c>
      <c r="Q249" s="46">
        <f>(VLOOKUP($A249,'The List'!$B1:$AH730,29,FALSE)-AVERAGE('The List'!AD2:AD730))/STDEV('The List'!AD2:AD730)</f>
        <v>-1.50353754612062</v>
      </c>
      <c r="R249" s="46">
        <f>(VLOOKUP($A249,'The List'!$B1:$AH730,30,FALSE)-AVERAGE('The List'!AE2:AE730))/STDEV('The List'!AE2:AE730)</f>
        <v>0.500755081721277</v>
      </c>
      <c r="S249" s="46">
        <f>(VLOOKUP($A249,'The List'!$B1:$AH730,31,FALSE)-AVERAGE('The List'!AF2:AF730))/STDEV('The List'!AF2:AF730)</f>
        <v>-0.552625241020256</v>
      </c>
      <c r="T249" s="46">
        <f>(VLOOKUP($A249,'The List'!$B1:$AH730,32,FALSE)-AVERAGE('The List'!AG2:AG730))/STDEV('The List'!AG2:AG730)</f>
        <v>-0.580564126499761</v>
      </c>
      <c r="U249" s="46">
        <f>(VLOOKUP($A249,'The List'!$B1:$AH730,33,FALSE)-AVERAGE('The List'!AH2:AH730))/STDEV('The List'!AH2:AH730)</f>
        <v>-0.416158886066047</v>
      </c>
      <c r="V249" s="46"/>
      <c r="W249" s="48"/>
      <c r="X249" s="46"/>
      <c r="Y249" s="46"/>
      <c r="Z249" s="46"/>
      <c r="AA249" s="46"/>
      <c r="AB249" s="46"/>
      <c r="AC249" s="46"/>
      <c r="AD249" s="46"/>
      <c r="AE249" s="46"/>
    </row>
    <row r="250" ht="21.25" customHeight="1">
      <c r="A250" t="s" s="8">
        <v>491</v>
      </c>
      <c r="B250" t="s" s="42">
        <f>VLOOKUP(A250,'Player Data'!A1:B734,2,FALSE)</f>
        <v>149</v>
      </c>
      <c r="C250" s="44">
        <f>((E250)*'Settings'!$C$12)+(F250*'Settings'!$C$2)+(G250*'Settings'!$C$3)+(H250*'Settings'!$C$4)+(I250*'Settings'!$C$5)+(K250*'Settings'!$C$9)+(N250*'Settings'!$C$6)+(J250*'Settings'!$C$8)+(O250*'Settings'!$C$7)+(P250*'Settings'!$C$14)+(Q250*'Settings'!$C$15)+(R250*'Settings'!$C$16)+(S250*'Settings'!$C$17)+(T250*'Settings'!$C$18)+(U250*'Settings'!$C$19)+(L250*'Settings'!$C$10)+('Settings'!$C$11*M250)</f>
        <v>-0.251120038957823</v>
      </c>
      <c r="D250" s="48">
        <f>IF('Settings'!$E$12="YES",VLOOKUP(A250,'Player Data'!A1:E734,5,FALSE),82)</f>
        <v>74.7178571428571</v>
      </c>
      <c r="E250" s="46">
        <f>(VLOOKUP($A250,'The List'!$B1:$AH730,17,FALSE)-AVERAGE('The List'!R2:R730))/STDEV('The List'!R2:R730)</f>
        <v>-0.190544712447032</v>
      </c>
      <c r="F250" s="46">
        <f>(VLOOKUP($A250,'The List'!$B1:$AH730,18,FALSE)-AVERAGE('The List'!S2:S730))/STDEV('The List'!S2:S730)</f>
        <v>0.338698629137895</v>
      </c>
      <c r="G250" s="46">
        <f>(VLOOKUP($A250,'The List'!$B1:$AH730,19,FALSE)-AVERAGE('The List'!T2:T730))/STDEV('The List'!T2:T730)</f>
        <v>-0.194810989189466</v>
      </c>
      <c r="H250" s="46">
        <f>(VLOOKUP($A250,'The List'!$B1:$AH730,20,FALSE)-AVERAGE('The List'!U2:U730))/STDEV('The List'!U2:U730)</f>
        <v>0.0340162547931048</v>
      </c>
      <c r="I250" s="46">
        <f>(VLOOKUP($A250,'The List'!$B1:$AH730,21,FALSE)-AVERAGE('The List'!V2:V730))/STDEV('The List'!V2:V730)</f>
        <v>0.358969060599699</v>
      </c>
      <c r="J250" s="46">
        <f>(VLOOKUP($A250,'The List'!$B1:$AH730,22,FALSE)-AVERAGE('The List'!W2:W730))/STDEV('The List'!W2:W730)</f>
        <v>-0.020459185266656</v>
      </c>
      <c r="K250" s="46">
        <f>(VLOOKUP($A250,'The List'!$B1:$AH730,23,FALSE)-AVERAGE('The List'!X2:X730))/STDEV('The List'!X2:X730)</f>
        <v>-0.198833354614532</v>
      </c>
      <c r="L250" s="46">
        <f>(VLOOKUP($A250,'The List'!$B1:$AH730,24,FALSE)-AVERAGE('The List'!Y2:Y730))/STDEV('The List'!Y2:Y730)</f>
        <v>-0.242582271878711</v>
      </c>
      <c r="M250" s="46">
        <f>(VLOOKUP($A250,'The List'!$B1:$AH730,25,FALSE)-AVERAGE('The List'!Z2:Z730))/STDEV('The List'!Z2:Z730)</f>
        <v>-0.47703862461975</v>
      </c>
      <c r="N250" s="46">
        <f>(VLOOKUP($A250,'The List'!$B1:$AH730,26,FALSE)-AVERAGE('The List'!AA2:AA730))/STDEV('The List'!AA2:AA730)</f>
        <v>-0.929156378246943</v>
      </c>
      <c r="O250" s="46">
        <f>(VLOOKUP($A250,'The List'!$B1:$AH730,27,FALSE)-AVERAGE('The List'!AB2:AB730))/STDEV('The List'!AB2:AB730)</f>
        <v>-0.038923032927564</v>
      </c>
      <c r="P250" s="46">
        <f>(VLOOKUP($A250,'The List'!$B1:$AH730,28,FALSE)-AVERAGE('The List'!AC2:AC730))/STDEV('The List'!AC2:AC730)</f>
        <v>0.374012993355524</v>
      </c>
      <c r="Q250" s="46">
        <f>(VLOOKUP($A250,'The List'!$B1:$AH730,29,FALSE)-AVERAGE('The List'!AD2:AD730))/STDEV('The List'!AD2:AD730)</f>
        <v>0.314239499889985</v>
      </c>
      <c r="R250" s="46">
        <f>(VLOOKUP($A250,'The List'!$B1:$AH730,30,FALSE)-AVERAGE('The List'!AE2:AE730))/STDEV('The List'!AE2:AE730)</f>
        <v>0.458739438045113</v>
      </c>
      <c r="S250" s="46">
        <f>(VLOOKUP($A250,'The List'!$B1:$AH730,31,FALSE)-AVERAGE('The List'!AF2:AF730))/STDEV('The List'!AF2:AF730)</f>
        <v>-0.498224549483332</v>
      </c>
      <c r="T250" s="46">
        <f>(VLOOKUP($A250,'The List'!$B1:$AH730,32,FALSE)-AVERAGE('The List'!AG2:AG730))/STDEV('The List'!AG2:AG730)</f>
        <v>-0.485886904679901</v>
      </c>
      <c r="U250" s="46">
        <f>(VLOOKUP($A250,'The List'!$B1:$AH730,33,FALSE)-AVERAGE('The List'!AH2:AH730))/STDEV('The List'!AH2:AH730)</f>
        <v>0.341295930436909</v>
      </c>
      <c r="V250" s="46"/>
      <c r="W250" s="50"/>
      <c r="X250" s="48"/>
      <c r="Y250" s="48"/>
      <c r="Z250" s="48"/>
      <c r="AA250" s="48"/>
      <c r="AB250" s="48"/>
      <c r="AC250" s="51"/>
      <c r="AD250" s="52"/>
      <c r="AE250" s="46"/>
    </row>
    <row r="251" ht="21.25" customHeight="1">
      <c r="A251" t="s" s="8">
        <v>519</v>
      </c>
      <c r="B251" t="s" s="42">
        <f>VLOOKUP(A251,'Player Data'!A1:B734,2,FALSE)</f>
        <v>196</v>
      </c>
      <c r="C251" s="44">
        <f>((E251)*'Settings'!$C$12)+(F251*'Settings'!$C$2)+(G251*'Settings'!$C$3)+(H251*'Settings'!$C$4)+(I251*'Settings'!$C$5)+(K251*'Settings'!$C$9)+(N251*'Settings'!$C$6)+(J251*'Settings'!$C$8)+(O251*'Settings'!$C$7)+(P251*'Settings'!$C$14)+(Q251*'Settings'!$C$15)+(R251*'Settings'!$C$16)+(S251*'Settings'!$C$17)+(T251*'Settings'!$C$18)+(U251*'Settings'!$C$19)+(L251*'Settings'!$C$10)+('Settings'!$C$11*M251)</f>
        <v>-1.05113465273266</v>
      </c>
      <c r="D251" s="48">
        <f>IF('Settings'!$E$12="YES",VLOOKUP(A251,'Player Data'!A1:E734,5,FALSE),82)</f>
        <v>73.0467857142857</v>
      </c>
      <c r="E251" s="46">
        <f>(VLOOKUP($A251,'The List'!$B1:$AH730,17,FALSE)-AVERAGE('The List'!R2:R730))/STDEV('The List'!R2:R730)</f>
        <v>-0.481056256213051</v>
      </c>
      <c r="F251" s="46">
        <f>(VLOOKUP($A251,'The List'!$B1:$AH730,18,FALSE)-AVERAGE('The List'!S2:S730))/STDEV('The List'!S2:S730)</f>
        <v>0.566330312412977</v>
      </c>
      <c r="G251" s="46">
        <f>(VLOOKUP($A251,'The List'!$B1:$AH730,19,FALSE)-AVERAGE('The List'!T2:T730))/STDEV('The List'!T2:T730)</f>
        <v>-0.426154239484266</v>
      </c>
      <c r="H251" s="46">
        <f>(VLOOKUP($A251,'The List'!$B1:$AH730,20,FALSE)-AVERAGE('The List'!U2:U730))/STDEV('The List'!U2:U730)</f>
        <v>-0.00502683710974924</v>
      </c>
      <c r="I251" s="46">
        <f>(VLOOKUP($A251,'The List'!$B1:$AH730,21,FALSE)-AVERAGE('The List'!V2:V730))/STDEV('The List'!V2:V730)</f>
        <v>0.477185451984811</v>
      </c>
      <c r="J251" s="46">
        <f>(VLOOKUP($A251,'The List'!$B1:$AH730,22,FALSE)-AVERAGE('The List'!W2:W730))/STDEV('The List'!W2:W730)</f>
        <v>-0.394653307146844</v>
      </c>
      <c r="K251" s="46">
        <f>(VLOOKUP($A251,'The List'!$B1:$AH730,23,FALSE)-AVERAGE('The List'!X2:X730))/STDEV('The List'!X2:X730)</f>
        <v>-0.37751173885515</v>
      </c>
      <c r="L251" s="46">
        <f>(VLOOKUP($A251,'The List'!$B1:$AH730,24,FALSE)-AVERAGE('The List'!Y2:Y730))/STDEV('The List'!Y2:Y730)</f>
        <v>-0.540795878188511</v>
      </c>
      <c r="M251" s="46">
        <f>(VLOOKUP($A251,'The List'!$B1:$AH730,25,FALSE)-AVERAGE('The List'!Z2:Z730))/STDEV('The List'!Z2:Z730)</f>
        <v>-0.719473513437472</v>
      </c>
      <c r="N251" s="46">
        <f>(VLOOKUP($A251,'The List'!$B1:$AH730,26,FALSE)-AVERAGE('The List'!AA2:AA730))/STDEV('The List'!AA2:AA730)</f>
        <v>-0.79194157133151</v>
      </c>
      <c r="O251" s="46">
        <f>(VLOOKUP($A251,'The List'!$B1:$AH730,27,FALSE)-AVERAGE('The List'!AB2:AB730))/STDEV('The List'!AB2:AB730)</f>
        <v>1.31887200629626</v>
      </c>
      <c r="P251" s="46">
        <f>(VLOOKUP($A251,'The List'!$B1:$AH730,28,FALSE)-AVERAGE('The List'!AC2:AC730))/STDEV('The List'!AC2:AC730)</f>
        <v>-0.499042867459518</v>
      </c>
      <c r="Q251" s="46">
        <f>(VLOOKUP($A251,'The List'!$B1:$AH730,29,FALSE)-AVERAGE('The List'!AD2:AD730))/STDEV('The List'!AD2:AD730)</f>
        <v>-0.009856417235726731</v>
      </c>
      <c r="R251" s="46">
        <f>(VLOOKUP($A251,'The List'!$B1:$AH730,30,FALSE)-AVERAGE('The List'!AE2:AE730))/STDEV('The List'!AE2:AE730)</f>
        <v>0.344447189914757</v>
      </c>
      <c r="S251" s="46">
        <f>(VLOOKUP($A251,'The List'!$B1:$AH730,31,FALSE)-AVERAGE('The List'!AF2:AF730))/STDEV('The List'!AF2:AF730)</f>
        <v>-0.537135174471509</v>
      </c>
      <c r="T251" s="46">
        <f>(VLOOKUP($A251,'The List'!$B1:$AH730,32,FALSE)-AVERAGE('The List'!AG2:AG730))/STDEV('The List'!AG2:AG730)</f>
        <v>-0.545283235111036</v>
      </c>
      <c r="U251" s="46">
        <f>(VLOOKUP($A251,'The List'!$B1:$AH730,33,FALSE)-AVERAGE('The List'!AH2:AH730))/STDEV('The List'!AH2:AH730)</f>
        <v>-0.0065338044417482</v>
      </c>
      <c r="V251" s="46"/>
      <c r="W251" s="48"/>
      <c r="X251" s="46"/>
      <c r="Y251" s="46"/>
      <c r="Z251" s="46"/>
      <c r="AA251" s="46"/>
      <c r="AB251" s="46"/>
      <c r="AC251" s="46"/>
      <c r="AD251" s="46"/>
      <c r="AE251" s="46"/>
    </row>
    <row r="252" ht="21.25" customHeight="1">
      <c r="A252" t="s" s="8">
        <v>441</v>
      </c>
      <c r="B252" t="s" s="42">
        <f>VLOOKUP(A252,'Player Data'!A1:B734,2,FALSE)</f>
        <v>173</v>
      </c>
      <c r="C252" s="44">
        <f>((E252)*'Settings'!$C$12)+(F252*'Settings'!$C$2)+(G252*'Settings'!$C$3)+(H252*'Settings'!$C$4)+(I252*'Settings'!$C$5)+(K252*'Settings'!$C$9)+(N252*'Settings'!$C$6)+(J252*'Settings'!$C$8)+(O252*'Settings'!$C$7)+(P252*'Settings'!$C$14)+(Q252*'Settings'!$C$15)+(R252*'Settings'!$C$16)+(S252*'Settings'!$C$17)+(T252*'Settings'!$C$18)+(U252*'Settings'!$C$19)+(L252*'Settings'!$C$10)+('Settings'!$C$11*M252)</f>
        <v>0.697717633868482</v>
      </c>
      <c r="D252" s="48">
        <f>IF('Settings'!$E$12="YES",VLOOKUP(A252,'Player Data'!A1:E734,5,FALSE),82)</f>
        <v>81.30249999999999</v>
      </c>
      <c r="E252" s="46">
        <f>(VLOOKUP($A252,'The List'!$B1:$AH730,17,FALSE)-AVERAGE('The List'!R2:R730))/STDEV('The List'!R2:R730)</f>
        <v>-0.586530308801318</v>
      </c>
      <c r="F252" s="46">
        <f>(VLOOKUP($A252,'The List'!$B1:$AH730,18,FALSE)-AVERAGE('The List'!S2:S730))/STDEV('The List'!S2:S730)</f>
        <v>0.442594953002423</v>
      </c>
      <c r="G252" s="46">
        <f>(VLOOKUP($A252,'The List'!$B1:$AH730,19,FALSE)-AVERAGE('The List'!T2:T730))/STDEV('The List'!T2:T730)</f>
        <v>-0.0449362934198287</v>
      </c>
      <c r="H252" s="46">
        <f>(VLOOKUP($A252,'The List'!$B1:$AH730,20,FALSE)-AVERAGE('The List'!U2:U730))/STDEV('The List'!U2:U730)</f>
        <v>0.173686945902069</v>
      </c>
      <c r="I252" s="46">
        <f>(VLOOKUP($A252,'The List'!$B1:$AH730,21,FALSE)-AVERAGE('The List'!V2:V730))/STDEV('The List'!V2:V730)</f>
        <v>0.553959322499033</v>
      </c>
      <c r="J252" s="46">
        <f>(VLOOKUP($A252,'The List'!$B1:$AH730,22,FALSE)-AVERAGE('The List'!W2:W730))/STDEV('The List'!W2:W730)</f>
        <v>0.499788520685888</v>
      </c>
      <c r="K252" s="46">
        <f>(VLOOKUP($A252,'The List'!$B1:$AH730,23,FALSE)-AVERAGE('The List'!X2:X730))/STDEV('The List'!X2:X730)</f>
        <v>0.442646409751571</v>
      </c>
      <c r="L252" s="46">
        <f>(VLOOKUP($A252,'The List'!$B1:$AH730,24,FALSE)-AVERAGE('The List'!Y2:Y730))/STDEV('The List'!Y2:Y730)</f>
        <v>-0.500180451760186</v>
      </c>
      <c r="M252" s="46">
        <f>(VLOOKUP($A252,'The List'!$B1:$AH730,25,FALSE)-AVERAGE('The List'!Z2:Z730))/STDEV('The List'!Z2:Z730)</f>
        <v>-0.673760551384419</v>
      </c>
      <c r="N252" s="46">
        <f>(VLOOKUP($A252,'The List'!$B1:$AH730,26,FALSE)-AVERAGE('The List'!AA2:AA730))/STDEV('The List'!AA2:AA730)</f>
        <v>-0.806675203816984</v>
      </c>
      <c r="O252" s="46">
        <f>(VLOOKUP($A252,'The List'!$B1:$AH730,27,FALSE)-AVERAGE('The List'!AB2:AB730))/STDEV('The List'!AB2:AB730)</f>
        <v>-0.0313399136008952</v>
      </c>
      <c r="P252" s="46">
        <f>(VLOOKUP($A252,'The List'!$B1:$AH730,28,FALSE)-AVERAGE('The List'!AC2:AC730))/STDEV('The List'!AC2:AC730)</f>
        <v>0.110128445852268</v>
      </c>
      <c r="Q252" s="46">
        <f>(VLOOKUP($A252,'The List'!$B1:$AH730,29,FALSE)-AVERAGE('The List'!AD2:AD730))/STDEV('The List'!AD2:AD730)</f>
        <v>-0.604243917834824</v>
      </c>
      <c r="R252" s="46">
        <f>(VLOOKUP($A252,'The List'!$B1:$AH730,30,FALSE)-AVERAGE('The List'!AE2:AE730))/STDEV('The List'!AE2:AE730)</f>
        <v>0.516427439206551</v>
      </c>
      <c r="S252" s="46">
        <f>(VLOOKUP($A252,'The List'!$B1:$AH730,31,FALSE)-AVERAGE('The List'!AF2:AF730))/STDEV('The List'!AF2:AF730)</f>
        <v>-0.505980781007174</v>
      </c>
      <c r="T252" s="46">
        <f>(VLOOKUP($A252,'The List'!$B1:$AH730,32,FALSE)-AVERAGE('The List'!AG2:AG730))/STDEV('The List'!AG2:AG730)</f>
        <v>-0.506473728674945</v>
      </c>
      <c r="U252" s="46">
        <f>(VLOOKUP($A252,'The List'!$B1:$AH730,33,FALSE)-AVERAGE('The List'!AH2:AH730))/STDEV('The List'!AH2:AH730)</f>
        <v>0.398781278496654</v>
      </c>
      <c r="V252" s="46"/>
      <c r="W252" s="50"/>
      <c r="X252" s="48"/>
      <c r="Y252" s="48"/>
      <c r="Z252" s="48"/>
      <c r="AA252" s="48"/>
      <c r="AB252" s="48"/>
      <c r="AC252" s="51"/>
      <c r="AD252" s="52"/>
      <c r="AE252" s="46"/>
    </row>
    <row r="253" ht="21.25" customHeight="1">
      <c r="A253" t="s" s="8">
        <v>632</v>
      </c>
      <c r="B253" t="s" s="42">
        <f>VLOOKUP(A253,'Player Data'!A1:B734,2,FALSE)</f>
        <v>196</v>
      </c>
      <c r="C253" s="44">
        <f>((E253)*'Settings'!$C$12)+(F253*'Settings'!$C$2)+(G253*'Settings'!$C$3)+(H253*'Settings'!$C$4)+(I253*'Settings'!$C$5)+(K253*'Settings'!$C$9)+(N253*'Settings'!$C$6)+(J253*'Settings'!$C$8)+(O253*'Settings'!$C$7)+(P253*'Settings'!$C$14)+(Q253*'Settings'!$C$15)+(R253*'Settings'!$C$16)+(S253*'Settings'!$C$17)+(T253*'Settings'!$C$18)+(U253*'Settings'!$C$19)+(L253*'Settings'!$C$10)+('Settings'!$C$11*M253)</f>
        <v>-2.60538692490054</v>
      </c>
      <c r="D253" s="48">
        <f>IF('Settings'!$E$12="YES",VLOOKUP(A253,'Player Data'!A1:E734,5,FALSE),82)</f>
        <v>61.695</v>
      </c>
      <c r="E253" s="46">
        <f>(VLOOKUP($A253,'The List'!$B1:$AH730,17,FALSE)-AVERAGE('The List'!R2:R730))/STDEV('The List'!R2:R730)</f>
        <v>-0.658927379454602</v>
      </c>
      <c r="F253" s="46">
        <f>(VLOOKUP($A253,'The List'!$B1:$AH730,18,FALSE)-AVERAGE('The List'!S2:S730))/STDEV('The List'!S2:S730)</f>
        <v>-0.108768062475578</v>
      </c>
      <c r="G253" s="46">
        <f>(VLOOKUP($A253,'The List'!$B1:$AH730,19,FALSE)-AVERAGE('The List'!T2:T730))/STDEV('The List'!T2:T730)</f>
        <v>-0.334625348083691</v>
      </c>
      <c r="H253" s="46">
        <f>(VLOOKUP($A253,'The List'!$B1:$AH730,20,FALSE)-AVERAGE('The List'!U2:U730))/STDEV('The List'!U2:U730)</f>
        <v>-0.255783778731613</v>
      </c>
      <c r="I253" s="46">
        <f>(VLOOKUP($A253,'The List'!$B1:$AH730,21,FALSE)-AVERAGE('The List'!V2:V730))/STDEV('The List'!V2:V730)</f>
        <v>-0.533393828976427</v>
      </c>
      <c r="J253" s="46">
        <f>(VLOOKUP($A253,'The List'!$B1:$AH730,22,FALSE)-AVERAGE('The List'!W2:W730))/STDEV('The List'!W2:W730)</f>
        <v>0.747466241606508</v>
      </c>
      <c r="K253" s="46">
        <f>(VLOOKUP($A253,'The List'!$B1:$AH730,23,FALSE)-AVERAGE('The List'!X2:X730))/STDEV('The List'!X2:X730)</f>
        <v>0.179043828505926</v>
      </c>
      <c r="L253" s="46">
        <f>(VLOOKUP($A253,'The List'!$B1:$AH730,24,FALSE)-AVERAGE('The List'!Y2:Y730))/STDEV('The List'!Y2:Y730)</f>
        <v>-0.492754989581942</v>
      </c>
      <c r="M253" s="46">
        <f>(VLOOKUP($A253,'The List'!$B1:$AH730,25,FALSE)-AVERAGE('The List'!Z2:Z730))/STDEV('The List'!Z2:Z730)</f>
        <v>-0.666049195216762</v>
      </c>
      <c r="N253" s="46">
        <f>(VLOOKUP($A253,'The List'!$B1:$AH730,26,FALSE)-AVERAGE('The List'!AA2:AA730))/STDEV('The List'!AA2:AA730)</f>
        <v>-0.910232370431087</v>
      </c>
      <c r="O253" s="46">
        <f>(VLOOKUP($A253,'The List'!$B1:$AH730,27,FALSE)-AVERAGE('The List'!AB2:AB730))/STDEV('The List'!AB2:AB730)</f>
        <v>-0.821814514653211</v>
      </c>
      <c r="P253" s="46">
        <f>(VLOOKUP($A253,'The List'!$B1:$AH730,28,FALSE)-AVERAGE('The List'!AC2:AC730))/STDEV('The List'!AC2:AC730)</f>
        <v>-0.897411143439683</v>
      </c>
      <c r="Q253" s="46">
        <f>(VLOOKUP($A253,'The List'!$B1:$AH730,29,FALSE)-AVERAGE('The List'!AD2:AD730))/STDEV('The List'!AD2:AD730)</f>
        <v>-0.715501702807171</v>
      </c>
      <c r="R253" s="46">
        <f>(VLOOKUP($A253,'The List'!$B1:$AH730,30,FALSE)-AVERAGE('The List'!AE2:AE730))/STDEV('The List'!AE2:AE730)</f>
        <v>-0.209927376323759</v>
      </c>
      <c r="S253" s="46">
        <f>(VLOOKUP($A253,'The List'!$B1:$AH730,31,FALSE)-AVERAGE('The List'!AF2:AF730))/STDEV('The List'!AF2:AF730)</f>
        <v>-0.537169458925447</v>
      </c>
      <c r="T253" s="46">
        <f>(VLOOKUP($A253,'The List'!$B1:$AH730,32,FALSE)-AVERAGE('The List'!AG2:AG730))/STDEV('The List'!AG2:AG730)</f>
        <v>-0.5800975599602129</v>
      </c>
      <c r="U253" s="46">
        <f>(VLOOKUP($A253,'The List'!$B1:$AH730,33,FALSE)-AVERAGE('The List'!AH2:AH730))/STDEV('The List'!AH2:AH730)</f>
        <v>1.02184901198491</v>
      </c>
      <c r="V253" s="46"/>
      <c r="W253" s="50"/>
      <c r="X253" s="48"/>
      <c r="Y253" s="48"/>
      <c r="Z253" s="48"/>
      <c r="AA253" s="48"/>
      <c r="AB253" s="48"/>
      <c r="AC253" s="51"/>
      <c r="AD253" s="52"/>
      <c r="AE253" s="46"/>
    </row>
    <row r="254" ht="21.25" customHeight="1">
      <c r="A254" t="s" s="8">
        <v>571</v>
      </c>
      <c r="B254" t="s" s="42">
        <f>VLOOKUP(A254,'Player Data'!A1:B734,2,FALSE)</f>
        <v>122</v>
      </c>
      <c r="C254" s="44">
        <f>((E254)*'Settings'!$C$12)+(F254*'Settings'!$C$2)+(G254*'Settings'!$C$3)+(H254*'Settings'!$C$4)+(I254*'Settings'!$C$5)+(K254*'Settings'!$C$9)+(N254*'Settings'!$C$6)+(J254*'Settings'!$C$8)+(O254*'Settings'!$C$7)+(P254*'Settings'!$C$14)+(Q254*'Settings'!$C$15)+(R254*'Settings'!$C$16)+(S254*'Settings'!$C$17)+(T254*'Settings'!$C$18)+(U254*'Settings'!$C$19)+(L254*'Settings'!$C$10)+('Settings'!$C$11*M254)</f>
        <v>-0.123078707523954</v>
      </c>
      <c r="D254" s="48">
        <f>IF('Settings'!$E$12="YES",VLOOKUP(A254,'Player Data'!A1:E734,5,FALSE),82)</f>
        <v>75.5564285714286</v>
      </c>
      <c r="E254" s="46">
        <f>(VLOOKUP($A254,'The List'!$B1:$AH730,17,FALSE)-AVERAGE('The List'!R2:R730))/STDEV('The List'!R2:R730)</f>
        <v>-0.365663647082406</v>
      </c>
      <c r="F254" s="46">
        <f>(VLOOKUP($A254,'The List'!$B1:$AH730,18,FALSE)-AVERAGE('The List'!S2:S730))/STDEV('The List'!S2:S730)</f>
        <v>-0.0265726559386751</v>
      </c>
      <c r="G254" s="46">
        <f>(VLOOKUP($A254,'The List'!$B1:$AH730,19,FALSE)-AVERAGE('The List'!T2:T730))/STDEV('The List'!T2:T730)</f>
        <v>0.0884649964252255</v>
      </c>
      <c r="H254" s="46">
        <f>(VLOOKUP($A254,'The List'!$B1:$AH730,20,FALSE)-AVERAGE('The List'!U2:U730))/STDEV('The List'!U2:U730)</f>
        <v>0.0424464161554257</v>
      </c>
      <c r="I254" s="46">
        <f>(VLOOKUP($A254,'The List'!$B1:$AH730,21,FALSE)-AVERAGE('The List'!V2:V730))/STDEV('The List'!V2:V730)</f>
        <v>-0.0979510562225266</v>
      </c>
      <c r="J254" s="46">
        <f>(VLOOKUP($A254,'The List'!$B1:$AH730,22,FALSE)-AVERAGE('The List'!W2:W730))/STDEV('The List'!W2:W730)</f>
        <v>-0.0632857443847001</v>
      </c>
      <c r="K254" s="46">
        <f>(VLOOKUP($A254,'The List'!$B1:$AH730,23,FALSE)-AVERAGE('The List'!X2:X730))/STDEV('The List'!X2:X730)</f>
        <v>-0.200234253625145</v>
      </c>
      <c r="L254" s="46">
        <f>(VLOOKUP($A254,'The List'!$B1:$AH730,24,FALSE)-AVERAGE('The List'!Y2:Y730))/STDEV('The List'!Y2:Y730)</f>
        <v>-0.172645098528772</v>
      </c>
      <c r="M254" s="46">
        <f>(VLOOKUP($A254,'The List'!$B1:$AH730,25,FALSE)-AVERAGE('The List'!Z2:Z730))/STDEV('The List'!Z2:Z730)</f>
        <v>-0.307306342242819</v>
      </c>
      <c r="N254" s="46">
        <f>(VLOOKUP($A254,'The List'!$B1:$AH730,26,FALSE)-AVERAGE('The List'!AA2:AA730))/STDEV('The List'!AA2:AA730)</f>
        <v>-0.473101040375436</v>
      </c>
      <c r="O254" s="46">
        <f>(VLOOKUP($A254,'The List'!$B1:$AH730,27,FALSE)-AVERAGE('The List'!AB2:AB730))/STDEV('The List'!AB2:AB730)</f>
        <v>-0.336551045035982</v>
      </c>
      <c r="P254" s="46">
        <f>(VLOOKUP($A254,'The List'!$B1:$AH730,28,FALSE)-AVERAGE('The List'!AC2:AC730))/STDEV('The List'!AC2:AC730)</f>
        <v>0.586315302212603</v>
      </c>
      <c r="Q254" s="46">
        <f>(VLOOKUP($A254,'The List'!$B1:$AH730,29,FALSE)-AVERAGE('The List'!AD2:AD730))/STDEV('The List'!AD2:AD730)</f>
        <v>-0.0645080759992353</v>
      </c>
      <c r="R254" s="46">
        <f>(VLOOKUP($A254,'The List'!$B1:$AH730,30,FALSE)-AVERAGE('The List'!AE2:AE730))/STDEV('The List'!AE2:AE730)</f>
        <v>0.201768193909334</v>
      </c>
      <c r="S254" s="46">
        <f>(VLOOKUP($A254,'The List'!$B1:$AH730,31,FALSE)-AVERAGE('The List'!AF2:AF730))/STDEV('The List'!AF2:AF730)</f>
        <v>1.70317116678285</v>
      </c>
      <c r="T254" s="46">
        <f>(VLOOKUP($A254,'The List'!$B1:$AH730,32,FALSE)-AVERAGE('The List'!AG2:AG730))/STDEV('The List'!AG2:AG730)</f>
        <v>1.6739210381799</v>
      </c>
      <c r="U254" s="46">
        <f>(VLOOKUP($A254,'The List'!$B1:$AH730,33,FALSE)-AVERAGE('The List'!AH2:AH730))/STDEV('The List'!AH2:AH730)</f>
        <v>1.07151463401269</v>
      </c>
      <c r="V254" s="46"/>
      <c r="W254" s="50"/>
      <c r="X254" s="48"/>
      <c r="Y254" s="48"/>
      <c r="Z254" s="48"/>
      <c r="AA254" s="48"/>
      <c r="AB254" s="48"/>
      <c r="AC254" s="51"/>
      <c r="AD254" s="52"/>
      <c r="AE254" s="46"/>
    </row>
    <row r="255" ht="21.25" customHeight="1">
      <c r="A255" t="s" s="8">
        <v>588</v>
      </c>
      <c r="B255" t="s" s="42">
        <f>VLOOKUP(A255,'Player Data'!A1:B734,2,FALSE)</f>
        <v>136</v>
      </c>
      <c r="C255" s="44">
        <f>((E255)*'Settings'!$C$12)+(F255*'Settings'!$C$2)+(G255*'Settings'!$C$3)+(H255*'Settings'!$C$4)+(I255*'Settings'!$C$5)+(K255*'Settings'!$C$9)+(N255*'Settings'!$C$6)+(J255*'Settings'!$C$8)+(O255*'Settings'!$C$7)+(P255*'Settings'!$C$14)+(Q255*'Settings'!$C$15)+(R255*'Settings'!$C$16)+(S255*'Settings'!$C$17)+(T255*'Settings'!$C$18)+(U255*'Settings'!$C$19)+(L255*'Settings'!$C$10)+('Settings'!$C$11*M255)</f>
        <v>-0.33801615654606</v>
      </c>
      <c r="D255" s="48">
        <f>IF('Settings'!$E$12="YES",VLOOKUP(A255,'Player Data'!A1:E734,5,FALSE),82)</f>
        <v>72.3271428571429</v>
      </c>
      <c r="E255" s="46">
        <f>(VLOOKUP($A255,'The List'!$B1:$AH730,17,FALSE)-AVERAGE('The List'!R2:R730))/STDEV('The List'!R2:R730)</f>
        <v>-0.763114580072639</v>
      </c>
      <c r="F255" s="46">
        <f>(VLOOKUP($A255,'The List'!$B1:$AH730,18,FALSE)-AVERAGE('The List'!S2:S730))/STDEV('The List'!S2:S730)</f>
        <v>-0.00633046194256333</v>
      </c>
      <c r="G255" s="46">
        <f>(VLOOKUP($A255,'The List'!$B1:$AH730,19,FALSE)-AVERAGE('The List'!T2:T730))/STDEV('The List'!T2:T730)</f>
        <v>-0.0437921275626828</v>
      </c>
      <c r="H255" s="46">
        <f>(VLOOKUP($A255,'The List'!$B1:$AH730,20,FALSE)-AVERAGE('The List'!U2:U730))/STDEV('The List'!U2:U730)</f>
        <v>-0.0298777581984682</v>
      </c>
      <c r="I255" s="46">
        <f>(VLOOKUP($A255,'The List'!$B1:$AH730,21,FALSE)-AVERAGE('The List'!V2:V730))/STDEV('The List'!V2:V730)</f>
        <v>-0.00478960780755465</v>
      </c>
      <c r="J255" s="46">
        <f>(VLOOKUP($A255,'The List'!$B1:$AH730,22,FALSE)-AVERAGE('The List'!W2:W730))/STDEV('The List'!W2:W730)</f>
        <v>-0.464962648692608</v>
      </c>
      <c r="K255" s="46">
        <f>(VLOOKUP($A255,'The List'!$B1:$AH730,23,FALSE)-AVERAGE('The List'!X2:X730))/STDEV('The List'!X2:X730)</f>
        <v>-0.568213721432231</v>
      </c>
      <c r="L255" s="46">
        <f>(VLOOKUP($A255,'The List'!$B1:$AH730,24,FALSE)-AVERAGE('The List'!Y2:Y730))/STDEV('The List'!Y2:Y730)</f>
        <v>-0.531691532424261</v>
      </c>
      <c r="M255" s="46">
        <f>(VLOOKUP($A255,'The List'!$B1:$AH730,25,FALSE)-AVERAGE('The List'!Z2:Z730))/STDEV('The List'!Z2:Z730)</f>
        <v>-0.709150174191734</v>
      </c>
      <c r="N255" s="46">
        <f>(VLOOKUP($A255,'The List'!$B1:$AH730,26,FALSE)-AVERAGE('The List'!AA2:AA730))/STDEV('The List'!AA2:AA730)</f>
        <v>-0.712285047829775</v>
      </c>
      <c r="O255" s="46">
        <f>(VLOOKUP($A255,'The List'!$B1:$AH730,27,FALSE)-AVERAGE('The List'!AB2:AB730))/STDEV('The List'!AB2:AB730)</f>
        <v>0.152121263175888</v>
      </c>
      <c r="P255" s="46">
        <f>(VLOOKUP($A255,'The List'!$B1:$AH730,28,FALSE)-AVERAGE('The List'!AC2:AC730))/STDEV('The List'!AC2:AC730)</f>
        <v>0.997394810028747</v>
      </c>
      <c r="Q255" s="46">
        <f>(VLOOKUP($A255,'The List'!$B1:$AH730,29,FALSE)-AVERAGE('The List'!AD2:AD730))/STDEV('The List'!AD2:AD730)</f>
        <v>1.09226742047759</v>
      </c>
      <c r="R255" s="46">
        <f>(VLOOKUP($A255,'The List'!$B1:$AH730,30,FALSE)-AVERAGE('The List'!AE2:AE730))/STDEV('The List'!AE2:AE730)</f>
        <v>0.157712787754049</v>
      </c>
      <c r="S255" s="46">
        <f>(VLOOKUP($A255,'The List'!$B1:$AH730,31,FALSE)-AVERAGE('The List'!AF2:AF730))/STDEV('The List'!AF2:AF730)</f>
        <v>-0.503897098128142</v>
      </c>
      <c r="T255" s="46">
        <f>(VLOOKUP($A255,'The List'!$B1:$AH730,32,FALSE)-AVERAGE('The List'!AG2:AG730))/STDEV('The List'!AG2:AG730)</f>
        <v>-0.500663609991066</v>
      </c>
      <c r="U255" s="46">
        <f>(VLOOKUP($A255,'The List'!$B1:$AH730,33,FALSE)-AVERAGE('The List'!AH2:AH730))/STDEV('The List'!AH2:AH730)</f>
        <v>0.378352858563518</v>
      </c>
      <c r="V255" s="46"/>
      <c r="W255" s="50"/>
      <c r="X255" s="48"/>
      <c r="Y255" s="48"/>
      <c r="Z255" s="48"/>
      <c r="AA255" s="48"/>
      <c r="AB255" s="48"/>
      <c r="AC255" s="51"/>
      <c r="AD255" s="52"/>
      <c r="AE255" s="46"/>
    </row>
    <row r="256" ht="21.25" customHeight="1">
      <c r="A256" t="s" s="8">
        <v>316</v>
      </c>
      <c r="B256" t="s" s="42">
        <f>VLOOKUP(A256,'Player Data'!A1:B734,2,FALSE)</f>
        <v>139</v>
      </c>
      <c r="C256" s="44">
        <f>((E256)*'Settings'!$C$12)+(F256*'Settings'!$C$2)+(G256*'Settings'!$C$3)+(H256*'Settings'!$C$4)+(I256*'Settings'!$C$5)+(K256*'Settings'!$C$9)+(N256*'Settings'!$C$6)+(J256*'Settings'!$C$8)+(O256*'Settings'!$C$7)+(P256*'Settings'!$C$14)+(Q256*'Settings'!$C$15)+(R256*'Settings'!$C$16)+(S256*'Settings'!$C$17)+(T256*'Settings'!$C$18)+(U256*'Settings'!$C$19)+(L256*'Settings'!$C$10)+('Settings'!$C$11*M256)</f>
        <v>1.42333449417847</v>
      </c>
      <c r="D256" s="48">
        <f>IF('Settings'!$E$12="YES",VLOOKUP(A256,'Player Data'!A1:E734,5,FALSE),82)</f>
        <v>81.45</v>
      </c>
      <c r="E256" s="46">
        <f>(VLOOKUP($A256,'The List'!$B1:$AH730,17,FALSE)-AVERAGE('The List'!R2:R730))/STDEV('The List'!R2:R730)</f>
        <v>1.89513429203492</v>
      </c>
      <c r="F256" s="46">
        <f>(VLOOKUP($A256,'The List'!$B1:$AH730,18,FALSE)-AVERAGE('The List'!S2:S730))/STDEV('The List'!S2:S730)</f>
        <v>-0.605487588088289</v>
      </c>
      <c r="G256" s="46">
        <f>(VLOOKUP($A256,'The List'!$B1:$AH730,19,FALSE)-AVERAGE('The List'!T2:T730))/STDEV('The List'!T2:T730)</f>
        <v>0.861030962267322</v>
      </c>
      <c r="H256" s="46">
        <f>(VLOOKUP($A256,'The List'!$B1:$AH730,20,FALSE)-AVERAGE('The List'!U2:U730))/STDEV('The List'!U2:U730)</f>
        <v>0.255305275067019</v>
      </c>
      <c r="I256" s="46">
        <f>(VLOOKUP($A256,'The List'!$B1:$AH730,21,FALSE)-AVERAGE('The List'!V2:V730))/STDEV('The List'!V2:V730)</f>
        <v>0.135483378945922</v>
      </c>
      <c r="J256" s="46">
        <f>(VLOOKUP($A256,'The List'!$B1:$AH730,22,FALSE)-AVERAGE('The List'!W2:W730))/STDEV('The List'!W2:W730)</f>
        <v>-0.590935330856461</v>
      </c>
      <c r="K256" s="46">
        <f>(VLOOKUP($A256,'The List'!$B1:$AH730,23,FALSE)-AVERAGE('The List'!X2:X730))/STDEV('The List'!X2:X730)</f>
        <v>0.115450816115263</v>
      </c>
      <c r="L256" s="46">
        <f>(VLOOKUP($A256,'The List'!$B1:$AH730,24,FALSE)-AVERAGE('The List'!Y2:Y730))/STDEV('The List'!Y2:Y730)</f>
        <v>-0.482559807422175</v>
      </c>
      <c r="M256" s="46">
        <f>(VLOOKUP($A256,'The List'!$B1:$AH730,25,FALSE)-AVERAGE('The List'!Z2:Z730))/STDEV('The List'!Z2:Z730)</f>
        <v>-0.039805383633759</v>
      </c>
      <c r="N256" s="46">
        <f>(VLOOKUP($A256,'The List'!$B1:$AH730,26,FALSE)-AVERAGE('The List'!AA2:AA730))/STDEV('The List'!AA2:AA730)</f>
        <v>0.947275187768803</v>
      </c>
      <c r="O256" s="46">
        <f>(VLOOKUP($A256,'The List'!$B1:$AH730,27,FALSE)-AVERAGE('The List'!AB2:AB730))/STDEV('The List'!AB2:AB730)</f>
        <v>-0.96599539517309</v>
      </c>
      <c r="P256" s="46">
        <f>(VLOOKUP($A256,'The List'!$B1:$AH730,28,FALSE)-AVERAGE('The List'!AC2:AC730))/STDEV('The List'!AC2:AC730)</f>
        <v>-0.0304182628305498</v>
      </c>
      <c r="Q256" s="46">
        <f>(VLOOKUP($A256,'The List'!$B1:$AH730,29,FALSE)-AVERAGE('The List'!AD2:AD730))/STDEV('The List'!AD2:AD730)</f>
        <v>-0.0114631475856009</v>
      </c>
      <c r="R256" s="46">
        <f>(VLOOKUP($A256,'The List'!$B1:$AH730,30,FALSE)-AVERAGE('The List'!AE2:AE730))/STDEV('The List'!AE2:AE730)</f>
        <v>-0.609638092592051</v>
      </c>
      <c r="S256" s="46">
        <f>(VLOOKUP($A256,'The List'!$B1:$AH730,31,FALSE)-AVERAGE('The List'!AF2:AF730))/STDEV('The List'!AF2:AF730)</f>
        <v>-0.5569063253591</v>
      </c>
      <c r="T256" s="46">
        <f>(VLOOKUP($A256,'The List'!$B1:$AH730,32,FALSE)-AVERAGE('The List'!AG2:AG730))/STDEV('The List'!AG2:AG730)</f>
        <v>-0.600856269042678</v>
      </c>
      <c r="U256" s="46">
        <f>(VLOOKUP($A256,'The List'!$B1:$AH730,33,FALSE)-AVERAGE('The List'!AH2:AH730))/STDEV('The List'!AH2:AH730)</f>
        <v>-1.2363238714826</v>
      </c>
      <c r="V256" s="46"/>
      <c r="W256" s="50"/>
      <c r="X256" s="48"/>
      <c r="Y256" s="48"/>
      <c r="Z256" s="48"/>
      <c r="AA256" s="48"/>
      <c r="AB256" s="48"/>
      <c r="AC256" s="51"/>
      <c r="AD256" s="52"/>
      <c r="AE256" s="46"/>
    </row>
    <row r="257" ht="21.25" customHeight="1">
      <c r="A257" t="s" s="8">
        <v>461</v>
      </c>
      <c r="B257" t="s" s="42">
        <f>VLOOKUP(A257,'Player Data'!A1:B734,2,FALSE)</f>
        <v>119</v>
      </c>
      <c r="C257" s="44">
        <f>((E257)*'Settings'!$C$12)+(F257*'Settings'!$C$2)+(G257*'Settings'!$C$3)+(H257*'Settings'!$C$4)+(I257*'Settings'!$C$5)+(K257*'Settings'!$C$9)+(N257*'Settings'!$C$6)+(J257*'Settings'!$C$8)+(O257*'Settings'!$C$7)+(P257*'Settings'!$C$14)+(Q257*'Settings'!$C$15)+(R257*'Settings'!$C$16)+(S257*'Settings'!$C$17)+(T257*'Settings'!$C$18)+(U257*'Settings'!$C$19)+(L257*'Settings'!$C$10)+('Settings'!$C$11*M257)</f>
        <v>1.00623857567292</v>
      </c>
      <c r="D257" s="48">
        <f>IF('Settings'!$E$12="YES",VLOOKUP(A257,'Player Data'!A1:E734,5,FALSE),82)</f>
        <v>76.64749999999999</v>
      </c>
      <c r="E257" s="46">
        <f>(VLOOKUP($A257,'The List'!$B1:$AH730,17,FALSE)-AVERAGE('The List'!R2:R730))/STDEV('The List'!R2:R730)</f>
        <v>-0.201943627096443</v>
      </c>
      <c r="F257" s="46">
        <f>(VLOOKUP($A257,'The List'!$B1:$AH730,18,FALSE)-AVERAGE('The List'!S2:S730))/STDEV('The List'!S2:S730)</f>
        <v>0.204639761024256</v>
      </c>
      <c r="G257" s="46">
        <f>(VLOOKUP($A257,'The List'!$B1:$AH730,19,FALSE)-AVERAGE('The List'!T2:T730))/STDEV('The List'!T2:T730)</f>
        <v>-0.0504662789533572</v>
      </c>
      <c r="H257" s="46">
        <f>(VLOOKUP($A257,'The List'!$B1:$AH730,20,FALSE)-AVERAGE('The List'!U2:U730))/STDEV('The List'!U2:U730)</f>
        <v>0.0620033977972503</v>
      </c>
      <c r="I257" s="46">
        <f>(VLOOKUP($A257,'The List'!$B1:$AH730,21,FALSE)-AVERAGE('The List'!V2:V730))/STDEV('The List'!V2:V730)</f>
        <v>0.853092327750924</v>
      </c>
      <c r="J257" s="46">
        <f>(VLOOKUP($A257,'The List'!$B1:$AH730,22,FALSE)-AVERAGE('The List'!W2:W730))/STDEV('The List'!W2:W730)</f>
        <v>0.437603802423928</v>
      </c>
      <c r="K257" s="46">
        <f>(VLOOKUP($A257,'The List'!$B1:$AH730,23,FALSE)-AVERAGE('The List'!X2:X730))/STDEV('The List'!X2:X730)</f>
        <v>-0.054635255568095</v>
      </c>
      <c r="L257" s="46">
        <f>(VLOOKUP($A257,'The List'!$B1:$AH730,24,FALSE)-AVERAGE('The List'!Y2:Y730))/STDEV('The List'!Y2:Y730)</f>
        <v>-0.37224672856023</v>
      </c>
      <c r="M257" s="46">
        <f>(VLOOKUP($A257,'The List'!$B1:$AH730,25,FALSE)-AVERAGE('The List'!Z2:Z730))/STDEV('The List'!Z2:Z730)</f>
        <v>-0.528213024879993</v>
      </c>
      <c r="N257" s="46">
        <f>(VLOOKUP($A257,'The List'!$B1:$AH730,26,FALSE)-AVERAGE('The List'!AA2:AA730))/STDEV('The List'!AA2:AA730)</f>
        <v>-0.791517311569101</v>
      </c>
      <c r="O257" s="46">
        <f>(VLOOKUP($A257,'The List'!$B1:$AH730,27,FALSE)-AVERAGE('The List'!AB2:AB730))/STDEV('The List'!AB2:AB730)</f>
        <v>-0.845102571996333</v>
      </c>
      <c r="P257" s="46">
        <f>(VLOOKUP($A257,'The List'!$B1:$AH730,28,FALSE)-AVERAGE('The List'!AC2:AC730))/STDEV('The List'!AC2:AC730)</f>
        <v>0.845125332988292</v>
      </c>
      <c r="Q257" s="46">
        <f>(VLOOKUP($A257,'The List'!$B1:$AH730,29,FALSE)-AVERAGE('The List'!AD2:AD730))/STDEV('The List'!AD2:AD730)</f>
        <v>-0.532314356825127</v>
      </c>
      <c r="R257" s="46">
        <f>(VLOOKUP($A257,'The List'!$B1:$AH730,30,FALSE)-AVERAGE('The List'!AE2:AE730))/STDEV('The List'!AE2:AE730)</f>
        <v>0.215884097869845</v>
      </c>
      <c r="S257" s="46">
        <f>(VLOOKUP($A257,'The List'!$B1:$AH730,31,FALSE)-AVERAGE('The List'!AF2:AF730))/STDEV('The List'!AF2:AF730)</f>
        <v>0.0582299281410424</v>
      </c>
      <c r="T257" s="46">
        <f>(VLOOKUP($A257,'The List'!$B1:$AH730,32,FALSE)-AVERAGE('The List'!AG2:AG730))/STDEV('The List'!AG2:AG730)</f>
        <v>0.106840352996078</v>
      </c>
      <c r="U257" s="46">
        <f>(VLOOKUP($A257,'The List'!$B1:$AH730,33,FALSE)-AVERAGE('The List'!AH2:AH730))/STDEV('The List'!AH2:AH730)</f>
        <v>0.92064444410921</v>
      </c>
      <c r="V257" s="46"/>
      <c r="W257" s="50"/>
      <c r="X257" s="48"/>
      <c r="Y257" s="48"/>
      <c r="Z257" s="48"/>
      <c r="AA257" s="48"/>
      <c r="AB257" s="48"/>
      <c r="AC257" s="51"/>
      <c r="AD257" s="52"/>
      <c r="AE257" s="46"/>
    </row>
    <row r="258" ht="21.25" customHeight="1">
      <c r="A258" t="s" s="8">
        <v>664</v>
      </c>
      <c r="B258" t="s" s="42">
        <f>VLOOKUP(A258,'Player Data'!A1:B734,2,FALSE)</f>
        <v>248</v>
      </c>
      <c r="C258" s="44">
        <f>((E258)*'Settings'!$C$12)+(F258*'Settings'!$C$2)+(G258*'Settings'!$C$3)+(H258*'Settings'!$C$4)+(I258*'Settings'!$C$5)+(K258*'Settings'!$C$9)+(N258*'Settings'!$C$6)+(J258*'Settings'!$C$8)+(O258*'Settings'!$C$7)+(P258*'Settings'!$C$14)+(Q258*'Settings'!$C$15)+(R258*'Settings'!$C$16)+(S258*'Settings'!$C$17)+(T258*'Settings'!$C$18)+(U258*'Settings'!$C$19)+(L258*'Settings'!$C$10)+('Settings'!$C$11*M258)</f>
        <v>-2.00928316031769</v>
      </c>
      <c r="D258" s="48">
        <f>IF('Settings'!$E$12="YES",VLOOKUP(A258,'Player Data'!A1:E734,5,FALSE),82)</f>
        <v>60</v>
      </c>
      <c r="E258" s="46">
        <f>(VLOOKUP($A258,'The List'!$B1:$AH730,17,FALSE)-AVERAGE('The List'!R2:R730))/STDEV('The List'!R2:R730)</f>
        <v>-0.800404489906237</v>
      </c>
      <c r="F258" s="46">
        <f>(VLOOKUP($A258,'The List'!$B1:$AH730,18,FALSE)-AVERAGE('The List'!S2:S730))/STDEV('The List'!S2:S730)</f>
        <v>-0.00131072960233244</v>
      </c>
      <c r="G258" s="46">
        <f>(VLOOKUP($A258,'The List'!$B1:$AH730,19,FALSE)-AVERAGE('The List'!T2:T730))/STDEV('The List'!T2:T730)</f>
        <v>-0.484383283702382</v>
      </c>
      <c r="H258" s="46">
        <f>(VLOOKUP($A258,'The List'!$B1:$AH730,20,FALSE)-AVERAGE('The List'!U2:U730))/STDEV('The List'!U2:U730)</f>
        <v>-0.299212336081188</v>
      </c>
      <c r="I258" s="46">
        <f>(VLOOKUP($A258,'The List'!$B1:$AH730,21,FALSE)-AVERAGE('The List'!V2:V730))/STDEV('The List'!V2:V730)</f>
        <v>-0.39123264329006</v>
      </c>
      <c r="J258" s="46">
        <f>(VLOOKUP($A258,'The List'!$B1:$AH730,22,FALSE)-AVERAGE('The List'!W2:W730))/STDEV('The List'!W2:W730)</f>
        <v>0.0854016254352193</v>
      </c>
      <c r="K258" s="46">
        <f>(VLOOKUP($A258,'The List'!$B1:$AH730,23,FALSE)-AVERAGE('The List'!X2:X730))/STDEV('The List'!X2:X730)</f>
        <v>-0.127448234346021</v>
      </c>
      <c r="L258" s="46">
        <f>(VLOOKUP($A258,'The List'!$B1:$AH730,24,FALSE)-AVERAGE('The List'!Y2:Y730))/STDEV('The List'!Y2:Y730)</f>
        <v>-0.542843480388394</v>
      </c>
      <c r="M258" s="46">
        <f>(VLOOKUP($A258,'The List'!$B1:$AH730,25,FALSE)-AVERAGE('The List'!Z2:Z730))/STDEV('The List'!Z2:Z730)</f>
        <v>-0.72177514995105</v>
      </c>
      <c r="N258" s="46">
        <f>(VLOOKUP($A258,'The List'!$B1:$AH730,26,FALSE)-AVERAGE('The List'!AA2:AA730))/STDEV('The List'!AA2:AA730)</f>
        <v>-0.872216127153343</v>
      </c>
      <c r="O258" s="46">
        <f>(VLOOKUP($A258,'The List'!$B1:$AH730,27,FALSE)-AVERAGE('The List'!AB2:AB730))/STDEV('The List'!AB2:AB730)</f>
        <v>-1.16220528483182</v>
      </c>
      <c r="P258" s="46">
        <f>(VLOOKUP($A258,'The List'!$B1:$AH730,28,FALSE)-AVERAGE('The List'!AC2:AC730))/STDEV('The List'!AC2:AC730)</f>
        <v>-0.132692142223552</v>
      </c>
      <c r="Q258" s="46">
        <f>(VLOOKUP($A258,'The List'!$B1:$AH730,29,FALSE)-AVERAGE('The List'!AD2:AD730))/STDEV('The List'!AD2:AD730)</f>
        <v>-0.730821462790011</v>
      </c>
      <c r="R258" s="46">
        <f>(VLOOKUP($A258,'The List'!$B1:$AH730,30,FALSE)-AVERAGE('The List'!AE2:AE730))/STDEV('The List'!AE2:AE730)</f>
        <v>-0.000712500090569072</v>
      </c>
      <c r="S258" s="46">
        <f>(VLOOKUP($A258,'The List'!$B1:$AH730,31,FALSE)-AVERAGE('The List'!AF2:AF730))/STDEV('The List'!AF2:AF730)</f>
        <v>-0.364270269229092</v>
      </c>
      <c r="T258" s="46">
        <f>(VLOOKUP($A258,'The List'!$B1:$AH730,32,FALSE)-AVERAGE('The List'!AG2:AG730))/STDEV('The List'!AG2:AG730)</f>
        <v>-0.270282939752383</v>
      </c>
      <c r="U258" s="46">
        <f>(VLOOKUP($A258,'The List'!$B1:$AH730,33,FALSE)-AVERAGE('The List'!AH2:AH730))/STDEV('The List'!AH2:AH730)</f>
        <v>0.47988751995271</v>
      </c>
      <c r="V258" s="46"/>
      <c r="W258" s="50"/>
      <c r="X258" s="48"/>
      <c r="Y258" s="48"/>
      <c r="Z258" s="48"/>
      <c r="AA258" s="48"/>
      <c r="AB258" s="48"/>
      <c r="AC258" s="51"/>
      <c r="AD258" s="52"/>
      <c r="AE258" s="46"/>
    </row>
    <row r="259" ht="21.25" customHeight="1">
      <c r="A259" t="s" s="8">
        <v>318</v>
      </c>
      <c r="B259" t="s" s="42">
        <f>VLOOKUP(A259,'Player Data'!A1:B734,2,FALSE)</f>
        <v>127</v>
      </c>
      <c r="C259" s="44">
        <f>((E259)*'Settings'!$C$12)+(F259*'Settings'!$C$2)+(G259*'Settings'!$C$3)+(H259*'Settings'!$C$4)+(I259*'Settings'!$C$5)+(K259*'Settings'!$C$9)+(N259*'Settings'!$C$6)+(J259*'Settings'!$C$8)+(O259*'Settings'!$C$7)+(P259*'Settings'!$C$14)+(Q259*'Settings'!$C$15)+(R259*'Settings'!$C$16)+(S259*'Settings'!$C$17)+(T259*'Settings'!$C$18)+(U259*'Settings'!$C$19)+(L259*'Settings'!$C$10)+('Settings'!$C$11*M259)</f>
        <v>1.72090781335161</v>
      </c>
      <c r="D259" s="48">
        <f>IF('Settings'!$E$12="YES",VLOOKUP(A259,'Player Data'!A1:E734,5,FALSE),82)</f>
        <v>77</v>
      </c>
      <c r="E259" s="46">
        <f>(VLOOKUP($A259,'The List'!$B1:$AH730,17,FALSE)-AVERAGE('The List'!R2:R730))/STDEV('The List'!R2:R730)</f>
        <v>1.21705217633135</v>
      </c>
      <c r="F259" s="46">
        <f>(VLOOKUP($A259,'The List'!$B1:$AH730,18,FALSE)-AVERAGE('The List'!S2:S730))/STDEV('The List'!S2:S730)</f>
        <v>-0.487536208654956</v>
      </c>
      <c r="G259" s="46">
        <f>(VLOOKUP($A259,'The List'!$B1:$AH730,19,FALSE)-AVERAGE('The List'!T2:T730))/STDEV('The List'!T2:T730)</f>
        <v>0.610378072940024</v>
      </c>
      <c r="H259" s="46">
        <f>(VLOOKUP($A259,'The List'!$B1:$AH730,20,FALSE)-AVERAGE('The List'!U2:U730))/STDEV('The List'!U2:U730)</f>
        <v>0.154451306537164</v>
      </c>
      <c r="I259" s="46">
        <f>(VLOOKUP($A259,'The List'!$B1:$AH730,21,FALSE)-AVERAGE('The List'!V2:V730))/STDEV('The List'!V2:V730)</f>
        <v>0.182406062885559</v>
      </c>
      <c r="J259" s="46">
        <f>(VLOOKUP($A259,'The List'!$B1:$AH730,22,FALSE)-AVERAGE('The List'!W2:W730))/STDEV('The List'!W2:W730)</f>
        <v>-0.195780774329232</v>
      </c>
      <c r="K259" s="46">
        <f>(VLOOKUP($A259,'The List'!$B1:$AH730,23,FALSE)-AVERAGE('The List'!X2:X730))/STDEV('The List'!X2:X730)</f>
        <v>0.143703650393161</v>
      </c>
      <c r="L259" s="46">
        <f>(VLOOKUP($A259,'The List'!$B1:$AH730,24,FALSE)-AVERAGE('The List'!Y2:Y730))/STDEV('The List'!Y2:Y730)</f>
        <v>-0.542843480388394</v>
      </c>
      <c r="M259" s="46">
        <f>(VLOOKUP($A259,'The List'!$B1:$AH730,25,FALSE)-AVERAGE('The List'!Z2:Z730))/STDEV('The List'!Z2:Z730)</f>
        <v>-0.72177514995105</v>
      </c>
      <c r="N259" s="46">
        <f>(VLOOKUP($A259,'The List'!$B1:$AH730,26,FALSE)-AVERAGE('The List'!AA2:AA730))/STDEV('The List'!AA2:AA730)</f>
        <v>1.13803191805555</v>
      </c>
      <c r="O259" s="46">
        <f>(VLOOKUP($A259,'The List'!$B1:$AH730,27,FALSE)-AVERAGE('The List'!AB2:AB730))/STDEV('The List'!AB2:AB730)</f>
        <v>0.301852762077535</v>
      </c>
      <c r="P259" s="46">
        <f>(VLOOKUP($A259,'The List'!$B1:$AH730,28,FALSE)-AVERAGE('The List'!AC2:AC730))/STDEV('The List'!AC2:AC730)</f>
        <v>0.13392431773227</v>
      </c>
      <c r="Q259" s="46">
        <f>(VLOOKUP($A259,'The List'!$B1:$AH730,29,FALSE)-AVERAGE('The List'!AD2:AD730))/STDEV('The List'!AD2:AD730)</f>
        <v>0.524812982891611</v>
      </c>
      <c r="R259" s="46">
        <f>(VLOOKUP($A259,'The List'!$B1:$AH730,30,FALSE)-AVERAGE('The List'!AE2:AE730))/STDEV('The List'!AE2:AE730)</f>
        <v>-0.41169739621846</v>
      </c>
      <c r="S259" s="46">
        <f>(VLOOKUP($A259,'The List'!$B1:$AH730,31,FALSE)-AVERAGE('The List'!AF2:AF730))/STDEV('The List'!AF2:AF730)</f>
        <v>-0.5569063253591</v>
      </c>
      <c r="T259" s="46">
        <f>(VLOOKUP($A259,'The List'!$B1:$AH730,32,FALSE)-AVERAGE('The List'!AG2:AG730))/STDEV('The List'!AG2:AG730)</f>
        <v>-0.600856269042678</v>
      </c>
      <c r="U259" s="46">
        <f>(VLOOKUP($A259,'The List'!$B1:$AH730,33,FALSE)-AVERAGE('The List'!AH2:AH730))/STDEV('The List'!AH2:AH730)</f>
        <v>-1.2363238714826</v>
      </c>
      <c r="V259" s="46"/>
      <c r="W259" s="48"/>
      <c r="X259" s="46"/>
      <c r="Y259" s="46"/>
      <c r="Z259" s="46"/>
      <c r="AA259" s="46"/>
      <c r="AB259" s="46"/>
      <c r="AC259" s="46"/>
      <c r="AD259" s="46"/>
      <c r="AE259" s="46"/>
    </row>
    <row r="260" ht="21.25" customHeight="1">
      <c r="A260" t="s" s="8">
        <v>535</v>
      </c>
      <c r="B260" t="s" s="42">
        <f>VLOOKUP(A260,'Player Data'!A1:B734,2,FALSE)</f>
        <v>149</v>
      </c>
      <c r="C260" s="44">
        <f>((E260)*'Settings'!$C$12)+(F260*'Settings'!$C$2)+(G260*'Settings'!$C$3)+(H260*'Settings'!$C$4)+(I260*'Settings'!$C$5)+(K260*'Settings'!$C$9)+(N260*'Settings'!$C$6)+(J260*'Settings'!$C$8)+(O260*'Settings'!$C$7)+(P260*'Settings'!$C$14)+(Q260*'Settings'!$C$15)+(R260*'Settings'!$C$16)+(S260*'Settings'!$C$17)+(T260*'Settings'!$C$18)+(U260*'Settings'!$C$19)+(L260*'Settings'!$C$10)+('Settings'!$C$11*M260)</f>
        <v>0.187750215134797</v>
      </c>
      <c r="D260" s="48">
        <f>IF('Settings'!$E$12="YES",VLOOKUP(A260,'Player Data'!A1:E734,5,FALSE),82)</f>
        <v>78.9196428571429</v>
      </c>
      <c r="E260" s="46">
        <f>(VLOOKUP($A260,'The List'!$B1:$AH730,17,FALSE)-AVERAGE('The List'!R2:R730))/STDEV('The List'!R2:R730)</f>
        <v>0.0176577962399672</v>
      </c>
      <c r="F260" s="46">
        <f>(VLOOKUP($A260,'The List'!$B1:$AH730,18,FALSE)-AVERAGE('The List'!S2:S730))/STDEV('The List'!S2:S730)</f>
        <v>0.141336023973764</v>
      </c>
      <c r="G260" s="46">
        <f>(VLOOKUP($A260,'The List'!$B1:$AH730,19,FALSE)-AVERAGE('The List'!T2:T730))/STDEV('The List'!T2:T730)</f>
        <v>0.0460116844484073</v>
      </c>
      <c r="H260" s="46">
        <f>(VLOOKUP($A260,'The List'!$B1:$AH730,20,FALSE)-AVERAGE('The List'!U2:U730))/STDEV('The List'!U2:U730)</f>
        <v>0.0926763242004737</v>
      </c>
      <c r="I260" s="46">
        <f>(VLOOKUP($A260,'The List'!$B1:$AH730,21,FALSE)-AVERAGE('The List'!V2:V730))/STDEV('The List'!V2:V730)</f>
        <v>-0.0612343368689256</v>
      </c>
      <c r="J260" s="46">
        <f>(VLOOKUP($A260,'The List'!$B1:$AH730,22,FALSE)-AVERAGE('The List'!W2:W730))/STDEV('The List'!W2:W730)</f>
        <v>0.294828162890567</v>
      </c>
      <c r="K260" s="46">
        <f>(VLOOKUP($A260,'The List'!$B1:$AH730,23,FALSE)-AVERAGE('The List'!X2:X730))/STDEV('The List'!X2:X730)</f>
        <v>-0.108002700686431</v>
      </c>
      <c r="L260" s="46">
        <f>(VLOOKUP($A260,'The List'!$B1:$AH730,24,FALSE)-AVERAGE('The List'!Y2:Y730))/STDEV('The List'!Y2:Y730)</f>
        <v>2.83997528661843</v>
      </c>
      <c r="M260" s="46">
        <f>(VLOOKUP($A260,'The List'!$B1:$AH730,25,FALSE)-AVERAGE('The List'!Z2:Z730))/STDEV('The List'!Z2:Z730)</f>
        <v>2.57477970800068</v>
      </c>
      <c r="N260" s="46">
        <f>(VLOOKUP($A260,'The List'!$B1:$AH730,26,FALSE)-AVERAGE('The List'!AA2:AA730))/STDEV('The List'!AA2:AA730)</f>
        <v>0.0749072799466894</v>
      </c>
      <c r="O260" s="46">
        <f>(VLOOKUP($A260,'The List'!$B1:$AH730,27,FALSE)-AVERAGE('The List'!AB2:AB730))/STDEV('The List'!AB2:AB730)</f>
        <v>1.65826425241818</v>
      </c>
      <c r="P260" s="46">
        <f>(VLOOKUP($A260,'The List'!$B1:$AH730,28,FALSE)-AVERAGE('The List'!AC2:AC730))/STDEV('The List'!AC2:AC730)</f>
        <v>0.09473226432129329</v>
      </c>
      <c r="Q260" s="46">
        <f>(VLOOKUP($A260,'The List'!$B1:$AH730,29,FALSE)-AVERAGE('The List'!AD2:AD730))/STDEV('The List'!AD2:AD730)</f>
        <v>-0.649821493515465</v>
      </c>
      <c r="R260" s="46">
        <f>(VLOOKUP($A260,'The List'!$B1:$AH730,30,FALSE)-AVERAGE('The List'!AE2:AE730))/STDEV('The List'!AE2:AE730)</f>
        <v>0.260292968662883</v>
      </c>
      <c r="S260" s="46">
        <f>(VLOOKUP($A260,'The List'!$B1:$AH730,31,FALSE)-AVERAGE('The List'!AF2:AF730))/STDEV('The List'!AF2:AF730)</f>
        <v>3.09084035183556</v>
      </c>
      <c r="T260" s="46">
        <f>(VLOOKUP($A260,'The List'!$B1:$AH730,32,FALSE)-AVERAGE('The List'!AG2:AG730))/STDEV('The List'!AG2:AG730)</f>
        <v>2.36222414722471</v>
      </c>
      <c r="U260" s="46">
        <f>(VLOOKUP($A260,'The List'!$B1:$AH730,33,FALSE)-AVERAGE('The List'!AH2:AH730))/STDEV('The List'!AH2:AH730)</f>
        <v>1.31194547740793</v>
      </c>
      <c r="V260" s="46"/>
      <c r="W260" s="50"/>
      <c r="X260" s="48"/>
      <c r="Y260" s="48"/>
      <c r="Z260" s="48"/>
      <c r="AA260" s="48"/>
      <c r="AB260" s="48"/>
      <c r="AC260" s="51"/>
      <c r="AD260" s="52"/>
      <c r="AE260" s="46"/>
    </row>
    <row r="261" ht="21.25" customHeight="1">
      <c r="A261" t="s" s="8">
        <v>467</v>
      </c>
      <c r="B261" t="s" s="42">
        <f>VLOOKUP(A261,'Player Data'!A1:B734,2,FALSE)</f>
        <v>225</v>
      </c>
      <c r="C261" s="44">
        <f>((E261)*'Settings'!$C$12)+(F261*'Settings'!$C$2)+(G261*'Settings'!$C$3)+(H261*'Settings'!$C$4)+(I261*'Settings'!$C$5)+(K261*'Settings'!$C$9)+(N261*'Settings'!$C$6)+(J261*'Settings'!$C$8)+(O261*'Settings'!$C$7)+(P261*'Settings'!$C$14)+(Q261*'Settings'!$C$15)+(R261*'Settings'!$C$16)+(S261*'Settings'!$C$17)+(T261*'Settings'!$C$18)+(U261*'Settings'!$C$19)+(L261*'Settings'!$C$10)+('Settings'!$C$11*M261)</f>
        <v>-1.38638775135235</v>
      </c>
      <c r="D261" s="48">
        <f>IF('Settings'!$E$12="YES",VLOOKUP(A261,'Player Data'!A1:E734,5,FALSE),82)</f>
        <v>79.42</v>
      </c>
      <c r="E261" s="46">
        <f>(VLOOKUP($A261,'The List'!$B1:$AH730,17,FALSE)-AVERAGE('The List'!R2:R730))/STDEV('The List'!R2:R730)</f>
        <v>-0.12815461102728</v>
      </c>
      <c r="F261" s="46">
        <f>(VLOOKUP($A261,'The List'!$B1:$AH730,18,FALSE)-AVERAGE('The List'!S2:S730))/STDEV('The List'!S2:S730)</f>
        <v>0.537932336548952</v>
      </c>
      <c r="G261" s="46">
        <f>(VLOOKUP($A261,'The List'!$B1:$AH730,19,FALSE)-AVERAGE('The List'!T2:T730))/STDEV('The List'!T2:T730)</f>
        <v>-0.23272239393723</v>
      </c>
      <c r="H261" s="46">
        <f>(VLOOKUP($A261,'The List'!$B1:$AH730,20,FALSE)-AVERAGE('The List'!U2:U730))/STDEV('The List'!U2:U730)</f>
        <v>0.101299704704689</v>
      </c>
      <c r="I261" s="46">
        <f>(VLOOKUP($A261,'The List'!$B1:$AH730,21,FALSE)-AVERAGE('The List'!V2:V730))/STDEV('The List'!V2:V730)</f>
        <v>0.0416034285618098</v>
      </c>
      <c r="J261" s="46">
        <f>(VLOOKUP($A261,'The List'!$B1:$AH730,22,FALSE)-AVERAGE('The List'!W2:W730))/STDEV('The List'!W2:W730)</f>
        <v>0.850569399536465</v>
      </c>
      <c r="K261" s="46">
        <f>(VLOOKUP($A261,'The List'!$B1:$AH730,23,FALSE)-AVERAGE('The List'!X2:X730))/STDEV('The List'!X2:X730)</f>
        <v>0.439792584400789</v>
      </c>
      <c r="L261" s="46">
        <f>(VLOOKUP($A261,'The List'!$B1:$AH730,24,FALSE)-AVERAGE('The List'!Y2:Y730))/STDEV('The List'!Y2:Y730)</f>
        <v>-0.536291789323314</v>
      </c>
      <c r="M261" s="46">
        <f>(VLOOKUP($A261,'The List'!$B1:$AH730,25,FALSE)-AVERAGE('The List'!Z2:Z730))/STDEV('The List'!Z2:Z730)</f>
        <v>-0.7168208644624769</v>
      </c>
      <c r="N261" s="46">
        <f>(VLOOKUP($A261,'The List'!$B1:$AH730,26,FALSE)-AVERAGE('The List'!AA2:AA730))/STDEV('The List'!AA2:AA730)</f>
        <v>-0.60531287215719</v>
      </c>
      <c r="O261" s="46">
        <f>(VLOOKUP($A261,'The List'!$B1:$AH730,27,FALSE)-AVERAGE('The List'!AB2:AB730))/STDEV('The List'!AB2:AB730)</f>
        <v>0.0461286318543927</v>
      </c>
      <c r="P261" s="46">
        <f>(VLOOKUP($A261,'The List'!$B1:$AH730,28,FALSE)-AVERAGE('The List'!AC2:AC730))/STDEV('The List'!AC2:AC730)</f>
        <v>-1.56768083476948</v>
      </c>
      <c r="Q261" s="46">
        <f>(VLOOKUP($A261,'The List'!$B1:$AH730,29,FALSE)-AVERAGE('The List'!AD2:AD730))/STDEV('The List'!AD2:AD730)</f>
        <v>-0.867791966253482</v>
      </c>
      <c r="R261" s="46">
        <f>(VLOOKUP($A261,'The List'!$B1:$AH730,30,FALSE)-AVERAGE('The List'!AE2:AE730))/STDEV('The List'!AE2:AE730)</f>
        <v>0.213571754616197</v>
      </c>
      <c r="S261" s="46">
        <f>(VLOOKUP($A261,'The List'!$B1:$AH730,31,FALSE)-AVERAGE('The List'!AF2:AF730))/STDEV('The List'!AF2:AF730)</f>
        <v>-0.512805811989467</v>
      </c>
      <c r="T261" s="46">
        <f>(VLOOKUP($A261,'The List'!$B1:$AH730,32,FALSE)-AVERAGE('The List'!AG2:AG730))/STDEV('The List'!AG2:AG730)</f>
        <v>-0.552355386121128</v>
      </c>
      <c r="U261" s="46">
        <f>(VLOOKUP($A261,'The List'!$B1:$AH730,33,FALSE)-AVERAGE('The List'!AH2:AH730))/STDEV('The List'!AH2:AH730)</f>
        <v>0.971462878101976</v>
      </c>
      <c r="V261" s="46"/>
      <c r="W261" s="48"/>
      <c r="X261" s="46"/>
      <c r="Y261" s="46"/>
      <c r="Z261" s="46"/>
      <c r="AA261" s="46"/>
      <c r="AB261" s="46"/>
      <c r="AC261" s="46"/>
      <c r="AD261" s="46"/>
      <c r="AE261" s="46"/>
    </row>
    <row r="262" ht="21.25" customHeight="1">
      <c r="A262" t="s" s="8">
        <v>512</v>
      </c>
      <c r="B262" t="s" s="42">
        <f>VLOOKUP(A262,'Player Data'!A1:B734,2,FALSE)</f>
        <v>170</v>
      </c>
      <c r="C262" s="44">
        <f>((E262)*'Settings'!$C$12)+(F262*'Settings'!$C$2)+(G262*'Settings'!$C$3)+(H262*'Settings'!$C$4)+(I262*'Settings'!$C$5)+(K262*'Settings'!$C$9)+(N262*'Settings'!$C$6)+(J262*'Settings'!$C$8)+(O262*'Settings'!$C$7)+(P262*'Settings'!$C$14)+(Q262*'Settings'!$C$15)+(R262*'Settings'!$C$16)+(S262*'Settings'!$C$17)+(T262*'Settings'!$C$18)+(U262*'Settings'!$C$19)+(L262*'Settings'!$C$10)+('Settings'!$C$11*M262)</f>
        <v>-0.667546597837515</v>
      </c>
      <c r="D262" s="48">
        <f>IF('Settings'!$E$12="YES",VLOOKUP(A262,'Player Data'!A1:E734,5,FALSE),82)</f>
        <v>80.49035714285711</v>
      </c>
      <c r="E262" s="46">
        <f>(VLOOKUP($A262,'The List'!$B1:$AH730,17,FALSE)-AVERAGE('The List'!R2:R730))/STDEV('The List'!R2:R730)</f>
        <v>-0.09533023154877319</v>
      </c>
      <c r="F262" s="46">
        <f>(VLOOKUP($A262,'The List'!$B1:$AH730,18,FALSE)-AVERAGE('The List'!S2:S730))/STDEV('The List'!S2:S730)</f>
        <v>-0.309465111078132</v>
      </c>
      <c r="G262" s="46">
        <f>(VLOOKUP($A262,'The List'!$B1:$AH730,19,FALSE)-AVERAGE('The List'!T2:T730))/STDEV('The List'!T2:T730)</f>
        <v>0.415835093757283</v>
      </c>
      <c r="H262" s="46">
        <f>(VLOOKUP($A262,'The List'!$B1:$AH730,20,FALSE)-AVERAGE('The List'!U2:U730))/STDEV('The List'!U2:U730)</f>
        <v>0.115544037619084</v>
      </c>
      <c r="I262" s="46">
        <f>(VLOOKUP($A262,'The List'!$B1:$AH730,21,FALSE)-AVERAGE('The List'!V2:V730))/STDEV('The List'!V2:V730)</f>
        <v>-0.373671882560811</v>
      </c>
      <c r="J262" s="46">
        <f>(VLOOKUP($A262,'The List'!$B1:$AH730,22,FALSE)-AVERAGE('The List'!W2:W730))/STDEV('The List'!W2:W730)</f>
        <v>-0.335147627729442</v>
      </c>
      <c r="K262" s="46">
        <f>(VLOOKUP($A262,'The List'!$B1:$AH730,23,FALSE)-AVERAGE('The List'!X2:X730))/STDEV('The List'!X2:X730)</f>
        <v>0.065809996892965</v>
      </c>
      <c r="L262" s="46">
        <f>(VLOOKUP($A262,'The List'!$B1:$AH730,24,FALSE)-AVERAGE('The List'!Y2:Y730))/STDEV('The List'!Y2:Y730)</f>
        <v>-0.436614448002993</v>
      </c>
      <c r="M262" s="46">
        <f>(VLOOKUP($A262,'The List'!$B1:$AH730,25,FALSE)-AVERAGE('The List'!Z2:Z730))/STDEV('The List'!Z2:Z730)</f>
        <v>-0.595680354924532</v>
      </c>
      <c r="N262" s="46">
        <f>(VLOOKUP($A262,'The List'!$B1:$AH730,26,FALSE)-AVERAGE('The List'!AA2:AA730))/STDEV('The List'!AA2:AA730)</f>
        <v>-0.236556274620509</v>
      </c>
      <c r="O262" s="46">
        <f>(VLOOKUP($A262,'The List'!$B1:$AH730,27,FALSE)-AVERAGE('The List'!AB2:AB730))/STDEV('The List'!AB2:AB730)</f>
        <v>-0.299843732950133</v>
      </c>
      <c r="P262" s="46">
        <f>(VLOOKUP($A262,'The List'!$B1:$AH730,28,FALSE)-AVERAGE('The List'!AC2:AC730))/STDEV('The List'!AC2:AC730)</f>
        <v>-0.229498420228311</v>
      </c>
      <c r="Q262" s="46">
        <f>(VLOOKUP($A262,'The List'!$B1:$AH730,29,FALSE)-AVERAGE('The List'!AD2:AD730))/STDEV('The List'!AD2:AD730)</f>
        <v>-0.574799602851354</v>
      </c>
      <c r="R262" s="46">
        <f>(VLOOKUP($A262,'The List'!$B1:$AH730,30,FALSE)-AVERAGE('The List'!AE2:AE730))/STDEV('The List'!AE2:AE730)</f>
        <v>-0.154496173048674</v>
      </c>
      <c r="S262" s="46">
        <f>(VLOOKUP($A262,'The List'!$B1:$AH730,31,FALSE)-AVERAGE('The List'!AF2:AF730))/STDEV('The List'!AF2:AF730)</f>
        <v>0.5664252747789</v>
      </c>
      <c r="T262" s="46">
        <f>(VLOOKUP($A262,'The List'!$B1:$AH730,32,FALSE)-AVERAGE('The List'!AG2:AG730))/STDEV('The List'!AG2:AG730)</f>
        <v>0.738184341872391</v>
      </c>
      <c r="U262" s="46">
        <f>(VLOOKUP($A262,'The List'!$B1:$AH730,33,FALSE)-AVERAGE('The List'!AH2:AH730))/STDEV('The List'!AH2:AH730)</f>
        <v>0.88069774721115</v>
      </c>
      <c r="V262" s="46"/>
      <c r="W262" s="48"/>
      <c r="X262" s="46"/>
      <c r="Y262" s="46"/>
      <c r="Z262" s="46"/>
      <c r="AA262" s="46"/>
      <c r="AB262" s="46"/>
      <c r="AC262" s="46"/>
      <c r="AD262" s="46"/>
      <c r="AE262" s="46"/>
    </row>
    <row r="263" ht="21.25" customHeight="1">
      <c r="A263" t="s" s="8">
        <v>336</v>
      </c>
      <c r="B263" t="s" s="42">
        <f>VLOOKUP(A263,'Player Data'!A1:B734,2,FALSE)</f>
        <v>202</v>
      </c>
      <c r="C263" s="44">
        <f>((E263)*'Settings'!$C$12)+(F263*'Settings'!$C$2)+(G263*'Settings'!$C$3)+(H263*'Settings'!$C$4)+(I263*'Settings'!$C$5)+(K263*'Settings'!$C$9)+(N263*'Settings'!$C$6)+(J263*'Settings'!$C$8)+(O263*'Settings'!$C$7)+(P263*'Settings'!$C$14)+(Q263*'Settings'!$C$15)+(R263*'Settings'!$C$16)+(S263*'Settings'!$C$17)+(T263*'Settings'!$C$18)+(U263*'Settings'!$C$19)+(L263*'Settings'!$C$10)+('Settings'!$C$11*M263)</f>
        <v>2.53676263316668</v>
      </c>
      <c r="D263" s="48">
        <f>IF('Settings'!$E$12="YES",VLOOKUP(A263,'Player Data'!A1:E734,5,FALSE),82)</f>
        <v>76.7</v>
      </c>
      <c r="E263" s="46">
        <f>(VLOOKUP($A263,'The List'!$B1:$AH730,17,FALSE)-AVERAGE('The List'!R2:R730))/STDEV('The List'!R2:R730)</f>
        <v>1.3473002249138</v>
      </c>
      <c r="F263" s="46">
        <f>(VLOOKUP($A263,'The List'!$B1:$AH730,18,FALSE)-AVERAGE('The List'!S2:S730))/STDEV('The List'!S2:S730)</f>
        <v>-0.361971056819256</v>
      </c>
      <c r="G263" s="46">
        <f>(VLOOKUP($A263,'The List'!$B1:$AH730,19,FALSE)-AVERAGE('The List'!T2:T730))/STDEV('The List'!T2:T730)</f>
        <v>0.31881567337225</v>
      </c>
      <c r="H263" s="46">
        <f>(VLOOKUP($A263,'The List'!$B1:$AH730,20,FALSE)-AVERAGE('The List'!U2:U730))/STDEV('The List'!U2:U730)</f>
        <v>0.0318415817881015</v>
      </c>
      <c r="I263" s="46">
        <f>(VLOOKUP($A263,'The List'!$B1:$AH730,21,FALSE)-AVERAGE('The List'!V2:V730))/STDEV('The List'!V2:V730)</f>
        <v>0.0492020124451341</v>
      </c>
      <c r="J263" s="46">
        <f>(VLOOKUP($A263,'The List'!$B1:$AH730,22,FALSE)-AVERAGE('The List'!W2:W730))/STDEV('The List'!W2:W730)</f>
        <v>-0.263179273834687</v>
      </c>
      <c r="K263" s="46">
        <f>(VLOOKUP($A263,'The List'!$B1:$AH730,23,FALSE)-AVERAGE('The List'!X2:X730))/STDEV('The List'!X2:X730)</f>
        <v>0.07939754734904909</v>
      </c>
      <c r="L263" s="46">
        <f>(VLOOKUP($A263,'The List'!$B1:$AH730,24,FALSE)-AVERAGE('The List'!Y2:Y730))/STDEV('The List'!Y2:Y730)</f>
        <v>-0.47826010433605</v>
      </c>
      <c r="M263" s="46">
        <f>(VLOOKUP($A263,'The List'!$B1:$AH730,25,FALSE)-AVERAGE('The List'!Z2:Z730))/STDEV('The List'!Z2:Z730)</f>
        <v>-0.568915696821813</v>
      </c>
      <c r="N263" s="46">
        <f>(VLOOKUP($A263,'The List'!$B1:$AH730,26,FALSE)-AVERAGE('The List'!AA2:AA730))/STDEV('The List'!AA2:AA730)</f>
        <v>1.08733809719081</v>
      </c>
      <c r="O263" s="46">
        <f>(VLOOKUP($A263,'The List'!$B1:$AH730,27,FALSE)-AVERAGE('The List'!AB2:AB730))/STDEV('The List'!AB2:AB730)</f>
        <v>1.01782244962219</v>
      </c>
      <c r="P263" s="46">
        <f>(VLOOKUP($A263,'The List'!$B1:$AH730,28,FALSE)-AVERAGE('The List'!AC2:AC730))/STDEV('The List'!AC2:AC730)</f>
        <v>1.36398035962869</v>
      </c>
      <c r="Q263" s="46">
        <f>(VLOOKUP($A263,'The List'!$B1:$AH730,29,FALSE)-AVERAGE('The List'!AD2:AD730))/STDEV('The List'!AD2:AD730)</f>
        <v>0.244565561530032</v>
      </c>
      <c r="R263" s="46">
        <f>(VLOOKUP($A263,'The List'!$B1:$AH730,30,FALSE)-AVERAGE('The List'!AE2:AE730))/STDEV('The List'!AE2:AE730)</f>
        <v>-0.0945095982903732</v>
      </c>
      <c r="S263" s="46">
        <f>(VLOOKUP($A263,'The List'!$B1:$AH730,31,FALSE)-AVERAGE('The List'!AF2:AF730))/STDEV('The List'!AF2:AF730)</f>
        <v>-0.5569063253591</v>
      </c>
      <c r="T263" s="46">
        <f>(VLOOKUP($A263,'The List'!$B1:$AH730,32,FALSE)-AVERAGE('The List'!AG2:AG730))/STDEV('The List'!AG2:AG730)</f>
        <v>-0.600856269042678</v>
      </c>
      <c r="U263" s="46">
        <f>(VLOOKUP($A263,'The List'!$B1:$AH730,33,FALSE)-AVERAGE('The List'!AH2:AH730))/STDEV('The List'!AH2:AH730)</f>
        <v>-1.2363238714826</v>
      </c>
      <c r="V263" s="46"/>
      <c r="W263" s="50"/>
      <c r="X263" s="48"/>
      <c r="Y263" s="48"/>
      <c r="Z263" s="48"/>
      <c r="AA263" s="48"/>
      <c r="AB263" s="48"/>
      <c r="AC263" s="51"/>
      <c r="AD263" s="52"/>
      <c r="AE263" s="46"/>
    </row>
    <row r="264" ht="21.25" customHeight="1">
      <c r="A264" t="s" s="8">
        <v>488</v>
      </c>
      <c r="B264" t="s" s="42">
        <f>VLOOKUP(A264,'Player Data'!A1:B734,2,FALSE)</f>
        <v>164</v>
      </c>
      <c r="C264" s="44">
        <f>((E264)*'Settings'!$C$12)+(F264*'Settings'!$C$2)+(G264*'Settings'!$C$3)+(H264*'Settings'!$C$4)+(I264*'Settings'!$C$5)+(K264*'Settings'!$C$9)+(N264*'Settings'!$C$6)+(J264*'Settings'!$C$8)+(O264*'Settings'!$C$7)+(P264*'Settings'!$C$14)+(Q264*'Settings'!$C$15)+(R264*'Settings'!$C$16)+(S264*'Settings'!$C$17)+(T264*'Settings'!$C$18)+(U264*'Settings'!$C$19)+(L264*'Settings'!$C$10)+('Settings'!$C$11*M264)</f>
        <v>0.332041177670186</v>
      </c>
      <c r="D264" s="48">
        <f>IF('Settings'!$E$12="YES",VLOOKUP(A264,'Player Data'!A1:E734,5,FALSE),82)</f>
        <v>76.7</v>
      </c>
      <c r="E264" s="46">
        <f>(VLOOKUP($A264,'The List'!$B1:$AH730,17,FALSE)-AVERAGE('The List'!R2:R730))/STDEV('The List'!R2:R730)</f>
        <v>-0.0852099227253378</v>
      </c>
      <c r="F264" s="46">
        <f>(VLOOKUP($A264,'The List'!$B1:$AH730,18,FALSE)-AVERAGE('The List'!S2:S730))/STDEV('The List'!S2:S730)</f>
        <v>0.11220533839119</v>
      </c>
      <c r="G264" s="46">
        <f>(VLOOKUP($A264,'The List'!$B1:$AH730,19,FALSE)-AVERAGE('The List'!T2:T730))/STDEV('The List'!T2:T730)</f>
        <v>-0.0378966489992135</v>
      </c>
      <c r="H264" s="46">
        <f>(VLOOKUP($A264,'The List'!$B1:$AH730,20,FALSE)-AVERAGE('The List'!U2:U730))/STDEV('The List'!U2:U730)</f>
        <v>0.0276928933178158</v>
      </c>
      <c r="I264" s="46">
        <f>(VLOOKUP($A264,'The List'!$B1:$AH730,21,FALSE)-AVERAGE('The List'!V2:V730))/STDEV('The List'!V2:V730)</f>
        <v>0.537122825112432</v>
      </c>
      <c r="J264" s="46">
        <f>(VLOOKUP($A264,'The List'!$B1:$AH730,22,FALSE)-AVERAGE('The List'!W2:W730))/STDEV('The List'!W2:W730)</f>
        <v>0.138048084081969</v>
      </c>
      <c r="K264" s="46">
        <f>(VLOOKUP($A264,'The List'!$B1:$AH730,23,FALSE)-AVERAGE('The List'!X2:X730))/STDEV('The List'!X2:X730)</f>
        <v>-0.280892909693279</v>
      </c>
      <c r="L264" s="46">
        <f>(VLOOKUP($A264,'The List'!$B1:$AH730,24,FALSE)-AVERAGE('The List'!Y2:Y730))/STDEV('The List'!Y2:Y730)</f>
        <v>0.0701656854221745</v>
      </c>
      <c r="M264" s="46">
        <f>(VLOOKUP($A264,'The List'!$B1:$AH730,25,FALSE)-AVERAGE('The List'!Z2:Z730))/STDEV('The List'!Z2:Z730)</f>
        <v>0.0273766051841596</v>
      </c>
      <c r="N264" s="46">
        <f>(VLOOKUP($A264,'The List'!$B1:$AH730,26,FALSE)-AVERAGE('The List'!AA2:AA730))/STDEV('The List'!AA2:AA730)</f>
        <v>-0.388662084123635</v>
      </c>
      <c r="O264" s="46">
        <f>(VLOOKUP($A264,'The List'!$B1:$AH730,27,FALSE)-AVERAGE('The List'!AB2:AB730))/STDEV('The List'!AB2:AB730)</f>
        <v>-0.9619998231482449</v>
      </c>
      <c r="P264" s="46">
        <f>(VLOOKUP($A264,'The List'!$B1:$AH730,28,FALSE)-AVERAGE('The List'!AC2:AC730))/STDEV('The List'!AC2:AC730)</f>
        <v>0.390164656982691</v>
      </c>
      <c r="Q264" s="46">
        <f>(VLOOKUP($A264,'The List'!$B1:$AH730,29,FALSE)-AVERAGE('The List'!AD2:AD730))/STDEV('The List'!AD2:AD730)</f>
        <v>-1.05281233660202</v>
      </c>
      <c r="R264" s="46">
        <f>(VLOOKUP($A264,'The List'!$B1:$AH730,30,FALSE)-AVERAGE('The List'!AE2:AE730))/STDEV('The List'!AE2:AE730)</f>
        <v>0.244573392906656</v>
      </c>
      <c r="S264" s="46">
        <f>(VLOOKUP($A264,'The List'!$B1:$AH730,31,FALSE)-AVERAGE('The List'!AF2:AF730))/STDEV('The List'!AF2:AF730)</f>
        <v>-0.51794140182862</v>
      </c>
      <c r="T264" s="46">
        <f>(VLOOKUP($A264,'The List'!$B1:$AH730,32,FALSE)-AVERAGE('The List'!AG2:AG730))/STDEV('The List'!AG2:AG730)</f>
        <v>-0.550917569910144</v>
      </c>
      <c r="U264" s="46">
        <f>(VLOOKUP($A264,'The List'!$B1:$AH730,33,FALSE)-AVERAGE('The List'!AH2:AH730))/STDEV('The List'!AH2:AH730)</f>
        <v>0.799401151066868</v>
      </c>
      <c r="V264" s="46"/>
      <c r="W264" s="48"/>
      <c r="X264" s="46"/>
      <c r="Y264" s="46"/>
      <c r="Z264" s="46"/>
      <c r="AA264" s="46"/>
      <c r="AB264" s="46"/>
      <c r="AC264" s="46"/>
      <c r="AD264" s="46"/>
      <c r="AE264" s="46"/>
    </row>
    <row r="265" ht="21.25" customHeight="1">
      <c r="A265" t="s" s="8">
        <v>596</v>
      </c>
      <c r="B265" t="s" s="42">
        <f>VLOOKUP(A265,'Player Data'!A1:B734,2,FALSE)</f>
        <v>134</v>
      </c>
      <c r="C265" s="44">
        <f>((E265)*'Settings'!$C$12)+(F265*'Settings'!$C$2)+(G265*'Settings'!$C$3)+(H265*'Settings'!$C$4)+(I265*'Settings'!$C$5)+(K265*'Settings'!$C$9)+(N265*'Settings'!$C$6)+(J265*'Settings'!$C$8)+(O265*'Settings'!$C$7)+(P265*'Settings'!$C$14)+(Q265*'Settings'!$C$15)+(R265*'Settings'!$C$16)+(S265*'Settings'!$C$17)+(T265*'Settings'!$C$18)+(U265*'Settings'!$C$19)+(L265*'Settings'!$C$10)+('Settings'!$C$11*M265)</f>
        <v>-0.559086423162667</v>
      </c>
      <c r="D265" s="48">
        <f>IF('Settings'!$E$12="YES",VLOOKUP(A265,'Player Data'!A1:E734,5,FALSE),82)</f>
        <v>75.7871428571429</v>
      </c>
      <c r="E265" s="46">
        <f>(VLOOKUP($A265,'The List'!$B1:$AH730,17,FALSE)-AVERAGE('The List'!R2:R730))/STDEV('The List'!R2:R730)</f>
        <v>-0.170994996745657</v>
      </c>
      <c r="F265" s="46">
        <f>(VLOOKUP($A265,'The List'!$B1:$AH730,18,FALSE)-AVERAGE('The List'!S2:S730))/STDEV('The List'!S2:S730)</f>
        <v>0.113128282371699</v>
      </c>
      <c r="G265" s="46">
        <f>(VLOOKUP($A265,'The List'!$B1:$AH730,19,FALSE)-AVERAGE('The List'!T2:T730))/STDEV('The List'!T2:T730)</f>
        <v>-0.08025274651862201</v>
      </c>
      <c r="H265" s="46">
        <f>(VLOOKUP($A265,'The List'!$B1:$AH730,20,FALSE)-AVERAGE('The List'!U2:U730))/STDEV('The List'!U2:U730)</f>
        <v>0.00200087393343269</v>
      </c>
      <c r="I265" s="46">
        <f>(VLOOKUP($A265,'The List'!$B1:$AH730,21,FALSE)-AVERAGE('The List'!V2:V730))/STDEV('The List'!V2:V730)</f>
        <v>-0.111199582863649</v>
      </c>
      <c r="J265" s="46">
        <f>(VLOOKUP($A265,'The List'!$B1:$AH730,22,FALSE)-AVERAGE('The List'!W2:W730))/STDEV('The List'!W2:W730)</f>
        <v>-0.335128218537024</v>
      </c>
      <c r="K265" s="46">
        <f>(VLOOKUP($A265,'The List'!$B1:$AH730,23,FALSE)-AVERAGE('The List'!X2:X730))/STDEV('The List'!X2:X730)</f>
        <v>-0.536516955862657</v>
      </c>
      <c r="L265" s="46">
        <f>(VLOOKUP($A265,'The List'!$B1:$AH730,24,FALSE)-AVERAGE('The List'!Y2:Y730))/STDEV('The List'!Y2:Y730)</f>
        <v>1.43746124234876</v>
      </c>
      <c r="M265" s="46">
        <f>(VLOOKUP($A265,'The List'!$B1:$AH730,25,FALSE)-AVERAGE('The List'!Z2:Z730))/STDEV('The List'!Z2:Z730)</f>
        <v>2.05124164313319</v>
      </c>
      <c r="N265" s="46">
        <f>(VLOOKUP($A265,'The List'!$B1:$AH730,26,FALSE)-AVERAGE('The List'!AA2:AA730))/STDEV('The List'!AA2:AA730)</f>
        <v>-0.326632519365471</v>
      </c>
      <c r="O265" s="46">
        <f>(VLOOKUP($A265,'The List'!$B1:$AH730,27,FALSE)-AVERAGE('The List'!AB2:AB730))/STDEV('The List'!AB2:AB730)</f>
        <v>-0.947745921158283</v>
      </c>
      <c r="P265" s="46">
        <f>(VLOOKUP($A265,'The List'!$B1:$AH730,28,FALSE)-AVERAGE('The List'!AC2:AC730))/STDEV('The List'!AC2:AC730)</f>
        <v>0.382387099076033</v>
      </c>
      <c r="Q265" s="46">
        <f>(VLOOKUP($A265,'The List'!$B1:$AH730,29,FALSE)-AVERAGE('The List'!AD2:AD730))/STDEV('The List'!AD2:AD730)</f>
        <v>-1.29980653834868</v>
      </c>
      <c r="R265" s="46">
        <f>(VLOOKUP($A265,'The List'!$B1:$AH730,30,FALSE)-AVERAGE('The List'!AE2:AE730))/STDEV('The List'!AE2:AE730)</f>
        <v>0.287429052289233</v>
      </c>
      <c r="S265" s="46">
        <f>(VLOOKUP($A265,'The List'!$B1:$AH730,31,FALSE)-AVERAGE('The List'!AF2:AF730))/STDEV('The List'!AF2:AF730)</f>
        <v>1.69642074906802</v>
      </c>
      <c r="T265" s="46">
        <f>(VLOOKUP($A265,'The List'!$B1:$AH730,32,FALSE)-AVERAGE('The List'!AG2:AG730))/STDEV('The List'!AG2:AG730)</f>
        <v>1.78561017431977</v>
      </c>
      <c r="U265" s="46">
        <f>(VLOOKUP($A265,'The List'!$B1:$AH730,33,FALSE)-AVERAGE('The List'!AH2:AH730))/STDEV('The List'!AH2:AH730)</f>
        <v>1.01402630495881</v>
      </c>
      <c r="V265" s="46"/>
      <c r="W265" s="50"/>
      <c r="X265" s="48"/>
      <c r="Y265" s="48"/>
      <c r="Z265" s="48"/>
      <c r="AA265" s="48"/>
      <c r="AB265" s="48"/>
      <c r="AC265" s="51"/>
      <c r="AD265" s="52"/>
      <c r="AE265" s="46"/>
    </row>
    <row r="266" ht="21.25" customHeight="1">
      <c r="A266" t="s" s="8">
        <v>324</v>
      </c>
      <c r="B266" t="s" s="42">
        <f>VLOOKUP(A266,'Player Data'!A1:B734,2,FALSE)</f>
        <v>115</v>
      </c>
      <c r="C266" s="44">
        <f>((E266)*'Settings'!$C$12)+(F266*'Settings'!$C$2)+(G266*'Settings'!$C$3)+(H266*'Settings'!$C$4)+(I266*'Settings'!$C$5)+(K266*'Settings'!$C$9)+(N266*'Settings'!$C$6)+(J266*'Settings'!$C$8)+(O266*'Settings'!$C$7)+(P266*'Settings'!$C$14)+(Q266*'Settings'!$C$15)+(R266*'Settings'!$C$16)+(S266*'Settings'!$C$17)+(T266*'Settings'!$C$18)+(U266*'Settings'!$C$19)+(L266*'Settings'!$C$10)+('Settings'!$C$11*M266)</f>
        <v>1.49807063687077</v>
      </c>
      <c r="D266" s="48">
        <f>IF('Settings'!$E$12="YES",VLOOKUP(A266,'Player Data'!A1:E734,5,FALSE),82)</f>
        <v>77.8282142857143</v>
      </c>
      <c r="E266" s="46">
        <f>(VLOOKUP($A266,'The List'!$B1:$AH730,17,FALSE)-AVERAGE('The List'!R2:R730))/STDEV('The List'!R2:R730)</f>
        <v>0.724480012453884</v>
      </c>
      <c r="F266" s="46">
        <f>(VLOOKUP($A266,'The List'!$B1:$AH730,18,FALSE)-AVERAGE('The List'!S2:S730))/STDEV('The List'!S2:S730)</f>
        <v>-0.516278014310172</v>
      </c>
      <c r="G266" s="46">
        <f>(VLOOKUP($A266,'The List'!$B1:$AH730,19,FALSE)-AVERAGE('The List'!T2:T730))/STDEV('The List'!T2:T730)</f>
        <v>0.5744634924962601</v>
      </c>
      <c r="H266" s="46">
        <f>(VLOOKUP($A266,'The List'!$B1:$AH730,20,FALSE)-AVERAGE('The List'!U2:U730))/STDEV('The List'!U2:U730)</f>
        <v>0.119232341733149</v>
      </c>
      <c r="I266" s="46">
        <f>(VLOOKUP($A266,'The List'!$B1:$AH730,21,FALSE)-AVERAGE('The List'!V2:V730))/STDEV('The List'!V2:V730)</f>
        <v>-0.12357265774674</v>
      </c>
      <c r="J266" s="46">
        <f>(VLOOKUP($A266,'The List'!$B1:$AH730,22,FALSE)-AVERAGE('The List'!W2:W730))/STDEV('The List'!W2:W730)</f>
        <v>-0.298280020046141</v>
      </c>
      <c r="K266" s="46">
        <f>(VLOOKUP($A266,'The List'!$B1:$AH730,23,FALSE)-AVERAGE('The List'!X2:X730))/STDEV('The List'!X2:X730)</f>
        <v>0.529047075434228</v>
      </c>
      <c r="L266" s="46">
        <f>(VLOOKUP($A266,'The List'!$B1:$AH730,24,FALSE)-AVERAGE('The List'!Y2:Y730))/STDEV('The List'!Y2:Y730)</f>
        <v>-0.535844385105595</v>
      </c>
      <c r="M266" s="46">
        <f>(VLOOKUP($A266,'The List'!$B1:$AH730,25,FALSE)-AVERAGE('The List'!Z2:Z730))/STDEV('The List'!Z2:Z730)</f>
        <v>-0.705633552209616</v>
      </c>
      <c r="N266" s="46">
        <f>(VLOOKUP($A266,'The List'!$B1:$AH730,26,FALSE)-AVERAGE('The List'!AA2:AA730))/STDEV('The List'!AA2:AA730)</f>
        <v>0.784690350756267</v>
      </c>
      <c r="O266" s="46">
        <f>(VLOOKUP($A266,'The List'!$B1:$AH730,27,FALSE)-AVERAGE('The List'!AB2:AB730))/STDEV('The List'!AB2:AB730)</f>
        <v>-0.455760172817012</v>
      </c>
      <c r="P266" s="46">
        <f>(VLOOKUP($A266,'The List'!$B1:$AH730,28,FALSE)-AVERAGE('The List'!AC2:AC730))/STDEV('The List'!AC2:AC730)</f>
        <v>0.24972039024093</v>
      </c>
      <c r="Q266" s="46">
        <f>(VLOOKUP($A266,'The List'!$B1:$AH730,29,FALSE)-AVERAGE('The List'!AD2:AD730))/STDEV('The List'!AD2:AD730)</f>
        <v>0.200340330914022</v>
      </c>
      <c r="R266" s="46">
        <f>(VLOOKUP($A266,'The List'!$B1:$AH730,30,FALSE)-AVERAGE('The List'!AE2:AE730))/STDEV('The List'!AE2:AE730)</f>
        <v>-0.369859165353217</v>
      </c>
      <c r="S266" s="46">
        <f>(VLOOKUP($A266,'The List'!$B1:$AH730,31,FALSE)-AVERAGE('The List'!AF2:AF730))/STDEV('The List'!AF2:AF730)</f>
        <v>-0.5569063253591</v>
      </c>
      <c r="T266" s="46">
        <f>(VLOOKUP($A266,'The List'!$B1:$AH730,32,FALSE)-AVERAGE('The List'!AG2:AG730))/STDEV('The List'!AG2:AG730)</f>
        <v>-0.600856269042678</v>
      </c>
      <c r="U266" s="46">
        <f>(VLOOKUP($A266,'The List'!$B1:$AH730,33,FALSE)-AVERAGE('The List'!AH2:AH730))/STDEV('The List'!AH2:AH730)</f>
        <v>-1.2363238714826</v>
      </c>
      <c r="V266" s="46"/>
      <c r="W266" s="50"/>
      <c r="X266" s="48"/>
      <c r="Y266" s="48"/>
      <c r="Z266" s="48"/>
      <c r="AA266" s="48"/>
      <c r="AB266" s="48"/>
      <c r="AC266" s="51"/>
      <c r="AD266" s="52"/>
      <c r="AE266" s="46"/>
    </row>
    <row r="267" ht="21.25" customHeight="1">
      <c r="A267" t="s" s="8">
        <v>501</v>
      </c>
      <c r="B267" t="s" s="42">
        <f>VLOOKUP(A267,'Player Data'!A1:B734,2,FALSE)</f>
        <v>292</v>
      </c>
      <c r="C267" s="44">
        <f>((E267)*'Settings'!$C$12)+(F267*'Settings'!$C$2)+(G267*'Settings'!$C$3)+(H267*'Settings'!$C$4)+(I267*'Settings'!$C$5)+(K267*'Settings'!$C$9)+(N267*'Settings'!$C$6)+(J267*'Settings'!$C$8)+(O267*'Settings'!$C$7)+(P267*'Settings'!$C$14)+(Q267*'Settings'!$C$15)+(R267*'Settings'!$C$16)+(S267*'Settings'!$C$17)+(T267*'Settings'!$C$18)+(U267*'Settings'!$C$19)+(L267*'Settings'!$C$10)+('Settings'!$C$11*M267)</f>
        <v>-0.328578358352923</v>
      </c>
      <c r="D267" s="48">
        <f>IF('Settings'!$E$12="YES",VLOOKUP(A267,'Player Data'!A1:E734,5,FALSE),82)</f>
        <v>80.32642857142859</v>
      </c>
      <c r="E267" s="46">
        <f>(VLOOKUP($A267,'The List'!$B1:$AH730,17,FALSE)-AVERAGE('The List'!R2:R730))/STDEV('The List'!R2:R730)</f>
        <v>-0.538551209207182</v>
      </c>
      <c r="F267" s="46">
        <f>(VLOOKUP($A267,'The List'!$B1:$AH730,18,FALSE)-AVERAGE('The List'!S2:S730))/STDEV('The List'!S2:S730)</f>
        <v>0.268670828665376</v>
      </c>
      <c r="G267" s="46">
        <f>(VLOOKUP($A267,'The List'!$B1:$AH730,19,FALSE)-AVERAGE('The List'!T2:T730))/STDEV('The List'!T2:T730)</f>
        <v>-0.0529154819427967</v>
      </c>
      <c r="H267" s="46">
        <f>(VLOOKUP($A267,'The List'!$B1:$AH730,20,FALSE)-AVERAGE('The List'!U2:U730))/STDEV('The List'!U2:U730)</f>
        <v>0.08962891631031911</v>
      </c>
      <c r="I267" s="46">
        <f>(VLOOKUP($A267,'The List'!$B1:$AH730,21,FALSE)-AVERAGE('The List'!V2:V730))/STDEV('The List'!V2:V730)</f>
        <v>0.146491792656566</v>
      </c>
      <c r="J267" s="46">
        <f>(VLOOKUP($A267,'The List'!$B1:$AH730,22,FALSE)-AVERAGE('The List'!W2:W730))/STDEV('The List'!W2:W730)</f>
        <v>-0.297221332270853</v>
      </c>
      <c r="K267" s="46">
        <f>(VLOOKUP($A267,'The List'!$B1:$AH730,23,FALSE)-AVERAGE('The List'!X2:X730))/STDEV('The List'!X2:X730)</f>
        <v>-0.29940791738405</v>
      </c>
      <c r="L267" s="46">
        <f>(VLOOKUP($A267,'The List'!$B1:$AH730,24,FALSE)-AVERAGE('The List'!Y2:Y730))/STDEV('The List'!Y2:Y730)</f>
        <v>-0.542843480388394</v>
      </c>
      <c r="M267" s="46">
        <f>(VLOOKUP($A267,'The List'!$B1:$AH730,25,FALSE)-AVERAGE('The List'!Z2:Z730))/STDEV('The List'!Z2:Z730)</f>
        <v>-0.72177514995105</v>
      </c>
      <c r="N267" s="46">
        <f>(VLOOKUP($A267,'The List'!$B1:$AH730,26,FALSE)-AVERAGE('The List'!AA2:AA730))/STDEV('The List'!AA2:AA730)</f>
        <v>-0.768122315090067</v>
      </c>
      <c r="O267" s="46">
        <f>(VLOOKUP($A267,'The List'!$B1:$AH730,27,FALSE)-AVERAGE('The List'!AB2:AB730))/STDEV('The List'!AB2:AB730)</f>
        <v>-0.451568452989161</v>
      </c>
      <c r="P267" s="46">
        <f>(VLOOKUP($A267,'The List'!$B1:$AH730,28,FALSE)-AVERAGE('The List'!AC2:AC730))/STDEV('The List'!AC2:AC730)</f>
        <v>0.376704734742049</v>
      </c>
      <c r="Q267" s="46">
        <f>(VLOOKUP($A267,'The List'!$B1:$AH730,29,FALSE)-AVERAGE('The List'!AD2:AD730))/STDEV('The List'!AD2:AD730)</f>
        <v>-0.460017319504786</v>
      </c>
      <c r="R267" s="46">
        <f>(VLOOKUP($A267,'The List'!$B1:$AH730,30,FALSE)-AVERAGE('The List'!AE2:AE730))/STDEV('The List'!AE2:AE730)</f>
        <v>-1.18448477237391</v>
      </c>
      <c r="S267" s="46">
        <f>(VLOOKUP($A267,'The List'!$B1:$AH730,31,FALSE)-AVERAGE('The List'!AF2:AF730))/STDEV('The List'!AF2:AF730)</f>
        <v>-0.474225189672058</v>
      </c>
      <c r="T267" s="46">
        <f>(VLOOKUP($A267,'The List'!$B1:$AH730,32,FALSE)-AVERAGE('The List'!AG2:AG730))/STDEV('The List'!AG2:AG730)</f>
        <v>-0.469392739745789</v>
      </c>
      <c r="U267" s="46">
        <f>(VLOOKUP($A267,'The List'!$B1:$AH730,33,FALSE)-AVERAGE('The List'!AH2:AH730))/STDEV('The List'!AH2:AH730)</f>
        <v>0.561771558319899</v>
      </c>
      <c r="V267" s="46"/>
      <c r="W267" s="50"/>
      <c r="X267" s="48"/>
      <c r="Y267" s="48"/>
      <c r="Z267" s="48"/>
      <c r="AA267" s="48"/>
      <c r="AB267" s="48"/>
      <c r="AC267" s="51"/>
      <c r="AD267" s="52"/>
      <c r="AE267" s="46"/>
    </row>
    <row r="268" ht="21.25" customHeight="1">
      <c r="A268" t="s" s="8">
        <v>494</v>
      </c>
      <c r="B268" t="s" s="42">
        <f>VLOOKUP(A268,'Player Data'!A1:B734,2,FALSE)</f>
        <v>124</v>
      </c>
      <c r="C268" s="44">
        <f>((E268)*'Settings'!$C$12)+(F268*'Settings'!$C$2)+(G268*'Settings'!$C$3)+(H268*'Settings'!$C$4)+(I268*'Settings'!$C$5)+(K268*'Settings'!$C$9)+(N268*'Settings'!$C$6)+(J268*'Settings'!$C$8)+(O268*'Settings'!$C$7)+(P268*'Settings'!$C$14)+(Q268*'Settings'!$C$15)+(R268*'Settings'!$C$16)+(S268*'Settings'!$C$17)+(T268*'Settings'!$C$18)+(U268*'Settings'!$C$19)+(L268*'Settings'!$C$10)+('Settings'!$C$11*M268)</f>
        <v>-0.167928025190536</v>
      </c>
      <c r="D268" s="48">
        <f>IF('Settings'!$E$12="YES",VLOOKUP(A268,'Player Data'!A1:E734,5,FALSE),82)</f>
        <v>80.0782142857143</v>
      </c>
      <c r="E268" s="46">
        <f>(VLOOKUP($A268,'The List'!$B1:$AH730,17,FALSE)-AVERAGE('The List'!R2:R730))/STDEV('The List'!R2:R730)</f>
        <v>-0.18312339675318</v>
      </c>
      <c r="F268" s="46">
        <f>(VLOOKUP($A268,'The List'!$B1:$AH730,18,FALSE)-AVERAGE('The List'!S2:S730))/STDEV('The List'!S2:S730)</f>
        <v>0.323344019458451</v>
      </c>
      <c r="G268" s="46">
        <f>(VLOOKUP($A268,'The List'!$B1:$AH730,19,FALSE)-AVERAGE('The List'!T2:T730))/STDEV('The List'!T2:T730)</f>
        <v>-0.110433356604806</v>
      </c>
      <c r="H268" s="46">
        <f>(VLOOKUP($A268,'The List'!$B1:$AH730,20,FALSE)-AVERAGE('The List'!U2:U730))/STDEV('The List'!U2:U730)</f>
        <v>0.0790473008975256</v>
      </c>
      <c r="I268" s="46">
        <f>(VLOOKUP($A268,'The List'!$B1:$AH730,21,FALSE)-AVERAGE('The List'!V2:V730))/STDEV('The List'!V2:V730)</f>
        <v>0.305383809152859</v>
      </c>
      <c r="J268" s="46">
        <f>(VLOOKUP($A268,'The List'!$B1:$AH730,22,FALSE)-AVERAGE('The List'!W2:W730))/STDEV('The List'!W2:W730)</f>
        <v>-0.176617138683737</v>
      </c>
      <c r="K268" s="46">
        <f>(VLOOKUP($A268,'The List'!$B1:$AH730,23,FALSE)-AVERAGE('The List'!X2:X730))/STDEV('The List'!X2:X730)</f>
        <v>-0.162911952100038</v>
      </c>
      <c r="L268" s="46">
        <f>(VLOOKUP($A268,'The List'!$B1:$AH730,24,FALSE)-AVERAGE('The List'!Y2:Y730))/STDEV('The List'!Y2:Y730)</f>
        <v>0.8446209528005451</v>
      </c>
      <c r="M268" s="46">
        <f>(VLOOKUP($A268,'The List'!$B1:$AH730,25,FALSE)-AVERAGE('The List'!Z2:Z730))/STDEV('The List'!Z2:Z730)</f>
        <v>0.265947155135295</v>
      </c>
      <c r="N268" s="46">
        <f>(VLOOKUP($A268,'The List'!$B1:$AH730,26,FALSE)-AVERAGE('The List'!AA2:AA730))/STDEV('The List'!AA2:AA730)</f>
        <v>-0.456012751994111</v>
      </c>
      <c r="O268" s="46">
        <f>(VLOOKUP($A268,'The List'!$B1:$AH730,27,FALSE)-AVERAGE('The List'!AB2:AB730))/STDEV('The List'!AB2:AB730)</f>
        <v>-0.688870952563382</v>
      </c>
      <c r="P268" s="46">
        <f>(VLOOKUP($A268,'The List'!$B1:$AH730,28,FALSE)-AVERAGE('The List'!AC2:AC730))/STDEV('The List'!AC2:AC730)</f>
        <v>-0.0672977931028909</v>
      </c>
      <c r="Q268" s="46">
        <f>(VLOOKUP($A268,'The List'!$B1:$AH730,29,FALSE)-AVERAGE('The List'!AD2:AD730))/STDEV('The List'!AD2:AD730)</f>
        <v>-0.613690350305513</v>
      </c>
      <c r="R268" s="46">
        <f>(VLOOKUP($A268,'The List'!$B1:$AH730,30,FALSE)-AVERAGE('The List'!AE2:AE730))/STDEV('The List'!AE2:AE730)</f>
        <v>0.464142752288548</v>
      </c>
      <c r="S268" s="46">
        <f>(VLOOKUP($A268,'The List'!$B1:$AH730,31,FALSE)-AVERAGE('The List'!AF2:AF730))/STDEV('The List'!AF2:AF730)</f>
        <v>-0.47972483077638</v>
      </c>
      <c r="T268" s="46">
        <f>(VLOOKUP($A268,'The List'!$B1:$AH730,32,FALSE)-AVERAGE('The List'!AG2:AG730))/STDEV('The List'!AG2:AG730)</f>
        <v>-0.498330228929004</v>
      </c>
      <c r="U268" s="46">
        <f>(VLOOKUP($A268,'The List'!$B1:$AH730,33,FALSE)-AVERAGE('The List'!AH2:AH730))/STDEV('The List'!AH2:AH730)</f>
        <v>0.759421526251133</v>
      </c>
      <c r="V268" s="46"/>
      <c r="W268" s="50"/>
      <c r="X268" s="48"/>
      <c r="Y268" s="48"/>
      <c r="Z268" s="48"/>
      <c r="AA268" s="48"/>
      <c r="AB268" s="48"/>
      <c r="AC268" s="51"/>
      <c r="AD268" s="52"/>
      <c r="AE268" s="46"/>
    </row>
    <row r="269" ht="21.25" customHeight="1">
      <c r="A269" t="s" s="8">
        <v>321</v>
      </c>
      <c r="B269" t="s" s="42">
        <f>VLOOKUP(A269,'Player Data'!A1:B734,2,FALSE)</f>
        <v>131</v>
      </c>
      <c r="C269" s="44">
        <f>((E269)*'Settings'!$C$12)+(F269*'Settings'!$C$2)+(G269*'Settings'!$C$3)+(H269*'Settings'!$C$4)+(I269*'Settings'!$C$5)+(K269*'Settings'!$C$9)+(N269*'Settings'!$C$6)+(J269*'Settings'!$C$8)+(O269*'Settings'!$C$7)+(P269*'Settings'!$C$14)+(Q269*'Settings'!$C$15)+(R269*'Settings'!$C$16)+(S269*'Settings'!$C$17)+(T269*'Settings'!$C$18)+(U269*'Settings'!$C$19)+(L269*'Settings'!$C$10)+('Settings'!$C$11*M269)</f>
        <v>0.85137802172995</v>
      </c>
      <c r="D269" s="48">
        <f>IF('Settings'!$E$12="YES",VLOOKUP(A269,'Player Data'!A1:E734,5,FALSE),82)</f>
        <v>81.325</v>
      </c>
      <c r="E269" s="46">
        <f>(VLOOKUP($A269,'The List'!$B1:$AH730,17,FALSE)-AVERAGE('The List'!R2:R730))/STDEV('The List'!R2:R730)</f>
        <v>0.470798981659662</v>
      </c>
      <c r="F269" s="46">
        <f>(VLOOKUP($A269,'The List'!$B1:$AH730,18,FALSE)-AVERAGE('The List'!S2:S730))/STDEV('The List'!S2:S730)</f>
        <v>-0.560306004035801</v>
      </c>
      <c r="G269" s="46">
        <f>(VLOOKUP($A269,'The List'!$B1:$AH730,19,FALSE)-AVERAGE('The List'!T2:T730))/STDEV('The List'!T2:T730)</f>
        <v>0.439231734372708</v>
      </c>
      <c r="H269" s="46">
        <f>(VLOOKUP($A269,'The List'!$B1:$AH730,20,FALSE)-AVERAGE('The List'!U2:U730))/STDEV('The List'!U2:U730)</f>
        <v>0.0158301219554198</v>
      </c>
      <c r="I269" s="46">
        <f>(VLOOKUP($A269,'The List'!$B1:$AH730,21,FALSE)-AVERAGE('The List'!V2:V730))/STDEV('The List'!V2:V730)</f>
        <v>0.145359642715879</v>
      </c>
      <c r="J269" s="46">
        <f>(VLOOKUP($A269,'The List'!$B1:$AH730,22,FALSE)-AVERAGE('The List'!W2:W730))/STDEV('The List'!W2:W730)</f>
        <v>-0.166619374039857</v>
      </c>
      <c r="K269" s="46">
        <f>(VLOOKUP($A269,'The List'!$B1:$AH730,23,FALSE)-AVERAGE('The List'!X2:X730))/STDEV('The List'!X2:X730)</f>
        <v>0.693300046261299</v>
      </c>
      <c r="L269" s="46">
        <f>(VLOOKUP($A269,'The List'!$B1:$AH730,24,FALSE)-AVERAGE('The List'!Y2:Y730))/STDEV('The List'!Y2:Y730)</f>
        <v>-0.517179809038831</v>
      </c>
      <c r="M269" s="46">
        <f>(VLOOKUP($A269,'The List'!$B1:$AH730,25,FALSE)-AVERAGE('The List'!Z2:Z730))/STDEV('The List'!Z2:Z730)</f>
        <v>-0.283338404487116</v>
      </c>
      <c r="N269" s="46">
        <f>(VLOOKUP($A269,'The List'!$B1:$AH730,26,FALSE)-AVERAGE('The List'!AA2:AA730))/STDEV('The List'!AA2:AA730)</f>
        <v>0.647570638504985</v>
      </c>
      <c r="O269" s="46">
        <f>(VLOOKUP($A269,'The List'!$B1:$AH730,27,FALSE)-AVERAGE('The List'!AB2:AB730))/STDEV('The List'!AB2:AB730)</f>
        <v>-0.665065980792383</v>
      </c>
      <c r="P269" s="46">
        <f>(VLOOKUP($A269,'The List'!$B1:$AH730,28,FALSE)-AVERAGE('The List'!AC2:AC730))/STDEV('The List'!AC2:AC730)</f>
        <v>-0.51377803608912</v>
      </c>
      <c r="Q269" s="46">
        <f>(VLOOKUP($A269,'The List'!$B1:$AH730,29,FALSE)-AVERAGE('The List'!AD2:AD730))/STDEV('The List'!AD2:AD730)</f>
        <v>-0.36897460044924</v>
      </c>
      <c r="R269" s="46">
        <f>(VLOOKUP($A269,'The List'!$B1:$AH730,30,FALSE)-AVERAGE('The List'!AE2:AE730))/STDEV('The List'!AE2:AE730)</f>
        <v>-0.485848483897171</v>
      </c>
      <c r="S269" s="46">
        <f>(VLOOKUP($A269,'The List'!$B1:$AH730,31,FALSE)-AVERAGE('The List'!AF2:AF730))/STDEV('The List'!AF2:AF730)</f>
        <v>-0.5569063253591</v>
      </c>
      <c r="T269" s="46">
        <f>(VLOOKUP($A269,'The List'!$B1:$AH730,32,FALSE)-AVERAGE('The List'!AG2:AG730))/STDEV('The List'!AG2:AG730)</f>
        <v>-0.600856269042678</v>
      </c>
      <c r="U269" s="46">
        <f>(VLOOKUP($A269,'The List'!$B1:$AH730,33,FALSE)-AVERAGE('The List'!AH2:AH730))/STDEV('The List'!AH2:AH730)</f>
        <v>-1.2363238714826</v>
      </c>
      <c r="V269" s="46"/>
      <c r="W269" s="48"/>
      <c r="X269" s="46"/>
      <c r="Y269" s="46"/>
      <c r="Z269" s="46"/>
      <c r="AA269" s="46"/>
      <c r="AB269" s="46"/>
      <c r="AC269" s="46"/>
      <c r="AD269" s="46"/>
      <c r="AE269" s="46"/>
    </row>
    <row r="270" ht="21.25" customHeight="1">
      <c r="A270" t="s" s="8">
        <v>587</v>
      </c>
      <c r="B270" t="s" s="42">
        <f>VLOOKUP(A270,'Player Data'!A1:B734,2,FALSE)</f>
        <v>225</v>
      </c>
      <c r="C270" s="44">
        <f>((E270)*'Settings'!$C$12)+(F270*'Settings'!$C$2)+(G270*'Settings'!$C$3)+(H270*'Settings'!$C$4)+(I270*'Settings'!$C$5)+(K270*'Settings'!$C$9)+(N270*'Settings'!$C$6)+(J270*'Settings'!$C$8)+(O270*'Settings'!$C$7)+(P270*'Settings'!$C$14)+(Q270*'Settings'!$C$15)+(R270*'Settings'!$C$16)+(S270*'Settings'!$C$17)+(T270*'Settings'!$C$18)+(U270*'Settings'!$C$19)+(L270*'Settings'!$C$10)+('Settings'!$C$11*M270)</f>
        <v>-2.69389495570144</v>
      </c>
      <c r="D270" s="48">
        <f>IF('Settings'!$E$12="YES",VLOOKUP(A270,'Player Data'!A1:E734,5,FALSE),82)</f>
        <v>69.5685714285714</v>
      </c>
      <c r="E270" s="46">
        <f>(VLOOKUP($A270,'The List'!$B1:$AH730,17,FALSE)-AVERAGE('The List'!R2:R730))/STDEV('The List'!R2:R730)</f>
        <v>-0.206537262726188</v>
      </c>
      <c r="F270" s="46">
        <f>(VLOOKUP($A270,'The List'!$B1:$AH730,18,FALSE)-AVERAGE('The List'!S2:S730))/STDEV('The List'!S2:S730)</f>
        <v>-0.086256754656199</v>
      </c>
      <c r="G270" s="46">
        <f>(VLOOKUP($A270,'The List'!$B1:$AH730,19,FALSE)-AVERAGE('The List'!T2:T730))/STDEV('The List'!T2:T730)</f>
        <v>-0.172306494009117</v>
      </c>
      <c r="H270" s="46">
        <f>(VLOOKUP($A270,'The List'!$B1:$AH730,20,FALSE)-AVERAGE('The List'!U2:U730))/STDEV('The List'!U2:U730)</f>
        <v>-0.145473242123587</v>
      </c>
      <c r="I270" s="46">
        <f>(VLOOKUP($A270,'The List'!$B1:$AH730,21,FALSE)-AVERAGE('The List'!V2:V730))/STDEV('The List'!V2:V730)</f>
        <v>0.10076180670498</v>
      </c>
      <c r="J270" s="46">
        <f>(VLOOKUP($A270,'The List'!$B1:$AH730,22,FALSE)-AVERAGE('The List'!W2:W730))/STDEV('The List'!W2:W730)</f>
        <v>0.0672790522509355</v>
      </c>
      <c r="K270" s="46">
        <f>(VLOOKUP($A270,'The List'!$B1:$AH730,23,FALSE)-AVERAGE('The List'!X2:X730))/STDEV('The List'!X2:X730)</f>
        <v>-0.00617354946071388</v>
      </c>
      <c r="L270" s="46">
        <f>(VLOOKUP($A270,'The List'!$B1:$AH730,24,FALSE)-AVERAGE('The List'!Y2:Y730))/STDEV('The List'!Y2:Y730)</f>
        <v>-0.509690897301567</v>
      </c>
      <c r="M270" s="46">
        <f>(VLOOKUP($A270,'The List'!$B1:$AH730,25,FALSE)-AVERAGE('The List'!Z2:Z730))/STDEV('The List'!Z2:Z730)</f>
        <v>-0.683489877594725</v>
      </c>
      <c r="N270" s="46">
        <f>(VLOOKUP($A270,'The List'!$B1:$AH730,26,FALSE)-AVERAGE('The List'!AA2:AA730))/STDEV('The List'!AA2:AA730)</f>
        <v>-0.769115264986259</v>
      </c>
      <c r="O270" s="46">
        <f>(VLOOKUP($A270,'The List'!$B1:$AH730,27,FALSE)-AVERAGE('The List'!AB2:AB730))/STDEV('The List'!AB2:AB730)</f>
        <v>-0.448273164536608</v>
      </c>
      <c r="P270" s="46">
        <f>(VLOOKUP($A270,'The List'!$B1:$AH730,28,FALSE)-AVERAGE('The List'!AC2:AC730))/STDEV('The List'!AC2:AC730)</f>
        <v>-1.76080469929413</v>
      </c>
      <c r="Q270" s="46">
        <f>(VLOOKUP($A270,'The List'!$B1:$AH730,29,FALSE)-AVERAGE('The List'!AD2:AD730))/STDEV('The List'!AD2:AD730)</f>
        <v>-0.488794769168536</v>
      </c>
      <c r="R270" s="46">
        <f>(VLOOKUP($A270,'The List'!$B1:$AH730,30,FALSE)-AVERAGE('The List'!AE2:AE730))/STDEV('The List'!AE2:AE730)</f>
        <v>-0.262381178599896</v>
      </c>
      <c r="S270" s="46">
        <f>(VLOOKUP($A270,'The List'!$B1:$AH730,31,FALSE)-AVERAGE('The List'!AF2:AF730))/STDEV('The List'!AF2:AF730)</f>
        <v>-0.08436117965426281</v>
      </c>
      <c r="T270" s="46">
        <f>(VLOOKUP($A270,'The List'!$B1:$AH730,32,FALSE)-AVERAGE('The List'!AG2:AG730))/STDEV('The List'!AG2:AG730)</f>
        <v>-0.175291223849133</v>
      </c>
      <c r="U270" s="46">
        <f>(VLOOKUP($A270,'The List'!$B1:$AH730,33,FALSE)-AVERAGE('The List'!AH2:AH730))/STDEV('The List'!AH2:AH730)</f>
        <v>1.19672456572435</v>
      </c>
      <c r="V270" s="46"/>
      <c r="W270" s="50"/>
      <c r="X270" s="48"/>
      <c r="Y270" s="48"/>
      <c r="Z270" s="48"/>
      <c r="AA270" s="48"/>
      <c r="AB270" s="48"/>
      <c r="AC270" s="51"/>
      <c r="AD270" s="52"/>
      <c r="AE270" s="46"/>
    </row>
    <row r="271" ht="21.25" customHeight="1">
      <c r="A271" t="s" s="8">
        <v>550</v>
      </c>
      <c r="B271" t="s" s="42">
        <f>VLOOKUP(A271,'Player Data'!A1:B734,2,FALSE)</f>
        <v>194</v>
      </c>
      <c r="C271" s="44">
        <f>((E271)*'Settings'!$C$12)+(F271*'Settings'!$C$2)+(G271*'Settings'!$C$3)+(H271*'Settings'!$C$4)+(I271*'Settings'!$C$5)+(K271*'Settings'!$C$9)+(N271*'Settings'!$C$6)+(J271*'Settings'!$C$8)+(O271*'Settings'!$C$7)+(P271*'Settings'!$C$14)+(Q271*'Settings'!$C$15)+(R271*'Settings'!$C$16)+(S271*'Settings'!$C$17)+(T271*'Settings'!$C$18)+(U271*'Settings'!$C$19)+(L271*'Settings'!$C$10)+('Settings'!$C$11*M271)</f>
        <v>-2.33324153255082</v>
      </c>
      <c r="D271" s="48">
        <f>IF('Settings'!$E$12="YES",VLOOKUP(A271,'Player Data'!A1:E734,5,FALSE),82)</f>
        <v>76.4346428571429</v>
      </c>
      <c r="E271" s="46">
        <f>(VLOOKUP($A271,'The List'!$B1:$AH730,17,FALSE)-AVERAGE('The List'!R2:R730))/STDEV('The List'!R2:R730)</f>
        <v>-0.66749848798569</v>
      </c>
      <c r="F271" s="46">
        <f>(VLOOKUP($A271,'The List'!$B1:$AH730,18,FALSE)-AVERAGE('The List'!S2:S730))/STDEV('The List'!S2:S730)</f>
        <v>0.114781502989452</v>
      </c>
      <c r="G271" s="46">
        <f>(VLOOKUP($A271,'The List'!$B1:$AH730,19,FALSE)-AVERAGE('The List'!T2:T730))/STDEV('The List'!T2:T730)</f>
        <v>-0.110415997864279</v>
      </c>
      <c r="H271" s="46">
        <f>(VLOOKUP($A271,'The List'!$B1:$AH730,20,FALSE)-AVERAGE('The List'!U2:U730))/STDEV('The List'!U2:U730)</f>
        <v>-0.015842125527524</v>
      </c>
      <c r="I271" s="46">
        <f>(VLOOKUP($A271,'The List'!$B1:$AH730,21,FALSE)-AVERAGE('The List'!V2:V730))/STDEV('The List'!V2:V730)</f>
        <v>-0.0463817898816983</v>
      </c>
      <c r="J271" s="46">
        <f>(VLOOKUP($A271,'The List'!$B1:$AH730,22,FALSE)-AVERAGE('The List'!W2:W730))/STDEV('The List'!W2:W730)</f>
        <v>-0.26402783830835</v>
      </c>
      <c r="K271" s="46">
        <f>(VLOOKUP($A271,'The List'!$B1:$AH730,23,FALSE)-AVERAGE('The List'!X2:X730))/STDEV('The List'!X2:X730)</f>
        <v>-0.291386616451423</v>
      </c>
      <c r="L271" s="46">
        <f>(VLOOKUP($A271,'The List'!$B1:$AH730,24,FALSE)-AVERAGE('The List'!Y2:Y730))/STDEV('The List'!Y2:Y730)</f>
        <v>0.880982836072472</v>
      </c>
      <c r="M271" s="46">
        <f>(VLOOKUP($A271,'The List'!$B1:$AH730,25,FALSE)-AVERAGE('The List'!Z2:Z730))/STDEV('The List'!Z2:Z730)</f>
        <v>0.286429725979768</v>
      </c>
      <c r="N271" s="46">
        <f>(VLOOKUP($A271,'The List'!$B1:$AH730,26,FALSE)-AVERAGE('The List'!AA2:AA730))/STDEV('The List'!AA2:AA730)</f>
        <v>-0.8930286624930071</v>
      </c>
      <c r="O271" s="46">
        <f>(VLOOKUP($A271,'The List'!$B1:$AH730,27,FALSE)-AVERAGE('The List'!AB2:AB730))/STDEV('The List'!AB2:AB730)</f>
        <v>0.417200074705539</v>
      </c>
      <c r="P271" s="46">
        <f>(VLOOKUP($A271,'The List'!$B1:$AH730,28,FALSE)-AVERAGE('The List'!AC2:AC730))/STDEV('The List'!AC2:AC730)</f>
        <v>-1.10680996884986</v>
      </c>
      <c r="Q271" s="46">
        <f>(VLOOKUP($A271,'The List'!$B1:$AH730,29,FALSE)-AVERAGE('The List'!AD2:AD730))/STDEV('The List'!AD2:AD730)</f>
        <v>-0.842679009924263</v>
      </c>
      <c r="R271" s="46">
        <f>(VLOOKUP($A271,'The List'!$B1:$AH730,30,FALSE)-AVERAGE('The List'!AE2:AE730))/STDEV('The List'!AE2:AE730)</f>
        <v>-0.128439745937607</v>
      </c>
      <c r="S271" s="46">
        <f>(VLOOKUP($A271,'The List'!$B1:$AH730,31,FALSE)-AVERAGE('The List'!AF2:AF730))/STDEV('The List'!AF2:AF730)</f>
        <v>-0.443612259755446</v>
      </c>
      <c r="T271" s="46">
        <f>(VLOOKUP($A271,'The List'!$B1:$AH730,32,FALSE)-AVERAGE('The List'!AG2:AG730))/STDEV('The List'!AG2:AG730)</f>
        <v>-0.362273026173628</v>
      </c>
      <c r="U271" s="46">
        <f>(VLOOKUP($A271,'The List'!$B1:$AH730,33,FALSE)-AVERAGE('The List'!AH2:AH730))/STDEV('The List'!AH2:AH730)</f>
        <v>0.268014189789286</v>
      </c>
      <c r="V271" s="46"/>
      <c r="W271" s="50"/>
      <c r="X271" s="48"/>
      <c r="Y271" s="48"/>
      <c r="Z271" s="48"/>
      <c r="AA271" s="48"/>
      <c r="AB271" s="48"/>
      <c r="AC271" s="51"/>
      <c r="AD271" s="52"/>
      <c r="AE271" s="46"/>
    </row>
    <row r="272" ht="21.25" customHeight="1">
      <c r="A272" t="s" s="8">
        <v>425</v>
      </c>
      <c r="B272" t="s" s="42">
        <f>VLOOKUP(A272,'Player Data'!A1:B734,2,FALSE)</f>
        <v>234</v>
      </c>
      <c r="C272" s="44">
        <f>((E272)*'Settings'!$C$12)+(F272*'Settings'!$C$2)+(G272*'Settings'!$C$3)+(H272*'Settings'!$C$4)+(I272*'Settings'!$C$5)+(K272*'Settings'!$C$9)+(N272*'Settings'!$C$6)+(J272*'Settings'!$C$8)+(O272*'Settings'!$C$7)+(P272*'Settings'!$C$14)+(Q272*'Settings'!$C$15)+(R272*'Settings'!$C$16)+(S272*'Settings'!$C$17)+(T272*'Settings'!$C$18)+(U272*'Settings'!$C$19)+(L272*'Settings'!$C$10)+('Settings'!$C$11*M272)</f>
        <v>-1.30578251692731</v>
      </c>
      <c r="D272" s="48">
        <f>IF('Settings'!$E$12="YES",VLOOKUP(A272,'Player Data'!A1:E734,5,FALSE),82)</f>
        <v>80.34</v>
      </c>
      <c r="E272" s="46">
        <f>(VLOOKUP($A272,'The List'!$B1:$AH730,17,FALSE)-AVERAGE('The List'!R2:R730))/STDEV('The List'!R2:R730)</f>
        <v>-0.332006784225239</v>
      </c>
      <c r="F272" s="46">
        <f>(VLOOKUP($A272,'The List'!$B1:$AH730,18,FALSE)-AVERAGE('The List'!S2:S730))/STDEV('The List'!S2:S730)</f>
        <v>0.67043513884731</v>
      </c>
      <c r="G272" s="46">
        <f>(VLOOKUP($A272,'The List'!$B1:$AH730,19,FALSE)-AVERAGE('The List'!T2:T730))/STDEV('The List'!T2:T730)</f>
        <v>-0.390497078450475</v>
      </c>
      <c r="H272" s="46">
        <f>(VLOOKUP($A272,'The List'!$B1:$AH730,20,FALSE)-AVERAGE('The List'!U2:U730))/STDEV('The List'!U2:U730)</f>
        <v>0.0643251179240082</v>
      </c>
      <c r="I272" s="46">
        <f>(VLOOKUP($A272,'The List'!$B1:$AH730,21,FALSE)-AVERAGE('The List'!V2:V730))/STDEV('The List'!V2:V730)</f>
        <v>1.19366571228478</v>
      </c>
      <c r="J272" s="46">
        <f>(VLOOKUP($A272,'The List'!$B1:$AH730,22,FALSE)-AVERAGE('The List'!W2:W730))/STDEV('The List'!W2:W730)</f>
        <v>0.207146329002669</v>
      </c>
      <c r="K272" s="46">
        <f>(VLOOKUP($A272,'The List'!$B1:$AH730,23,FALSE)-AVERAGE('The List'!X2:X730))/STDEV('The List'!X2:X730)</f>
        <v>-0.106958784881015</v>
      </c>
      <c r="L272" s="46">
        <f>(VLOOKUP($A272,'The List'!$B1:$AH730,24,FALSE)-AVERAGE('The List'!Y2:Y730))/STDEV('The List'!Y2:Y730)</f>
        <v>-0.29558365744045</v>
      </c>
      <c r="M272" s="46">
        <f>(VLOOKUP($A272,'The List'!$B1:$AH730,25,FALSE)-AVERAGE('The List'!Z2:Z730))/STDEV('The List'!Z2:Z730)</f>
        <v>-0.444407196907804</v>
      </c>
      <c r="N272" s="46">
        <f>(VLOOKUP($A272,'The List'!$B1:$AH730,26,FALSE)-AVERAGE('The List'!AA2:AA730))/STDEV('The List'!AA2:AA730)</f>
        <v>-0.0478853014432076</v>
      </c>
      <c r="O272" s="46">
        <f>(VLOOKUP($A272,'The List'!$B1:$AH730,27,FALSE)-AVERAGE('The List'!AB2:AB730))/STDEV('The List'!AB2:AB730)</f>
        <v>-0.200107546965769</v>
      </c>
      <c r="P272" s="46">
        <f>(VLOOKUP($A272,'The List'!$B1:$AH730,28,FALSE)-AVERAGE('The List'!AC2:AC730))/STDEV('The List'!AC2:AC730)</f>
        <v>-2.6245422032847</v>
      </c>
      <c r="Q272" s="46">
        <f>(VLOOKUP($A272,'The List'!$B1:$AH730,29,FALSE)-AVERAGE('The List'!AD2:AD730))/STDEV('The List'!AD2:AD730)</f>
        <v>0.0947381611861802</v>
      </c>
      <c r="R272" s="46">
        <f>(VLOOKUP($A272,'The List'!$B1:$AH730,30,FALSE)-AVERAGE('The List'!AE2:AE730))/STDEV('The List'!AE2:AE730)</f>
        <v>0.0418812431849651</v>
      </c>
      <c r="S272" s="46">
        <f>(VLOOKUP($A272,'The List'!$B1:$AH730,31,FALSE)-AVERAGE('The List'!AF2:AF730))/STDEV('The List'!AF2:AF730)</f>
        <v>-0.520425420217983</v>
      </c>
      <c r="T272" s="46">
        <f>(VLOOKUP($A272,'The List'!$B1:$AH730,32,FALSE)-AVERAGE('The List'!AG2:AG730))/STDEV('The List'!AG2:AG730)</f>
        <v>-0.541638662830582</v>
      </c>
      <c r="U272" s="46">
        <f>(VLOOKUP($A272,'The List'!$B1:$AH730,33,FALSE)-AVERAGE('The List'!AH2:AH730))/STDEV('The List'!AH2:AH730)</f>
        <v>0.539426270785607</v>
      </c>
      <c r="V272" s="46"/>
      <c r="W272" s="50"/>
      <c r="X272" s="48"/>
      <c r="Y272" s="48"/>
      <c r="Z272" s="48"/>
      <c r="AA272" s="48"/>
      <c r="AB272" s="48"/>
      <c r="AC272" s="51"/>
      <c r="AD272" s="52"/>
      <c r="AE272" s="46"/>
    </row>
    <row r="273" ht="21.25" customHeight="1">
      <c r="A273" t="s" s="8">
        <v>554</v>
      </c>
      <c r="B273" t="s" s="42">
        <f>VLOOKUP(A273,'Player Data'!A1:B734,2,FALSE)</f>
        <v>124</v>
      </c>
      <c r="C273" s="44">
        <f>((E273)*'Settings'!$C$12)+(F273*'Settings'!$C$2)+(G273*'Settings'!$C$3)+(H273*'Settings'!$C$4)+(I273*'Settings'!$C$5)+(K273*'Settings'!$C$9)+(N273*'Settings'!$C$6)+(J273*'Settings'!$C$8)+(O273*'Settings'!$C$7)+(P273*'Settings'!$C$14)+(Q273*'Settings'!$C$15)+(R273*'Settings'!$C$16)+(S273*'Settings'!$C$17)+(T273*'Settings'!$C$18)+(U273*'Settings'!$C$19)+(L273*'Settings'!$C$10)+('Settings'!$C$11*M273)</f>
        <v>-0.351334225439644</v>
      </c>
      <c r="D273" s="48">
        <f>IF('Settings'!$E$12="YES",VLOOKUP(A273,'Player Data'!A1:E734,5,FALSE),82)</f>
        <v>74.8239285714286</v>
      </c>
      <c r="E273" s="46">
        <f>(VLOOKUP($A273,'The List'!$B1:$AH730,17,FALSE)-AVERAGE('The List'!R2:R730))/STDEV('The List'!R2:R730)</f>
        <v>0.0904568432854447</v>
      </c>
      <c r="F273" s="46">
        <f>(VLOOKUP($A273,'The List'!$B1:$AH730,18,FALSE)-AVERAGE('The List'!S2:S730))/STDEV('The List'!S2:S730)</f>
        <v>0.306221994239787</v>
      </c>
      <c r="G273" s="46">
        <f>(VLOOKUP($A273,'The List'!$B1:$AH730,19,FALSE)-AVERAGE('The List'!T2:T730))/STDEV('The List'!T2:T730)</f>
        <v>-0.313792011679565</v>
      </c>
      <c r="H273" s="46">
        <f>(VLOOKUP($A273,'The List'!$B1:$AH730,20,FALSE)-AVERAGE('The List'!U2:U730))/STDEV('The List'!U2:U730)</f>
        <v>-0.0541115019440231</v>
      </c>
      <c r="I273" s="46">
        <f>(VLOOKUP($A273,'The List'!$B1:$AH730,21,FALSE)-AVERAGE('The List'!V2:V730))/STDEV('The List'!V2:V730)</f>
        <v>0.0157368901955371</v>
      </c>
      <c r="J273" s="46">
        <f>(VLOOKUP($A273,'The List'!$B1:$AH730,22,FALSE)-AVERAGE('The List'!W2:W730))/STDEV('The List'!W2:W730)</f>
        <v>-0.112773599879745</v>
      </c>
      <c r="K273" s="46">
        <f>(VLOOKUP($A273,'The List'!$B1:$AH730,23,FALSE)-AVERAGE('The List'!X2:X730))/STDEV('The List'!X2:X730)</f>
        <v>-0.329035518557605</v>
      </c>
      <c r="L273" s="46">
        <f>(VLOOKUP($A273,'The List'!$B1:$AH730,24,FALSE)-AVERAGE('The List'!Y2:Y730))/STDEV('The List'!Y2:Y730)</f>
        <v>0.400025198883501</v>
      </c>
      <c r="M273" s="46">
        <f>(VLOOKUP($A273,'The List'!$B1:$AH730,25,FALSE)-AVERAGE('The List'!Z2:Z730))/STDEV('The List'!Z2:Z730)</f>
        <v>0.620416686163073</v>
      </c>
      <c r="N273" s="46">
        <f>(VLOOKUP($A273,'The List'!$B1:$AH730,26,FALSE)-AVERAGE('The List'!AA2:AA730))/STDEV('The List'!AA2:AA730)</f>
        <v>0.0607456241908621</v>
      </c>
      <c r="O273" s="46">
        <f>(VLOOKUP($A273,'The List'!$B1:$AH730,27,FALSE)-AVERAGE('The List'!AB2:AB730))/STDEV('The List'!AB2:AB730)</f>
        <v>4.26547798359009</v>
      </c>
      <c r="P273" s="46">
        <f>(VLOOKUP($A273,'The List'!$B1:$AH730,28,FALSE)-AVERAGE('The List'!AC2:AC730))/STDEV('The List'!AC2:AC730)</f>
        <v>-0.0912112038286606</v>
      </c>
      <c r="Q273" s="46">
        <f>(VLOOKUP($A273,'The List'!$B1:$AH730,29,FALSE)-AVERAGE('The List'!AD2:AD730))/STDEV('The List'!AD2:AD730)</f>
        <v>4.39570350568819</v>
      </c>
      <c r="R273" s="46">
        <f>(VLOOKUP($A273,'The List'!$B1:$AH730,30,FALSE)-AVERAGE('The List'!AE2:AE730))/STDEV('The List'!AE2:AE730)</f>
        <v>0.446706262086065</v>
      </c>
      <c r="S273" s="46">
        <f>(VLOOKUP($A273,'The List'!$B1:$AH730,31,FALSE)-AVERAGE('The List'!AF2:AF730))/STDEV('The List'!AF2:AF730)</f>
        <v>-0.503059066737167</v>
      </c>
      <c r="T273" s="46">
        <f>(VLOOKUP($A273,'The List'!$B1:$AH730,32,FALSE)-AVERAGE('The List'!AG2:AG730))/STDEV('The List'!AG2:AG730)</f>
        <v>-0.523091986053735</v>
      </c>
      <c r="U273" s="46">
        <f>(VLOOKUP($A273,'The List'!$B1:$AH730,33,FALSE)-AVERAGE('The List'!AH2:AH730))/STDEV('The List'!AH2:AH730)</f>
        <v>0.666837521754385</v>
      </c>
      <c r="V273" s="46"/>
      <c r="W273" s="48"/>
      <c r="X273" s="46"/>
      <c r="Y273" s="46"/>
      <c r="Z273" s="46"/>
      <c r="AA273" s="46"/>
      <c r="AB273" s="46"/>
      <c r="AC273" s="46"/>
      <c r="AD273" s="46"/>
      <c r="AE273" s="46"/>
    </row>
    <row r="274" ht="21.25" customHeight="1">
      <c r="A274" t="s" s="8">
        <v>376</v>
      </c>
      <c r="B274" t="s" s="42">
        <f>VLOOKUP(A274,'Player Data'!A1:B734,2,FALSE)</f>
        <v>236</v>
      </c>
      <c r="C274" s="44">
        <f>((E274)*'Settings'!$C$12)+(F274*'Settings'!$C$2)+(G274*'Settings'!$C$3)+(H274*'Settings'!$C$4)+(I274*'Settings'!$C$5)+(K274*'Settings'!$C$9)+(N274*'Settings'!$C$6)+(J274*'Settings'!$C$8)+(O274*'Settings'!$C$7)+(P274*'Settings'!$C$14)+(Q274*'Settings'!$C$15)+(R274*'Settings'!$C$16)+(S274*'Settings'!$C$17)+(T274*'Settings'!$C$18)+(U274*'Settings'!$C$19)+(L274*'Settings'!$C$10)+('Settings'!$C$11*M274)</f>
        <v>-0.919506018205176</v>
      </c>
      <c r="D274" s="48">
        <f>IF('Settings'!$E$12="YES",VLOOKUP(A274,'Player Data'!A1:E734,5,FALSE),82)</f>
        <v>70.41</v>
      </c>
      <c r="E274" s="46">
        <f>(VLOOKUP($A274,'The List'!$B1:$AH730,17,FALSE)-AVERAGE('The List'!R2:R730))/STDEV('The List'!R2:R730)</f>
        <v>1.38018927028908</v>
      </c>
      <c r="F274" s="46">
        <f>(VLOOKUP($A274,'The List'!$B1:$AH730,18,FALSE)-AVERAGE('The List'!S2:S730))/STDEV('The List'!S2:S730)</f>
        <v>-0.730837241006339</v>
      </c>
      <c r="G274" s="46">
        <f>(VLOOKUP($A274,'The List'!$B1:$AH730,19,FALSE)-AVERAGE('The List'!T2:T730))/STDEV('The List'!T2:T730)</f>
        <v>0.415897060206516</v>
      </c>
      <c r="H274" s="46">
        <f>(VLOOKUP($A274,'The List'!$B1:$AH730,20,FALSE)-AVERAGE('The List'!U2:U730))/STDEV('The List'!U2:U730)</f>
        <v>-0.0761505309093249</v>
      </c>
      <c r="I274" s="46">
        <f>(VLOOKUP($A274,'The List'!$B1:$AH730,21,FALSE)-AVERAGE('The List'!V2:V730))/STDEV('The List'!V2:V730)</f>
        <v>-0.796432410941724</v>
      </c>
      <c r="J274" s="46">
        <f>(VLOOKUP($A274,'The List'!$B1:$AH730,22,FALSE)-AVERAGE('The List'!W2:W730))/STDEV('The List'!W2:W730)</f>
        <v>-0.313481211557109</v>
      </c>
      <c r="K274" s="46">
        <f>(VLOOKUP($A274,'The List'!$B1:$AH730,23,FALSE)-AVERAGE('The List'!X2:X730))/STDEV('The List'!X2:X730)</f>
        <v>0.359226753589101</v>
      </c>
      <c r="L274" s="46">
        <f>(VLOOKUP($A274,'The List'!$B1:$AH730,24,FALSE)-AVERAGE('The List'!Y2:Y730))/STDEV('The List'!Y2:Y730)</f>
        <v>-0.519584688498016</v>
      </c>
      <c r="M274" s="46">
        <f>(VLOOKUP($A274,'The List'!$B1:$AH730,25,FALSE)-AVERAGE('The List'!Z2:Z730))/STDEV('The List'!Z2:Z730)</f>
        <v>-0.460149263064314</v>
      </c>
      <c r="N274" s="46">
        <f>(VLOOKUP($A274,'The List'!$B1:$AH730,26,FALSE)-AVERAGE('The List'!AA2:AA730))/STDEV('The List'!AA2:AA730)</f>
        <v>1.00952739972941</v>
      </c>
      <c r="O274" s="46">
        <f>(VLOOKUP($A274,'The List'!$B1:$AH730,27,FALSE)-AVERAGE('The List'!AB2:AB730))/STDEV('The List'!AB2:AB730)</f>
        <v>-0.329987950000062</v>
      </c>
      <c r="P274" s="46">
        <f>(VLOOKUP($A274,'The List'!$B1:$AH730,28,FALSE)-AVERAGE('The List'!AC2:AC730))/STDEV('The List'!AC2:AC730)</f>
        <v>-1.17688757978214</v>
      </c>
      <c r="Q274" s="46">
        <f>(VLOOKUP($A274,'The List'!$B1:$AH730,29,FALSE)-AVERAGE('The List'!AD2:AD730))/STDEV('The List'!AD2:AD730)</f>
        <v>-0.308052968878553</v>
      </c>
      <c r="R274" s="46">
        <f>(VLOOKUP($A274,'The List'!$B1:$AH730,30,FALSE)-AVERAGE('The List'!AE2:AE730))/STDEV('The List'!AE2:AE730)</f>
        <v>-0.75254492921001</v>
      </c>
      <c r="S274" s="46">
        <f>(VLOOKUP($A274,'The List'!$B1:$AH730,31,FALSE)-AVERAGE('The List'!AF2:AF730))/STDEV('The List'!AF2:AF730)</f>
        <v>-0.5569063253591</v>
      </c>
      <c r="T274" s="46">
        <f>(VLOOKUP($A274,'The List'!$B1:$AH730,32,FALSE)-AVERAGE('The List'!AG2:AG730))/STDEV('The List'!AG2:AG730)</f>
        <v>-0.600856269042678</v>
      </c>
      <c r="U274" s="46">
        <f>(VLOOKUP($A274,'The List'!$B1:$AH730,33,FALSE)-AVERAGE('The List'!AH2:AH730))/STDEV('The List'!AH2:AH730)</f>
        <v>-1.2363238714826</v>
      </c>
      <c r="V274" s="46"/>
      <c r="W274" s="50"/>
      <c r="X274" s="48"/>
      <c r="Y274" s="48"/>
      <c r="Z274" s="48"/>
      <c r="AA274" s="48"/>
      <c r="AB274" s="48"/>
      <c r="AC274" s="51"/>
      <c r="AD274" s="52"/>
      <c r="AE274" s="46"/>
    </row>
    <row r="275" ht="21.25" customHeight="1">
      <c r="A275" t="s" s="8">
        <v>472</v>
      </c>
      <c r="B275" t="s" s="42">
        <f>VLOOKUP(A275,'Player Data'!A1:B734,2,FALSE)</f>
        <v>258</v>
      </c>
      <c r="C275" s="44">
        <f>((E275)*'Settings'!$C$12)+(F275*'Settings'!$C$2)+(G275*'Settings'!$C$3)+(H275*'Settings'!$C$4)+(I275*'Settings'!$C$5)+(K275*'Settings'!$C$9)+(N275*'Settings'!$C$6)+(J275*'Settings'!$C$8)+(O275*'Settings'!$C$7)+(P275*'Settings'!$C$14)+(Q275*'Settings'!$C$15)+(R275*'Settings'!$C$16)+(S275*'Settings'!$C$17)+(T275*'Settings'!$C$18)+(U275*'Settings'!$C$19)+(L275*'Settings'!$C$10)+('Settings'!$C$11*M275)</f>
        <v>-1.79074357037368</v>
      </c>
      <c r="D275" s="48">
        <f>IF('Settings'!$E$12="YES",VLOOKUP(A275,'Player Data'!A1:E734,5,FALSE),82)</f>
        <v>77.3492857142857</v>
      </c>
      <c r="E275" s="46">
        <f>(VLOOKUP($A275,'The List'!$B1:$AH730,17,FALSE)-AVERAGE('The List'!R2:R730))/STDEV('The List'!R2:R730)</f>
        <v>0.0710501665133096</v>
      </c>
      <c r="F275" s="46">
        <f>(VLOOKUP($A275,'The List'!$B1:$AH730,18,FALSE)-AVERAGE('The List'!S2:S730))/STDEV('The List'!S2:S730)</f>
        <v>0.791983596201703</v>
      </c>
      <c r="G275" s="46">
        <f>(VLOOKUP($A275,'The List'!$B1:$AH730,19,FALSE)-AVERAGE('The List'!T2:T730))/STDEV('The List'!T2:T730)</f>
        <v>-0.598098863954526</v>
      </c>
      <c r="H275" s="46">
        <f>(VLOOKUP($A275,'The List'!$B1:$AH730,20,FALSE)-AVERAGE('The List'!U2:U730))/STDEV('The List'!U2:U730)</f>
        <v>-0.00835166835267293</v>
      </c>
      <c r="I275" s="46">
        <f>(VLOOKUP($A275,'The List'!$B1:$AH730,21,FALSE)-AVERAGE('The List'!V2:V730))/STDEV('The List'!V2:V730)</f>
        <v>0.709410264089987</v>
      </c>
      <c r="J275" s="46">
        <f>(VLOOKUP($A275,'The List'!$B1:$AH730,22,FALSE)-AVERAGE('The List'!W2:W730))/STDEV('The List'!W2:W730)</f>
        <v>-0.00393000784967712</v>
      </c>
      <c r="K275" s="46">
        <f>(VLOOKUP($A275,'The List'!$B1:$AH730,23,FALSE)-AVERAGE('The List'!X2:X730))/STDEV('The List'!X2:X730)</f>
        <v>-0.411482002978079</v>
      </c>
      <c r="L275" s="46">
        <f>(VLOOKUP($A275,'The List'!$B1:$AH730,24,FALSE)-AVERAGE('The List'!Y2:Y730))/STDEV('The List'!Y2:Y730)</f>
        <v>1.66515515692958</v>
      </c>
      <c r="M275" s="46">
        <f>(VLOOKUP($A275,'The List'!$B1:$AH730,25,FALSE)-AVERAGE('The List'!Z2:Z730))/STDEV('The List'!Z2:Z730)</f>
        <v>0.787863605398799</v>
      </c>
      <c r="N275" s="46">
        <f>(VLOOKUP($A275,'The List'!$B1:$AH730,26,FALSE)-AVERAGE('The List'!AA2:AA730))/STDEV('The List'!AA2:AA730)</f>
        <v>-0.245698775117278</v>
      </c>
      <c r="O275" s="46">
        <f>(VLOOKUP($A275,'The List'!$B1:$AH730,27,FALSE)-AVERAGE('The List'!AB2:AB730))/STDEV('The List'!AB2:AB730)</f>
        <v>1.22308671518779</v>
      </c>
      <c r="P275" s="46">
        <f>(VLOOKUP($A275,'The List'!$B1:$AH730,28,FALSE)-AVERAGE('The List'!AC2:AC730))/STDEV('The List'!AC2:AC730)</f>
        <v>-2.03685778861549</v>
      </c>
      <c r="Q275" s="46">
        <f>(VLOOKUP($A275,'The List'!$B1:$AH730,29,FALSE)-AVERAGE('The List'!AD2:AD730))/STDEV('The List'!AD2:AD730)</f>
        <v>1.59644724655059</v>
      </c>
      <c r="R275" s="46">
        <f>(VLOOKUP($A275,'The List'!$B1:$AH730,30,FALSE)-AVERAGE('The List'!AE2:AE730))/STDEV('The List'!AE2:AE730)</f>
        <v>0.207071403809204</v>
      </c>
      <c r="S275" s="46">
        <f>(VLOOKUP($A275,'The List'!$B1:$AH730,31,FALSE)-AVERAGE('The List'!AF2:AF730))/STDEV('The List'!AF2:AF730)</f>
        <v>-0.45132577531312</v>
      </c>
      <c r="T275" s="46">
        <f>(VLOOKUP($A275,'The List'!$B1:$AH730,32,FALSE)-AVERAGE('The List'!AG2:AG730))/STDEV('The List'!AG2:AG730)</f>
        <v>-0.479050977772365</v>
      </c>
      <c r="U275" s="46">
        <f>(VLOOKUP($A275,'The List'!$B1:$AH730,33,FALSE)-AVERAGE('The List'!AH2:AH730))/STDEV('The List'!AH2:AH730)</f>
        <v>0.917514429899704</v>
      </c>
      <c r="V275" s="46"/>
      <c r="W275" s="48"/>
      <c r="X275" s="46"/>
      <c r="Y275" s="46"/>
      <c r="Z275" s="46"/>
      <c r="AA275" s="46"/>
      <c r="AB275" s="46"/>
      <c r="AC275" s="46"/>
      <c r="AD275" s="46"/>
      <c r="AE275" s="46"/>
    </row>
    <row r="276" ht="21.25" customHeight="1">
      <c r="A276" t="s" s="8">
        <v>396</v>
      </c>
      <c r="B276" t="s" s="42">
        <f>VLOOKUP(A276,'Player Data'!A1:B734,2,FALSE)</f>
        <v>134</v>
      </c>
      <c r="C276" s="44">
        <f>((E276)*'Settings'!$C$12)+(F276*'Settings'!$C$2)+(G276*'Settings'!$C$3)+(H276*'Settings'!$C$4)+(I276*'Settings'!$C$5)+(K276*'Settings'!$C$9)+(N276*'Settings'!$C$6)+(J276*'Settings'!$C$8)+(O276*'Settings'!$C$7)+(P276*'Settings'!$C$14)+(Q276*'Settings'!$C$15)+(R276*'Settings'!$C$16)+(S276*'Settings'!$C$17)+(T276*'Settings'!$C$18)+(U276*'Settings'!$C$19)+(L276*'Settings'!$C$10)+('Settings'!$C$11*M276)</f>
        <v>-0.754739105749541</v>
      </c>
      <c r="D276" s="48">
        <f>IF('Settings'!$E$12="YES",VLOOKUP(A276,'Player Data'!A1:E734,5,FALSE),82)</f>
        <v>64.63</v>
      </c>
      <c r="E276" s="46">
        <f>(VLOOKUP($A276,'The List'!$B1:$AH730,17,FALSE)-AVERAGE('The List'!R2:R730))/STDEV('The List'!R2:R730)</f>
        <v>-0.08683144074830811</v>
      </c>
      <c r="F276" s="46">
        <f>(VLOOKUP($A276,'The List'!$B1:$AH730,18,FALSE)-AVERAGE('The List'!S2:S730))/STDEV('The List'!S2:S730)</f>
        <v>-0.919239050345031</v>
      </c>
      <c r="G276" s="46">
        <f>(VLOOKUP($A276,'The List'!$B1:$AH730,19,FALSE)-AVERAGE('The List'!T2:T730))/STDEV('The List'!T2:T730)</f>
        <v>0.235067902819463</v>
      </c>
      <c r="H276" s="46">
        <f>(VLOOKUP($A276,'The List'!$B1:$AH730,20,FALSE)-AVERAGE('The List'!U2:U730))/STDEV('The List'!U2:U730)</f>
        <v>-0.273355931457263</v>
      </c>
      <c r="I276" s="46">
        <f>(VLOOKUP($A276,'The List'!$B1:$AH730,21,FALSE)-AVERAGE('The List'!V2:V730))/STDEV('The List'!V2:V730)</f>
        <v>-0.8307848163079971</v>
      </c>
      <c r="J276" s="46">
        <f>(VLOOKUP($A276,'The List'!$B1:$AH730,22,FALSE)-AVERAGE('The List'!W2:W730))/STDEV('The List'!W2:W730)</f>
        <v>-0.5909556793667849</v>
      </c>
      <c r="K276" s="46">
        <f>(VLOOKUP($A276,'The List'!$B1:$AH730,23,FALSE)-AVERAGE('The List'!X2:X730))/STDEV('The List'!X2:X730)</f>
        <v>1.08260799344102</v>
      </c>
      <c r="L276" s="46">
        <f>(VLOOKUP($A276,'The List'!$B1:$AH730,24,FALSE)-AVERAGE('The List'!Y2:Y730))/STDEV('The List'!Y2:Y730)</f>
        <v>-0.534735594025832</v>
      </c>
      <c r="M276" s="46">
        <f>(VLOOKUP($A276,'The List'!$B1:$AH730,25,FALSE)-AVERAGE('The List'!Z2:Z730))/STDEV('The List'!Z2:Z730)</f>
        <v>-0.7037349753108449</v>
      </c>
      <c r="N276" s="46">
        <f>(VLOOKUP($A276,'The List'!$B1:$AH730,26,FALSE)-AVERAGE('The List'!AA2:AA730))/STDEV('The List'!AA2:AA730)</f>
        <v>-0.270030610664772</v>
      </c>
      <c r="O276" s="46">
        <f>(VLOOKUP($A276,'The List'!$B1:$AH730,27,FALSE)-AVERAGE('The List'!AB2:AB730))/STDEV('The List'!AB2:AB730)</f>
        <v>-0.973147322261469</v>
      </c>
      <c r="P276" s="46">
        <f>(VLOOKUP($A276,'The List'!$B1:$AH730,28,FALSE)-AVERAGE('The List'!AC2:AC730))/STDEV('The List'!AC2:AC730)</f>
        <v>-0.0523605246922236</v>
      </c>
      <c r="Q276" s="46">
        <f>(VLOOKUP($A276,'The List'!$B1:$AH730,29,FALSE)-AVERAGE('The List'!AD2:AD730))/STDEV('The List'!AD2:AD730)</f>
        <v>-0.610340725070905</v>
      </c>
      <c r="R276" s="46">
        <f>(VLOOKUP($A276,'The List'!$B1:$AH730,30,FALSE)-AVERAGE('The List'!AE2:AE730))/STDEV('The List'!AE2:AE730)</f>
        <v>-0.791280688955644</v>
      </c>
      <c r="S276" s="46">
        <f>(VLOOKUP($A276,'The List'!$B1:$AH730,31,FALSE)-AVERAGE('The List'!AF2:AF730))/STDEV('The List'!AF2:AF730)</f>
        <v>-0.5569063253591</v>
      </c>
      <c r="T276" s="46">
        <f>(VLOOKUP($A276,'The List'!$B1:$AH730,32,FALSE)-AVERAGE('The List'!AG2:AG730))/STDEV('The List'!AG2:AG730)</f>
        <v>-0.600856269042678</v>
      </c>
      <c r="U276" s="46">
        <f>(VLOOKUP($A276,'The List'!$B1:$AH730,33,FALSE)-AVERAGE('The List'!AH2:AH730))/STDEV('The List'!AH2:AH730)</f>
        <v>-1.2363238714826</v>
      </c>
      <c r="V276" s="46"/>
      <c r="W276" s="50"/>
      <c r="X276" s="48"/>
      <c r="Y276" s="48"/>
      <c r="Z276" s="48"/>
      <c r="AA276" s="48"/>
      <c r="AB276" s="48"/>
      <c r="AC276" s="51"/>
      <c r="AD276" s="52"/>
      <c r="AE276" s="46"/>
    </row>
    <row r="277" ht="21.25" customHeight="1">
      <c r="A277" t="s" s="8">
        <v>584</v>
      </c>
      <c r="B277" t="s" s="42">
        <f>VLOOKUP(A277,'Player Data'!A1:B734,2,FALSE)</f>
        <v>238</v>
      </c>
      <c r="C277" s="44">
        <f>((E277)*'Settings'!$C$12)+(F277*'Settings'!$C$2)+(G277*'Settings'!$C$3)+(H277*'Settings'!$C$4)+(I277*'Settings'!$C$5)+(K277*'Settings'!$C$9)+(N277*'Settings'!$C$6)+(J277*'Settings'!$C$8)+(O277*'Settings'!$C$7)+(P277*'Settings'!$C$14)+(Q277*'Settings'!$C$15)+(R277*'Settings'!$C$16)+(S277*'Settings'!$C$17)+(T277*'Settings'!$C$18)+(U277*'Settings'!$C$19)+(L277*'Settings'!$C$10)+('Settings'!$C$11*M277)</f>
        <v>-1.09050848585675</v>
      </c>
      <c r="D277" s="48">
        <f>IF('Settings'!$E$12="YES",VLOOKUP(A277,'Player Data'!A1:E734,5,FALSE),82)</f>
        <v>79.6696428571429</v>
      </c>
      <c r="E277" s="46">
        <f>(VLOOKUP($A277,'The List'!$B1:$AH730,17,FALSE)-AVERAGE('The List'!R2:R730))/STDEV('The List'!R2:R730)</f>
        <v>-0.541095010376771</v>
      </c>
      <c r="F277" s="46">
        <f>(VLOOKUP($A277,'The List'!$B1:$AH730,18,FALSE)-AVERAGE('The List'!S2:S730))/STDEV('The List'!S2:S730)</f>
        <v>0.395962959593432</v>
      </c>
      <c r="G277" s="46">
        <f>(VLOOKUP($A277,'The List'!$B1:$AH730,19,FALSE)-AVERAGE('The List'!T2:T730))/STDEV('The List'!T2:T730)</f>
        <v>-0.245682125553655</v>
      </c>
      <c r="H277" s="46">
        <f>(VLOOKUP($A277,'The List'!$B1:$AH730,20,FALSE)-AVERAGE('The List'!U2:U730))/STDEV('The List'!U2:U730)</f>
        <v>0.0287112866918654</v>
      </c>
      <c r="I277" s="46">
        <f>(VLOOKUP($A277,'The List'!$B1:$AH730,21,FALSE)-AVERAGE('The List'!V2:V730))/STDEV('The List'!V2:V730)</f>
        <v>0.166342065596768</v>
      </c>
      <c r="J277" s="46">
        <f>(VLOOKUP($A277,'The List'!$B1:$AH730,22,FALSE)-AVERAGE('The List'!W2:W730))/STDEV('The List'!W2:W730)</f>
        <v>-0.691028657743733</v>
      </c>
      <c r="K277" s="46">
        <f>(VLOOKUP($A277,'The List'!$B1:$AH730,23,FALSE)-AVERAGE('The List'!X2:X730))/STDEV('The List'!X2:X730)</f>
        <v>-0.78641043988902</v>
      </c>
      <c r="L277" s="46">
        <f>(VLOOKUP($A277,'The List'!$B1:$AH730,24,FALSE)-AVERAGE('The List'!Y2:Y730))/STDEV('The List'!Y2:Y730)</f>
        <v>3.10425275043946</v>
      </c>
      <c r="M277" s="46">
        <f>(VLOOKUP($A277,'The List'!$B1:$AH730,25,FALSE)-AVERAGE('The List'!Z2:Z730))/STDEV('The List'!Z2:Z730)</f>
        <v>3.12612762653541</v>
      </c>
      <c r="N277" s="46">
        <f>(VLOOKUP($A277,'The List'!$B1:$AH730,26,FALSE)-AVERAGE('The List'!AA2:AA730))/STDEV('The List'!AA2:AA730)</f>
        <v>-0.498090630563749</v>
      </c>
      <c r="O277" s="46">
        <f>(VLOOKUP($A277,'The List'!$B1:$AH730,27,FALSE)-AVERAGE('The List'!AB2:AB730))/STDEV('The List'!AB2:AB730)</f>
        <v>-1.24258273702864</v>
      </c>
      <c r="P277" s="46">
        <f>(VLOOKUP($A277,'The List'!$B1:$AH730,28,FALSE)-AVERAGE('The List'!AC2:AC730))/STDEV('The List'!AC2:AC730)</f>
        <v>-0.122630315040523</v>
      </c>
      <c r="Q277" s="46">
        <f>(VLOOKUP($A277,'The List'!$B1:$AH730,29,FALSE)-AVERAGE('The List'!AD2:AD730))/STDEV('The List'!AD2:AD730)</f>
        <v>-1.0952051914837</v>
      </c>
      <c r="R277" s="46">
        <f>(VLOOKUP($A277,'The List'!$B1:$AH730,30,FALSE)-AVERAGE('The List'!AE2:AE730))/STDEV('The List'!AE2:AE730)</f>
        <v>0.654745052549785</v>
      </c>
      <c r="S277" s="46">
        <f>(VLOOKUP($A277,'The List'!$B1:$AH730,31,FALSE)-AVERAGE('The List'!AF2:AF730))/STDEV('The List'!AF2:AF730)</f>
        <v>-0.370357739420838</v>
      </c>
      <c r="T277" s="46">
        <f>(VLOOKUP($A277,'The List'!$B1:$AH730,32,FALSE)-AVERAGE('The List'!AG2:AG730))/STDEV('The List'!AG2:AG730)</f>
        <v>-0.235389937589706</v>
      </c>
      <c r="U277" s="46">
        <f>(VLOOKUP($A277,'The List'!$B1:$AH730,33,FALSE)-AVERAGE('The List'!AH2:AH730))/STDEV('The List'!AH2:AH730)</f>
        <v>0.341351405427199</v>
      </c>
      <c r="V277" s="46"/>
      <c r="W277" s="50"/>
      <c r="X277" s="48"/>
      <c r="Y277" s="48"/>
      <c r="Z277" s="48"/>
      <c r="AA277" s="48"/>
      <c r="AB277" s="48"/>
      <c r="AC277" s="51"/>
      <c r="AD277" s="52"/>
      <c r="AE277" s="46"/>
    </row>
    <row r="278" ht="21.25" customHeight="1">
      <c r="A278" t="s" s="8">
        <v>561</v>
      </c>
      <c r="B278" t="s" s="42">
        <f>VLOOKUP(A278,'Player Data'!A1:B734,2,FALSE)</f>
        <v>149</v>
      </c>
      <c r="C278" s="44">
        <f>((E278)*'Settings'!$C$12)+(F278*'Settings'!$C$2)+(G278*'Settings'!$C$3)+(H278*'Settings'!$C$4)+(I278*'Settings'!$C$5)+(K278*'Settings'!$C$9)+(N278*'Settings'!$C$6)+(J278*'Settings'!$C$8)+(O278*'Settings'!$C$7)+(P278*'Settings'!$C$14)+(Q278*'Settings'!$C$15)+(R278*'Settings'!$C$16)+(S278*'Settings'!$C$17)+(T278*'Settings'!$C$18)+(U278*'Settings'!$C$19)+(L278*'Settings'!$C$10)+('Settings'!$C$11*M278)</f>
        <v>-0.961035073128666</v>
      </c>
      <c r="D278" s="48">
        <f>IF('Settings'!$E$12="YES",VLOOKUP(A278,'Player Data'!A1:E734,5,FALSE),82)</f>
        <v>78.36499999999999</v>
      </c>
      <c r="E278" s="46">
        <f>(VLOOKUP($A278,'The List'!$B1:$AH730,17,FALSE)-AVERAGE('The List'!R2:R730))/STDEV('The List'!R2:R730)</f>
        <v>-0.473617787795673</v>
      </c>
      <c r="F278" s="46">
        <f>(VLOOKUP($A278,'The List'!$B1:$AH730,18,FALSE)-AVERAGE('The List'!S2:S730))/STDEV('The List'!S2:S730)</f>
        <v>0.423325040514003</v>
      </c>
      <c r="G278" s="46">
        <f>(VLOOKUP($A278,'The List'!$B1:$AH730,19,FALSE)-AVERAGE('The List'!T2:T730))/STDEV('The List'!T2:T730)</f>
        <v>-0.328085770431931</v>
      </c>
      <c r="H278" s="46">
        <f>(VLOOKUP($A278,'The List'!$B1:$AH730,20,FALSE)-AVERAGE('The List'!U2:U730))/STDEV('The List'!U2:U730)</f>
        <v>-0.00963918170408759</v>
      </c>
      <c r="I278" s="46">
        <f>(VLOOKUP($A278,'The List'!$B1:$AH730,21,FALSE)-AVERAGE('The List'!V2:V730))/STDEV('The List'!V2:V730)</f>
        <v>0.310869831602856</v>
      </c>
      <c r="J278" s="46">
        <f>(VLOOKUP($A278,'The List'!$B1:$AH730,22,FALSE)-AVERAGE('The List'!W2:W730))/STDEV('The List'!W2:W730)</f>
        <v>-0.469141135855454</v>
      </c>
      <c r="K278" s="46">
        <f>(VLOOKUP($A278,'The List'!$B1:$AH730,23,FALSE)-AVERAGE('The List'!X2:X730))/STDEV('The List'!X2:X730)</f>
        <v>-0.53686662751628</v>
      </c>
      <c r="L278" s="46">
        <f>(VLOOKUP($A278,'The List'!$B1:$AH730,24,FALSE)-AVERAGE('The List'!Y2:Y730))/STDEV('The List'!Y2:Y730)</f>
        <v>0.190942136975161</v>
      </c>
      <c r="M278" s="46">
        <f>(VLOOKUP($A278,'The List'!$B1:$AH730,25,FALSE)-AVERAGE('The List'!Z2:Z730))/STDEV('The List'!Z2:Z730)</f>
        <v>-0.0179471749225266</v>
      </c>
      <c r="N278" s="46">
        <f>(VLOOKUP($A278,'The List'!$B1:$AH730,26,FALSE)-AVERAGE('The List'!AA2:AA730))/STDEV('The List'!AA2:AA730)</f>
        <v>-1.19129262752307</v>
      </c>
      <c r="O278" s="46">
        <f>(VLOOKUP($A278,'The List'!$B1:$AH730,27,FALSE)-AVERAGE('The List'!AB2:AB730))/STDEV('The List'!AB2:AB730)</f>
        <v>-0.611138482237313</v>
      </c>
      <c r="P278" s="46">
        <f>(VLOOKUP($A278,'The List'!$B1:$AH730,28,FALSE)-AVERAGE('The List'!AC2:AC730))/STDEV('The List'!AC2:AC730)</f>
        <v>0.361015080225756</v>
      </c>
      <c r="Q278" s="46">
        <f>(VLOOKUP($A278,'The List'!$B1:$AH730,29,FALSE)-AVERAGE('The List'!AD2:AD730))/STDEV('The List'!AD2:AD730)</f>
        <v>-0.157802076958591</v>
      </c>
      <c r="R278" s="46">
        <f>(VLOOKUP($A278,'The List'!$B1:$AH730,30,FALSE)-AVERAGE('The List'!AE2:AE730))/STDEV('The List'!AE2:AE730)</f>
        <v>0.543830595714586</v>
      </c>
      <c r="S278" s="46">
        <f>(VLOOKUP($A278,'The List'!$B1:$AH730,31,FALSE)-AVERAGE('The List'!AF2:AF730))/STDEV('The List'!AF2:AF730)</f>
        <v>-0.3075676255599</v>
      </c>
      <c r="T278" s="46">
        <f>(VLOOKUP($A278,'The List'!$B1:$AH730,32,FALSE)-AVERAGE('The List'!AG2:AG730))/STDEV('The List'!AG2:AG730)</f>
        <v>-0.30125613835677</v>
      </c>
      <c r="U278" s="46">
        <f>(VLOOKUP($A278,'The List'!$B1:$AH730,33,FALSE)-AVERAGE('The List'!AH2:AH730))/STDEV('The List'!AH2:AH730)</f>
        <v>0.871722886205223</v>
      </c>
      <c r="V278" s="46"/>
      <c r="W278" s="48"/>
      <c r="X278" s="46"/>
      <c r="Y278" s="46"/>
      <c r="Z278" s="46"/>
      <c r="AA278" s="46"/>
      <c r="AB278" s="46"/>
      <c r="AC278" s="46"/>
      <c r="AD278" s="46"/>
      <c r="AE278" s="46"/>
    </row>
    <row r="279" ht="21.25" customHeight="1">
      <c r="A279" t="s" s="8">
        <v>314</v>
      </c>
      <c r="B279" t="s" s="42">
        <f>VLOOKUP(A279,'Player Data'!A1:B734,2,FALSE)</f>
        <v>108</v>
      </c>
      <c r="C279" s="44">
        <f>((E279)*'Settings'!$C$12)+(F279*'Settings'!$C$2)+(G279*'Settings'!$C$3)+(H279*'Settings'!$C$4)+(I279*'Settings'!$C$5)+(K279*'Settings'!$C$9)+(N279*'Settings'!$C$6)+(J279*'Settings'!$C$8)+(O279*'Settings'!$C$7)+(P279*'Settings'!$C$14)+(Q279*'Settings'!$C$15)+(R279*'Settings'!$C$16)+(S279*'Settings'!$C$17)+(T279*'Settings'!$C$18)+(U279*'Settings'!$C$19)+(L279*'Settings'!$C$10)+('Settings'!$C$11*M279)</f>
        <v>4.02013070427645</v>
      </c>
      <c r="D279" s="48">
        <f>IF('Settings'!$E$12="YES",VLOOKUP(A279,'Player Data'!A1:E734,5,FALSE),82)</f>
        <v>80.5175</v>
      </c>
      <c r="E279" s="46">
        <f>(VLOOKUP($A279,'The List'!$B1:$AH730,17,FALSE)-AVERAGE('The List'!R2:R730))/STDEV('The List'!R2:R730)</f>
        <v>1.43531024945586</v>
      </c>
      <c r="F279" s="46">
        <f>(VLOOKUP($A279,'The List'!$B1:$AH730,18,FALSE)-AVERAGE('The List'!S2:S730))/STDEV('The List'!S2:S730)</f>
        <v>-0.191743240116295</v>
      </c>
      <c r="G279" s="46">
        <f>(VLOOKUP($A279,'The List'!$B1:$AH730,19,FALSE)-AVERAGE('The List'!T2:T730))/STDEV('The List'!T2:T730)</f>
        <v>0.195303256247837</v>
      </c>
      <c r="H279" s="46">
        <f>(VLOOKUP($A279,'The List'!$B1:$AH730,20,FALSE)-AVERAGE('The List'!U2:U730))/STDEV('The List'!U2:U730)</f>
        <v>0.0331548706760426</v>
      </c>
      <c r="I279" s="46">
        <f>(VLOOKUP($A279,'The List'!$B1:$AH730,21,FALSE)-AVERAGE('The List'!V2:V730))/STDEV('The List'!V2:V730)</f>
        <v>0.834969958836326</v>
      </c>
      <c r="J279" s="46">
        <f>(VLOOKUP($A279,'The List'!$B1:$AH730,22,FALSE)-AVERAGE('The List'!W2:W730))/STDEV('The List'!W2:W730)</f>
        <v>-0.64463411196619</v>
      </c>
      <c r="K279" s="46">
        <f>(VLOOKUP($A279,'The List'!$B1:$AH730,23,FALSE)-AVERAGE('The List'!X2:X730))/STDEV('The List'!X2:X730)</f>
        <v>-0.481559914626159</v>
      </c>
      <c r="L279" s="46">
        <f>(VLOOKUP($A279,'The List'!$B1:$AH730,24,FALSE)-AVERAGE('The List'!Y2:Y730))/STDEV('The List'!Y2:Y730)</f>
        <v>2.06366358990064</v>
      </c>
      <c r="M279" s="46">
        <f>(VLOOKUP($A279,'The List'!$B1:$AH730,25,FALSE)-AVERAGE('The List'!Z2:Z730))/STDEV('The List'!Z2:Z730)</f>
        <v>1.28974232210175</v>
      </c>
      <c r="N279" s="46">
        <f>(VLOOKUP($A279,'The List'!$B1:$AH730,26,FALSE)-AVERAGE('The List'!AA2:AA730))/STDEV('The List'!AA2:AA730)</f>
        <v>2.19300774761201</v>
      </c>
      <c r="O279" s="46">
        <f>(VLOOKUP($A279,'The List'!$B1:$AH730,27,FALSE)-AVERAGE('The List'!AB2:AB730))/STDEV('The List'!AB2:AB730)</f>
        <v>1.18807552724191</v>
      </c>
      <c r="P279" s="46">
        <f>(VLOOKUP($A279,'The List'!$B1:$AH730,28,FALSE)-AVERAGE('The List'!AC2:AC730))/STDEV('The List'!AC2:AC730)</f>
        <v>1.47015289632273</v>
      </c>
      <c r="Q279" s="46">
        <f>(VLOOKUP($A279,'The List'!$B1:$AH730,29,FALSE)-AVERAGE('The List'!AD2:AD730))/STDEV('The List'!AD2:AD730)</f>
        <v>1.6933602605557</v>
      </c>
      <c r="R279" s="46">
        <f>(VLOOKUP($A279,'The List'!$B1:$AH730,30,FALSE)-AVERAGE('The List'!AE2:AE730))/STDEV('The List'!AE2:AE730)</f>
        <v>-0.0475556879395326</v>
      </c>
      <c r="S279" s="46">
        <f>(VLOOKUP($A279,'The List'!$B1:$AH730,31,FALSE)-AVERAGE('The List'!AF2:AF730))/STDEV('The List'!AF2:AF730)</f>
        <v>-0.5569063253591</v>
      </c>
      <c r="T279" s="46">
        <f>(VLOOKUP($A279,'The List'!$B1:$AH730,32,FALSE)-AVERAGE('The List'!AG2:AG730))/STDEV('The List'!AG2:AG730)</f>
        <v>-0.600856269042678</v>
      </c>
      <c r="U279" s="46">
        <f>(VLOOKUP($A279,'The List'!$B1:$AH730,33,FALSE)-AVERAGE('The List'!AH2:AH730))/STDEV('The List'!AH2:AH730)</f>
        <v>-1.2363238714826</v>
      </c>
      <c r="V279" s="46"/>
      <c r="W279" s="50"/>
      <c r="X279" s="48"/>
      <c r="Y279" s="48"/>
      <c r="Z279" s="48"/>
      <c r="AA279" s="48"/>
      <c r="AB279" s="48"/>
      <c r="AC279" s="51"/>
      <c r="AD279" s="52"/>
      <c r="AE279" s="46"/>
    </row>
    <row r="280" ht="21.25" customHeight="1">
      <c r="A280" t="s" s="8">
        <v>660</v>
      </c>
      <c r="B280" t="s" s="42">
        <f>VLOOKUP(A280,'Player Data'!A1:B734,2,FALSE)</f>
        <v>113</v>
      </c>
      <c r="C280" s="44">
        <f>((E280)*'Settings'!$C$12)+(F280*'Settings'!$C$2)+(G280*'Settings'!$C$3)+(H280*'Settings'!$C$4)+(I280*'Settings'!$C$5)+(K280*'Settings'!$C$9)+(N280*'Settings'!$C$6)+(J280*'Settings'!$C$8)+(O280*'Settings'!$C$7)+(P280*'Settings'!$C$14)+(Q280*'Settings'!$C$15)+(R280*'Settings'!$C$16)+(S280*'Settings'!$C$17)+(T280*'Settings'!$C$18)+(U280*'Settings'!$C$19)+(L280*'Settings'!$C$10)+('Settings'!$C$11*M280)</f>
        <v>-1.70410361763426</v>
      </c>
      <c r="D280" s="48">
        <f>IF('Settings'!$E$12="YES",VLOOKUP(A280,'Player Data'!A1:E734,5,FALSE),82)</f>
        <v>69.41285714285711</v>
      </c>
      <c r="E280" s="46">
        <f>(VLOOKUP($A280,'The List'!$B1:$AH730,17,FALSE)-AVERAGE('The List'!R2:R730))/STDEV('The List'!R2:R730)</f>
        <v>-0.621062526095486</v>
      </c>
      <c r="F280" s="46">
        <f>(VLOOKUP($A280,'The List'!$B1:$AH730,18,FALSE)-AVERAGE('The List'!S2:S730))/STDEV('The List'!S2:S730)</f>
        <v>-0.694159210157471</v>
      </c>
      <c r="G280" s="46">
        <f>(VLOOKUP($A280,'The List'!$B1:$AH730,19,FALSE)-AVERAGE('The List'!T2:T730))/STDEV('The List'!T2:T730)</f>
        <v>0.180212023493355</v>
      </c>
      <c r="H280" s="46">
        <f>(VLOOKUP($A280,'The List'!$B1:$AH730,20,FALSE)-AVERAGE('The List'!U2:U730))/STDEV('The List'!U2:U730)</f>
        <v>-0.20475801863494</v>
      </c>
      <c r="I280" s="46">
        <f>(VLOOKUP($A280,'The List'!$B1:$AH730,21,FALSE)-AVERAGE('The List'!V2:V730))/STDEV('The List'!V2:V730)</f>
        <v>-0.666940070255146</v>
      </c>
      <c r="J280" s="46">
        <f>(VLOOKUP($A280,'The List'!$B1:$AH730,22,FALSE)-AVERAGE('The List'!W2:W730))/STDEV('The List'!W2:W730)</f>
        <v>-0.588408944191095</v>
      </c>
      <c r="K280" s="46">
        <f>(VLOOKUP($A280,'The List'!$B1:$AH730,23,FALSE)-AVERAGE('The List'!X2:X730))/STDEV('The List'!X2:X730)</f>
        <v>-0.215399714114914</v>
      </c>
      <c r="L280" s="46">
        <f>(VLOOKUP($A280,'The List'!$B1:$AH730,24,FALSE)-AVERAGE('The List'!Y2:Y730))/STDEV('The List'!Y2:Y730)</f>
        <v>-0.533617477327914</v>
      </c>
      <c r="M280" s="46">
        <f>(VLOOKUP($A280,'The List'!$B1:$AH730,25,FALSE)-AVERAGE('The List'!Z2:Z730))/STDEV('The List'!Z2:Z730)</f>
        <v>-0.7109883266322981</v>
      </c>
      <c r="N280" s="46">
        <f>(VLOOKUP($A280,'The List'!$B1:$AH730,26,FALSE)-AVERAGE('The List'!AA2:AA730))/STDEV('The List'!AA2:AA730)</f>
        <v>-0.85207981719255</v>
      </c>
      <c r="O280" s="46">
        <f>(VLOOKUP($A280,'The List'!$B1:$AH730,27,FALSE)-AVERAGE('The List'!AB2:AB730))/STDEV('The List'!AB2:AB730)</f>
        <v>-0.963663443539734</v>
      </c>
      <c r="P280" s="46">
        <f>(VLOOKUP($A280,'The List'!$B1:$AH730,28,FALSE)-AVERAGE('The List'!AC2:AC730))/STDEV('The List'!AC2:AC730)</f>
        <v>0.544263170592466</v>
      </c>
      <c r="Q280" s="46">
        <f>(VLOOKUP($A280,'The List'!$B1:$AH730,29,FALSE)-AVERAGE('The List'!AD2:AD730))/STDEV('The List'!AD2:AD730)</f>
        <v>-0.564818944114308</v>
      </c>
      <c r="R280" s="46">
        <f>(VLOOKUP($A280,'The List'!$B1:$AH730,30,FALSE)-AVERAGE('The List'!AE2:AE730))/STDEV('The List'!AE2:AE730)</f>
        <v>-0.565337861362693</v>
      </c>
      <c r="S280" s="46">
        <f>(VLOOKUP($A280,'The List'!$B1:$AH730,31,FALSE)-AVERAGE('The List'!AF2:AF730))/STDEV('The List'!AF2:AF730)</f>
        <v>0.232184555891808</v>
      </c>
      <c r="T280" s="46">
        <f>(VLOOKUP($A280,'The List'!$B1:$AH730,32,FALSE)-AVERAGE('The List'!AG2:AG730))/STDEV('The List'!AG2:AG730)</f>
        <v>0.384014520157575</v>
      </c>
      <c r="U280" s="46">
        <f>(VLOOKUP($A280,'The List'!$B1:$AH730,33,FALSE)-AVERAGE('The List'!AH2:AH730))/STDEV('The List'!AH2:AH730)</f>
        <v>0.829074676573293</v>
      </c>
      <c r="V280" s="46"/>
      <c r="W280" s="48"/>
      <c r="X280" s="46"/>
      <c r="Y280" s="46"/>
      <c r="Z280" s="46"/>
      <c r="AA280" s="46"/>
      <c r="AB280" s="46"/>
      <c r="AC280" s="46"/>
      <c r="AD280" s="46"/>
      <c r="AE280" s="46"/>
    </row>
    <row r="281" ht="21.25" customHeight="1">
      <c r="A281" t="s" s="8">
        <v>514</v>
      </c>
      <c r="B281" t="s" s="42">
        <f>VLOOKUP(A281,'Player Data'!A1:B734,2,FALSE)</f>
        <v>122</v>
      </c>
      <c r="C281" s="44">
        <f>((E281)*'Settings'!$C$12)+(F281*'Settings'!$C$2)+(G281*'Settings'!$C$3)+(H281*'Settings'!$C$4)+(I281*'Settings'!$C$5)+(K281*'Settings'!$C$9)+(N281*'Settings'!$C$6)+(J281*'Settings'!$C$8)+(O281*'Settings'!$C$7)+(P281*'Settings'!$C$14)+(Q281*'Settings'!$C$15)+(R281*'Settings'!$C$16)+(S281*'Settings'!$C$17)+(T281*'Settings'!$C$18)+(U281*'Settings'!$C$19)+(L281*'Settings'!$C$10)+('Settings'!$C$11*M281)</f>
        <v>0.406229109824415</v>
      </c>
      <c r="D281" s="48">
        <f>IF('Settings'!$E$12="YES",VLOOKUP(A281,'Player Data'!A1:E734,5,FALSE),82)</f>
        <v>78.30249999999999</v>
      </c>
      <c r="E281" s="46">
        <f>(VLOOKUP($A281,'The List'!$B1:$AH730,17,FALSE)-AVERAGE('The List'!R2:R730))/STDEV('The List'!R2:R730)</f>
        <v>-0.314176060483047</v>
      </c>
      <c r="F281" s="46">
        <f>(VLOOKUP($A281,'The List'!$B1:$AH730,18,FALSE)-AVERAGE('The List'!S2:S730))/STDEV('The List'!S2:S730)</f>
        <v>0.336976051819403</v>
      </c>
      <c r="G281" s="46">
        <f>(VLOOKUP($A281,'The List'!$B1:$AH730,19,FALSE)-AVERAGE('The List'!T2:T730))/STDEV('The List'!T2:T730)</f>
        <v>-0.299373427950588</v>
      </c>
      <c r="H281" s="46">
        <f>(VLOOKUP($A281,'The List'!$B1:$AH730,20,FALSE)-AVERAGE('The List'!U2:U730))/STDEV('The List'!U2:U730)</f>
        <v>-0.0312289215954892</v>
      </c>
      <c r="I281" s="46">
        <f>(VLOOKUP($A281,'The List'!$B1:$AH730,21,FALSE)-AVERAGE('The List'!V2:V730))/STDEV('The List'!V2:V730)</f>
        <v>0.432981355431355</v>
      </c>
      <c r="J281" s="46">
        <f>(VLOOKUP($A281,'The List'!$B1:$AH730,22,FALSE)-AVERAGE('The List'!W2:W730))/STDEV('The List'!W2:W730)</f>
        <v>0.609185340485172</v>
      </c>
      <c r="K281" s="46">
        <f>(VLOOKUP($A281,'The List'!$B1:$AH730,23,FALSE)-AVERAGE('The List'!X2:X730))/STDEV('The List'!X2:X730)</f>
        <v>-0.08451771000792881</v>
      </c>
      <c r="L281" s="46">
        <f>(VLOOKUP($A281,'The List'!$B1:$AH730,24,FALSE)-AVERAGE('The List'!Y2:Y730))/STDEV('The List'!Y2:Y730)</f>
        <v>-0.538639534473125</v>
      </c>
      <c r="M281" s="46">
        <f>(VLOOKUP($A281,'The List'!$B1:$AH730,25,FALSE)-AVERAGE('The List'!Z2:Z730))/STDEV('The List'!Z2:Z730)</f>
        <v>-0.717030339879158</v>
      </c>
      <c r="N281" s="46">
        <f>(VLOOKUP($A281,'The List'!$B1:$AH730,26,FALSE)-AVERAGE('The List'!AA2:AA730))/STDEV('The List'!AA2:AA730)</f>
        <v>-0.8427331808341471</v>
      </c>
      <c r="O281" s="46">
        <f>(VLOOKUP($A281,'The List'!$B1:$AH730,27,FALSE)-AVERAGE('The List'!AB2:AB730))/STDEV('The List'!AB2:AB730)</f>
        <v>-1.17009808093739</v>
      </c>
      <c r="P281" s="46">
        <f>(VLOOKUP($A281,'The List'!$B1:$AH730,28,FALSE)-AVERAGE('The List'!AC2:AC730))/STDEV('The List'!AC2:AC730)</f>
        <v>0.862896021366321</v>
      </c>
      <c r="Q281" s="46">
        <f>(VLOOKUP($A281,'The List'!$B1:$AH730,29,FALSE)-AVERAGE('The List'!AD2:AD730))/STDEV('The List'!AD2:AD730)</f>
        <v>-0.26633443668781</v>
      </c>
      <c r="R281" s="46">
        <f>(VLOOKUP($A281,'The List'!$B1:$AH730,30,FALSE)-AVERAGE('The List'!AE2:AE730))/STDEV('The List'!AE2:AE730)</f>
        <v>0.598914916593638</v>
      </c>
      <c r="S281" s="46">
        <f>(VLOOKUP($A281,'The List'!$B1:$AH730,31,FALSE)-AVERAGE('The List'!AF2:AF730))/STDEV('The List'!AF2:AF730)</f>
        <v>-0.5124353481360709</v>
      </c>
      <c r="T281" s="46">
        <f>(VLOOKUP($A281,'The List'!$B1:$AH730,32,FALSE)-AVERAGE('The List'!AG2:AG730))/STDEV('The List'!AG2:AG730)</f>
        <v>-0.546948236630421</v>
      </c>
      <c r="U281" s="46">
        <f>(VLOOKUP($A281,'The List'!$B1:$AH730,33,FALSE)-AVERAGE('The List'!AH2:AH730))/STDEV('The List'!AH2:AH730)</f>
        <v>0.861826790406265</v>
      </c>
      <c r="V281" s="46"/>
      <c r="W281" s="50"/>
      <c r="X281" s="48"/>
      <c r="Y281" s="48"/>
      <c r="Z281" s="48"/>
      <c r="AA281" s="48"/>
      <c r="AB281" s="48"/>
      <c r="AC281" s="51"/>
      <c r="AD281" s="52"/>
      <c r="AE281" s="46"/>
    </row>
    <row r="282" ht="21.25" customHeight="1">
      <c r="A282" t="s" s="8">
        <v>626</v>
      </c>
      <c r="B282" t="s" s="42">
        <f>VLOOKUP(A282,'Player Data'!A1:B734,2,FALSE)</f>
        <v>225</v>
      </c>
      <c r="C282" s="44">
        <f>((E282)*'Settings'!$C$12)+(F282*'Settings'!$C$2)+(G282*'Settings'!$C$3)+(H282*'Settings'!$C$4)+(I282*'Settings'!$C$5)+(K282*'Settings'!$C$9)+(N282*'Settings'!$C$6)+(J282*'Settings'!$C$8)+(O282*'Settings'!$C$7)+(P282*'Settings'!$C$14)+(Q282*'Settings'!$C$15)+(R282*'Settings'!$C$16)+(S282*'Settings'!$C$17)+(T282*'Settings'!$C$18)+(U282*'Settings'!$C$19)+(L282*'Settings'!$C$10)+('Settings'!$C$11*M282)</f>
        <v>-2.66738486961567</v>
      </c>
      <c r="D282" s="48">
        <f>IF('Settings'!$E$12="YES",VLOOKUP(A282,'Player Data'!A1:E734,5,FALSE),82)</f>
        <v>73.375</v>
      </c>
      <c r="E282" s="46">
        <f>(VLOOKUP($A282,'The List'!$B1:$AH730,17,FALSE)-AVERAGE('The List'!R2:R730))/STDEV('The List'!R2:R730)</f>
        <v>-0.602468385123703</v>
      </c>
      <c r="F282" s="46">
        <f>(VLOOKUP($A282,'The List'!$B1:$AH730,18,FALSE)-AVERAGE('The List'!S2:S730))/STDEV('The List'!S2:S730)</f>
        <v>0.335650692345916</v>
      </c>
      <c r="G282" s="46">
        <f>(VLOOKUP($A282,'The List'!$B1:$AH730,19,FALSE)-AVERAGE('The List'!T2:T730))/STDEV('The List'!T2:T730)</f>
        <v>-0.460159644089111</v>
      </c>
      <c r="H282" s="46">
        <f>(VLOOKUP($A282,'The List'!$B1:$AH730,20,FALSE)-AVERAGE('The List'!U2:U730))/STDEV('The List'!U2:U730)</f>
        <v>-0.130954575664057</v>
      </c>
      <c r="I282" s="46">
        <f>(VLOOKUP($A282,'The List'!$B1:$AH730,21,FALSE)-AVERAGE('The List'!V2:V730))/STDEV('The List'!V2:V730)</f>
        <v>-0.0619253121102421</v>
      </c>
      <c r="J282" s="46">
        <f>(VLOOKUP($A282,'The List'!$B1:$AH730,22,FALSE)-AVERAGE('The List'!W2:W730))/STDEV('The List'!W2:W730)</f>
        <v>-0.584873897925215</v>
      </c>
      <c r="K282" s="46">
        <f>(VLOOKUP($A282,'The List'!$B1:$AH730,23,FALSE)-AVERAGE('The List'!X2:X730))/STDEV('The List'!X2:X730)</f>
        <v>-0.677167776604104</v>
      </c>
      <c r="L282" s="46">
        <f>(VLOOKUP($A282,'The List'!$B1:$AH730,24,FALSE)-AVERAGE('The List'!Y2:Y730))/STDEV('The List'!Y2:Y730)</f>
        <v>-0.0816067764385052</v>
      </c>
      <c r="M282" s="46">
        <f>(VLOOKUP($A282,'The List'!$B1:$AH730,25,FALSE)-AVERAGE('The List'!Z2:Z730))/STDEV('The List'!Z2:Z730)</f>
        <v>-0.200146271056746</v>
      </c>
      <c r="N282" s="46">
        <f>(VLOOKUP($A282,'The List'!$B1:$AH730,26,FALSE)-AVERAGE('The List'!AA2:AA730))/STDEV('The List'!AA2:AA730)</f>
        <v>-0.50916830992215</v>
      </c>
      <c r="O282" s="46">
        <f>(VLOOKUP($A282,'The List'!$B1:$AH730,27,FALSE)-AVERAGE('The List'!AB2:AB730))/STDEV('The List'!AB2:AB730)</f>
        <v>-0.764272856792967</v>
      </c>
      <c r="P282" s="46">
        <f>(VLOOKUP($A282,'The List'!$B1:$AH730,28,FALSE)-AVERAGE('The List'!AC2:AC730))/STDEV('The List'!AC2:AC730)</f>
        <v>-1.29461451923598</v>
      </c>
      <c r="Q282" s="46">
        <f>(VLOOKUP($A282,'The List'!$B1:$AH730,29,FALSE)-AVERAGE('The List'!AD2:AD730))/STDEV('The List'!AD2:AD730)</f>
        <v>-0.643932743374151</v>
      </c>
      <c r="R282" s="46">
        <f>(VLOOKUP($A282,'The List'!$B1:$AH730,30,FALSE)-AVERAGE('The List'!AE2:AE730))/STDEV('The List'!AE2:AE730)</f>
        <v>0.059329164909413</v>
      </c>
      <c r="S282" s="46">
        <f>(VLOOKUP($A282,'The List'!$B1:$AH730,31,FALSE)-AVERAGE('The List'!AF2:AF730))/STDEV('The List'!AF2:AF730)</f>
        <v>1.66822676980092</v>
      </c>
      <c r="T282" s="46">
        <f>(VLOOKUP($A282,'The List'!$B1:$AH730,32,FALSE)-AVERAGE('The List'!AG2:AG730))/STDEV('The List'!AG2:AG730)</f>
        <v>1.5533162459864</v>
      </c>
      <c r="U282" s="46">
        <f>(VLOOKUP($A282,'The List'!$B1:$AH730,33,FALSE)-AVERAGE('The List'!AH2:AH730))/STDEV('The List'!AH2:AH730)</f>
        <v>1.11538280005753</v>
      </c>
      <c r="V282" s="46"/>
      <c r="W282" s="48"/>
      <c r="X282" s="46"/>
      <c r="Y282" s="46"/>
      <c r="Z282" s="46"/>
      <c r="AA282" s="46"/>
      <c r="AB282" s="46"/>
      <c r="AC282" s="46"/>
      <c r="AD282" s="46"/>
      <c r="AE282" s="46"/>
    </row>
    <row r="283" ht="21.25" customHeight="1">
      <c r="A283" t="s" s="8">
        <v>526</v>
      </c>
      <c r="B283" t="s" s="42">
        <f>VLOOKUP(A283,'Player Data'!A1:B734,2,FALSE)</f>
        <v>248</v>
      </c>
      <c r="C283" s="44">
        <f>((E283)*'Settings'!$C$12)+(F283*'Settings'!$C$2)+(G283*'Settings'!$C$3)+(H283*'Settings'!$C$4)+(I283*'Settings'!$C$5)+(K283*'Settings'!$C$9)+(N283*'Settings'!$C$6)+(J283*'Settings'!$C$8)+(O283*'Settings'!$C$7)+(P283*'Settings'!$C$14)+(Q283*'Settings'!$C$15)+(R283*'Settings'!$C$16)+(S283*'Settings'!$C$17)+(T283*'Settings'!$C$18)+(U283*'Settings'!$C$19)+(L283*'Settings'!$C$10)+('Settings'!$C$11*M283)</f>
        <v>-0.168023939396486</v>
      </c>
      <c r="D283" s="48">
        <f>IF('Settings'!$E$12="YES",VLOOKUP(A283,'Player Data'!A1:E734,5,FALSE),82)</f>
        <v>73</v>
      </c>
      <c r="E283" s="46">
        <f>(VLOOKUP($A283,'The List'!$B1:$AH730,17,FALSE)-AVERAGE('The List'!R2:R730))/STDEV('The List'!R2:R730)</f>
        <v>-0.624705756763611</v>
      </c>
      <c r="F283" s="46">
        <f>(VLOOKUP($A283,'The List'!$B1:$AH730,18,FALSE)-AVERAGE('The List'!S2:S730))/STDEV('The List'!S2:S730)</f>
        <v>0.366018784363025</v>
      </c>
      <c r="G283" s="46">
        <f>(VLOOKUP($A283,'The List'!$B1:$AH730,19,FALSE)-AVERAGE('The List'!T2:T730))/STDEV('The List'!T2:T730)</f>
        <v>-0.494947641457922</v>
      </c>
      <c r="H283" s="46">
        <f>(VLOOKUP($A283,'The List'!$B1:$AH730,20,FALSE)-AVERAGE('The List'!U2:U730))/STDEV('The List'!U2:U730)</f>
        <v>-0.138582827878594</v>
      </c>
      <c r="I283" s="46">
        <f>(VLOOKUP($A283,'The List'!$B1:$AH730,21,FALSE)-AVERAGE('The List'!V2:V730))/STDEV('The List'!V2:V730)</f>
        <v>0.0368669539245876</v>
      </c>
      <c r="J283" s="46">
        <f>(VLOOKUP($A283,'The List'!$B1:$AH730,22,FALSE)-AVERAGE('The List'!W2:W730))/STDEV('The List'!W2:W730)</f>
        <v>0.314949983969909</v>
      </c>
      <c r="K283" s="46">
        <f>(VLOOKUP($A283,'The List'!$B1:$AH730,23,FALSE)-AVERAGE('The List'!X2:X730))/STDEV('The List'!X2:X730)</f>
        <v>0.0911270149471828</v>
      </c>
      <c r="L283" s="46">
        <f>(VLOOKUP($A283,'The List'!$B1:$AH730,24,FALSE)-AVERAGE('The List'!Y2:Y730))/STDEV('The List'!Y2:Y730)</f>
        <v>-0.447456020362685</v>
      </c>
      <c r="M283" s="46">
        <f>(VLOOKUP($A283,'The List'!$B1:$AH730,25,FALSE)-AVERAGE('The List'!Z2:Z730))/STDEV('The List'!Z2:Z730)</f>
        <v>-0.614396173151095</v>
      </c>
      <c r="N283" s="46">
        <f>(VLOOKUP($A283,'The List'!$B1:$AH730,26,FALSE)-AVERAGE('The List'!AA2:AA730))/STDEV('The List'!AA2:AA730)</f>
        <v>-0.201693014049738</v>
      </c>
      <c r="O283" s="46">
        <f>(VLOOKUP($A283,'The List'!$B1:$AH730,27,FALSE)-AVERAGE('The List'!AB2:AB730))/STDEV('The List'!AB2:AB730)</f>
        <v>0.774699722325202</v>
      </c>
      <c r="P283" s="46">
        <f>(VLOOKUP($A283,'The List'!$B1:$AH730,28,FALSE)-AVERAGE('The List'!AC2:AC730))/STDEV('The List'!AC2:AC730)</f>
        <v>0.0346039628763786</v>
      </c>
      <c r="Q283" s="46">
        <f>(VLOOKUP($A283,'The List'!$B1:$AH730,29,FALSE)-AVERAGE('The List'!AD2:AD730))/STDEV('The List'!AD2:AD730)</f>
        <v>-0.984842116695744</v>
      </c>
      <c r="R283" s="46">
        <f>(VLOOKUP($A283,'The List'!$B1:$AH730,30,FALSE)-AVERAGE('The List'!AE2:AE730))/STDEV('The List'!AE2:AE730)</f>
        <v>0.335264212648391</v>
      </c>
      <c r="S283" s="46">
        <f>(VLOOKUP($A283,'The List'!$B1:$AH730,31,FALSE)-AVERAGE('The List'!AF2:AF730))/STDEV('The List'!AF2:AF730)</f>
        <v>-0.549288329600245</v>
      </c>
      <c r="T283" s="46">
        <f>(VLOOKUP($A283,'The List'!$B1:$AH730,32,FALSE)-AVERAGE('The List'!AG2:AG730))/STDEV('The List'!AG2:AG730)</f>
        <v>-0.549538340982522</v>
      </c>
      <c r="U283" s="46">
        <f>(VLOOKUP($A283,'The List'!$B1:$AH730,33,FALSE)-AVERAGE('The List'!AH2:AH730))/STDEV('The List'!AH2:AH730)</f>
        <v>-0.6264033190684311</v>
      </c>
      <c r="V283" s="46"/>
      <c r="W283" s="50"/>
      <c r="X283" s="48"/>
      <c r="Y283" s="48"/>
      <c r="Z283" s="48"/>
      <c r="AA283" s="48"/>
      <c r="AB283" s="48"/>
      <c r="AC283" s="51"/>
      <c r="AD283" s="52"/>
      <c r="AE283" s="46"/>
    </row>
    <row r="284" ht="21.25" customHeight="1">
      <c r="A284" t="s" s="8">
        <v>330</v>
      </c>
      <c r="B284" t="s" s="42">
        <f>VLOOKUP(A284,'Player Data'!A1:B734,2,FALSE)</f>
        <v>238</v>
      </c>
      <c r="C284" s="44">
        <f>((E284)*'Settings'!$C$12)+(F284*'Settings'!$C$2)+(G284*'Settings'!$C$3)+(H284*'Settings'!$C$4)+(I284*'Settings'!$C$5)+(K284*'Settings'!$C$9)+(N284*'Settings'!$C$6)+(J284*'Settings'!$C$8)+(O284*'Settings'!$C$7)+(P284*'Settings'!$C$14)+(Q284*'Settings'!$C$15)+(R284*'Settings'!$C$16)+(S284*'Settings'!$C$17)+(T284*'Settings'!$C$18)+(U284*'Settings'!$C$19)+(L284*'Settings'!$C$10)+('Settings'!$C$11*M284)</f>
        <v>2.58481515470622</v>
      </c>
      <c r="D284" s="48">
        <f>IF('Settings'!$E$12="YES",VLOOKUP(A284,'Player Data'!A1:E734,5,FALSE),82)</f>
        <v>80.8</v>
      </c>
      <c r="E284" s="46">
        <f>(VLOOKUP($A284,'The List'!$B1:$AH730,17,FALSE)-AVERAGE('The List'!R2:R730))/STDEV('The List'!R2:R730)</f>
        <v>1.11309435960197</v>
      </c>
      <c r="F284" s="46">
        <f>(VLOOKUP($A284,'The List'!$B1:$AH730,18,FALSE)-AVERAGE('The List'!S2:S730))/STDEV('The List'!S2:S730)</f>
        <v>-0.71631941132865</v>
      </c>
      <c r="G284" s="46">
        <f>(VLOOKUP($A284,'The List'!$B1:$AH730,19,FALSE)-AVERAGE('The List'!T2:T730))/STDEV('The List'!T2:T730)</f>
        <v>0.553133673421884</v>
      </c>
      <c r="H284" s="46">
        <f>(VLOOKUP($A284,'The List'!$B1:$AH730,20,FALSE)-AVERAGE('The List'!U2:U730))/STDEV('The List'!U2:U730)</f>
        <v>0.0150599410126409</v>
      </c>
      <c r="I284" s="46">
        <f>(VLOOKUP($A284,'The List'!$B1:$AH730,21,FALSE)-AVERAGE('The List'!V2:V730))/STDEV('The List'!V2:V730)</f>
        <v>0.456821496330398</v>
      </c>
      <c r="J284" s="46">
        <f>(VLOOKUP($A284,'The List'!$B1:$AH730,22,FALSE)-AVERAGE('The List'!W2:W730))/STDEV('The List'!W2:W730)</f>
        <v>-0.6379128219717169</v>
      </c>
      <c r="K284" s="46">
        <f>(VLOOKUP($A284,'The List'!$B1:$AH730,23,FALSE)-AVERAGE('The List'!X2:X730))/STDEV('The List'!X2:X730)</f>
        <v>-0.543786858018122</v>
      </c>
      <c r="L284" s="46">
        <f>(VLOOKUP($A284,'The List'!$B1:$AH730,24,FALSE)-AVERAGE('The List'!Y2:Y730))/STDEV('The List'!Y2:Y730)</f>
        <v>-0.165744175423481</v>
      </c>
      <c r="M284" s="46">
        <f>(VLOOKUP($A284,'The List'!$B1:$AH730,25,FALSE)-AVERAGE('The List'!Z2:Z730))/STDEV('The List'!Z2:Z730)</f>
        <v>0.422637252876268</v>
      </c>
      <c r="N284" s="46">
        <f>(VLOOKUP($A284,'The List'!$B1:$AH730,26,FALSE)-AVERAGE('The List'!AA2:AA730))/STDEV('The List'!AA2:AA730)</f>
        <v>1.61552219481858</v>
      </c>
      <c r="O284" s="46">
        <f>(VLOOKUP($A284,'The List'!$B1:$AH730,27,FALSE)-AVERAGE('The List'!AB2:AB730))/STDEV('The List'!AB2:AB730)</f>
        <v>1.64819611845471</v>
      </c>
      <c r="P284" s="46">
        <f>(VLOOKUP($A284,'The List'!$B1:$AH730,28,FALSE)-AVERAGE('The List'!AC2:AC730))/STDEV('The List'!AC2:AC730)</f>
        <v>1.21944405948213</v>
      </c>
      <c r="Q284" s="46">
        <f>(VLOOKUP($A284,'The List'!$B1:$AH730,29,FALSE)-AVERAGE('The List'!AD2:AD730))/STDEV('The List'!AD2:AD730)</f>
        <v>0.950604176967856</v>
      </c>
      <c r="R284" s="46">
        <f>(VLOOKUP($A284,'The List'!$B1:$AH730,30,FALSE)-AVERAGE('The List'!AE2:AE730))/STDEV('The List'!AE2:AE730)</f>
        <v>-0.554670484303224</v>
      </c>
      <c r="S284" s="46">
        <f>(VLOOKUP($A284,'The List'!$B1:$AH730,31,FALSE)-AVERAGE('The List'!AF2:AF730))/STDEV('The List'!AF2:AF730)</f>
        <v>-0.5569063253591</v>
      </c>
      <c r="T284" s="46">
        <f>(VLOOKUP($A284,'The List'!$B1:$AH730,32,FALSE)-AVERAGE('The List'!AG2:AG730))/STDEV('The List'!AG2:AG730)</f>
        <v>-0.600856269042678</v>
      </c>
      <c r="U284" s="46">
        <f>(VLOOKUP($A284,'The List'!$B1:$AH730,33,FALSE)-AVERAGE('The List'!AH2:AH730))/STDEV('The List'!AH2:AH730)</f>
        <v>-1.2363238714826</v>
      </c>
      <c r="V284" s="46"/>
      <c r="W284" s="48"/>
      <c r="X284" s="46"/>
      <c r="Y284" s="46"/>
      <c r="Z284" s="46"/>
      <c r="AA284" s="46"/>
      <c r="AB284" s="46"/>
      <c r="AC284" s="46"/>
      <c r="AD284" s="46"/>
      <c r="AE284" s="46"/>
    </row>
    <row r="285" ht="21.25" customHeight="1">
      <c r="A285" t="s" s="8">
        <v>634</v>
      </c>
      <c r="B285" t="s" s="42">
        <f>VLOOKUP(A285,'Player Data'!A1:B734,2,FALSE)</f>
        <v>258</v>
      </c>
      <c r="C285" s="44">
        <f>((E285)*'Settings'!$C$12)+(F285*'Settings'!$C$2)+(G285*'Settings'!$C$3)+(H285*'Settings'!$C$4)+(I285*'Settings'!$C$5)+(K285*'Settings'!$C$9)+(N285*'Settings'!$C$6)+(J285*'Settings'!$C$8)+(O285*'Settings'!$C$7)+(P285*'Settings'!$C$14)+(Q285*'Settings'!$C$15)+(R285*'Settings'!$C$16)+(S285*'Settings'!$C$17)+(T285*'Settings'!$C$18)+(U285*'Settings'!$C$19)+(L285*'Settings'!$C$10)+('Settings'!$C$11*M285)</f>
        <v>-3.13650706934485</v>
      </c>
      <c r="D285" s="48">
        <f>IF('Settings'!$E$12="YES",VLOOKUP(A285,'Player Data'!A1:E734,5,FALSE),82)</f>
        <v>75.26000000000001</v>
      </c>
      <c r="E285" s="46">
        <f>(VLOOKUP($A285,'The List'!$B1:$AH730,17,FALSE)-AVERAGE('The List'!R2:R730))/STDEV('The List'!R2:R730)</f>
        <v>-0.246978205890058</v>
      </c>
      <c r="F285" s="46">
        <f>(VLOOKUP($A285,'The List'!$B1:$AH730,18,FALSE)-AVERAGE('The List'!S2:S730))/STDEV('The List'!S2:S730)</f>
        <v>-0.0322697992409303</v>
      </c>
      <c r="G285" s="46">
        <f>(VLOOKUP($A285,'The List'!$B1:$AH730,19,FALSE)-AVERAGE('The List'!T2:T730))/STDEV('The List'!T2:T730)</f>
        <v>-0.174437496036886</v>
      </c>
      <c r="H285" s="46">
        <f>(VLOOKUP($A285,'The List'!$B1:$AH730,20,FALSE)-AVERAGE('The List'!U2:U730))/STDEV('The List'!U2:U730)</f>
        <v>-0.122221829404433</v>
      </c>
      <c r="I285" s="46">
        <f>(VLOOKUP($A285,'The List'!$B1:$AH730,21,FALSE)-AVERAGE('The List'!V2:V730))/STDEV('The List'!V2:V730)</f>
        <v>-0.551911377073901</v>
      </c>
      <c r="J285" s="46">
        <f>(VLOOKUP($A285,'The List'!$B1:$AH730,22,FALSE)-AVERAGE('The List'!W2:W730))/STDEV('The List'!W2:W730)</f>
        <v>-0.402145512734946</v>
      </c>
      <c r="K285" s="46">
        <f>(VLOOKUP($A285,'The List'!$B1:$AH730,23,FALSE)-AVERAGE('The List'!X2:X730))/STDEV('The List'!X2:X730)</f>
        <v>-0.472345770190825</v>
      </c>
      <c r="L285" s="46">
        <f>(VLOOKUP($A285,'The List'!$B1:$AH730,24,FALSE)-AVERAGE('The List'!Y2:Y730))/STDEV('The List'!Y2:Y730)</f>
        <v>0.657120552237751</v>
      </c>
      <c r="M285" s="46">
        <f>(VLOOKUP($A285,'The List'!$B1:$AH730,25,FALSE)-AVERAGE('The List'!Z2:Z730))/STDEV('The List'!Z2:Z730)</f>
        <v>0.128040670852047</v>
      </c>
      <c r="N285" s="46">
        <f>(VLOOKUP($A285,'The List'!$B1:$AH730,26,FALSE)-AVERAGE('The List'!AA2:AA730))/STDEV('The List'!AA2:AA730)</f>
        <v>0.200590784365766</v>
      </c>
      <c r="O285" s="46">
        <f>(VLOOKUP($A285,'The List'!$B1:$AH730,27,FALSE)-AVERAGE('The List'!AB2:AB730))/STDEV('The List'!AB2:AB730)</f>
        <v>-1.26087609923937</v>
      </c>
      <c r="P285" s="46">
        <f>(VLOOKUP($A285,'The List'!$B1:$AH730,28,FALSE)-AVERAGE('The List'!AC2:AC730))/STDEV('The List'!AC2:AC730)</f>
        <v>-2.10613341116807</v>
      </c>
      <c r="Q285" s="46">
        <f>(VLOOKUP($A285,'The List'!$B1:$AH730,29,FALSE)-AVERAGE('The List'!AD2:AD730))/STDEV('The List'!AD2:AD730)</f>
        <v>-1.15655353773082</v>
      </c>
      <c r="R285" s="46">
        <f>(VLOOKUP($A285,'The List'!$B1:$AH730,30,FALSE)-AVERAGE('The List'!AE2:AE730))/STDEV('The List'!AE2:AE730)</f>
        <v>-0.342378203261773</v>
      </c>
      <c r="S285" s="46">
        <f>(VLOOKUP($A285,'The List'!$B1:$AH730,31,FALSE)-AVERAGE('The List'!AF2:AF730))/STDEV('The List'!AF2:AF730)</f>
        <v>2.21100712246316</v>
      </c>
      <c r="T285" s="46">
        <f>(VLOOKUP($A285,'The List'!$B1:$AH730,32,FALSE)-AVERAGE('The List'!AG2:AG730))/STDEV('The List'!AG2:AG730)</f>
        <v>1.92569436142782</v>
      </c>
      <c r="U285" s="46">
        <f>(VLOOKUP($A285,'The List'!$B1:$AH730,33,FALSE)-AVERAGE('The List'!AH2:AH730))/STDEV('The List'!AH2:AH730)</f>
        <v>1.1815917914543</v>
      </c>
      <c r="V285" s="46"/>
      <c r="W285" s="50"/>
      <c r="X285" s="48"/>
      <c r="Y285" s="48"/>
      <c r="Z285" s="48"/>
      <c r="AA285" s="48"/>
      <c r="AB285" s="48"/>
      <c r="AC285" s="51"/>
      <c r="AD285" s="52"/>
      <c r="AE285" s="46"/>
    </row>
    <row r="286" ht="21.25" customHeight="1">
      <c r="A286" t="s" s="8">
        <v>604</v>
      </c>
      <c r="B286" t="s" s="42">
        <f>VLOOKUP(A286,'Player Data'!A1:B734,2,FALSE)</f>
        <v>248</v>
      </c>
      <c r="C286" s="44">
        <f>((E286)*'Settings'!$C$12)+(F286*'Settings'!$C$2)+(G286*'Settings'!$C$3)+(H286*'Settings'!$C$4)+(I286*'Settings'!$C$5)+(K286*'Settings'!$C$9)+(N286*'Settings'!$C$6)+(J286*'Settings'!$C$8)+(O286*'Settings'!$C$7)+(P286*'Settings'!$C$14)+(Q286*'Settings'!$C$15)+(R286*'Settings'!$C$16)+(S286*'Settings'!$C$17)+(T286*'Settings'!$C$18)+(U286*'Settings'!$C$19)+(L286*'Settings'!$C$10)+('Settings'!$C$11*M286)</f>
        <v>-1.05095185573964</v>
      </c>
      <c r="D286" s="48">
        <f>IF('Settings'!$E$12="YES",VLOOKUP(A286,'Player Data'!A1:E734,5,FALSE),82)</f>
        <v>81.755</v>
      </c>
      <c r="E286" s="46">
        <f>(VLOOKUP($A286,'The List'!$B1:$AH730,17,FALSE)-AVERAGE('The List'!R2:R730))/STDEV('The List'!R2:R730)</f>
        <v>0.330484154551058</v>
      </c>
      <c r="F286" s="46">
        <f>(VLOOKUP($A286,'The List'!$B1:$AH730,18,FALSE)-AVERAGE('The List'!S2:S730))/STDEV('The List'!S2:S730)</f>
        <v>-0.009376139287339181</v>
      </c>
      <c r="G286" s="46">
        <f>(VLOOKUP($A286,'The List'!$B1:$AH730,19,FALSE)-AVERAGE('The List'!T2:T730))/STDEV('The List'!T2:T730)</f>
        <v>0.0114364715690709</v>
      </c>
      <c r="H286" s="46">
        <f>(VLOOKUP($A286,'The List'!$B1:$AH730,20,FALSE)-AVERAGE('The List'!U2:U730))/STDEV('The List'!U2:U730)</f>
        <v>0.00278410298426467</v>
      </c>
      <c r="I286" s="46">
        <f>(VLOOKUP($A286,'The List'!$B1:$AH730,21,FALSE)-AVERAGE('The List'!V2:V730))/STDEV('The List'!V2:V730)</f>
        <v>-0.519657405623977</v>
      </c>
      <c r="J286" s="46">
        <f>(VLOOKUP($A286,'The List'!$B1:$AH730,22,FALSE)-AVERAGE('The List'!W2:W730))/STDEV('The List'!W2:W730)</f>
        <v>0.0336102866171592</v>
      </c>
      <c r="K286" s="46">
        <f>(VLOOKUP($A286,'The List'!$B1:$AH730,23,FALSE)-AVERAGE('The List'!X2:X730))/STDEV('The List'!X2:X730)</f>
        <v>-0.08840813456872471</v>
      </c>
      <c r="L286" s="46">
        <f>(VLOOKUP($A286,'The List'!$B1:$AH730,24,FALSE)-AVERAGE('The List'!Y2:Y730))/STDEV('The List'!Y2:Y730)</f>
        <v>0.037346319378994</v>
      </c>
      <c r="M286" s="46">
        <f>(VLOOKUP($A286,'The List'!$B1:$AH730,25,FALSE)-AVERAGE('The List'!Z2:Z730))/STDEV('The List'!Z2:Z730)</f>
        <v>0.175726394352358</v>
      </c>
      <c r="N286" s="46">
        <f>(VLOOKUP($A286,'The List'!$B1:$AH730,26,FALSE)-AVERAGE('The List'!AA2:AA730))/STDEV('The List'!AA2:AA730)</f>
        <v>-0.054484211592313</v>
      </c>
      <c r="O286" s="46">
        <f>(VLOOKUP($A286,'The List'!$B1:$AH730,27,FALSE)-AVERAGE('The List'!AB2:AB730))/STDEV('The List'!AB2:AB730)</f>
        <v>-0.931556208642393</v>
      </c>
      <c r="P286" s="46">
        <f>(VLOOKUP($A286,'The List'!$B1:$AH730,28,FALSE)-AVERAGE('The List'!AC2:AC730))/STDEV('The List'!AC2:AC730)</f>
        <v>-0.390462436236361</v>
      </c>
      <c r="Q286" s="46">
        <f>(VLOOKUP($A286,'The List'!$B1:$AH730,29,FALSE)-AVERAGE('The List'!AD2:AD730))/STDEV('The List'!AD2:AD730)</f>
        <v>-0.579051771799783</v>
      </c>
      <c r="R286" s="46">
        <f>(VLOOKUP($A286,'The List'!$B1:$AH730,30,FALSE)-AVERAGE('The List'!AE2:AE730))/STDEV('The List'!AE2:AE730)</f>
        <v>-0.00808950011326749</v>
      </c>
      <c r="S286" s="46">
        <f>(VLOOKUP($A286,'The List'!$B1:$AH730,31,FALSE)-AVERAGE('The List'!AF2:AF730))/STDEV('The List'!AF2:AF730)</f>
        <v>2.35777198177025</v>
      </c>
      <c r="T286" s="46">
        <f>(VLOOKUP($A286,'The List'!$B1:$AH730,32,FALSE)-AVERAGE('The List'!AG2:AG730))/STDEV('The List'!AG2:AG730)</f>
        <v>2.90815131712165</v>
      </c>
      <c r="U286" s="46">
        <f>(VLOOKUP($A286,'The List'!$B1:$AH730,33,FALSE)-AVERAGE('The List'!AH2:AH730))/STDEV('The List'!AH2:AH730)</f>
        <v>0.869545285226501</v>
      </c>
      <c r="V286" s="46"/>
      <c r="W286" s="50"/>
      <c r="X286" s="48"/>
      <c r="Y286" s="48"/>
      <c r="Z286" s="48"/>
      <c r="AA286" s="48"/>
      <c r="AB286" s="48"/>
      <c r="AC286" s="51"/>
      <c r="AD286" s="52"/>
      <c r="AE286" s="46"/>
    </row>
    <row r="287" ht="21.25" customHeight="1">
      <c r="A287" t="s" s="8">
        <v>630</v>
      </c>
      <c r="B287" t="s" s="42">
        <f>VLOOKUP(A287,'Player Data'!A1:B734,2,FALSE)</f>
        <v>218</v>
      </c>
      <c r="C287" s="44">
        <f>((E287)*'Settings'!$C$12)+(F287*'Settings'!$C$2)+(G287*'Settings'!$C$3)+(H287*'Settings'!$C$4)+(I287*'Settings'!$C$5)+(K287*'Settings'!$C$9)+(N287*'Settings'!$C$6)+(J287*'Settings'!$C$8)+(O287*'Settings'!$C$7)+(P287*'Settings'!$C$14)+(Q287*'Settings'!$C$15)+(R287*'Settings'!$C$16)+(S287*'Settings'!$C$17)+(T287*'Settings'!$C$18)+(U287*'Settings'!$C$19)+(L287*'Settings'!$C$10)+('Settings'!$C$11*M287)</f>
        <v>-0.622127815092801</v>
      </c>
      <c r="D287" s="48">
        <f>IF('Settings'!$E$12="YES",VLOOKUP(A287,'Player Data'!A1:E734,5,FALSE),82)</f>
        <v>67.45</v>
      </c>
      <c r="E287" s="46">
        <f>(VLOOKUP($A287,'The List'!$B1:$AH730,17,FALSE)-AVERAGE('The List'!R2:R730))/STDEV('The List'!R2:R730)</f>
        <v>-0.805167341173937</v>
      </c>
      <c r="F287" s="46">
        <f>(VLOOKUP($A287,'The List'!$B1:$AH730,18,FALSE)-AVERAGE('The List'!S2:S730))/STDEV('The List'!S2:S730)</f>
        <v>0.335553998534523</v>
      </c>
      <c r="G287" s="46">
        <f>(VLOOKUP($A287,'The List'!$B1:$AH730,19,FALSE)-AVERAGE('The List'!T2:T730))/STDEV('The List'!T2:T730)</f>
        <v>-0.701836526994055</v>
      </c>
      <c r="H287" s="46">
        <f>(VLOOKUP($A287,'The List'!$B1:$AH730,20,FALSE)-AVERAGE('The List'!U2:U730))/STDEV('The List'!U2:U730)</f>
        <v>-0.279989195075232</v>
      </c>
      <c r="I287" s="46">
        <f>(VLOOKUP($A287,'The List'!$B1:$AH730,21,FALSE)-AVERAGE('The List'!V2:V730))/STDEV('The List'!V2:V730)</f>
        <v>-0.150902912000106</v>
      </c>
      <c r="J287" s="46">
        <f>(VLOOKUP($A287,'The List'!$B1:$AH730,22,FALSE)-AVERAGE('The List'!W2:W730))/STDEV('The List'!W2:W730)</f>
        <v>-0.114267043068215</v>
      </c>
      <c r="K287" s="46">
        <f>(VLOOKUP($A287,'The List'!$B1:$AH730,23,FALSE)-AVERAGE('The List'!X2:X730))/STDEV('The List'!X2:X730)</f>
        <v>-0.372971344148855</v>
      </c>
      <c r="L287" s="46">
        <f>(VLOOKUP($A287,'The List'!$B1:$AH730,24,FALSE)-AVERAGE('The List'!Y2:Y730))/STDEV('The List'!Y2:Y730)</f>
        <v>-0.541221705765682</v>
      </c>
      <c r="M287" s="46">
        <f>(VLOOKUP($A287,'The List'!$B1:$AH730,25,FALSE)-AVERAGE('The List'!Z2:Z730))/STDEV('The List'!Z2:Z730)</f>
        <v>-0.719929882149542</v>
      </c>
      <c r="N287" s="46">
        <f>(VLOOKUP($A287,'The List'!$B1:$AH730,26,FALSE)-AVERAGE('The List'!AA2:AA730))/STDEV('The List'!AA2:AA730)</f>
        <v>-0.697620260094521</v>
      </c>
      <c r="O287" s="46">
        <f>(VLOOKUP($A287,'The List'!$B1:$AH730,27,FALSE)-AVERAGE('The List'!AB2:AB730))/STDEV('The List'!AB2:AB730)</f>
        <v>-1.07565677667699</v>
      </c>
      <c r="P287" s="46">
        <f>(VLOOKUP($A287,'The List'!$B1:$AH730,28,FALSE)-AVERAGE('The List'!AC2:AC730))/STDEV('The List'!AC2:AC730)</f>
        <v>0.965649229610213</v>
      </c>
      <c r="Q287" s="46">
        <f>(VLOOKUP($A287,'The List'!$B1:$AH730,29,FALSE)-AVERAGE('The List'!AD2:AD730))/STDEV('The List'!AD2:AD730)</f>
        <v>-0.521740604811963</v>
      </c>
      <c r="R287" s="46">
        <f>(VLOOKUP($A287,'The List'!$B1:$AH730,30,FALSE)-AVERAGE('The List'!AE2:AE730))/STDEV('The List'!AE2:AE730)</f>
        <v>0.550097860911397</v>
      </c>
      <c r="S287" s="46">
        <f>(VLOOKUP($A287,'The List'!$B1:$AH730,31,FALSE)-AVERAGE('The List'!AF2:AF730))/STDEV('The List'!AF2:AF730)</f>
        <v>-0.5569063253591</v>
      </c>
      <c r="T287" s="46">
        <f>(VLOOKUP($A287,'The List'!$B1:$AH730,32,FALSE)-AVERAGE('The List'!AG2:AG730))/STDEV('The List'!AG2:AG730)</f>
        <v>-0.582621044169304</v>
      </c>
      <c r="U287" s="46">
        <f>(VLOOKUP($A287,'The List'!$B1:$AH730,33,FALSE)-AVERAGE('The List'!AH2:AH730))/STDEV('The List'!AH2:AH730)</f>
        <v>-1.2363238714826</v>
      </c>
      <c r="V287" s="46"/>
      <c r="W287" s="50"/>
      <c r="X287" s="48"/>
      <c r="Y287" s="48"/>
      <c r="Z287" s="48"/>
      <c r="AA287" s="48"/>
      <c r="AB287" s="48"/>
      <c r="AC287" s="51"/>
      <c r="AD287" s="52"/>
      <c r="AE287" s="46"/>
    </row>
    <row r="288" ht="21.25" customHeight="1">
      <c r="A288" t="s" s="8">
        <v>622</v>
      </c>
      <c r="B288" t="s" s="42">
        <f>VLOOKUP(A288,'Player Data'!A1:B734,2,FALSE)</f>
        <v>238</v>
      </c>
      <c r="C288" s="44">
        <f>((E288)*'Settings'!$C$12)+(F288*'Settings'!$C$2)+(G288*'Settings'!$C$3)+(H288*'Settings'!$C$4)+(I288*'Settings'!$C$5)+(K288*'Settings'!$C$9)+(N288*'Settings'!$C$6)+(J288*'Settings'!$C$8)+(O288*'Settings'!$C$7)+(P288*'Settings'!$C$14)+(Q288*'Settings'!$C$15)+(R288*'Settings'!$C$16)+(S288*'Settings'!$C$17)+(T288*'Settings'!$C$18)+(U288*'Settings'!$C$19)+(L288*'Settings'!$C$10)+('Settings'!$C$11*M288)</f>
        <v>-1.11660419712669</v>
      </c>
      <c r="D288" s="48">
        <f>IF('Settings'!$E$12="YES",VLOOKUP(A288,'Player Data'!A1:E734,5,FALSE),82)</f>
        <v>62.885</v>
      </c>
      <c r="E288" s="46">
        <f>(VLOOKUP($A288,'The List'!$B1:$AH730,17,FALSE)-AVERAGE('The List'!R2:R730))/STDEV('The List'!R2:R730)</f>
        <v>-0.51429212400458</v>
      </c>
      <c r="F288" s="46">
        <f>(VLOOKUP($A288,'The List'!$B1:$AH730,18,FALSE)-AVERAGE('The List'!S2:S730))/STDEV('The List'!S2:S730)</f>
        <v>-0.158797801888162</v>
      </c>
      <c r="G288" s="46">
        <f>(VLOOKUP($A288,'The List'!$B1:$AH730,19,FALSE)-AVERAGE('The List'!T2:T730))/STDEV('The List'!T2:T730)</f>
        <v>-0.484021553569788</v>
      </c>
      <c r="H288" s="46">
        <f>(VLOOKUP($A288,'The List'!$B1:$AH730,20,FALSE)-AVERAGE('The List'!U2:U730))/STDEV('The List'!U2:U730)</f>
        <v>-0.370649110612263</v>
      </c>
      <c r="I288" s="46">
        <f>(VLOOKUP($A288,'The List'!$B1:$AH730,21,FALSE)-AVERAGE('The List'!V2:V730))/STDEV('The List'!V2:V730)</f>
        <v>-0.133324174450833</v>
      </c>
      <c r="J288" s="46">
        <f>(VLOOKUP($A288,'The List'!$B1:$AH730,22,FALSE)-AVERAGE('The List'!W2:W730))/STDEV('The List'!W2:W730)</f>
        <v>0.507137776595492</v>
      </c>
      <c r="K288" s="46">
        <f>(VLOOKUP($A288,'The List'!$B1:$AH730,23,FALSE)-AVERAGE('The List'!X2:X730))/STDEV('The List'!X2:X730)</f>
        <v>0.0938063334882568</v>
      </c>
      <c r="L288" s="46">
        <f>(VLOOKUP($A288,'The List'!$B1:$AH730,24,FALSE)-AVERAGE('The List'!Y2:Y730))/STDEV('The List'!Y2:Y730)</f>
        <v>-0.5306296052963519</v>
      </c>
      <c r="M288" s="46">
        <f>(VLOOKUP($A288,'The List'!$B1:$AH730,25,FALSE)-AVERAGE('The List'!Z2:Z730))/STDEV('The List'!Z2:Z730)</f>
        <v>-0.708081058805378</v>
      </c>
      <c r="N288" s="46">
        <f>(VLOOKUP($A288,'The List'!$B1:$AH730,26,FALSE)-AVERAGE('The List'!AA2:AA730))/STDEV('The List'!AA2:AA730)</f>
        <v>-0.66129689793117</v>
      </c>
      <c r="O288" s="46">
        <f>(VLOOKUP($A288,'The List'!$B1:$AH730,27,FALSE)-AVERAGE('The List'!AB2:AB730))/STDEV('The List'!AB2:AB730)</f>
        <v>-0.828091675246782</v>
      </c>
      <c r="P288" s="46">
        <f>(VLOOKUP($A288,'The List'!$B1:$AH730,28,FALSE)-AVERAGE('The List'!AC2:AC730))/STDEV('The List'!AC2:AC730)</f>
        <v>0.227029897225007</v>
      </c>
      <c r="Q288" s="46">
        <f>(VLOOKUP($A288,'The List'!$B1:$AH730,29,FALSE)-AVERAGE('The List'!AD2:AD730))/STDEV('The List'!AD2:AD730)</f>
        <v>-1.04429357646414</v>
      </c>
      <c r="R288" s="46">
        <f>(VLOOKUP($A288,'The List'!$B1:$AH730,30,FALSE)-AVERAGE('The List'!AE2:AE730))/STDEV('The List'!AE2:AE730)</f>
        <v>0.0515382574838638</v>
      </c>
      <c r="S288" s="46">
        <f>(VLOOKUP($A288,'The List'!$B1:$AH730,31,FALSE)-AVERAGE('The List'!AF2:AF730))/STDEV('The List'!AF2:AF730)</f>
        <v>-0.530355868892146</v>
      </c>
      <c r="T288" s="46">
        <f>(VLOOKUP($A288,'The List'!$B1:$AH730,32,FALSE)-AVERAGE('The List'!AG2:AG730))/STDEV('The List'!AG2:AG730)</f>
        <v>-0.517081085632957</v>
      </c>
      <c r="U288" s="46">
        <f>(VLOOKUP($A288,'The List'!$B1:$AH730,33,FALSE)-AVERAGE('The List'!AH2:AH730))/STDEV('The List'!AH2:AH730)</f>
        <v>-0.107237429748844</v>
      </c>
      <c r="V288" s="46"/>
      <c r="W288" s="50"/>
      <c r="X288" s="48"/>
      <c r="Y288" s="48"/>
      <c r="Z288" s="48"/>
      <c r="AA288" s="48"/>
      <c r="AB288" s="48"/>
      <c r="AC288" s="51"/>
      <c r="AD288" s="52"/>
      <c r="AE288" s="46"/>
    </row>
    <row r="289" ht="21.25" customHeight="1">
      <c r="A289" t="s" s="8">
        <v>616</v>
      </c>
      <c r="B289" t="s" s="42">
        <f>VLOOKUP(A289,'Player Data'!A1:B734,2,FALSE)</f>
        <v>141</v>
      </c>
      <c r="C289" s="44">
        <f>((E289)*'Settings'!$C$12)+(F289*'Settings'!$C$2)+(G289*'Settings'!$C$3)+(H289*'Settings'!$C$4)+(I289*'Settings'!$C$5)+(K289*'Settings'!$C$9)+(N289*'Settings'!$C$6)+(J289*'Settings'!$C$8)+(O289*'Settings'!$C$7)+(P289*'Settings'!$C$14)+(Q289*'Settings'!$C$15)+(R289*'Settings'!$C$16)+(S289*'Settings'!$C$17)+(T289*'Settings'!$C$18)+(U289*'Settings'!$C$19)+(L289*'Settings'!$C$10)+('Settings'!$C$11*M289)</f>
        <v>-1.76683959434349</v>
      </c>
      <c r="D289" s="48">
        <f>IF('Settings'!$E$12="YES",VLOOKUP(A289,'Player Data'!A1:E734,5,FALSE),82)</f>
        <v>71.72107142857141</v>
      </c>
      <c r="E289" s="46">
        <f>(VLOOKUP($A289,'The List'!$B1:$AH730,17,FALSE)-AVERAGE('The List'!R2:R730))/STDEV('The List'!R2:R730)</f>
        <v>-0.582776720495793</v>
      </c>
      <c r="F289" s="46">
        <f>(VLOOKUP($A289,'The List'!$B1:$AH730,18,FALSE)-AVERAGE('The List'!S2:S730))/STDEV('The List'!S2:S730)</f>
        <v>0.0646976582208779</v>
      </c>
      <c r="G289" s="46">
        <f>(VLOOKUP($A289,'The List'!$B1:$AH730,19,FALSE)-AVERAGE('The List'!T2:T730))/STDEV('The List'!T2:T730)</f>
        <v>-0.369287710660106</v>
      </c>
      <c r="H289" s="46">
        <f>(VLOOKUP($A289,'The List'!$B1:$AH730,20,FALSE)-AVERAGE('The List'!U2:U730))/STDEV('The List'!U2:U730)</f>
        <v>-0.198222287775884</v>
      </c>
      <c r="I289" s="46">
        <f>(VLOOKUP($A289,'The List'!$B1:$AH730,21,FALSE)-AVERAGE('The List'!V2:V730))/STDEV('The List'!V2:V730)</f>
        <v>-0.164828303598583</v>
      </c>
      <c r="J289" s="46">
        <f>(VLOOKUP($A289,'The List'!$B1:$AH730,22,FALSE)-AVERAGE('The List'!W2:W730))/STDEV('The List'!W2:W730)</f>
        <v>-0.418157308239544</v>
      </c>
      <c r="K289" s="46">
        <f>(VLOOKUP($A289,'The List'!$B1:$AH730,23,FALSE)-AVERAGE('The List'!X2:X730))/STDEV('The List'!X2:X730)</f>
        <v>-0.516345555414239</v>
      </c>
      <c r="L289" s="46">
        <f>(VLOOKUP($A289,'The List'!$B1:$AH730,24,FALSE)-AVERAGE('The List'!Y2:Y730))/STDEV('The List'!Y2:Y730)</f>
        <v>-0.541910913839992</v>
      </c>
      <c r="M289" s="46">
        <f>(VLOOKUP($A289,'The List'!$B1:$AH730,25,FALSE)-AVERAGE('The List'!Z2:Z730))/STDEV('The List'!Z2:Z730)</f>
        <v>-0.720721581753604</v>
      </c>
      <c r="N289" s="46">
        <f>(VLOOKUP($A289,'The List'!$B1:$AH730,26,FALSE)-AVERAGE('The List'!AA2:AA730))/STDEV('The List'!AA2:AA730)</f>
        <v>-0.806274126891147</v>
      </c>
      <c r="O289" s="46">
        <f>(VLOOKUP($A289,'The List'!$B1:$AH730,27,FALSE)-AVERAGE('The List'!AB2:AB730))/STDEV('The List'!AB2:AB730)</f>
        <v>-0.402807295125792</v>
      </c>
      <c r="P289" s="46">
        <f>(VLOOKUP($A289,'The List'!$B1:$AH730,28,FALSE)-AVERAGE('The List'!AC2:AC730))/STDEV('The List'!AC2:AC730)</f>
        <v>0.0251984439997068</v>
      </c>
      <c r="Q289" s="46">
        <f>(VLOOKUP($A289,'The List'!$B1:$AH730,29,FALSE)-AVERAGE('The List'!AD2:AD730))/STDEV('The List'!AD2:AD730)</f>
        <v>0.06710650629336511</v>
      </c>
      <c r="R289" s="46">
        <f>(VLOOKUP($A289,'The List'!$B1:$AH730,30,FALSE)-AVERAGE('The List'!AE2:AE730))/STDEV('The List'!AE2:AE730)</f>
        <v>-0.08554560100364191</v>
      </c>
      <c r="S289" s="46">
        <f>(VLOOKUP($A289,'The List'!$B1:$AH730,31,FALSE)-AVERAGE('The List'!AF2:AF730))/STDEV('The List'!AF2:AF730)</f>
        <v>-0.544901443224081</v>
      </c>
      <c r="T289" s="46">
        <f>(VLOOKUP($A289,'The List'!$B1:$AH730,32,FALSE)-AVERAGE('The List'!AG2:AG730))/STDEV('The List'!AG2:AG730)</f>
        <v>-0.578339722625262</v>
      </c>
      <c r="U289" s="46">
        <f>(VLOOKUP($A289,'The List'!$B1:$AH730,33,FALSE)-AVERAGE('The List'!AH2:AH730))/STDEV('The List'!AH2:AH730)</f>
        <v>0.386341154045966</v>
      </c>
      <c r="V289" s="46"/>
      <c r="W289" s="50"/>
      <c r="X289" s="48"/>
      <c r="Y289" s="48"/>
      <c r="Z289" s="48"/>
      <c r="AA289" s="48"/>
      <c r="AB289" s="48"/>
      <c r="AC289" s="51"/>
      <c r="AD289" s="52"/>
      <c r="AE289" s="46"/>
    </row>
    <row r="290" ht="21.25" customHeight="1">
      <c r="A290" t="s" s="8">
        <v>557</v>
      </c>
      <c r="B290" t="s" s="42">
        <f>VLOOKUP(A290,'Player Data'!A1:B734,2,FALSE)</f>
        <v>127</v>
      </c>
      <c r="C290" s="44">
        <f>((E290)*'Settings'!$C$12)+(F290*'Settings'!$C$2)+(G290*'Settings'!$C$3)+(H290*'Settings'!$C$4)+(I290*'Settings'!$C$5)+(K290*'Settings'!$C$9)+(N290*'Settings'!$C$6)+(J290*'Settings'!$C$8)+(O290*'Settings'!$C$7)+(P290*'Settings'!$C$14)+(Q290*'Settings'!$C$15)+(R290*'Settings'!$C$16)+(S290*'Settings'!$C$17)+(T290*'Settings'!$C$18)+(U290*'Settings'!$C$19)+(L290*'Settings'!$C$10)+('Settings'!$C$11*M290)</f>
        <v>-0.58071747126378</v>
      </c>
      <c r="D290" s="48">
        <f>IF('Settings'!$E$12="YES",VLOOKUP(A290,'Player Data'!A1:E734,5,FALSE),82)</f>
        <v>80.3928571428571</v>
      </c>
      <c r="E290" s="46">
        <f>(VLOOKUP($A290,'The List'!$B1:$AH730,17,FALSE)-AVERAGE('The List'!R2:R730))/STDEV('The List'!R2:R730)</f>
        <v>-0.34251049704016</v>
      </c>
      <c r="F290" s="46">
        <f>(VLOOKUP($A290,'The List'!$B1:$AH730,18,FALSE)-AVERAGE('The List'!S2:S730))/STDEV('The List'!S2:S730)</f>
        <v>0.00514494076643686</v>
      </c>
      <c r="G290" s="46">
        <f>(VLOOKUP($A290,'The List'!$B1:$AH730,19,FALSE)-AVERAGE('The List'!T2:T730))/STDEV('The List'!T2:T730)</f>
        <v>-0.0538563294221717</v>
      </c>
      <c r="H290" s="46">
        <f>(VLOOKUP($A290,'The List'!$B1:$AH730,20,FALSE)-AVERAGE('The List'!U2:U730))/STDEV('The List'!U2:U730)</f>
        <v>-0.0308606679843963</v>
      </c>
      <c r="I290" s="46">
        <f>(VLOOKUP($A290,'The List'!$B1:$AH730,21,FALSE)-AVERAGE('The List'!V2:V730))/STDEV('The List'!V2:V730)</f>
        <v>0.164307716606655</v>
      </c>
      <c r="J290" s="46">
        <f>(VLOOKUP($A290,'The List'!$B1:$AH730,22,FALSE)-AVERAGE('The List'!W2:W730))/STDEV('The List'!W2:W730)</f>
        <v>-0.452176103844086</v>
      </c>
      <c r="K290" s="46">
        <f>(VLOOKUP($A290,'The List'!$B1:$AH730,23,FALSE)-AVERAGE('The List'!X2:X730))/STDEV('The List'!X2:X730)</f>
        <v>-0.5140817711547651</v>
      </c>
      <c r="L290" s="46">
        <f>(VLOOKUP($A290,'The List'!$B1:$AH730,24,FALSE)-AVERAGE('The List'!Y2:Y730))/STDEV('The List'!Y2:Y730)</f>
        <v>2.42933010446506</v>
      </c>
      <c r="M290" s="46">
        <f>(VLOOKUP($A290,'The List'!$B1:$AH730,25,FALSE)-AVERAGE('The List'!Z2:Z730))/STDEV('The List'!Z2:Z730)</f>
        <v>1.91756093009093</v>
      </c>
      <c r="N290" s="46">
        <f>(VLOOKUP($A290,'The List'!$B1:$AH730,26,FALSE)-AVERAGE('The List'!AA2:AA730))/STDEV('The List'!AA2:AA730)</f>
        <v>-0.303671512203774</v>
      </c>
      <c r="O290" s="46">
        <f>(VLOOKUP($A290,'The List'!$B1:$AH730,27,FALSE)-AVERAGE('The List'!AB2:AB730))/STDEV('The List'!AB2:AB730)</f>
        <v>0.125641633460301</v>
      </c>
      <c r="P290" s="46">
        <f>(VLOOKUP($A290,'The List'!$B1:$AH730,28,FALSE)-AVERAGE('The List'!AC2:AC730))/STDEV('The List'!AC2:AC730)</f>
        <v>0.121439484143839</v>
      </c>
      <c r="Q290" s="46">
        <f>(VLOOKUP($A290,'The List'!$B1:$AH730,29,FALSE)-AVERAGE('The List'!AD2:AD730))/STDEV('The List'!AD2:AD730)</f>
        <v>0.571380149326825</v>
      </c>
      <c r="R290" s="46">
        <f>(VLOOKUP($A290,'The List'!$B1:$AH730,30,FALSE)-AVERAGE('The List'!AE2:AE730))/STDEV('The List'!AE2:AE730)</f>
        <v>0.0595042629976734</v>
      </c>
      <c r="S290" s="46">
        <f>(VLOOKUP($A290,'The List'!$B1:$AH730,31,FALSE)-AVERAGE('The List'!AF2:AF730))/STDEV('The List'!AF2:AF730)</f>
        <v>1.93315622762394</v>
      </c>
      <c r="T290" s="46">
        <f>(VLOOKUP($A290,'The List'!$B1:$AH730,32,FALSE)-AVERAGE('The List'!AG2:AG730))/STDEV('The List'!AG2:AG730)</f>
        <v>1.60716925206359</v>
      </c>
      <c r="U290" s="46">
        <f>(VLOOKUP($A290,'The List'!$B1:$AH730,33,FALSE)-AVERAGE('The List'!AH2:AH730))/STDEV('The List'!AH2:AH730)</f>
        <v>1.21410256229589</v>
      </c>
      <c r="V290" s="46"/>
      <c r="W290" s="50"/>
      <c r="X290" s="48"/>
      <c r="Y290" s="48"/>
      <c r="Z290" s="48"/>
      <c r="AA290" s="48"/>
      <c r="AB290" s="48"/>
      <c r="AC290" s="51"/>
      <c r="AD290" s="52"/>
      <c r="AE290" s="46"/>
    </row>
    <row r="291" ht="21.25" customHeight="1">
      <c r="A291" t="s" s="8">
        <v>581</v>
      </c>
      <c r="B291" t="s" s="42">
        <f>VLOOKUP(A291,'Player Data'!A1:B734,2,FALSE)</f>
        <v>139</v>
      </c>
      <c r="C291" s="44">
        <f>((E291)*'Settings'!$C$12)+(F291*'Settings'!$C$2)+(G291*'Settings'!$C$3)+(H291*'Settings'!$C$4)+(I291*'Settings'!$C$5)+(K291*'Settings'!$C$9)+(N291*'Settings'!$C$6)+(J291*'Settings'!$C$8)+(O291*'Settings'!$C$7)+(P291*'Settings'!$C$14)+(Q291*'Settings'!$C$15)+(R291*'Settings'!$C$16)+(S291*'Settings'!$C$17)+(T291*'Settings'!$C$18)+(U291*'Settings'!$C$19)+(L291*'Settings'!$C$10)+('Settings'!$C$11*M291)</f>
        <v>-2.41667444055779</v>
      </c>
      <c r="D291" s="48">
        <f>IF('Settings'!$E$12="YES",VLOOKUP(A291,'Player Data'!A1:E734,5,FALSE),82)</f>
        <v>76.7</v>
      </c>
      <c r="E291" s="46">
        <f>(VLOOKUP($A291,'The List'!$B1:$AH730,17,FALSE)-AVERAGE('The List'!R2:R730))/STDEV('The List'!R2:R730)</f>
        <v>-0.795468581003748</v>
      </c>
      <c r="F291" s="46">
        <f>(VLOOKUP($A291,'The List'!$B1:$AH730,18,FALSE)-AVERAGE('The List'!S2:S730))/STDEV('The List'!S2:S730)</f>
        <v>-0.0123097540802732</v>
      </c>
      <c r="G291" s="46">
        <f>(VLOOKUP($A291,'The List'!$B1:$AH730,19,FALSE)-AVERAGE('The List'!T2:T730))/STDEV('The List'!T2:T730)</f>
        <v>-0.159686403363537</v>
      </c>
      <c r="H291" s="46">
        <f>(VLOOKUP($A291,'The List'!$B1:$AH730,20,FALSE)-AVERAGE('The List'!U2:U730))/STDEV('The List'!U2:U730)</f>
        <v>-0.104045753794173</v>
      </c>
      <c r="I291" s="46">
        <f>(VLOOKUP($A291,'The List'!$B1:$AH730,21,FALSE)-AVERAGE('The List'!V2:V730))/STDEV('The List'!V2:V730)</f>
        <v>-0.0835846011073092</v>
      </c>
      <c r="J291" s="46">
        <f>(VLOOKUP($A291,'The List'!$B1:$AH730,22,FALSE)-AVERAGE('The List'!W2:W730))/STDEV('The List'!W2:W730)</f>
        <v>-0.150198232705238</v>
      </c>
      <c r="K291" s="46">
        <f>(VLOOKUP($A291,'The List'!$B1:$AH730,23,FALSE)-AVERAGE('The List'!X2:X730))/STDEV('The List'!X2:X730)</f>
        <v>-0.268397932273731</v>
      </c>
      <c r="L291" s="46">
        <f>(VLOOKUP($A291,'The List'!$B1:$AH730,24,FALSE)-AVERAGE('The List'!Y2:Y730))/STDEV('The List'!Y2:Y730)</f>
        <v>-0.47216099126438</v>
      </c>
      <c r="M291" s="46">
        <f>(VLOOKUP($A291,'The List'!$B1:$AH730,25,FALSE)-AVERAGE('The List'!Z2:Z730))/STDEV('The List'!Z2:Z730)</f>
        <v>-0.643470042165795</v>
      </c>
      <c r="N291" s="46">
        <f>(VLOOKUP($A291,'The List'!$B1:$AH730,26,FALSE)-AVERAGE('The List'!AA2:AA730))/STDEV('The List'!AA2:AA730)</f>
        <v>-1.12589304425013</v>
      </c>
      <c r="O291" s="46">
        <f>(VLOOKUP($A291,'The List'!$B1:$AH730,27,FALSE)-AVERAGE('The List'!AB2:AB730))/STDEV('The List'!AB2:AB730)</f>
        <v>-1.29017116469526</v>
      </c>
      <c r="P291" s="46">
        <f>(VLOOKUP($A291,'The List'!$B1:$AH730,28,FALSE)-AVERAGE('The List'!AC2:AC730))/STDEV('The List'!AC2:AC730)</f>
        <v>-0.766802705482814</v>
      </c>
      <c r="Q291" s="46">
        <f>(VLOOKUP($A291,'The List'!$B1:$AH730,29,FALSE)-AVERAGE('The List'!AD2:AD730))/STDEV('The List'!AD2:AD730)</f>
        <v>-0.402345561961348</v>
      </c>
      <c r="R291" s="46">
        <f>(VLOOKUP($A291,'The List'!$B1:$AH730,30,FALSE)-AVERAGE('The List'!AE2:AE730))/STDEV('The List'!AE2:AE730)</f>
        <v>-0.115500239718899</v>
      </c>
      <c r="S291" s="46">
        <f>(VLOOKUP($A291,'The List'!$B1:$AH730,31,FALSE)-AVERAGE('The List'!AF2:AF730))/STDEV('The List'!AF2:AF730)</f>
        <v>-0.5333147697549721</v>
      </c>
      <c r="T291" s="46">
        <f>(VLOOKUP($A291,'The List'!$B1:$AH730,32,FALSE)-AVERAGE('The List'!AG2:AG730))/STDEV('The List'!AG2:AG730)</f>
        <v>-0.579868965173935</v>
      </c>
      <c r="U291" s="46">
        <f>(VLOOKUP($A291,'The List'!$B1:$AH730,33,FALSE)-AVERAGE('The List'!AH2:AH730))/STDEV('The List'!AH2:AH730)</f>
        <v>1.21047259665237</v>
      </c>
      <c r="V291" s="46"/>
      <c r="W291" s="50"/>
      <c r="X291" s="48"/>
      <c r="Y291" s="48"/>
      <c r="Z291" s="48"/>
      <c r="AA291" s="48"/>
      <c r="AB291" s="48"/>
      <c r="AC291" s="51"/>
      <c r="AD291" s="52"/>
      <c r="AE291" s="46"/>
    </row>
    <row r="292" ht="21.25" customHeight="1">
      <c r="A292" t="s" s="8">
        <v>579</v>
      </c>
      <c r="B292" t="s" s="42">
        <f>VLOOKUP(A292,'Player Data'!A1:B734,2,FALSE)</f>
        <v>134</v>
      </c>
      <c r="C292" s="44">
        <f>((E292)*'Settings'!$C$12)+(F292*'Settings'!$C$2)+(G292*'Settings'!$C$3)+(H292*'Settings'!$C$4)+(I292*'Settings'!$C$5)+(K292*'Settings'!$C$9)+(N292*'Settings'!$C$6)+(J292*'Settings'!$C$8)+(O292*'Settings'!$C$7)+(P292*'Settings'!$C$14)+(Q292*'Settings'!$C$15)+(R292*'Settings'!$C$16)+(S292*'Settings'!$C$17)+(T292*'Settings'!$C$18)+(U292*'Settings'!$C$19)+(L292*'Settings'!$C$10)+('Settings'!$C$11*M292)</f>
        <v>-0.610456711208615</v>
      </c>
      <c r="D292" s="48">
        <f>IF('Settings'!$E$12="YES",VLOOKUP(A292,'Player Data'!A1:E734,5,FALSE),82)</f>
        <v>76.9589285714286</v>
      </c>
      <c r="E292" s="46">
        <f>(VLOOKUP($A292,'The List'!$B1:$AH730,17,FALSE)-AVERAGE('The List'!R2:R730))/STDEV('The List'!R2:R730)</f>
        <v>-0.07751992342257109</v>
      </c>
      <c r="F292" s="46">
        <f>(VLOOKUP($A292,'The List'!$B1:$AH730,18,FALSE)-AVERAGE('The List'!S2:S730))/STDEV('The List'!S2:S730)</f>
        <v>0.0143289362900395</v>
      </c>
      <c r="G292" s="46">
        <f>(VLOOKUP($A292,'The List'!$B1:$AH730,19,FALSE)-AVERAGE('The List'!T2:T730))/STDEV('The List'!T2:T730)</f>
        <v>-0.172914799160749</v>
      </c>
      <c r="H292" s="46">
        <f>(VLOOKUP($A292,'The List'!$B1:$AH730,20,FALSE)-AVERAGE('The List'!U2:U730))/STDEV('The List'!U2:U730)</f>
        <v>-0.100079747557332</v>
      </c>
      <c r="I292" s="46">
        <f>(VLOOKUP($A292,'The List'!$B1:$AH730,21,FALSE)-AVERAGE('The List'!V2:V730))/STDEV('The List'!V2:V730)</f>
        <v>-0.08904153210604129</v>
      </c>
      <c r="J292" s="46">
        <f>(VLOOKUP($A292,'The List'!$B1:$AH730,22,FALSE)-AVERAGE('The List'!W2:W730))/STDEV('The List'!W2:W730)</f>
        <v>-0.0976200096365253</v>
      </c>
      <c r="K292" s="46">
        <f>(VLOOKUP($A292,'The List'!$B1:$AH730,23,FALSE)-AVERAGE('The List'!X2:X730))/STDEV('The List'!X2:X730)</f>
        <v>0.00459716183286652</v>
      </c>
      <c r="L292" s="46">
        <f>(VLOOKUP($A292,'The List'!$B1:$AH730,24,FALSE)-AVERAGE('The List'!Y2:Y730))/STDEV('The List'!Y2:Y730)</f>
        <v>0.658376624665389</v>
      </c>
      <c r="M292" s="46">
        <f>(VLOOKUP($A292,'The List'!$B1:$AH730,25,FALSE)-AVERAGE('The List'!Z2:Z730))/STDEV('The List'!Z2:Z730)</f>
        <v>0.145411634558176</v>
      </c>
      <c r="N292" s="46">
        <f>(VLOOKUP($A292,'The List'!$B1:$AH730,26,FALSE)-AVERAGE('The List'!AA2:AA730))/STDEV('The List'!AA2:AA730)</f>
        <v>-0.815330557688474</v>
      </c>
      <c r="O292" s="46">
        <f>(VLOOKUP($A292,'The List'!$B1:$AH730,27,FALSE)-AVERAGE('The List'!AB2:AB730))/STDEV('The List'!AB2:AB730)</f>
        <v>-1.24937200102911</v>
      </c>
      <c r="P292" s="46">
        <f>(VLOOKUP($A292,'The List'!$B1:$AH730,28,FALSE)-AVERAGE('The List'!AC2:AC730))/STDEV('The List'!AC2:AC730)</f>
        <v>0.447904079623743</v>
      </c>
      <c r="Q292" s="46">
        <f>(VLOOKUP($A292,'The List'!$B1:$AH730,29,FALSE)-AVERAGE('The List'!AD2:AD730))/STDEV('The List'!AD2:AD730)</f>
        <v>-1.40618209789855</v>
      </c>
      <c r="R292" s="46">
        <f>(VLOOKUP($A292,'The List'!$B1:$AH730,30,FALSE)-AVERAGE('The List'!AE2:AE730))/STDEV('The List'!AE2:AE730)</f>
        <v>0.184194657254236</v>
      </c>
      <c r="S292" s="46">
        <f>(VLOOKUP($A292,'The List'!$B1:$AH730,31,FALSE)-AVERAGE('The List'!AF2:AF730))/STDEV('The List'!AF2:AF730)</f>
        <v>-0.416266125628031</v>
      </c>
      <c r="T292" s="46">
        <f>(VLOOKUP($A292,'The List'!$B1:$AH730,32,FALSE)-AVERAGE('The List'!AG2:AG730))/STDEV('The List'!AG2:AG730)</f>
        <v>-0.400832575653654</v>
      </c>
      <c r="U292" s="46">
        <f>(VLOOKUP($A292,'The List'!$B1:$AH730,33,FALSE)-AVERAGE('The List'!AH2:AH730))/STDEV('The List'!AH2:AH730)</f>
        <v>0.683705287550354</v>
      </c>
      <c r="V292" s="46"/>
      <c r="W292" s="50"/>
      <c r="X292" s="48"/>
      <c r="Y292" s="48"/>
      <c r="Z292" s="48"/>
      <c r="AA292" s="48"/>
      <c r="AB292" s="48"/>
      <c r="AC292" s="51"/>
      <c r="AD292" s="52"/>
      <c r="AE292" s="46"/>
    </row>
    <row r="293" ht="21.25" customHeight="1">
      <c r="A293" t="s" s="8">
        <v>609</v>
      </c>
      <c r="B293" t="s" s="42">
        <f>VLOOKUP(A293,'Player Data'!A1:B734,2,FALSE)</f>
        <v>119</v>
      </c>
      <c r="C293" s="44">
        <f>((E293)*'Settings'!$C$12)+(F293*'Settings'!$C$2)+(G293*'Settings'!$C$3)+(H293*'Settings'!$C$4)+(I293*'Settings'!$C$5)+(K293*'Settings'!$C$9)+(N293*'Settings'!$C$6)+(J293*'Settings'!$C$8)+(O293*'Settings'!$C$7)+(P293*'Settings'!$C$14)+(Q293*'Settings'!$C$15)+(R293*'Settings'!$C$16)+(S293*'Settings'!$C$17)+(T293*'Settings'!$C$18)+(U293*'Settings'!$C$19)+(L293*'Settings'!$C$10)+('Settings'!$C$11*M293)</f>
        <v>-0.18780909687846</v>
      </c>
      <c r="D293" s="48">
        <f>IF('Settings'!$E$12="YES",VLOOKUP(A293,'Player Data'!A1:E734,5,FALSE),82)</f>
        <v>79.72285714285709</v>
      </c>
      <c r="E293" s="46">
        <f>(VLOOKUP($A293,'The List'!$B1:$AH730,17,FALSE)-AVERAGE('The List'!R2:R730))/STDEV('The List'!R2:R730)</f>
        <v>-0.405837385672423</v>
      </c>
      <c r="F293" s="46">
        <f>(VLOOKUP($A293,'The List'!$B1:$AH730,18,FALSE)-AVERAGE('The List'!S2:S730))/STDEV('The List'!S2:S730)</f>
        <v>0.0230245806159324</v>
      </c>
      <c r="G293" s="46">
        <f>(VLOOKUP($A293,'The List'!$B1:$AH730,19,FALSE)-AVERAGE('The List'!T2:T730))/STDEV('The List'!T2:T730)</f>
        <v>-0.0934356883722282</v>
      </c>
      <c r="H293" s="46">
        <f>(VLOOKUP($A293,'The List'!$B1:$AH730,20,FALSE)-AVERAGE('The List'!U2:U730))/STDEV('The List'!U2:U730)</f>
        <v>-0.0471252278385563</v>
      </c>
      <c r="I293" s="46">
        <f>(VLOOKUP($A293,'The List'!$B1:$AH730,21,FALSE)-AVERAGE('The List'!V2:V730))/STDEV('The List'!V2:V730)</f>
        <v>-0.312605394741249</v>
      </c>
      <c r="J293" s="46">
        <f>(VLOOKUP($A293,'The List'!$B1:$AH730,22,FALSE)-AVERAGE('The List'!W2:W730))/STDEV('The List'!W2:W730)</f>
        <v>-0.500847190969399</v>
      </c>
      <c r="K293" s="46">
        <f>(VLOOKUP($A293,'The List'!$B1:$AH730,23,FALSE)-AVERAGE('The List'!X2:X730))/STDEV('The List'!X2:X730)</f>
        <v>-0.5824343617132151</v>
      </c>
      <c r="L293" s="46">
        <f>(VLOOKUP($A293,'The List'!$B1:$AH730,24,FALSE)-AVERAGE('The List'!Y2:Y730))/STDEV('The List'!Y2:Y730)</f>
        <v>0.705139227691911</v>
      </c>
      <c r="M293" s="46">
        <f>(VLOOKUP($A293,'The List'!$B1:$AH730,25,FALSE)-AVERAGE('The List'!Z2:Z730))/STDEV('The List'!Z2:Z730)</f>
        <v>0.478285154827743</v>
      </c>
      <c r="N293" s="46">
        <f>(VLOOKUP($A293,'The List'!$B1:$AH730,26,FALSE)-AVERAGE('The List'!AA2:AA730))/STDEV('The List'!AA2:AA730)</f>
        <v>-0.26013698971567</v>
      </c>
      <c r="O293" s="46">
        <f>(VLOOKUP($A293,'The List'!$B1:$AH730,27,FALSE)-AVERAGE('The List'!AB2:AB730))/STDEV('The List'!AB2:AB730)</f>
        <v>-0.303752472900808</v>
      </c>
      <c r="P293" s="46">
        <f>(VLOOKUP($A293,'The List'!$B1:$AH730,28,FALSE)-AVERAGE('The List'!AC2:AC730))/STDEV('The List'!AC2:AC730)</f>
        <v>1.03777875704797</v>
      </c>
      <c r="Q293" s="46">
        <f>(VLOOKUP($A293,'The List'!$B1:$AH730,29,FALSE)-AVERAGE('The List'!AD2:AD730))/STDEV('The List'!AD2:AD730)</f>
        <v>-0.558745926138564</v>
      </c>
      <c r="R293" s="46">
        <f>(VLOOKUP($A293,'The List'!$B1:$AH730,30,FALSE)-AVERAGE('The List'!AE2:AE730))/STDEV('The List'!AE2:AE730)</f>
        <v>0.046353461416767</v>
      </c>
      <c r="S293" s="46">
        <f>(VLOOKUP($A293,'The List'!$B1:$AH730,31,FALSE)-AVERAGE('The List'!AF2:AF730))/STDEV('The List'!AF2:AF730)</f>
        <v>0.443915218669575</v>
      </c>
      <c r="T293" s="46">
        <f>(VLOOKUP($A293,'The List'!$B1:$AH730,32,FALSE)-AVERAGE('The List'!AG2:AG730))/STDEV('The List'!AG2:AG730)</f>
        <v>0.849378349953421</v>
      </c>
      <c r="U293" s="46">
        <f>(VLOOKUP($A293,'The List'!$B1:$AH730,33,FALSE)-AVERAGE('The List'!AH2:AH730))/STDEV('The List'!AH2:AH730)</f>
        <v>0.663123788819434</v>
      </c>
      <c r="V293" s="46"/>
      <c r="W293" s="50"/>
      <c r="X293" s="48"/>
      <c r="Y293" s="48"/>
      <c r="Z293" s="48"/>
      <c r="AA293" s="48"/>
      <c r="AB293" s="48"/>
      <c r="AC293" s="51"/>
      <c r="AD293" s="52"/>
      <c r="AE293" s="46"/>
    </row>
    <row r="294" ht="21.25" customHeight="1">
      <c r="A294" t="s" s="8">
        <v>349</v>
      </c>
      <c r="B294" t="s" s="42">
        <f>VLOOKUP(A294,'Player Data'!A1:B734,2,FALSE)</f>
        <v>189</v>
      </c>
      <c r="C294" s="44">
        <f>((E294)*'Settings'!$C$12)+(F294*'Settings'!$C$2)+(G294*'Settings'!$C$3)+(H294*'Settings'!$C$4)+(I294*'Settings'!$C$5)+(K294*'Settings'!$C$9)+(N294*'Settings'!$C$6)+(J294*'Settings'!$C$8)+(O294*'Settings'!$C$7)+(P294*'Settings'!$C$14)+(Q294*'Settings'!$C$15)+(R294*'Settings'!$C$16)+(S294*'Settings'!$C$17)+(T294*'Settings'!$C$18)+(U294*'Settings'!$C$19)+(L294*'Settings'!$C$10)+('Settings'!$C$11*M294)</f>
        <v>0.149700498729197</v>
      </c>
      <c r="D294" s="48">
        <f>IF('Settings'!$E$12="YES",VLOOKUP(A294,'Player Data'!A1:E734,5,FALSE),82)</f>
        <v>81.5775</v>
      </c>
      <c r="E294" s="46">
        <f>(VLOOKUP($A294,'The List'!$B1:$AH730,17,FALSE)-AVERAGE('The List'!R2:R730))/STDEV('The List'!R2:R730)</f>
        <v>1.20103644773589</v>
      </c>
      <c r="F294" s="46">
        <f>(VLOOKUP($A294,'The List'!$B1:$AH730,18,FALSE)-AVERAGE('The List'!S2:S730))/STDEV('The List'!S2:S730)</f>
        <v>-0.55489472258235</v>
      </c>
      <c r="G294" s="46">
        <f>(VLOOKUP($A294,'The List'!$B1:$AH730,19,FALSE)-AVERAGE('The List'!T2:T730))/STDEV('The List'!T2:T730)</f>
        <v>0.38869436162811</v>
      </c>
      <c r="H294" s="46">
        <f>(VLOOKUP($A294,'The List'!$B1:$AH730,20,FALSE)-AVERAGE('The List'!U2:U730))/STDEV('The List'!U2:U730)</f>
        <v>-0.0128632625063092</v>
      </c>
      <c r="I294" s="46">
        <f>(VLOOKUP($A294,'The List'!$B1:$AH730,21,FALSE)-AVERAGE('The List'!V2:V730))/STDEV('The List'!V2:V730)</f>
        <v>-0.123115068493017</v>
      </c>
      <c r="J294" s="46">
        <f>(VLOOKUP($A294,'The List'!$B1:$AH730,22,FALSE)-AVERAGE('The List'!W2:W730))/STDEV('The List'!W2:W730)</f>
        <v>-0.249200610026859</v>
      </c>
      <c r="K294" s="46">
        <f>(VLOOKUP($A294,'The List'!$B1:$AH730,23,FALSE)-AVERAGE('The List'!X2:X730))/STDEV('The List'!X2:X730)</f>
        <v>-0.07539252760337239</v>
      </c>
      <c r="L294" s="46">
        <f>(VLOOKUP($A294,'The List'!$B1:$AH730,24,FALSE)-AVERAGE('The List'!Y2:Y730))/STDEV('The List'!Y2:Y730)</f>
        <v>-0.0573689022815806</v>
      </c>
      <c r="M294" s="46">
        <f>(VLOOKUP($A294,'The List'!$B1:$AH730,25,FALSE)-AVERAGE('The List'!Z2:Z730))/STDEV('The List'!Z2:Z730)</f>
        <v>-0.106194025239602</v>
      </c>
      <c r="N294" s="46">
        <f>(VLOOKUP($A294,'The List'!$B1:$AH730,26,FALSE)-AVERAGE('The List'!AA2:AA730))/STDEV('The List'!AA2:AA730)</f>
        <v>1.28215454658829</v>
      </c>
      <c r="O294" s="46">
        <f>(VLOOKUP($A294,'The List'!$B1:$AH730,27,FALSE)-AVERAGE('The List'!AB2:AB730))/STDEV('The List'!AB2:AB730)</f>
        <v>-0.546648323672518</v>
      </c>
      <c r="P294" s="46">
        <f>(VLOOKUP($A294,'The List'!$B1:$AH730,28,FALSE)-AVERAGE('The List'!AC2:AC730))/STDEV('The List'!AC2:AC730)</f>
        <v>-0.767746090808464</v>
      </c>
      <c r="Q294" s="46">
        <f>(VLOOKUP($A294,'The List'!$B1:$AH730,29,FALSE)-AVERAGE('The List'!AD2:AD730))/STDEV('The List'!AD2:AD730)</f>
        <v>0.726402563519064</v>
      </c>
      <c r="R294" s="46">
        <f>(VLOOKUP($A294,'The List'!$B1:$AH730,30,FALSE)-AVERAGE('The List'!AE2:AE730))/STDEV('The List'!AE2:AE730)</f>
        <v>-0.668038430266965</v>
      </c>
      <c r="S294" s="46">
        <f>(VLOOKUP($A294,'The List'!$B1:$AH730,31,FALSE)-AVERAGE('The List'!AF2:AF730))/STDEV('The List'!AF2:AF730)</f>
        <v>-0.5569063253591</v>
      </c>
      <c r="T294" s="46">
        <f>(VLOOKUP($A294,'The List'!$B1:$AH730,32,FALSE)-AVERAGE('The List'!AG2:AG730))/STDEV('The List'!AG2:AG730)</f>
        <v>-0.600856269042678</v>
      </c>
      <c r="U294" s="46">
        <f>(VLOOKUP($A294,'The List'!$B1:$AH730,33,FALSE)-AVERAGE('The List'!AH2:AH730))/STDEV('The List'!AH2:AH730)</f>
        <v>-1.2363238714826</v>
      </c>
      <c r="V294" s="46"/>
      <c r="W294" s="50"/>
      <c r="X294" s="48"/>
      <c r="Y294" s="48"/>
      <c r="Z294" s="48"/>
      <c r="AA294" s="48"/>
      <c r="AB294" s="48"/>
      <c r="AC294" s="51"/>
      <c r="AD294" s="52"/>
      <c r="AE294" s="46"/>
    </row>
    <row r="295" ht="21.25" customHeight="1">
      <c r="A295" t="s" s="8">
        <v>539</v>
      </c>
      <c r="B295" t="s" s="42">
        <f>VLOOKUP(A295,'Player Data'!A1:B734,2,FALSE)</f>
        <v>124</v>
      </c>
      <c r="C295" s="44">
        <f>((E295)*'Settings'!$C$12)+(F295*'Settings'!$C$2)+(G295*'Settings'!$C$3)+(H295*'Settings'!$C$4)+(I295*'Settings'!$C$5)+(K295*'Settings'!$C$9)+(N295*'Settings'!$C$6)+(J295*'Settings'!$C$8)+(O295*'Settings'!$C$7)+(P295*'Settings'!$C$14)+(Q295*'Settings'!$C$15)+(R295*'Settings'!$C$16)+(S295*'Settings'!$C$17)+(T295*'Settings'!$C$18)+(U295*'Settings'!$C$19)+(L295*'Settings'!$C$10)+('Settings'!$C$11*M295)</f>
        <v>-0.45336248536257</v>
      </c>
      <c r="D295" s="48">
        <f>IF('Settings'!$E$12="YES",VLOOKUP(A295,'Player Data'!A1:E734,5,FALSE),82)</f>
        <v>81.40000000000001</v>
      </c>
      <c r="E295" s="46">
        <f>(VLOOKUP($A295,'The List'!$B1:$AH730,17,FALSE)-AVERAGE('The List'!R2:R730))/STDEV('The List'!R2:R730)</f>
        <v>-0.0424163541515478</v>
      </c>
      <c r="F295" s="46">
        <f>(VLOOKUP($A295,'The List'!$B1:$AH730,18,FALSE)-AVERAGE('The List'!S2:S730))/STDEV('The List'!S2:S730)</f>
        <v>0.349181084784816</v>
      </c>
      <c r="G295" s="46">
        <f>(VLOOKUP($A295,'The List'!$B1:$AH730,19,FALSE)-AVERAGE('The List'!T2:T730))/STDEV('The List'!T2:T730)</f>
        <v>-0.301397573172508</v>
      </c>
      <c r="H295" s="46">
        <f>(VLOOKUP($A295,'The List'!$B1:$AH730,20,FALSE)-AVERAGE('The List'!U2:U730))/STDEV('The List'!U2:U730)</f>
        <v>-0.0269232457403605</v>
      </c>
      <c r="I295" s="46">
        <f>(VLOOKUP($A295,'The List'!$B1:$AH730,21,FALSE)-AVERAGE('The List'!V2:V730))/STDEV('The List'!V2:V730)</f>
        <v>0.149799949591256</v>
      </c>
      <c r="J295" s="46">
        <f>(VLOOKUP($A295,'The List'!$B1:$AH730,22,FALSE)-AVERAGE('The List'!W2:W730))/STDEV('The List'!W2:W730)</f>
        <v>0.366013337159818</v>
      </c>
      <c r="K295" s="46">
        <f>(VLOOKUP($A295,'The List'!$B1:$AH730,23,FALSE)-AVERAGE('The List'!X2:X730))/STDEV('The List'!X2:X730)</f>
        <v>-0.206748362010184</v>
      </c>
      <c r="L295" s="46">
        <f>(VLOOKUP($A295,'The List'!$B1:$AH730,24,FALSE)-AVERAGE('The List'!Y2:Y730))/STDEV('The List'!Y2:Y730)</f>
        <v>0.233229813306284</v>
      </c>
      <c r="M295" s="46">
        <f>(VLOOKUP($A295,'The List'!$B1:$AH730,25,FALSE)-AVERAGE('The List'!Z2:Z730))/STDEV('The List'!Z2:Z730)</f>
        <v>0.520538195129053</v>
      </c>
      <c r="N295" s="46">
        <f>(VLOOKUP($A295,'The List'!$B1:$AH730,26,FALSE)-AVERAGE('The List'!AA2:AA730))/STDEV('The List'!AA2:AA730)</f>
        <v>-0.295927585235858</v>
      </c>
      <c r="O295" s="46">
        <f>(VLOOKUP($A295,'The List'!$B1:$AH730,27,FALSE)-AVERAGE('The List'!AB2:AB730))/STDEV('The List'!AB2:AB730)</f>
        <v>0.346589164386319</v>
      </c>
      <c r="P295" s="46">
        <f>(VLOOKUP($A295,'The List'!$B1:$AH730,28,FALSE)-AVERAGE('The List'!AC2:AC730))/STDEV('The List'!AC2:AC730)</f>
        <v>-0.148269999320092</v>
      </c>
      <c r="Q295" s="46">
        <f>(VLOOKUP($A295,'The List'!$B1:$AH730,29,FALSE)-AVERAGE('The List'!AD2:AD730))/STDEV('The List'!AD2:AD730)</f>
        <v>0.028254642515288</v>
      </c>
      <c r="R295" s="46">
        <f>(VLOOKUP($A295,'The List'!$B1:$AH730,30,FALSE)-AVERAGE('The List'!AE2:AE730))/STDEV('The List'!AE2:AE730)</f>
        <v>0.490454343976478</v>
      </c>
      <c r="S295" s="46">
        <f>(VLOOKUP($A295,'The List'!$B1:$AH730,31,FALSE)-AVERAGE('The List'!AF2:AF730))/STDEV('The List'!AF2:AF730)</f>
        <v>1.7528500893958</v>
      </c>
      <c r="T295" s="46">
        <f>(VLOOKUP($A295,'The List'!$B1:$AH730,32,FALSE)-AVERAGE('The List'!AG2:AG730))/STDEV('The List'!AG2:AG730)</f>
        <v>1.6233531843969</v>
      </c>
      <c r="U295" s="46">
        <f>(VLOOKUP($A295,'The List'!$B1:$AH730,33,FALSE)-AVERAGE('The List'!AH2:AH730))/STDEV('The List'!AH2:AH730)</f>
        <v>1.12139034079772</v>
      </c>
      <c r="V295" s="46"/>
      <c r="W295" s="50"/>
      <c r="X295" s="48"/>
      <c r="Y295" s="48"/>
      <c r="Z295" s="48"/>
      <c r="AA295" s="48"/>
      <c r="AB295" s="48"/>
      <c r="AC295" s="51"/>
      <c r="AD295" s="52"/>
      <c r="AE295" s="46"/>
    </row>
    <row r="296" ht="21.25" customHeight="1">
      <c r="A296" t="s" s="8">
        <v>337</v>
      </c>
      <c r="B296" t="s" s="42">
        <f>VLOOKUP(A296,'Player Data'!A1:B734,2,FALSE)</f>
        <v>164</v>
      </c>
      <c r="C296" s="44">
        <f>((E296)*'Settings'!$C$12)+(F296*'Settings'!$C$2)+(G296*'Settings'!$C$3)+(H296*'Settings'!$C$4)+(I296*'Settings'!$C$5)+(K296*'Settings'!$C$9)+(N296*'Settings'!$C$6)+(J296*'Settings'!$C$8)+(O296*'Settings'!$C$7)+(P296*'Settings'!$C$14)+(Q296*'Settings'!$C$15)+(R296*'Settings'!$C$16)+(S296*'Settings'!$C$17)+(T296*'Settings'!$C$18)+(U296*'Settings'!$C$19)+(L296*'Settings'!$C$10)+('Settings'!$C$11*M296)</f>
        <v>1.27259482211282</v>
      </c>
      <c r="D296" s="48">
        <f>IF('Settings'!$E$12="YES",VLOOKUP(A296,'Player Data'!A1:E734,5,FALSE),82)</f>
        <v>81.0496428571429</v>
      </c>
      <c r="E296" s="46">
        <f>(VLOOKUP($A296,'The List'!$B1:$AH730,17,FALSE)-AVERAGE('The List'!R2:R730))/STDEV('The List'!R2:R730)</f>
        <v>1.42420548684352</v>
      </c>
      <c r="F296" s="46">
        <f>(VLOOKUP($A296,'The List'!$B1:$AH730,18,FALSE)-AVERAGE('The List'!S2:S730))/STDEV('The List'!S2:S730)</f>
        <v>-0.6805838276856629</v>
      </c>
      <c r="G296" s="46">
        <f>(VLOOKUP($A296,'The List'!$B1:$AH730,19,FALSE)-AVERAGE('The List'!T2:T730))/STDEV('The List'!T2:T730)</f>
        <v>0.44647682665463</v>
      </c>
      <c r="H296" s="46">
        <f>(VLOOKUP($A296,'The List'!$B1:$AH730,20,FALSE)-AVERAGE('The List'!U2:U730))/STDEV('The List'!U2:U730)</f>
        <v>-0.034432195896439</v>
      </c>
      <c r="I296" s="46">
        <f>(VLOOKUP($A296,'The List'!$B1:$AH730,21,FALSE)-AVERAGE('The List'!V2:V730))/STDEV('The List'!V2:V730)</f>
        <v>0.145662994185644</v>
      </c>
      <c r="J296" s="46">
        <f>(VLOOKUP($A296,'The List'!$B1:$AH730,22,FALSE)-AVERAGE('The List'!W2:W730))/STDEV('The List'!W2:W730)</f>
        <v>-0.437553079048212</v>
      </c>
      <c r="K296" s="46">
        <f>(VLOOKUP($A296,'The List'!$B1:$AH730,23,FALSE)-AVERAGE('The List'!X2:X730))/STDEV('The List'!X2:X730)</f>
        <v>-0.08706443425808599</v>
      </c>
      <c r="L296" s="46">
        <f>(VLOOKUP($A296,'The List'!$B1:$AH730,24,FALSE)-AVERAGE('The List'!Y2:Y730))/STDEV('The List'!Y2:Y730)</f>
        <v>-0.480512537135199</v>
      </c>
      <c r="M296" s="46">
        <f>(VLOOKUP($A296,'The List'!$B1:$AH730,25,FALSE)-AVERAGE('The List'!Z2:Z730))/STDEV('The List'!Z2:Z730)</f>
        <v>0.0147199426607697</v>
      </c>
      <c r="N296" s="46">
        <f>(VLOOKUP($A296,'The List'!$B1:$AH730,26,FALSE)-AVERAGE('The List'!AA2:AA730))/STDEV('The List'!AA2:AA730)</f>
        <v>1.66359714222138</v>
      </c>
      <c r="O296" s="46">
        <f>(VLOOKUP($A296,'The List'!$B1:$AH730,27,FALSE)-AVERAGE('The List'!AB2:AB730))/STDEV('The List'!AB2:AB730)</f>
        <v>1.66984476844225</v>
      </c>
      <c r="P296" s="46">
        <f>(VLOOKUP($A296,'The List'!$B1:$AH730,28,FALSE)-AVERAGE('The List'!AC2:AC730))/STDEV('The List'!AC2:AC730)</f>
        <v>-0.215493879005088</v>
      </c>
      <c r="Q296" s="46">
        <f>(VLOOKUP($A296,'The List'!$B1:$AH730,29,FALSE)-AVERAGE('The List'!AD2:AD730))/STDEV('The List'!AD2:AD730)</f>
        <v>0.838635845959676</v>
      </c>
      <c r="R296" s="46">
        <f>(VLOOKUP($A296,'The List'!$B1:$AH730,30,FALSE)-AVERAGE('The List'!AE2:AE730))/STDEV('The List'!AE2:AE730)</f>
        <v>-0.560212233172292</v>
      </c>
      <c r="S296" s="46">
        <f>(VLOOKUP($A296,'The List'!$B1:$AH730,31,FALSE)-AVERAGE('The List'!AF2:AF730))/STDEV('The List'!AF2:AF730)</f>
        <v>-0.5569063253591</v>
      </c>
      <c r="T296" s="46">
        <f>(VLOOKUP($A296,'The List'!$B1:$AH730,32,FALSE)-AVERAGE('The List'!AG2:AG730))/STDEV('The List'!AG2:AG730)</f>
        <v>-0.600856269042678</v>
      </c>
      <c r="U296" s="46">
        <f>(VLOOKUP($A296,'The List'!$B1:$AH730,33,FALSE)-AVERAGE('The List'!AH2:AH730))/STDEV('The List'!AH2:AH730)</f>
        <v>-1.2363238714826</v>
      </c>
      <c r="V296" s="46"/>
      <c r="W296" s="50"/>
      <c r="X296" s="48"/>
      <c r="Y296" s="48"/>
      <c r="Z296" s="48"/>
      <c r="AA296" s="48"/>
      <c r="AB296" s="48"/>
      <c r="AC296" s="51"/>
      <c r="AD296" s="52"/>
      <c r="AE296" s="46"/>
    </row>
    <row r="297" ht="21.25" customHeight="1">
      <c r="A297" t="s" s="8">
        <v>357</v>
      </c>
      <c r="B297" t="s" s="42">
        <f>VLOOKUP(A297,'Player Data'!A1:B734,2,FALSE)</f>
        <v>196</v>
      </c>
      <c r="C297" s="44">
        <f>((E297)*'Settings'!$C$12)+(F297*'Settings'!$C$2)+(G297*'Settings'!$C$3)+(H297*'Settings'!$C$4)+(I297*'Settings'!$C$5)+(K297*'Settings'!$C$9)+(N297*'Settings'!$C$6)+(J297*'Settings'!$C$8)+(O297*'Settings'!$C$7)+(P297*'Settings'!$C$14)+(Q297*'Settings'!$C$15)+(R297*'Settings'!$C$16)+(S297*'Settings'!$C$17)+(T297*'Settings'!$C$18)+(U297*'Settings'!$C$19)+(L297*'Settings'!$C$10)+('Settings'!$C$11*M297)</f>
        <v>-0.040099148260616</v>
      </c>
      <c r="D297" s="48">
        <f>IF('Settings'!$E$12="YES",VLOOKUP(A297,'Player Data'!A1:E734,5,FALSE),82)</f>
        <v>77.5175</v>
      </c>
      <c r="E297" s="46">
        <f>(VLOOKUP($A297,'The List'!$B1:$AH730,17,FALSE)-AVERAGE('The List'!R2:R730))/STDEV('The List'!R2:R730)</f>
        <v>1.59627838930747</v>
      </c>
      <c r="F297" s="46">
        <f>(VLOOKUP($A297,'The List'!$B1:$AH730,18,FALSE)-AVERAGE('The List'!S2:S730))/STDEV('The List'!S2:S730)</f>
        <v>-0.53636695151618</v>
      </c>
      <c r="G297" s="46">
        <f>(VLOOKUP($A297,'The List'!$B1:$AH730,19,FALSE)-AVERAGE('The List'!T2:T730))/STDEV('The List'!T2:T730)</f>
        <v>0.228079940368827</v>
      </c>
      <c r="H297" s="46">
        <f>(VLOOKUP($A297,'The List'!$B1:$AH730,20,FALSE)-AVERAGE('The List'!U2:U730))/STDEV('The List'!U2:U730)</f>
        <v>-0.103449434725893</v>
      </c>
      <c r="I297" s="46">
        <f>(VLOOKUP($A297,'The List'!$B1:$AH730,21,FALSE)-AVERAGE('The List'!V2:V730))/STDEV('The List'!V2:V730)</f>
        <v>-0.5500129814061731</v>
      </c>
      <c r="J297" s="46">
        <f>(VLOOKUP($A297,'The List'!$B1:$AH730,22,FALSE)-AVERAGE('The List'!W2:W730))/STDEV('The List'!W2:W730)</f>
        <v>0.00587472900837383</v>
      </c>
      <c r="K297" s="46">
        <f>(VLOOKUP($A297,'The List'!$B1:$AH730,23,FALSE)-AVERAGE('The List'!X2:X730))/STDEV('The List'!X2:X730)</f>
        <v>0.19947104226233</v>
      </c>
      <c r="L297" s="46">
        <f>(VLOOKUP($A297,'The List'!$B1:$AH730,24,FALSE)-AVERAGE('The List'!Y2:Y730))/STDEV('The List'!Y2:Y730)</f>
        <v>-0.487619061753608</v>
      </c>
      <c r="M297" s="46">
        <f>(VLOOKUP($A297,'The List'!$B1:$AH730,25,FALSE)-AVERAGE('The List'!Z2:Z730))/STDEV('The List'!Z2:Z730)</f>
        <v>-0.5432495034184111</v>
      </c>
      <c r="N297" s="46">
        <f>(VLOOKUP($A297,'The List'!$B1:$AH730,26,FALSE)-AVERAGE('The List'!AA2:AA730))/STDEV('The List'!AA2:AA730)</f>
        <v>1.93878356338968</v>
      </c>
      <c r="O297" s="46">
        <f>(VLOOKUP($A297,'The List'!$B1:$AH730,27,FALSE)-AVERAGE('The List'!AB2:AB730))/STDEV('The List'!AB2:AB730)</f>
        <v>0.000339264519696965</v>
      </c>
      <c r="P297" s="46">
        <f>(VLOOKUP($A297,'The List'!$B1:$AH730,28,FALSE)-AVERAGE('The List'!AC2:AC730))/STDEV('The List'!AC2:AC730)</f>
        <v>-1.3200537613591</v>
      </c>
      <c r="Q297" s="46">
        <f>(VLOOKUP($A297,'The List'!$B1:$AH730,29,FALSE)-AVERAGE('The List'!AD2:AD730))/STDEV('The List'!AD2:AD730)</f>
        <v>0.397156688538977</v>
      </c>
      <c r="R297" s="46">
        <f>(VLOOKUP($A297,'The List'!$B1:$AH730,30,FALSE)-AVERAGE('The List'!AE2:AE730))/STDEV('The List'!AE2:AE730)</f>
        <v>-0.5610613109522991</v>
      </c>
      <c r="S297" s="46">
        <f>(VLOOKUP($A297,'The List'!$B1:$AH730,31,FALSE)-AVERAGE('The List'!AF2:AF730))/STDEV('The List'!AF2:AF730)</f>
        <v>-0.5569063253591</v>
      </c>
      <c r="T297" s="46">
        <f>(VLOOKUP($A297,'The List'!$B1:$AH730,32,FALSE)-AVERAGE('The List'!AG2:AG730))/STDEV('The List'!AG2:AG730)</f>
        <v>-0.600856269042678</v>
      </c>
      <c r="U297" s="46">
        <f>(VLOOKUP($A297,'The List'!$B1:$AH730,33,FALSE)-AVERAGE('The List'!AH2:AH730))/STDEV('The List'!AH2:AH730)</f>
        <v>-1.2363238714826</v>
      </c>
      <c r="V297" s="46"/>
      <c r="W297" s="50"/>
      <c r="X297" s="48"/>
      <c r="Y297" s="48"/>
      <c r="Z297" s="48"/>
      <c r="AA297" s="48"/>
      <c r="AB297" s="48"/>
      <c r="AC297" s="51"/>
      <c r="AD297" s="52"/>
      <c r="AE297" s="46"/>
    </row>
    <row r="298" ht="21.25" customHeight="1">
      <c r="A298" t="s" s="8">
        <v>367</v>
      </c>
      <c r="B298" t="s" s="42">
        <f>VLOOKUP(A298,'Player Data'!A1:B734,2,FALSE)</f>
        <v>113</v>
      </c>
      <c r="C298" s="44">
        <f>((E298)*'Settings'!$C$12)+(F298*'Settings'!$C$2)+(G298*'Settings'!$C$3)+(H298*'Settings'!$C$4)+(I298*'Settings'!$C$5)+(K298*'Settings'!$C$9)+(N298*'Settings'!$C$6)+(J298*'Settings'!$C$8)+(O298*'Settings'!$C$7)+(P298*'Settings'!$C$14)+(Q298*'Settings'!$C$15)+(R298*'Settings'!$C$16)+(S298*'Settings'!$C$17)+(T298*'Settings'!$C$18)+(U298*'Settings'!$C$19)+(L298*'Settings'!$C$10)+('Settings'!$C$11*M298)</f>
        <v>1.05526842716867</v>
      </c>
      <c r="D298" s="48">
        <f>IF('Settings'!$E$12="YES",VLOOKUP(A298,'Player Data'!A1:E734,5,FALSE),82)</f>
        <v>77.7310714285714</v>
      </c>
      <c r="E298" s="46">
        <f>(VLOOKUP($A298,'The List'!$B1:$AH730,17,FALSE)-AVERAGE('The List'!R2:R730))/STDEV('The List'!R2:R730)</f>
        <v>1.03183773131087</v>
      </c>
      <c r="F298" s="46">
        <f>(VLOOKUP($A298,'The List'!$B1:$AH730,18,FALSE)-AVERAGE('The List'!S2:S730))/STDEV('The List'!S2:S730)</f>
        <v>-0.705351586641669</v>
      </c>
      <c r="G298" s="46">
        <f>(VLOOKUP($A298,'The List'!$B1:$AH730,19,FALSE)-AVERAGE('The List'!T2:T730))/STDEV('The List'!T2:T730)</f>
        <v>0.357396021442884</v>
      </c>
      <c r="H298" s="46">
        <f>(VLOOKUP($A298,'The List'!$B1:$AH730,20,FALSE)-AVERAGE('The List'!U2:U730))/STDEV('The List'!U2:U730)</f>
        <v>-0.100619168519747</v>
      </c>
      <c r="I298" s="46">
        <f>(VLOOKUP($A298,'The List'!$B1:$AH730,21,FALSE)-AVERAGE('The List'!V2:V730))/STDEV('The List'!V2:V730)</f>
        <v>-0.384904954456944</v>
      </c>
      <c r="J298" s="46">
        <f>(VLOOKUP($A298,'The List'!$B1:$AH730,22,FALSE)-AVERAGE('The List'!W2:W730))/STDEV('The List'!W2:W730)</f>
        <v>-0.609099381440973</v>
      </c>
      <c r="K298" s="46">
        <f>(VLOOKUP($A298,'The List'!$B1:$AH730,23,FALSE)-AVERAGE('The List'!X2:X730))/STDEV('The List'!X2:X730)</f>
        <v>-0.202408875789382</v>
      </c>
      <c r="L298" s="46">
        <f>(VLOOKUP($A298,'The List'!$B1:$AH730,24,FALSE)-AVERAGE('The List'!Y2:Y730))/STDEV('The List'!Y2:Y730)</f>
        <v>-0.483172927957314</v>
      </c>
      <c r="M298" s="46">
        <f>(VLOOKUP($A298,'The List'!$B1:$AH730,25,FALSE)-AVERAGE('The List'!Z2:Z730))/STDEV('The List'!Z2:Z730)</f>
        <v>-0.0411171367073798</v>
      </c>
      <c r="N298" s="46">
        <f>(VLOOKUP($A298,'The List'!$B1:$AH730,26,FALSE)-AVERAGE('The List'!AA2:AA730))/STDEV('The List'!AA2:AA730)</f>
        <v>1.36076161637129</v>
      </c>
      <c r="O298" s="46">
        <f>(VLOOKUP($A298,'The List'!$B1:$AH730,27,FALSE)-AVERAGE('The List'!AB2:AB730))/STDEV('The List'!AB2:AB730)</f>
        <v>-0.285385275366206</v>
      </c>
      <c r="P298" s="46">
        <f>(VLOOKUP($A298,'The List'!$B1:$AH730,28,FALSE)-AVERAGE('The List'!AC2:AC730))/STDEV('The List'!AC2:AC730)</f>
        <v>0.629776206242493</v>
      </c>
      <c r="Q298" s="46">
        <f>(VLOOKUP($A298,'The List'!$B1:$AH730,29,FALSE)-AVERAGE('The List'!AD2:AD730))/STDEV('The List'!AD2:AD730)</f>
        <v>-0.65725792670387</v>
      </c>
      <c r="R298" s="46">
        <f>(VLOOKUP($A298,'The List'!$B1:$AH730,30,FALSE)-AVERAGE('The List'!AE2:AE730))/STDEV('The List'!AE2:AE730)</f>
        <v>-0.576860680279156</v>
      </c>
      <c r="S298" s="46">
        <f>(VLOOKUP($A298,'The List'!$B1:$AH730,31,FALSE)-AVERAGE('The List'!AF2:AF730))/STDEV('The List'!AF2:AF730)</f>
        <v>-0.5569063253591</v>
      </c>
      <c r="T298" s="46">
        <f>(VLOOKUP($A298,'The List'!$B1:$AH730,32,FALSE)-AVERAGE('The List'!AG2:AG730))/STDEV('The List'!AG2:AG730)</f>
        <v>-0.600856269042678</v>
      </c>
      <c r="U298" s="46">
        <f>(VLOOKUP($A298,'The List'!$B1:$AH730,33,FALSE)-AVERAGE('The List'!AH2:AH730))/STDEV('The List'!AH2:AH730)</f>
        <v>-1.2363238714826</v>
      </c>
      <c r="V298" s="46"/>
      <c r="W298" s="50"/>
      <c r="X298" s="48"/>
      <c r="Y298" s="48"/>
      <c r="Z298" s="48"/>
      <c r="AA298" s="48"/>
      <c r="AB298" s="48"/>
      <c r="AC298" s="51"/>
      <c r="AD298" s="52"/>
      <c r="AE298" s="46"/>
    </row>
    <row r="299" ht="21.25" customHeight="1">
      <c r="A299" t="s" s="8">
        <v>612</v>
      </c>
      <c r="B299" t="s" s="42">
        <f>VLOOKUP(A299,'Player Data'!A1:B734,2,FALSE)</f>
        <v>166</v>
      </c>
      <c r="C299" s="44">
        <f>((E299)*'Settings'!$C$12)+(F299*'Settings'!$C$2)+(G299*'Settings'!$C$3)+(H299*'Settings'!$C$4)+(I299*'Settings'!$C$5)+(K299*'Settings'!$C$9)+(N299*'Settings'!$C$6)+(J299*'Settings'!$C$8)+(O299*'Settings'!$C$7)+(P299*'Settings'!$C$14)+(Q299*'Settings'!$C$15)+(R299*'Settings'!$C$16)+(S299*'Settings'!$C$17)+(T299*'Settings'!$C$18)+(U299*'Settings'!$C$19)+(L299*'Settings'!$C$10)+('Settings'!$C$11*M299)</f>
        <v>-2.39736964952414</v>
      </c>
      <c r="D299" s="48">
        <f>IF('Settings'!$E$12="YES",VLOOKUP(A299,'Player Data'!A1:E734,5,FALSE),82)</f>
        <v>72.09999999999999</v>
      </c>
      <c r="E299" s="46">
        <f>(VLOOKUP($A299,'The List'!$B1:$AH730,17,FALSE)-AVERAGE('The List'!R2:R730))/STDEV('The List'!R2:R730)</f>
        <v>-0.647739612112464</v>
      </c>
      <c r="F299" s="46">
        <f>(VLOOKUP($A299,'The List'!$B1:$AH730,18,FALSE)-AVERAGE('The List'!S2:S730))/STDEV('The List'!S2:S730)</f>
        <v>-0.0210805943099985</v>
      </c>
      <c r="G299" s="46">
        <f>(VLOOKUP($A299,'The List'!$B1:$AH730,19,FALSE)-AVERAGE('The List'!T2:T730))/STDEV('The List'!T2:T730)</f>
        <v>-0.328781515241203</v>
      </c>
      <c r="H299" s="46">
        <f>(VLOOKUP($A299,'The List'!$B1:$AH730,20,FALSE)-AVERAGE('The List'!U2:U730))/STDEV('The List'!U2:U730)</f>
        <v>-0.21228157594488</v>
      </c>
      <c r="I299" s="46">
        <f>(VLOOKUP($A299,'The List'!$B1:$AH730,21,FALSE)-AVERAGE('The List'!V2:V730))/STDEV('The List'!V2:V730)</f>
        <v>-0.0412675446787416</v>
      </c>
      <c r="J299" s="46">
        <f>(VLOOKUP($A299,'The List'!$B1:$AH730,22,FALSE)-AVERAGE('The List'!W2:W730))/STDEV('The List'!W2:W730)</f>
        <v>-0.507005600506741</v>
      </c>
      <c r="K299" s="46">
        <f>(VLOOKUP($A299,'The List'!$B1:$AH730,23,FALSE)-AVERAGE('The List'!X2:X730))/STDEV('The List'!X2:X730)</f>
        <v>-0.616867404092762</v>
      </c>
      <c r="L299" s="46">
        <f>(VLOOKUP($A299,'The List'!$B1:$AH730,24,FALSE)-AVERAGE('The List'!Y2:Y730))/STDEV('The List'!Y2:Y730)</f>
        <v>-0.532717987142408</v>
      </c>
      <c r="M299" s="46">
        <f>(VLOOKUP($A299,'The List'!$B1:$AH730,25,FALSE)-AVERAGE('The List'!Z2:Z730))/STDEV('The List'!Z2:Z730)</f>
        <v>-0.71032216740715</v>
      </c>
      <c r="N299" s="46">
        <f>(VLOOKUP($A299,'The List'!$B1:$AH730,26,FALSE)-AVERAGE('The List'!AA2:AA730))/STDEV('The List'!AA2:AA730)</f>
        <v>-0.789105411688407</v>
      </c>
      <c r="O299" s="46">
        <f>(VLOOKUP($A299,'The List'!$B1:$AH730,27,FALSE)-AVERAGE('The List'!AB2:AB730))/STDEV('The List'!AB2:AB730)</f>
        <v>-0.327483892011634</v>
      </c>
      <c r="P299" s="46">
        <f>(VLOOKUP($A299,'The List'!$B1:$AH730,28,FALSE)-AVERAGE('The List'!AC2:AC730))/STDEV('The List'!AC2:AC730)</f>
        <v>-0.600267179513026</v>
      </c>
      <c r="Q299" s="46">
        <f>(VLOOKUP($A299,'The List'!$B1:$AH730,29,FALSE)-AVERAGE('The List'!AD2:AD730))/STDEV('The List'!AD2:AD730)</f>
        <v>-0.207484915004808</v>
      </c>
      <c r="R299" s="46">
        <f>(VLOOKUP($A299,'The List'!$B1:$AH730,30,FALSE)-AVERAGE('The List'!AE2:AE730))/STDEV('The List'!AE2:AE730)</f>
        <v>-0.164381502949972</v>
      </c>
      <c r="S299" s="46">
        <f>(VLOOKUP($A299,'The List'!$B1:$AH730,31,FALSE)-AVERAGE('The List'!AF2:AF730))/STDEV('The List'!AF2:AF730)</f>
        <v>-0.49992691165385</v>
      </c>
      <c r="T299" s="46">
        <f>(VLOOKUP($A299,'The List'!$B1:$AH730,32,FALSE)-AVERAGE('The List'!AG2:AG730))/STDEV('The List'!AG2:AG730)</f>
        <v>-0.552529943945158</v>
      </c>
      <c r="U299" s="46">
        <f>(VLOOKUP($A299,'The List'!$B1:$AH730,33,FALSE)-AVERAGE('The List'!AH2:AH730))/STDEV('The List'!AH2:AH730)</f>
        <v>1.26388518269761</v>
      </c>
      <c r="V299" s="46"/>
      <c r="W299" s="50"/>
      <c r="X299" s="48"/>
      <c r="Y299" s="48"/>
      <c r="Z299" s="48"/>
      <c r="AA299" s="48"/>
      <c r="AB299" s="48"/>
      <c r="AC299" s="51"/>
      <c r="AD299" s="52"/>
      <c r="AE299" s="46"/>
    </row>
    <row r="300" ht="21.25" customHeight="1">
      <c r="A300" t="s" s="8">
        <v>635</v>
      </c>
      <c r="B300" t="s" s="42">
        <f>VLOOKUP(A300,'Player Data'!A1:B734,2,FALSE)</f>
        <v>184</v>
      </c>
      <c r="C300" s="44">
        <f>((E300)*'Settings'!$C$12)+(F300*'Settings'!$C$2)+(G300*'Settings'!$C$3)+(H300*'Settings'!$C$4)+(I300*'Settings'!$C$5)+(K300*'Settings'!$C$9)+(N300*'Settings'!$C$6)+(J300*'Settings'!$C$8)+(O300*'Settings'!$C$7)+(P300*'Settings'!$C$14)+(Q300*'Settings'!$C$15)+(R300*'Settings'!$C$16)+(S300*'Settings'!$C$17)+(T300*'Settings'!$C$18)+(U300*'Settings'!$C$19)+(L300*'Settings'!$C$10)+('Settings'!$C$11*M300)</f>
        <v>-1.93641811392411</v>
      </c>
      <c r="D300" s="48">
        <f>IF('Settings'!$E$12="YES",VLOOKUP(A300,'Player Data'!A1:E734,5,FALSE),82)</f>
        <v>74.7971428571429</v>
      </c>
      <c r="E300" s="46">
        <f>(VLOOKUP($A300,'The List'!$B1:$AH730,17,FALSE)-AVERAGE('The List'!R2:R730))/STDEV('The List'!R2:R730)</f>
        <v>-0.424686993888474</v>
      </c>
      <c r="F300" s="46">
        <f>(VLOOKUP($A300,'The List'!$B1:$AH730,18,FALSE)-AVERAGE('The List'!S2:S730))/STDEV('The List'!S2:S730)</f>
        <v>0.07701239574132331</v>
      </c>
      <c r="G300" s="46">
        <f>(VLOOKUP($A300,'The List'!$B1:$AH730,19,FALSE)-AVERAGE('The List'!T2:T730))/STDEV('The List'!T2:T730)</f>
        <v>-0.318261500037517</v>
      </c>
      <c r="H300" s="46">
        <f>(VLOOKUP($A300,'The List'!$B1:$AH730,20,FALSE)-AVERAGE('The List'!U2:U730))/STDEV('The List'!U2:U730)</f>
        <v>-0.161161847046678</v>
      </c>
      <c r="I300" s="46">
        <f>(VLOOKUP($A300,'The List'!$B1:$AH730,21,FALSE)-AVERAGE('The List'!V2:V730))/STDEV('The List'!V2:V730)</f>
        <v>-0.263445206904621</v>
      </c>
      <c r="J300" s="46">
        <f>(VLOOKUP($A300,'The List'!$B1:$AH730,22,FALSE)-AVERAGE('The List'!W2:W730))/STDEV('The List'!W2:W730)</f>
        <v>-0.680501157580374</v>
      </c>
      <c r="K300" s="46">
        <f>(VLOOKUP($A300,'The List'!$B1:$AH730,23,FALSE)-AVERAGE('The List'!X2:X730))/STDEV('The List'!X2:X730)</f>
        <v>-0.733265785989902</v>
      </c>
      <c r="L300" s="46">
        <f>(VLOOKUP($A300,'The List'!$B1:$AH730,24,FALSE)-AVERAGE('The List'!Y2:Y730))/STDEV('The List'!Y2:Y730)</f>
        <v>-0.219869668733531</v>
      </c>
      <c r="M300" s="46">
        <f>(VLOOKUP($A300,'The List'!$B1:$AH730,25,FALSE)-AVERAGE('The List'!Z2:Z730))/STDEV('The List'!Z2:Z730)</f>
        <v>-0.385420738933379</v>
      </c>
      <c r="N300" s="46">
        <f>(VLOOKUP($A300,'The List'!$B1:$AH730,26,FALSE)-AVERAGE('The List'!AA2:AA730))/STDEV('The List'!AA2:AA730)</f>
        <v>0.0591197394134165</v>
      </c>
      <c r="O300" s="46">
        <f>(VLOOKUP($A300,'The List'!$B1:$AH730,27,FALSE)-AVERAGE('The List'!AB2:AB730))/STDEV('The List'!AB2:AB730)</f>
        <v>1.07450694891975</v>
      </c>
      <c r="P300" s="46">
        <f>(VLOOKUP($A300,'The List'!$B1:$AH730,28,FALSE)-AVERAGE('The List'!AC2:AC730))/STDEV('The List'!AC2:AC730)</f>
        <v>-0.757577756146806</v>
      </c>
      <c r="Q300" s="46">
        <f>(VLOOKUP($A300,'The List'!$B1:$AH730,29,FALSE)-AVERAGE('The List'!AD2:AD730))/STDEV('The List'!AD2:AD730)</f>
        <v>1.23012612748676</v>
      </c>
      <c r="R300" s="46">
        <f>(VLOOKUP($A300,'The List'!$B1:$AH730,30,FALSE)-AVERAGE('The List'!AE2:AE730))/STDEV('The List'!AE2:AE730)</f>
        <v>-0.00253655100968116</v>
      </c>
      <c r="S300" s="46">
        <f>(VLOOKUP($A300,'The List'!$B1:$AH730,31,FALSE)-AVERAGE('The List'!AF2:AF730))/STDEV('The List'!AF2:AF730)</f>
        <v>0.862549073923417</v>
      </c>
      <c r="T300" s="46">
        <f>(VLOOKUP($A300,'The List'!$B1:$AH730,32,FALSE)-AVERAGE('The List'!AG2:AG730))/STDEV('The List'!AG2:AG730)</f>
        <v>0.921509629794478</v>
      </c>
      <c r="U300" s="46">
        <f>(VLOOKUP($A300,'The List'!$B1:$AH730,33,FALSE)-AVERAGE('The List'!AH2:AH730))/STDEV('The List'!AH2:AH730)</f>
        <v>0.999815852689817</v>
      </c>
      <c r="V300" s="46"/>
      <c r="W300" s="50"/>
      <c r="X300" s="48"/>
      <c r="Y300" s="48"/>
      <c r="Z300" s="48"/>
      <c r="AA300" s="48"/>
      <c r="AB300" s="48"/>
      <c r="AC300" s="51"/>
      <c r="AD300" s="52"/>
      <c r="AE300" s="46"/>
    </row>
    <row r="301" ht="21.25" customHeight="1">
      <c r="A301" t="s" s="8">
        <v>355</v>
      </c>
      <c r="B301" t="s" s="42">
        <f>VLOOKUP(A301,'Player Data'!A1:B734,2,FALSE)</f>
        <v>136</v>
      </c>
      <c r="C301" s="44">
        <f>((E301)*'Settings'!$C$12)+(F301*'Settings'!$C$2)+(G301*'Settings'!$C$3)+(H301*'Settings'!$C$4)+(I301*'Settings'!$C$5)+(K301*'Settings'!$C$9)+(N301*'Settings'!$C$6)+(J301*'Settings'!$C$8)+(O301*'Settings'!$C$7)+(P301*'Settings'!$C$14)+(Q301*'Settings'!$C$15)+(R301*'Settings'!$C$16)+(S301*'Settings'!$C$17)+(T301*'Settings'!$C$18)+(U301*'Settings'!$C$19)+(L301*'Settings'!$C$10)+('Settings'!$C$11*M301)</f>
        <v>1.66547090734435</v>
      </c>
      <c r="D301" s="48">
        <f>IF('Settings'!$E$12="YES",VLOOKUP(A301,'Player Data'!A1:E734,5,FALSE),82)</f>
        <v>73.675</v>
      </c>
      <c r="E301" s="46">
        <f>(VLOOKUP($A301,'The List'!$B1:$AH730,17,FALSE)-AVERAGE('The List'!R2:R730))/STDEV('The List'!R2:R730)</f>
        <v>1.04460180281033</v>
      </c>
      <c r="F301" s="46">
        <f>(VLOOKUP($A301,'The List'!$B1:$AH730,18,FALSE)-AVERAGE('The List'!S2:S730))/STDEV('The List'!S2:S730)</f>
        <v>-0.661859128635933</v>
      </c>
      <c r="G301" s="46">
        <f>(VLOOKUP($A301,'The List'!$B1:$AH730,19,FALSE)-AVERAGE('The List'!T2:T730))/STDEV('The List'!T2:T730)</f>
        <v>0.187168826846546</v>
      </c>
      <c r="H301" s="46">
        <f>(VLOOKUP($A301,'The List'!$B1:$AH730,20,FALSE)-AVERAGE('The List'!U2:U730))/STDEV('The List'!U2:U730)</f>
        <v>-0.185772055912675</v>
      </c>
      <c r="I301" s="46">
        <f>(VLOOKUP($A301,'The List'!$B1:$AH730,21,FALSE)-AVERAGE('The List'!V2:V730))/STDEV('The List'!V2:V730)</f>
        <v>-0.0255733487444264</v>
      </c>
      <c r="J301" s="46">
        <f>(VLOOKUP($A301,'The List'!$B1:$AH730,22,FALSE)-AVERAGE('The List'!W2:W730))/STDEV('The List'!W2:W730)</f>
        <v>-0.275646726809789</v>
      </c>
      <c r="K301" s="46">
        <f>(VLOOKUP($A301,'The List'!$B1:$AH730,23,FALSE)-AVERAGE('The List'!X2:X730))/STDEV('The List'!X2:X730)</f>
        <v>0.0999032102591573</v>
      </c>
      <c r="L301" s="46">
        <f>(VLOOKUP($A301,'The List'!$B1:$AH730,24,FALSE)-AVERAGE('The List'!Y2:Y730))/STDEV('The List'!Y2:Y730)</f>
        <v>-0.5135606205175099</v>
      </c>
      <c r="M301" s="46">
        <f>(VLOOKUP($A301,'The List'!$B1:$AH730,25,FALSE)-AVERAGE('The List'!Z2:Z730))/STDEV('The List'!Z2:Z730)</f>
        <v>-0.655350638414586</v>
      </c>
      <c r="N301" s="46">
        <f>(VLOOKUP($A301,'The List'!$B1:$AH730,26,FALSE)-AVERAGE('The List'!AA2:AA730))/STDEV('The List'!AA2:AA730)</f>
        <v>0.973273471016177</v>
      </c>
      <c r="O301" s="46">
        <f>(VLOOKUP($A301,'The List'!$B1:$AH730,27,FALSE)-AVERAGE('The List'!AB2:AB730))/STDEV('The List'!AB2:AB730)</f>
        <v>-0.429254031406502</v>
      </c>
      <c r="P301" s="46">
        <f>(VLOOKUP($A301,'The List'!$B1:$AH730,28,FALSE)-AVERAGE('The List'!AC2:AC730))/STDEV('The List'!AC2:AC730)</f>
        <v>1.09255787660283</v>
      </c>
      <c r="Q301" s="46">
        <f>(VLOOKUP($A301,'The List'!$B1:$AH730,29,FALSE)-AVERAGE('The List'!AD2:AD730))/STDEV('The List'!AD2:AD730)</f>
        <v>-0.0266562978776151</v>
      </c>
      <c r="R301" s="46">
        <f>(VLOOKUP($A301,'The List'!$B1:$AH730,30,FALSE)-AVERAGE('The List'!AE2:AE730))/STDEV('The List'!AE2:AE730)</f>
        <v>-0.524753206515467</v>
      </c>
      <c r="S301" s="46">
        <f>(VLOOKUP($A301,'The List'!$B1:$AH730,31,FALSE)-AVERAGE('The List'!AF2:AF730))/STDEV('The List'!AF2:AF730)</f>
        <v>-0.5569063253591</v>
      </c>
      <c r="T301" s="46">
        <f>(VLOOKUP($A301,'The List'!$B1:$AH730,32,FALSE)-AVERAGE('The List'!AG2:AG730))/STDEV('The List'!AG2:AG730)</f>
        <v>-0.600856269042678</v>
      </c>
      <c r="U301" s="46">
        <f>(VLOOKUP($A301,'The List'!$B1:$AH730,33,FALSE)-AVERAGE('The List'!AH2:AH730))/STDEV('The List'!AH2:AH730)</f>
        <v>-1.2363238714826</v>
      </c>
      <c r="V301" s="46"/>
      <c r="W301" s="50"/>
      <c r="X301" s="48"/>
      <c r="Y301" s="48"/>
      <c r="Z301" s="48"/>
      <c r="AA301" s="48"/>
      <c r="AB301" s="48"/>
      <c r="AC301" s="51"/>
      <c r="AD301" s="52"/>
      <c r="AE301" s="46"/>
    </row>
    <row r="302" ht="21.25" customHeight="1">
      <c r="A302" t="s" s="8">
        <v>689</v>
      </c>
      <c r="B302" t="s" s="42">
        <f>VLOOKUP(A302,'Player Data'!A1:B734,2,FALSE)</f>
        <v>292</v>
      </c>
      <c r="C302" s="44">
        <f>((E302)*'Settings'!$C$12)+(F302*'Settings'!$C$2)+(G302*'Settings'!$C$3)+(H302*'Settings'!$C$4)+(I302*'Settings'!$C$5)+(K302*'Settings'!$C$9)+(N302*'Settings'!$C$6)+(J302*'Settings'!$C$8)+(O302*'Settings'!$C$7)+(P302*'Settings'!$C$14)+(Q302*'Settings'!$C$15)+(R302*'Settings'!$C$16)+(S302*'Settings'!$C$17)+(T302*'Settings'!$C$18)+(U302*'Settings'!$C$19)+(L302*'Settings'!$C$10)+('Settings'!$C$11*M302)</f>
        <v>-2.6468822541588</v>
      </c>
      <c r="D302" s="48">
        <f>IF('Settings'!$E$12="YES",VLOOKUP(A302,'Player Data'!A1:E734,5,FALSE),82)</f>
        <v>67.17</v>
      </c>
      <c r="E302" s="46">
        <f>(VLOOKUP($A302,'The List'!$B1:$AH730,17,FALSE)-AVERAGE('The List'!R2:R730))/STDEV('The List'!R2:R730)</f>
        <v>-0.410497821893856</v>
      </c>
      <c r="F302" s="46">
        <f>(VLOOKUP($A302,'The List'!$B1:$AH730,18,FALSE)-AVERAGE('The List'!S2:S730))/STDEV('The List'!S2:S730)</f>
        <v>-0.282638109967109</v>
      </c>
      <c r="G302" s="46">
        <f>(VLOOKUP($A302,'The List'!$B1:$AH730,19,FALSE)-AVERAGE('The List'!T2:T730))/STDEV('The List'!T2:T730)</f>
        <v>-0.296957174483003</v>
      </c>
      <c r="H302" s="46">
        <f>(VLOOKUP($A302,'The List'!$B1:$AH730,20,FALSE)-AVERAGE('The List'!U2:U730))/STDEV('The List'!U2:U730)</f>
        <v>-0.311676203499107</v>
      </c>
      <c r="I302" s="46">
        <f>(VLOOKUP($A302,'The List'!$B1:$AH730,21,FALSE)-AVERAGE('The List'!V2:V730))/STDEV('The List'!V2:V730)</f>
        <v>-0.537318272874136</v>
      </c>
      <c r="J302" s="46">
        <f>(VLOOKUP($A302,'The List'!$B1:$AH730,22,FALSE)-AVERAGE('The List'!W2:W730))/STDEV('The List'!W2:W730)</f>
        <v>0.241130597632968</v>
      </c>
      <c r="K302" s="46">
        <f>(VLOOKUP($A302,'The List'!$B1:$AH730,23,FALSE)-AVERAGE('The List'!X2:X730))/STDEV('The List'!X2:X730)</f>
        <v>-0.213105558290708</v>
      </c>
      <c r="L302" s="46">
        <f>(VLOOKUP($A302,'The List'!$B1:$AH730,24,FALSE)-AVERAGE('The List'!Y2:Y730))/STDEV('The List'!Y2:Y730)</f>
        <v>-0.542843480388394</v>
      </c>
      <c r="M302" s="46">
        <f>(VLOOKUP($A302,'The List'!$B1:$AH730,25,FALSE)-AVERAGE('The List'!Z2:Z730))/STDEV('The List'!Z2:Z730)</f>
        <v>-0.72177514995105</v>
      </c>
      <c r="N302" s="46">
        <f>(VLOOKUP($A302,'The List'!$B1:$AH730,26,FALSE)-AVERAGE('The List'!AA2:AA730))/STDEV('The List'!AA2:AA730)</f>
        <v>-0.942510666125278</v>
      </c>
      <c r="O302" s="46">
        <f>(VLOOKUP($A302,'The List'!$B1:$AH730,27,FALSE)-AVERAGE('The List'!AB2:AB730))/STDEV('The List'!AB2:AB730)</f>
        <v>-1.43133200763649</v>
      </c>
      <c r="P302" s="46">
        <f>(VLOOKUP($A302,'The List'!$B1:$AH730,28,FALSE)-AVERAGE('The List'!AC2:AC730))/STDEV('The List'!AC2:AC730)</f>
        <v>-0.374352472418561</v>
      </c>
      <c r="Q302" s="46">
        <f>(VLOOKUP($A302,'The List'!$B1:$AH730,29,FALSE)-AVERAGE('The List'!AD2:AD730))/STDEV('The List'!AD2:AD730)</f>
        <v>0.0305832796157326</v>
      </c>
      <c r="R302" s="46">
        <f>(VLOOKUP($A302,'The List'!$B1:$AH730,30,FALSE)-AVERAGE('The List'!AE2:AE730))/STDEV('The List'!AE2:AE730)</f>
        <v>-1.18448477237391</v>
      </c>
      <c r="S302" s="46">
        <f>(VLOOKUP($A302,'The List'!$B1:$AH730,31,FALSE)-AVERAGE('The List'!AF2:AF730))/STDEV('The List'!AF2:AF730)</f>
        <v>2.51970039572874</v>
      </c>
      <c r="T302" s="46">
        <f>(VLOOKUP($A302,'The List'!$B1:$AH730,32,FALSE)-AVERAGE('The List'!AG2:AG730))/STDEV('The List'!AG2:AG730)</f>
        <v>1.47167126486796</v>
      </c>
      <c r="U302" s="46">
        <f>(VLOOKUP($A302,'The List'!$B1:$AH730,33,FALSE)-AVERAGE('The List'!AH2:AH730))/STDEV('The List'!AH2:AH730)</f>
        <v>1.51673821121934</v>
      </c>
      <c r="V302" s="46"/>
      <c r="W302" s="50"/>
      <c r="X302" s="48"/>
      <c r="Y302" s="48"/>
      <c r="Z302" s="48"/>
      <c r="AA302" s="48"/>
      <c r="AB302" s="48"/>
      <c r="AC302" s="51"/>
      <c r="AD302" s="52"/>
      <c r="AE302" s="46"/>
    </row>
    <row r="303" ht="21.25" customHeight="1">
      <c r="A303" t="s" s="8">
        <v>700</v>
      </c>
      <c r="B303" t="s" s="42">
        <f>VLOOKUP(A303,'Player Data'!A1:B734,2,FALSE)</f>
        <v>184</v>
      </c>
      <c r="C303" s="44">
        <f>((E303)*'Settings'!$C$12)+(F303*'Settings'!$C$2)+(G303*'Settings'!$C$3)+(H303*'Settings'!$C$4)+(I303*'Settings'!$C$5)+(K303*'Settings'!$C$9)+(N303*'Settings'!$C$6)+(J303*'Settings'!$C$8)+(O303*'Settings'!$C$7)+(P303*'Settings'!$C$14)+(Q303*'Settings'!$C$15)+(R303*'Settings'!$C$16)+(S303*'Settings'!$C$17)+(T303*'Settings'!$C$18)+(U303*'Settings'!$C$19)+(L303*'Settings'!$C$10)+('Settings'!$C$11*M303)</f>
        <v>-2.7586635983798</v>
      </c>
      <c r="D303" s="48">
        <f>IF('Settings'!$E$12="YES",VLOOKUP(A303,'Player Data'!A1:E734,5,FALSE),82)</f>
        <v>65.0628571428571</v>
      </c>
      <c r="E303" s="46">
        <f>(VLOOKUP($A303,'The List'!$B1:$AH730,17,FALSE)-AVERAGE('The List'!R2:R730))/STDEV('The List'!R2:R730)</f>
        <v>-0.714977940860944</v>
      </c>
      <c r="F303" s="46">
        <f>(VLOOKUP($A303,'The List'!$B1:$AH730,18,FALSE)-AVERAGE('The List'!S2:S730))/STDEV('The List'!S2:S730)</f>
        <v>0.0628566465057388</v>
      </c>
      <c r="G303" s="46">
        <f>(VLOOKUP($A303,'The List'!$B1:$AH730,19,FALSE)-AVERAGE('The List'!T2:T730))/STDEV('The List'!T2:T730)</f>
        <v>-0.622963108881612</v>
      </c>
      <c r="H303" s="46">
        <f>(VLOOKUP($A303,'The List'!$B1:$AH730,20,FALSE)-AVERAGE('The List'!U2:U730))/STDEV('The List'!U2:U730)</f>
        <v>-0.355447533804814</v>
      </c>
      <c r="I303" s="46">
        <f>(VLOOKUP($A303,'The List'!$B1:$AH730,21,FALSE)-AVERAGE('The List'!V2:V730))/STDEV('The List'!V2:V730)</f>
        <v>-0.653171825029609</v>
      </c>
      <c r="J303" s="46">
        <f>(VLOOKUP($A303,'The List'!$B1:$AH730,22,FALSE)-AVERAGE('The List'!W2:W730))/STDEV('The List'!W2:W730)</f>
        <v>0.09655583814771131</v>
      </c>
      <c r="K303" s="46">
        <f>(VLOOKUP($A303,'The List'!$B1:$AH730,23,FALSE)-AVERAGE('The List'!X2:X730))/STDEV('The List'!X2:X730)</f>
        <v>-0.131563544862392</v>
      </c>
      <c r="L303" s="46">
        <f>(VLOOKUP($A303,'The List'!$B1:$AH730,24,FALSE)-AVERAGE('The List'!Y2:Y730))/STDEV('The List'!Y2:Y730)</f>
        <v>-0.523769843217574</v>
      </c>
      <c r="M303" s="46">
        <f>(VLOOKUP($A303,'The List'!$B1:$AH730,25,FALSE)-AVERAGE('The List'!Z2:Z730))/STDEV('The List'!Z2:Z730)</f>
        <v>-0.700297631031129</v>
      </c>
      <c r="N303" s="46">
        <f>(VLOOKUP($A303,'The List'!$B1:$AH730,26,FALSE)-AVERAGE('The List'!AA2:AA730))/STDEV('The List'!AA2:AA730)</f>
        <v>-0.832143130181858</v>
      </c>
      <c r="O303" s="46">
        <f>(VLOOKUP($A303,'The List'!$B1:$AH730,27,FALSE)-AVERAGE('The List'!AB2:AB730))/STDEV('The List'!AB2:AB730)</f>
        <v>-0.0827319838096415</v>
      </c>
      <c r="P303" s="46">
        <f>(VLOOKUP($A303,'The List'!$B1:$AH730,28,FALSE)-AVERAGE('The List'!AC2:AC730))/STDEV('The List'!AC2:AC730)</f>
        <v>-0.581678635930063</v>
      </c>
      <c r="Q303" s="46">
        <f>(VLOOKUP($A303,'The List'!$B1:$AH730,29,FALSE)-AVERAGE('The List'!AD2:AD730))/STDEV('The List'!AD2:AD730)</f>
        <v>-0.281994715819539</v>
      </c>
      <c r="R303" s="46">
        <f>(VLOOKUP($A303,'The List'!$B1:$AH730,30,FALSE)-AVERAGE('The List'!AE2:AE730))/STDEV('The List'!AE2:AE730)</f>
        <v>-0.0147264187002606</v>
      </c>
      <c r="S303" s="46">
        <f>(VLOOKUP($A303,'The List'!$B1:$AH730,31,FALSE)-AVERAGE('The List'!AF2:AF730))/STDEV('The List'!AF2:AF730)</f>
        <v>-0.324097798404518</v>
      </c>
      <c r="T303" s="46">
        <f>(VLOOKUP($A303,'The List'!$B1:$AH730,32,FALSE)-AVERAGE('The List'!AG2:AG730))/STDEV('The List'!AG2:AG730)</f>
        <v>-0.304100101237641</v>
      </c>
      <c r="U303" s="46">
        <f>(VLOOKUP($A303,'The List'!$B1:$AH730,33,FALSE)-AVERAGE('The List'!AH2:AH730))/STDEV('The List'!AH2:AH730)</f>
        <v>0.8054852999230671</v>
      </c>
      <c r="V303" s="46"/>
      <c r="W303" s="48"/>
      <c r="X303" s="46"/>
      <c r="Y303" s="46"/>
      <c r="Z303" s="46"/>
      <c r="AA303" s="46"/>
      <c r="AB303" s="46"/>
      <c r="AC303" s="46"/>
      <c r="AD303" s="46"/>
      <c r="AE303" s="46"/>
    </row>
    <row r="304" ht="21.25" customHeight="1">
      <c r="A304" t="s" s="8">
        <v>574</v>
      </c>
      <c r="B304" t="s" s="42">
        <f>VLOOKUP(A304,'Player Data'!A1:B734,2,FALSE)</f>
        <v>202</v>
      </c>
      <c r="C304" s="44">
        <f>((E304)*'Settings'!$C$12)+(F304*'Settings'!$C$2)+(G304*'Settings'!$C$3)+(H304*'Settings'!$C$4)+(I304*'Settings'!$C$5)+(K304*'Settings'!$C$9)+(N304*'Settings'!$C$6)+(J304*'Settings'!$C$8)+(O304*'Settings'!$C$7)+(P304*'Settings'!$C$14)+(Q304*'Settings'!$C$15)+(R304*'Settings'!$C$16)+(S304*'Settings'!$C$17)+(T304*'Settings'!$C$18)+(U304*'Settings'!$C$19)+(L304*'Settings'!$C$10)+('Settings'!$C$11*M304)</f>
        <v>0.364484398385617</v>
      </c>
      <c r="D304" s="48">
        <f>IF('Settings'!$E$12="YES",VLOOKUP(A304,'Player Data'!A1:E734,5,FALSE),82)</f>
        <v>70.345</v>
      </c>
      <c r="E304" s="46">
        <f>(VLOOKUP($A304,'The List'!$B1:$AH730,17,FALSE)-AVERAGE('The List'!R2:R730))/STDEV('The List'!R2:R730)</f>
        <v>-1.11258794385401</v>
      </c>
      <c r="F304" s="46">
        <f>(VLOOKUP($A304,'The List'!$B1:$AH730,18,FALSE)-AVERAGE('The List'!S2:S730))/STDEV('The List'!S2:S730)</f>
        <v>-0.193866830730091</v>
      </c>
      <c r="G304" s="46">
        <f>(VLOOKUP($A304,'The List'!$B1:$AH730,19,FALSE)-AVERAGE('The List'!T2:T730))/STDEV('The List'!T2:T730)</f>
        <v>-0.280882594929178</v>
      </c>
      <c r="H304" s="46">
        <f>(VLOOKUP($A304,'The List'!$B1:$AH730,20,FALSE)-AVERAGE('The List'!U2:U730))/STDEV('The List'!U2:U730)</f>
        <v>-0.261373724060384</v>
      </c>
      <c r="I304" s="46">
        <f>(VLOOKUP($A304,'The List'!$B1:$AH730,21,FALSE)-AVERAGE('The List'!V2:V730))/STDEV('The List'!V2:V730)</f>
        <v>-0.208331523475119</v>
      </c>
      <c r="J304" s="46">
        <f>(VLOOKUP($A304,'The List'!$B1:$AH730,22,FALSE)-AVERAGE('The List'!W2:W730))/STDEV('The List'!W2:W730)</f>
        <v>0.910538866261457</v>
      </c>
      <c r="K304" s="46">
        <f>(VLOOKUP($A304,'The List'!$B1:$AH730,23,FALSE)-AVERAGE('The List'!X2:X730))/STDEV('The List'!X2:X730)</f>
        <v>0.547302378341715</v>
      </c>
      <c r="L304" s="46">
        <f>(VLOOKUP($A304,'The List'!$B1:$AH730,24,FALSE)-AVERAGE('The List'!Y2:Y730))/STDEV('The List'!Y2:Y730)</f>
        <v>-0.533500017563785</v>
      </c>
      <c r="M304" s="46">
        <f>(VLOOKUP($A304,'The List'!$B1:$AH730,25,FALSE)-AVERAGE('The List'!Z2:Z730))/STDEV('The List'!Z2:Z730)</f>
        <v>-0.71113518407594</v>
      </c>
      <c r="N304" s="46">
        <f>(VLOOKUP($A304,'The List'!$B1:$AH730,26,FALSE)-AVERAGE('The List'!AA2:AA730))/STDEV('The List'!AA2:AA730)</f>
        <v>-1.04470358064478</v>
      </c>
      <c r="O304" s="46">
        <f>(VLOOKUP($A304,'The List'!$B1:$AH730,27,FALSE)-AVERAGE('The List'!AB2:AB730))/STDEV('The List'!AB2:AB730)</f>
        <v>0.0531575978577467</v>
      </c>
      <c r="P304" s="46">
        <f>(VLOOKUP($A304,'The List'!$B1:$AH730,28,FALSE)-AVERAGE('The List'!AC2:AC730))/STDEV('The List'!AC2:AC730)</f>
        <v>1.54496654982307</v>
      </c>
      <c r="Q304" s="46">
        <f>(VLOOKUP($A304,'The List'!$B1:$AH730,29,FALSE)-AVERAGE('The List'!AD2:AD730))/STDEV('The List'!AD2:AD730)</f>
        <v>-0.360885164290413</v>
      </c>
      <c r="R304" s="46">
        <f>(VLOOKUP($A304,'The List'!$B1:$AH730,30,FALSE)-AVERAGE('The List'!AE2:AE730))/STDEV('The List'!AE2:AE730)</f>
        <v>0.101755854659551</v>
      </c>
      <c r="S304" s="46">
        <f>(VLOOKUP($A304,'The List'!$B1:$AH730,31,FALSE)-AVERAGE('The List'!AF2:AF730))/STDEV('The List'!AF2:AF730)</f>
        <v>-0.332751353404818</v>
      </c>
      <c r="T304" s="46">
        <f>(VLOOKUP($A304,'The List'!$B1:$AH730,32,FALSE)-AVERAGE('The List'!AG2:AG730))/STDEV('The List'!AG2:AG730)</f>
        <v>-0.336386205505328</v>
      </c>
      <c r="U304" s="46">
        <f>(VLOOKUP($A304,'The List'!$B1:$AH730,33,FALSE)-AVERAGE('The List'!AH2:AH730))/STDEV('The List'!AH2:AH730)</f>
        <v>0.892245093839909</v>
      </c>
      <c r="V304" s="46"/>
      <c r="W304" s="48"/>
      <c r="X304" s="48"/>
      <c r="Y304" s="48"/>
      <c r="Z304" s="48"/>
      <c r="AA304" s="48"/>
      <c r="AB304" s="48"/>
      <c r="AC304" s="51"/>
      <c r="AD304" s="52"/>
      <c r="AE304" s="46"/>
    </row>
    <row r="305" ht="21.25" customHeight="1">
      <c r="A305" t="s" s="8">
        <v>628</v>
      </c>
      <c r="B305" t="s" s="42">
        <f>VLOOKUP(A305,'Player Data'!A1:B734,2,FALSE)</f>
        <v>115</v>
      </c>
      <c r="C305" s="44">
        <f>((E305)*'Settings'!$C$12)+(F305*'Settings'!$C$2)+(G305*'Settings'!$C$3)+(H305*'Settings'!$C$4)+(I305*'Settings'!$C$5)+(K305*'Settings'!$C$9)+(N305*'Settings'!$C$6)+(J305*'Settings'!$C$8)+(O305*'Settings'!$C$7)+(P305*'Settings'!$C$14)+(Q305*'Settings'!$C$15)+(R305*'Settings'!$C$16)+(S305*'Settings'!$C$17)+(T305*'Settings'!$C$18)+(U305*'Settings'!$C$19)+(L305*'Settings'!$C$10)+('Settings'!$C$11*M305)</f>
        <v>-0.915005557798499</v>
      </c>
      <c r="D305" s="48">
        <f>IF('Settings'!$E$12="YES",VLOOKUP(A305,'Player Data'!A1:E734,5,FALSE),82)</f>
        <v>77.2075</v>
      </c>
      <c r="E305" s="46">
        <f>(VLOOKUP($A305,'The List'!$B1:$AH730,17,FALSE)-AVERAGE('The List'!R2:R730))/STDEV('The List'!R2:R730)</f>
        <v>-0.578118071313507</v>
      </c>
      <c r="F305" s="46">
        <f>(VLOOKUP($A305,'The List'!$B1:$AH730,18,FALSE)-AVERAGE('The List'!S2:S730))/STDEV('The List'!S2:S730)</f>
        <v>0.19240239995317</v>
      </c>
      <c r="G305" s="46">
        <f>(VLOOKUP($A305,'The List'!$B1:$AH730,19,FALSE)-AVERAGE('The List'!T2:T730))/STDEV('The List'!T2:T730)</f>
        <v>-0.367391913323573</v>
      </c>
      <c r="H305" s="46">
        <f>(VLOOKUP($A305,'The List'!$B1:$AH730,20,FALSE)-AVERAGE('The List'!U2:U730))/STDEV('The List'!U2:U730)</f>
        <v>-0.13894533493962</v>
      </c>
      <c r="I305" s="46">
        <f>(VLOOKUP($A305,'The List'!$B1:$AH730,21,FALSE)-AVERAGE('The List'!V2:V730))/STDEV('The List'!V2:V730)</f>
        <v>-0.361381559209625</v>
      </c>
      <c r="J305" s="46">
        <f>(VLOOKUP($A305,'The List'!$B1:$AH730,22,FALSE)-AVERAGE('The List'!W2:W730))/STDEV('The List'!W2:W730)</f>
        <v>-0.294038092452437</v>
      </c>
      <c r="K305" s="46">
        <f>(VLOOKUP($A305,'The List'!$B1:$AH730,23,FALSE)-AVERAGE('The List'!X2:X730))/STDEV('The List'!X2:X730)</f>
        <v>-0.420037481029252</v>
      </c>
      <c r="L305" s="46">
        <f>(VLOOKUP($A305,'The List'!$B1:$AH730,24,FALSE)-AVERAGE('The List'!Y2:Y730))/STDEV('The List'!Y2:Y730)</f>
        <v>1.13008309347119</v>
      </c>
      <c r="M305" s="46">
        <f>(VLOOKUP($A305,'The List'!$B1:$AH730,25,FALSE)-AVERAGE('The List'!Z2:Z730))/STDEV('The List'!Z2:Z730)</f>
        <v>1.73002267581399</v>
      </c>
      <c r="N305" s="46">
        <f>(VLOOKUP($A305,'The List'!$B1:$AH730,26,FALSE)-AVERAGE('The List'!AA2:AA730))/STDEV('The List'!AA2:AA730)</f>
        <v>-0.928982968722655</v>
      </c>
      <c r="O305" s="46">
        <f>(VLOOKUP($A305,'The List'!$B1:$AH730,27,FALSE)-AVERAGE('The List'!AB2:AB730))/STDEV('The List'!AB2:AB730)</f>
        <v>-0.718554749159796</v>
      </c>
      <c r="P305" s="46">
        <f>(VLOOKUP($A305,'The List'!$B1:$AH730,28,FALSE)-AVERAGE('The List'!AC2:AC730))/STDEV('The List'!AC2:AC730)</f>
        <v>0.970385964533436</v>
      </c>
      <c r="Q305" s="46">
        <f>(VLOOKUP($A305,'The List'!$B1:$AH730,29,FALSE)-AVERAGE('The List'!AD2:AD730))/STDEV('The List'!AD2:AD730)</f>
        <v>-1.25082873384033</v>
      </c>
      <c r="R305" s="46">
        <f>(VLOOKUP($A305,'The List'!$B1:$AH730,30,FALSE)-AVERAGE('The List'!AE2:AE730))/STDEV('The List'!AE2:AE730)</f>
        <v>0.370971634132422</v>
      </c>
      <c r="S305" s="46">
        <f>(VLOOKUP($A305,'The List'!$B1:$AH730,31,FALSE)-AVERAGE('The List'!AF2:AF730))/STDEV('The List'!AF2:AF730)</f>
        <v>-0.184665068282424</v>
      </c>
      <c r="T305" s="46">
        <f>(VLOOKUP($A305,'The List'!$B1:$AH730,32,FALSE)-AVERAGE('The List'!AG2:AG730))/STDEV('The List'!AG2:AG730)</f>
        <v>-0.15472650439935</v>
      </c>
      <c r="U305" s="46">
        <f>(VLOOKUP($A305,'The List'!$B1:$AH730,33,FALSE)-AVERAGE('The List'!AH2:AH730))/STDEV('The List'!AH2:AH730)</f>
        <v>0.874610707481888</v>
      </c>
      <c r="V305" s="46"/>
      <c r="W305" s="48"/>
      <c r="X305" s="46"/>
      <c r="Y305" s="46"/>
      <c r="Z305" s="46"/>
      <c r="AA305" s="46"/>
      <c r="AB305" s="46"/>
      <c r="AC305" s="46"/>
      <c r="AD305" s="46"/>
      <c r="AE305" s="46"/>
    </row>
    <row r="306" ht="21.25" customHeight="1">
      <c r="A306" t="s" s="8">
        <v>487</v>
      </c>
      <c r="B306" t="s" s="42">
        <f>VLOOKUP(A306,'Player Data'!A1:B734,2,FALSE)</f>
        <v>238</v>
      </c>
      <c r="C306" s="44">
        <f>((E306)*'Settings'!$C$12)+(F306*'Settings'!$C$2)+(G306*'Settings'!$C$3)+(H306*'Settings'!$C$4)+(I306*'Settings'!$C$5)+(K306*'Settings'!$C$9)+(N306*'Settings'!$C$6)+(J306*'Settings'!$C$8)+(O306*'Settings'!$C$7)+(P306*'Settings'!$C$14)+(Q306*'Settings'!$C$15)+(R306*'Settings'!$C$16)+(S306*'Settings'!$C$17)+(T306*'Settings'!$C$18)+(U306*'Settings'!$C$19)+(L306*'Settings'!$C$10)+('Settings'!$C$11*M306)</f>
        <v>0.35014605413294</v>
      </c>
      <c r="D306" s="48">
        <f>IF('Settings'!$E$12="YES",VLOOKUP(A306,'Player Data'!A1:E734,5,FALSE),82)</f>
        <v>81.7460714285714</v>
      </c>
      <c r="E306" s="46">
        <f>(VLOOKUP($A306,'The List'!$B1:$AH730,17,FALSE)-AVERAGE('The List'!R2:R730))/STDEV('The List'!R2:R730)</f>
        <v>-0.475338401493827</v>
      </c>
      <c r="F306" s="46">
        <f>(VLOOKUP($A306,'The List'!$B1:$AH730,18,FALSE)-AVERAGE('The List'!S2:S730))/STDEV('The List'!S2:S730)</f>
        <v>0.254170145234652</v>
      </c>
      <c r="G306" s="46">
        <f>(VLOOKUP($A306,'The List'!$B1:$AH730,19,FALSE)-AVERAGE('The List'!T2:T730))/STDEV('The List'!T2:T730)</f>
        <v>-0.277427515185384</v>
      </c>
      <c r="H306" s="46">
        <f>(VLOOKUP($A306,'The List'!$B1:$AH730,20,FALSE)-AVERAGE('The List'!U2:U730))/STDEV('The List'!U2:U730)</f>
        <v>-0.0553779030521467</v>
      </c>
      <c r="I306" s="46">
        <f>(VLOOKUP($A306,'The List'!$B1:$AH730,21,FALSE)-AVERAGE('The List'!V2:V730))/STDEV('The List'!V2:V730)</f>
        <v>0.852324894172917</v>
      </c>
      <c r="J306" s="46">
        <f>(VLOOKUP($A306,'The List'!$B1:$AH730,22,FALSE)-AVERAGE('The List'!W2:W730))/STDEV('The List'!W2:W730)</f>
        <v>-0.69820592469582</v>
      </c>
      <c r="K306" s="46">
        <f>(VLOOKUP($A306,'The List'!$B1:$AH730,23,FALSE)-AVERAGE('The List'!X2:X730))/STDEV('The List'!X2:X730)</f>
        <v>-0.7905665429476491</v>
      </c>
      <c r="L306" s="46">
        <f>(VLOOKUP($A306,'The List'!$B1:$AH730,24,FALSE)-AVERAGE('The List'!Y2:Y730))/STDEV('The List'!Y2:Y730)</f>
        <v>1.45422539062222</v>
      </c>
      <c r="M306" s="46">
        <f>(VLOOKUP($A306,'The List'!$B1:$AH730,25,FALSE)-AVERAGE('The List'!Z2:Z730))/STDEV('The List'!Z2:Z730)</f>
        <v>0.856933275804723</v>
      </c>
      <c r="N306" s="46">
        <f>(VLOOKUP($A306,'The List'!$B1:$AH730,26,FALSE)-AVERAGE('The List'!AA2:AA730))/STDEV('The List'!AA2:AA730)</f>
        <v>-0.496200985612299</v>
      </c>
      <c r="O306" s="46">
        <f>(VLOOKUP($A306,'The List'!$B1:$AH730,27,FALSE)-AVERAGE('The List'!AB2:AB730))/STDEV('The List'!AB2:AB730)</f>
        <v>0.619908110224621</v>
      </c>
      <c r="P306" s="46">
        <f>(VLOOKUP($A306,'The List'!$B1:$AH730,28,FALSE)-AVERAGE('The List'!AC2:AC730))/STDEV('The List'!AC2:AC730)</f>
        <v>0.807846058470703</v>
      </c>
      <c r="Q306" s="46">
        <f>(VLOOKUP($A306,'The List'!$B1:$AH730,29,FALSE)-AVERAGE('The List'!AD2:AD730))/STDEV('The List'!AD2:AD730)</f>
        <v>1.36728265786354</v>
      </c>
      <c r="R306" s="46">
        <f>(VLOOKUP($A306,'The List'!$B1:$AH730,30,FALSE)-AVERAGE('The List'!AE2:AE730))/STDEV('The List'!AE2:AE730)</f>
        <v>0.500569784485927</v>
      </c>
      <c r="S306" s="46">
        <f>(VLOOKUP($A306,'The List'!$B1:$AH730,31,FALSE)-AVERAGE('The List'!AF2:AF730))/STDEV('The List'!AF2:AF730)</f>
        <v>-0.506783391309037</v>
      </c>
      <c r="T306" s="46">
        <f>(VLOOKUP($A306,'The List'!$B1:$AH730,32,FALSE)-AVERAGE('The List'!AG2:AG730))/STDEV('The List'!AG2:AG730)</f>
        <v>-0.474995914950635</v>
      </c>
      <c r="U306" s="46">
        <f>(VLOOKUP($A306,'The List'!$B1:$AH730,33,FALSE)-AVERAGE('The List'!AH2:AH730))/STDEV('The List'!AH2:AH730)</f>
        <v>0.0969429821640496</v>
      </c>
      <c r="V306" s="46"/>
      <c r="W306" s="50"/>
      <c r="X306" s="48"/>
      <c r="Y306" s="48"/>
      <c r="Z306" s="48"/>
      <c r="AA306" s="48"/>
      <c r="AB306" s="48"/>
      <c r="AC306" s="51"/>
      <c r="AD306" s="52"/>
      <c r="AE306" s="46"/>
    </row>
    <row r="307" ht="21.25" customHeight="1">
      <c r="A307" t="s" s="8">
        <v>739</v>
      </c>
      <c r="B307" t="s" s="42">
        <f>VLOOKUP(A307,'Player Data'!A1:B734,2,FALSE)</f>
        <v>238</v>
      </c>
      <c r="C307" s="44">
        <f>((E307)*'Settings'!$C$12)+(F307*'Settings'!$C$2)+(G307*'Settings'!$C$3)+(H307*'Settings'!$C$4)+(I307*'Settings'!$C$5)+(K307*'Settings'!$C$9)+(N307*'Settings'!$C$6)+(J307*'Settings'!$C$8)+(O307*'Settings'!$C$7)+(P307*'Settings'!$C$14)+(Q307*'Settings'!$C$15)+(R307*'Settings'!$C$16)+(S307*'Settings'!$C$17)+(T307*'Settings'!$C$18)+(U307*'Settings'!$C$19)+(L307*'Settings'!$C$10)+('Settings'!$C$11*M307)</f>
        <v>-2.69063472192132</v>
      </c>
      <c r="D307" s="48">
        <f>IF('Settings'!$E$12="YES",VLOOKUP(A307,'Player Data'!A1:E734,5,FALSE),82)</f>
        <v>60.0992857142857</v>
      </c>
      <c r="E307" s="46">
        <f>(VLOOKUP($A307,'The List'!$B1:$AH730,17,FALSE)-AVERAGE('The List'!R2:R730))/STDEV('The List'!R2:R730)</f>
        <v>-1.17070237387397</v>
      </c>
      <c r="F307" s="46">
        <f>(VLOOKUP($A307,'The List'!$B1:$AH730,18,FALSE)-AVERAGE('The List'!S2:S730))/STDEV('The List'!S2:S730)</f>
        <v>-0.365825464341702</v>
      </c>
      <c r="G307" s="46">
        <f>(VLOOKUP($A307,'The List'!$B1:$AH730,19,FALSE)-AVERAGE('The List'!T2:T730))/STDEV('The List'!T2:T730)</f>
        <v>-0.485156429741991</v>
      </c>
      <c r="H307" s="46">
        <f>(VLOOKUP($A307,'The List'!$B1:$AH730,20,FALSE)-AVERAGE('The List'!U2:U730))/STDEV('The List'!U2:U730)</f>
        <v>-0.465550485356804</v>
      </c>
      <c r="I307" s="46">
        <f>(VLOOKUP($A307,'The List'!$B1:$AH730,21,FALSE)-AVERAGE('The List'!V2:V730))/STDEV('The List'!V2:V730)</f>
        <v>-0.736787437079331</v>
      </c>
      <c r="J307" s="46">
        <f>(VLOOKUP($A307,'The List'!$B1:$AH730,22,FALSE)-AVERAGE('The List'!W2:W730))/STDEV('The List'!W2:W730)</f>
        <v>-0.336453709920306</v>
      </c>
      <c r="K307" s="46">
        <f>(VLOOKUP($A307,'The List'!$B1:$AH730,23,FALSE)-AVERAGE('The List'!X2:X730))/STDEV('The List'!X2:X730)</f>
        <v>-0.393224359002486</v>
      </c>
      <c r="L307" s="46">
        <f>(VLOOKUP($A307,'The List'!$B1:$AH730,24,FALSE)-AVERAGE('The List'!Y2:Y730))/STDEV('The List'!Y2:Y730)</f>
        <v>-0.533204985559774</v>
      </c>
      <c r="M307" s="46">
        <f>(VLOOKUP($A307,'The List'!$B1:$AH730,25,FALSE)-AVERAGE('The List'!Z2:Z730))/STDEV('The List'!Z2:Z730)</f>
        <v>-0.711071794230541</v>
      </c>
      <c r="N307" s="46">
        <f>(VLOOKUP($A307,'The List'!$B1:$AH730,26,FALSE)-AVERAGE('The List'!AA2:AA730))/STDEV('The List'!AA2:AA730)</f>
        <v>-1.09751226636911</v>
      </c>
      <c r="O307" s="46">
        <f>(VLOOKUP($A307,'The List'!$B1:$AH730,27,FALSE)-AVERAGE('The List'!AB2:AB730))/STDEV('The List'!AB2:AB730)</f>
        <v>-0.806396270515327</v>
      </c>
      <c r="P307" s="46">
        <f>(VLOOKUP($A307,'The List'!$B1:$AH730,28,FALSE)-AVERAGE('The List'!AC2:AC730))/STDEV('The List'!AC2:AC730)</f>
        <v>0.387871234613304</v>
      </c>
      <c r="Q307" s="46">
        <f>(VLOOKUP($A307,'The List'!$B1:$AH730,29,FALSE)-AVERAGE('The List'!AD2:AD730))/STDEV('The List'!AD2:AD730)</f>
        <v>-1.00109241514374</v>
      </c>
      <c r="R307" s="46">
        <f>(VLOOKUP($A307,'The List'!$B1:$AH730,30,FALSE)-AVERAGE('The List'!AE2:AE730))/STDEV('The List'!AE2:AE730)</f>
        <v>-0.173568674060964</v>
      </c>
      <c r="S307" s="46">
        <f>(VLOOKUP($A307,'The List'!$B1:$AH730,31,FALSE)-AVERAGE('The List'!AF2:AF730))/STDEV('The List'!AF2:AF730)</f>
        <v>0.109089478529954</v>
      </c>
      <c r="T307" s="46">
        <f>(VLOOKUP($A307,'The List'!$B1:$AH730,32,FALSE)-AVERAGE('The List'!AG2:AG730))/STDEV('The List'!AG2:AG730)</f>
        <v>0.181250374018514</v>
      </c>
      <c r="U307" s="46">
        <f>(VLOOKUP($A307,'The List'!$B1:$AH730,33,FALSE)-AVERAGE('The List'!AH2:AH730))/STDEV('The List'!AH2:AH730)</f>
        <v>0.897515525371068</v>
      </c>
      <c r="V307" s="46"/>
      <c r="W307" s="50"/>
      <c r="X307" s="48"/>
      <c r="Y307" s="48"/>
      <c r="Z307" s="48"/>
      <c r="AA307" s="48"/>
      <c r="AB307" s="48"/>
      <c r="AC307" s="51"/>
      <c r="AD307" s="52"/>
      <c r="AE307" s="46"/>
    </row>
    <row r="308" ht="21.25" customHeight="1">
      <c r="A308" t="s" s="8">
        <v>568</v>
      </c>
      <c r="B308" t="s" s="42">
        <f>VLOOKUP(A308,'Player Data'!A1:B734,2,FALSE)</f>
        <v>258</v>
      </c>
      <c r="C308" s="44">
        <f>((E308)*'Settings'!$C$12)+(F308*'Settings'!$C$2)+(G308*'Settings'!$C$3)+(H308*'Settings'!$C$4)+(I308*'Settings'!$C$5)+(K308*'Settings'!$C$9)+(N308*'Settings'!$C$6)+(J308*'Settings'!$C$8)+(O308*'Settings'!$C$7)+(P308*'Settings'!$C$14)+(Q308*'Settings'!$C$15)+(R308*'Settings'!$C$16)+(S308*'Settings'!$C$17)+(T308*'Settings'!$C$18)+(U308*'Settings'!$C$19)+(L308*'Settings'!$C$10)+('Settings'!$C$11*M308)</f>
        <v>-1.17028322398794</v>
      </c>
      <c r="D308" s="48">
        <f>IF('Settings'!$E$12="YES",VLOOKUP(A308,'Player Data'!A1:E734,5,FALSE),82)</f>
        <v>76.7192857142857</v>
      </c>
      <c r="E308" s="46">
        <f>(VLOOKUP($A308,'The List'!$B1:$AH730,17,FALSE)-AVERAGE('The List'!R2:R730))/STDEV('The List'!R2:R730)</f>
        <v>-0.499191488395376</v>
      </c>
      <c r="F308" s="46">
        <f>(VLOOKUP($A308,'The List'!$B1:$AH730,18,FALSE)-AVERAGE('The List'!S2:S730))/STDEV('The List'!S2:S730)</f>
        <v>0.09264306625249701</v>
      </c>
      <c r="G308" s="46">
        <f>(VLOOKUP($A308,'The List'!$B1:$AH730,19,FALSE)-AVERAGE('The List'!T2:T730))/STDEV('The List'!T2:T730)</f>
        <v>-0.316143112277318</v>
      </c>
      <c r="H308" s="46">
        <f>(VLOOKUP($A308,'The List'!$B1:$AH730,20,FALSE)-AVERAGE('The List'!U2:U730))/STDEV('The List'!U2:U730)</f>
        <v>-0.152743620269317</v>
      </c>
      <c r="I308" s="46">
        <f>(VLOOKUP($A308,'The List'!$B1:$AH730,21,FALSE)-AVERAGE('The List'!V2:V730))/STDEV('The List'!V2:V730)</f>
        <v>0.149025292537901</v>
      </c>
      <c r="J308" s="46">
        <f>(VLOOKUP($A308,'The List'!$B1:$AH730,22,FALSE)-AVERAGE('The List'!W2:W730))/STDEV('The List'!W2:W730)</f>
        <v>-0.162828029681205</v>
      </c>
      <c r="K308" s="46">
        <f>(VLOOKUP($A308,'The List'!$B1:$AH730,23,FALSE)-AVERAGE('The List'!X2:X730))/STDEV('The List'!X2:X730)</f>
        <v>0.00301040428936546</v>
      </c>
      <c r="L308" s="46">
        <f>(VLOOKUP($A308,'The List'!$B1:$AH730,24,FALSE)-AVERAGE('The List'!Y2:Y730))/STDEV('The List'!Y2:Y730)</f>
        <v>-0.524407182202933</v>
      </c>
      <c r="M308" s="46">
        <f>(VLOOKUP($A308,'The List'!$B1:$AH730,25,FALSE)-AVERAGE('The List'!Z2:Z730))/STDEV('The List'!Z2:Z730)</f>
        <v>-0.70091993404247</v>
      </c>
      <c r="N308" s="46">
        <f>(VLOOKUP($A308,'The List'!$B1:$AH730,26,FALSE)-AVERAGE('The List'!AA2:AA730))/STDEV('The List'!AA2:AA730)</f>
        <v>-0.831011840154085</v>
      </c>
      <c r="O308" s="46">
        <f>(VLOOKUP($A308,'The List'!$B1:$AH730,27,FALSE)-AVERAGE('The List'!AB2:AB730))/STDEV('The List'!AB2:AB730)</f>
        <v>-1.21907876441485</v>
      </c>
      <c r="P308" s="46">
        <f>(VLOOKUP($A308,'The List'!$B1:$AH730,28,FALSE)-AVERAGE('The List'!AC2:AC730))/STDEV('The List'!AC2:AC730)</f>
        <v>-0.267807034636297</v>
      </c>
      <c r="Q308" s="46">
        <f>(VLOOKUP($A308,'The List'!$B1:$AH730,29,FALSE)-AVERAGE('The List'!AD2:AD730))/STDEV('The List'!AD2:AD730)</f>
        <v>-0.213903929000953</v>
      </c>
      <c r="R308" s="46">
        <f>(VLOOKUP($A308,'The List'!$B1:$AH730,30,FALSE)-AVERAGE('The List'!AE2:AE730))/STDEV('The List'!AE2:AE730)</f>
        <v>-0.259110939525937</v>
      </c>
      <c r="S308" s="46">
        <f>(VLOOKUP($A308,'The List'!$B1:$AH730,31,FALSE)-AVERAGE('The List'!AF2:AF730))/STDEV('The List'!AF2:AF730)</f>
        <v>-0.478879240471803</v>
      </c>
      <c r="T308" s="46">
        <f>(VLOOKUP($A308,'The List'!$B1:$AH730,32,FALSE)-AVERAGE('The List'!AG2:AG730))/STDEV('The List'!AG2:AG730)</f>
        <v>-0.546211356319841</v>
      </c>
      <c r="U308" s="46">
        <f>(VLOOKUP($A308,'The List'!$B1:$AH730,33,FALSE)-AVERAGE('The List'!AH2:AH730))/STDEV('The List'!AH2:AH730)</f>
        <v>1.47479754762149</v>
      </c>
      <c r="V308" s="46"/>
      <c r="W308" s="48"/>
      <c r="X308" s="46"/>
      <c r="Y308" s="46"/>
      <c r="Z308" s="46"/>
      <c r="AA308" s="46"/>
      <c r="AB308" s="46"/>
      <c r="AC308" s="46"/>
      <c r="AD308" s="46"/>
      <c r="AE308" s="46"/>
    </row>
    <row r="309" ht="21.25" customHeight="1">
      <c r="A309" t="s" s="8">
        <v>401</v>
      </c>
      <c r="B309" t="s" s="42">
        <f>VLOOKUP(A309,'Player Data'!A1:B734,2,FALSE)</f>
        <v>258</v>
      </c>
      <c r="C309" s="44">
        <f>((E309)*'Settings'!$C$12)+(F309*'Settings'!$C$2)+(G309*'Settings'!$C$3)+(H309*'Settings'!$C$4)+(I309*'Settings'!$C$5)+(K309*'Settings'!$C$9)+(N309*'Settings'!$C$6)+(J309*'Settings'!$C$8)+(O309*'Settings'!$C$7)+(P309*'Settings'!$C$14)+(Q309*'Settings'!$C$15)+(R309*'Settings'!$C$16)+(S309*'Settings'!$C$17)+(T309*'Settings'!$C$18)+(U309*'Settings'!$C$19)+(L309*'Settings'!$C$10)+('Settings'!$C$11*M309)</f>
        <v>-2.01464761620563</v>
      </c>
      <c r="D309" s="48">
        <f>IF('Settings'!$E$12="YES",VLOOKUP(A309,'Player Data'!A1:E734,5,FALSE),82)</f>
        <v>74.2</v>
      </c>
      <c r="E309" s="46">
        <f>(VLOOKUP($A309,'The List'!$B1:$AH730,17,FALSE)-AVERAGE('The List'!R2:R730))/STDEV('The List'!R2:R730)</f>
        <v>1.11066958340537</v>
      </c>
      <c r="F309" s="46">
        <f>(VLOOKUP($A309,'The List'!$B1:$AH730,18,FALSE)-AVERAGE('The List'!S2:S730))/STDEV('The List'!S2:S730)</f>
        <v>-0.621461308654906</v>
      </c>
      <c r="G309" s="46">
        <f>(VLOOKUP($A309,'The List'!$B1:$AH730,19,FALSE)-AVERAGE('The List'!T2:T730))/STDEV('The List'!T2:T730)</f>
        <v>0.127423232927787</v>
      </c>
      <c r="H309" s="46">
        <f>(VLOOKUP($A309,'The List'!$B1:$AH730,20,FALSE)-AVERAGE('The List'!U2:U730))/STDEV('The List'!U2:U730)</f>
        <v>-0.204222610988851</v>
      </c>
      <c r="I309" s="46">
        <f>(VLOOKUP($A309,'The List'!$B1:$AH730,21,FALSE)-AVERAGE('The List'!V2:V730))/STDEV('The List'!V2:V730)</f>
        <v>-0.487873874897803</v>
      </c>
      <c r="J309" s="46">
        <f>(VLOOKUP($A309,'The List'!$B1:$AH730,22,FALSE)-AVERAGE('The List'!W2:W730))/STDEV('The List'!W2:W730)</f>
        <v>-0.622650249842107</v>
      </c>
      <c r="K309" s="46">
        <f>(VLOOKUP($A309,'The List'!$B1:$AH730,23,FALSE)-AVERAGE('The List'!X2:X730))/STDEV('The List'!X2:X730)</f>
        <v>-0.563602756847433</v>
      </c>
      <c r="L309" s="46">
        <f>(VLOOKUP($A309,'The List'!$B1:$AH730,24,FALSE)-AVERAGE('The List'!Y2:Y730))/STDEV('The List'!Y2:Y730)</f>
        <v>-0.460577393549658</v>
      </c>
      <c r="M309" s="46">
        <f>(VLOOKUP($A309,'The List'!$B1:$AH730,25,FALSE)-AVERAGE('The List'!Z2:Z730))/STDEV('The List'!Z2:Z730)</f>
        <v>-0.452468463359828</v>
      </c>
      <c r="N309" s="46">
        <f>(VLOOKUP($A309,'The List'!$B1:$AH730,26,FALSE)-AVERAGE('The List'!AA2:AA730))/STDEV('The List'!AA2:AA730)</f>
        <v>1.77325341971543</v>
      </c>
      <c r="O309" s="46">
        <f>(VLOOKUP($A309,'The List'!$B1:$AH730,27,FALSE)-AVERAGE('The List'!AB2:AB730))/STDEV('The List'!AB2:AB730)</f>
        <v>0.679120201775999</v>
      </c>
      <c r="P309" s="46">
        <f>(VLOOKUP($A309,'The List'!$B1:$AH730,28,FALSE)-AVERAGE('The List'!AC2:AC730))/STDEV('The List'!AC2:AC730)</f>
        <v>-2.2423863284487</v>
      </c>
      <c r="Q309" s="46">
        <f>(VLOOKUP($A309,'The List'!$B1:$AH730,29,FALSE)-AVERAGE('The List'!AD2:AD730))/STDEV('The List'!AD2:AD730)</f>
        <v>0.838363789869818</v>
      </c>
      <c r="R309" s="46">
        <f>(VLOOKUP($A309,'The List'!$B1:$AH730,30,FALSE)-AVERAGE('The List'!AE2:AE730))/STDEV('The List'!AE2:AE730)</f>
        <v>-0.735134902993917</v>
      </c>
      <c r="S309" s="46">
        <f>(VLOOKUP($A309,'The List'!$B1:$AH730,31,FALSE)-AVERAGE('The List'!AF2:AF730))/STDEV('The List'!AF2:AF730)</f>
        <v>-0.5569063253591</v>
      </c>
      <c r="T309" s="46">
        <f>(VLOOKUP($A309,'The List'!$B1:$AH730,32,FALSE)-AVERAGE('The List'!AG2:AG730))/STDEV('The List'!AG2:AG730)</f>
        <v>-0.600856269042678</v>
      </c>
      <c r="U309" s="46">
        <f>(VLOOKUP($A309,'The List'!$B1:$AH730,33,FALSE)-AVERAGE('The List'!AH2:AH730))/STDEV('The List'!AH2:AH730)</f>
        <v>-1.2363238714826</v>
      </c>
      <c r="V309" s="46"/>
      <c r="W309" s="50"/>
      <c r="X309" s="48"/>
      <c r="Y309" s="48"/>
      <c r="Z309" s="48"/>
      <c r="AA309" s="48"/>
      <c r="AB309" s="48"/>
      <c r="AC309" s="51"/>
      <c r="AD309" s="52"/>
      <c r="AE309" s="46"/>
    </row>
    <row r="310" ht="21.25" customHeight="1">
      <c r="A310" t="s" s="8">
        <v>384</v>
      </c>
      <c r="B310" t="s" s="42">
        <f>VLOOKUP(A310,'Player Data'!A1:B734,2,FALSE)</f>
        <v>151</v>
      </c>
      <c r="C310" s="44">
        <f>((E310)*'Settings'!$C$12)+(F310*'Settings'!$C$2)+(G310*'Settings'!$C$3)+(H310*'Settings'!$C$4)+(I310*'Settings'!$C$5)+(K310*'Settings'!$C$9)+(N310*'Settings'!$C$6)+(J310*'Settings'!$C$8)+(O310*'Settings'!$C$7)+(P310*'Settings'!$C$14)+(Q310*'Settings'!$C$15)+(R310*'Settings'!$C$16)+(S310*'Settings'!$C$17)+(T310*'Settings'!$C$18)+(U310*'Settings'!$C$19)+(L310*'Settings'!$C$10)+('Settings'!$C$11*M310)</f>
        <v>1.14872602004219</v>
      </c>
      <c r="D310" s="48">
        <f>IF('Settings'!$E$12="YES",VLOOKUP(A310,'Player Data'!A1:E734,5,FALSE),82)</f>
        <v>81.0582142857143</v>
      </c>
      <c r="E310" s="46">
        <f>(VLOOKUP($A310,'The List'!$B1:$AH730,17,FALSE)-AVERAGE('The List'!R2:R730))/STDEV('The List'!R2:R730)</f>
        <v>1.51346705353026</v>
      </c>
      <c r="F310" s="46">
        <f>(VLOOKUP($A310,'The List'!$B1:$AH730,18,FALSE)-AVERAGE('The List'!S2:S730))/STDEV('The List'!S2:S730)</f>
        <v>-0.451183995343156</v>
      </c>
      <c r="G310" s="46">
        <f>(VLOOKUP($A310,'The List'!$B1:$AH730,19,FALSE)-AVERAGE('The List'!T2:T730))/STDEV('The List'!T2:T730)</f>
        <v>0.209181479406414</v>
      </c>
      <c r="H310" s="46">
        <f>(VLOOKUP($A310,'The List'!$B1:$AH730,20,FALSE)-AVERAGE('The List'!U2:U730))/STDEV('The List'!U2:U730)</f>
        <v>-0.07634013405148569</v>
      </c>
      <c r="I310" s="46">
        <f>(VLOOKUP($A310,'The List'!$B1:$AH730,21,FALSE)-AVERAGE('The List'!V2:V730))/STDEV('The List'!V2:V730)</f>
        <v>-0.280389711087106</v>
      </c>
      <c r="J310" s="46">
        <f>(VLOOKUP($A310,'The List'!$B1:$AH730,22,FALSE)-AVERAGE('The List'!W2:W730))/STDEV('The List'!W2:W730)</f>
        <v>-0.6312510795006741</v>
      </c>
      <c r="K310" s="46">
        <f>(VLOOKUP($A310,'The List'!$B1:$AH730,23,FALSE)-AVERAGE('The List'!X2:X730))/STDEV('The List'!X2:X730)</f>
        <v>-0.666645599122307</v>
      </c>
      <c r="L310" s="46">
        <f>(VLOOKUP($A310,'The List'!$B1:$AH730,24,FALSE)-AVERAGE('The List'!Y2:Y730))/STDEV('The List'!Y2:Y730)</f>
        <v>-0.492489580550375</v>
      </c>
      <c r="M310" s="46">
        <f>(VLOOKUP($A310,'The List'!$B1:$AH730,25,FALSE)-AVERAGE('The List'!Z2:Z730))/STDEV('The List'!Z2:Z730)</f>
        <v>0.271665499543711</v>
      </c>
      <c r="N310" s="46">
        <f>(VLOOKUP($A310,'The List'!$B1:$AH730,26,FALSE)-AVERAGE('The List'!AA2:AA730))/STDEV('The List'!AA2:AA730)</f>
        <v>1.36861501610462</v>
      </c>
      <c r="O310" s="46">
        <f>(VLOOKUP($A310,'The List'!$B1:$AH730,27,FALSE)-AVERAGE('The List'!AB2:AB730))/STDEV('The List'!AB2:AB730)</f>
        <v>1.31959627196503</v>
      </c>
      <c r="P310" s="46">
        <f>(VLOOKUP($A310,'The List'!$B1:$AH730,28,FALSE)-AVERAGE('The List'!AC2:AC730))/STDEV('The List'!AC2:AC730)</f>
        <v>0.969148830083723</v>
      </c>
      <c r="Q310" s="46">
        <f>(VLOOKUP($A310,'The List'!$B1:$AH730,29,FALSE)-AVERAGE('The List'!AD2:AD730))/STDEV('The List'!AD2:AD730)</f>
        <v>0.232299797209248</v>
      </c>
      <c r="R310" s="46">
        <f>(VLOOKUP($A310,'The List'!$B1:$AH730,30,FALSE)-AVERAGE('The List'!AE2:AE730))/STDEV('The List'!AE2:AE730)</f>
        <v>-0.248250526808213</v>
      </c>
      <c r="S310" s="46">
        <f>(VLOOKUP($A310,'The List'!$B1:$AH730,31,FALSE)-AVERAGE('The List'!AF2:AF730))/STDEV('The List'!AF2:AF730)</f>
        <v>-0.5569063253591</v>
      </c>
      <c r="T310" s="46">
        <f>(VLOOKUP($A310,'The List'!$B1:$AH730,32,FALSE)-AVERAGE('The List'!AG2:AG730))/STDEV('The List'!AG2:AG730)</f>
        <v>-0.600856269042678</v>
      </c>
      <c r="U310" s="46">
        <f>(VLOOKUP($A310,'The List'!$B1:$AH730,33,FALSE)-AVERAGE('The List'!AH2:AH730))/STDEV('The List'!AH2:AH730)</f>
        <v>-1.2363238714826</v>
      </c>
      <c r="V310" s="46"/>
      <c r="W310" s="48"/>
      <c r="X310" s="46"/>
      <c r="Y310" s="46"/>
      <c r="Z310" s="46"/>
      <c r="AA310" s="46"/>
      <c r="AB310" s="46"/>
      <c r="AC310" s="46"/>
      <c r="AD310" s="46"/>
      <c r="AE310" s="46"/>
    </row>
    <row r="311" ht="21.25" customHeight="1">
      <c r="A311" t="s" s="8">
        <v>611</v>
      </c>
      <c r="B311" t="s" s="42">
        <f>VLOOKUP(A311,'Player Data'!A1:B734,2,FALSE)</f>
        <v>225</v>
      </c>
      <c r="C311" s="44">
        <f>((E311)*'Settings'!$C$12)+(F311*'Settings'!$C$2)+(G311*'Settings'!$C$3)+(H311*'Settings'!$C$4)+(I311*'Settings'!$C$5)+(K311*'Settings'!$C$9)+(N311*'Settings'!$C$6)+(J311*'Settings'!$C$8)+(O311*'Settings'!$C$7)+(P311*'Settings'!$C$14)+(Q311*'Settings'!$C$15)+(R311*'Settings'!$C$16)+(S311*'Settings'!$C$17)+(T311*'Settings'!$C$18)+(U311*'Settings'!$C$19)+(L311*'Settings'!$C$10)+('Settings'!$C$11*M311)</f>
        <v>-3.45015839049789</v>
      </c>
      <c r="D311" s="48">
        <f>IF('Settings'!$E$12="YES",VLOOKUP(A311,'Player Data'!A1:E734,5,FALSE),82)</f>
        <v>77.5446428571429</v>
      </c>
      <c r="E311" s="46">
        <f>(VLOOKUP($A311,'The List'!$B1:$AH730,17,FALSE)-AVERAGE('The List'!R2:R730))/STDEV('The List'!R2:R730)</f>
        <v>0.063437716063761</v>
      </c>
      <c r="F311" s="46">
        <f>(VLOOKUP($A311,'The List'!$B1:$AH730,18,FALSE)-AVERAGE('The List'!S2:S730))/STDEV('The List'!S2:S730)</f>
        <v>-0.108101016819928</v>
      </c>
      <c r="G311" s="46">
        <f>(VLOOKUP($A311,'The List'!$B1:$AH730,19,FALSE)-AVERAGE('The List'!T2:T730))/STDEV('The List'!T2:T730)</f>
        <v>-0.156004192536991</v>
      </c>
      <c r="H311" s="46">
        <f>(VLOOKUP($A311,'The List'!$B1:$AH730,20,FALSE)-AVERAGE('The List'!U2:U730))/STDEV('The List'!U2:U730)</f>
        <v>-0.145362664924667</v>
      </c>
      <c r="I311" s="46">
        <f>(VLOOKUP($A311,'The List'!$B1:$AH730,21,FALSE)-AVERAGE('The List'!V2:V730))/STDEV('The List'!V2:V730)</f>
        <v>-0.112858273880658</v>
      </c>
      <c r="J311" s="46">
        <f>(VLOOKUP($A311,'The List'!$B1:$AH730,22,FALSE)-AVERAGE('The List'!W2:W730))/STDEV('The List'!W2:W730)</f>
        <v>-0.269444838133525</v>
      </c>
      <c r="K311" s="46">
        <f>(VLOOKUP($A311,'The List'!$B1:$AH730,23,FALSE)-AVERAGE('The List'!X2:X730))/STDEV('The List'!X2:X730)</f>
        <v>-0.174248174798818</v>
      </c>
      <c r="L311" s="46">
        <f>(VLOOKUP($A311,'The List'!$B1:$AH730,24,FALSE)-AVERAGE('The List'!Y2:Y730))/STDEV('The List'!Y2:Y730)</f>
        <v>-0.0904708426592728</v>
      </c>
      <c r="M311" s="46">
        <f>(VLOOKUP($A311,'The List'!$B1:$AH730,25,FALSE)-AVERAGE('The List'!Z2:Z730))/STDEV('The List'!Z2:Z730)</f>
        <v>-0.221302066859173</v>
      </c>
      <c r="N311" s="46">
        <f>(VLOOKUP($A311,'The List'!$B1:$AH730,26,FALSE)-AVERAGE('The List'!AA2:AA730))/STDEV('The List'!AA2:AA730)</f>
        <v>-0.551926644670503</v>
      </c>
      <c r="O311" s="46">
        <f>(VLOOKUP($A311,'The List'!$B1:$AH730,27,FALSE)-AVERAGE('The List'!AB2:AB730))/STDEV('The List'!AB2:AB730)</f>
        <v>-0.959767775793905</v>
      </c>
      <c r="P311" s="46">
        <f>(VLOOKUP($A311,'The List'!$B1:$AH730,28,FALSE)-AVERAGE('The List'!AC2:AC730))/STDEV('The List'!AC2:AC730)</f>
        <v>-2.34702008779099</v>
      </c>
      <c r="Q311" s="46">
        <f>(VLOOKUP($A311,'The List'!$B1:$AH730,29,FALSE)-AVERAGE('The List'!AD2:AD730))/STDEV('The List'!AD2:AD730)</f>
        <v>-0.777389501189104</v>
      </c>
      <c r="R311" s="46">
        <f>(VLOOKUP($A311,'The List'!$B1:$AH730,30,FALSE)-AVERAGE('The List'!AE2:AE730))/STDEV('The List'!AE2:AE730)</f>
        <v>-0.27903773475774</v>
      </c>
      <c r="S311" s="46">
        <f>(VLOOKUP($A311,'The List'!$B1:$AH730,31,FALSE)-AVERAGE('The List'!AF2:AF730))/STDEV('The List'!AF2:AF730)</f>
        <v>-0.0791679607820112</v>
      </c>
      <c r="T311" s="46">
        <f>(VLOOKUP($A311,'The List'!$B1:$AH730,32,FALSE)-AVERAGE('The List'!AG2:AG730))/STDEV('The List'!AG2:AG730)</f>
        <v>0.0568010467930703</v>
      </c>
      <c r="U311" s="46">
        <f>(VLOOKUP($A311,'The List'!$B1:$AH730,33,FALSE)-AVERAGE('The List'!AH2:AH730))/STDEV('The List'!AH2:AH730)</f>
        <v>0.719784317258228</v>
      </c>
      <c r="V311" s="46"/>
      <c r="W311" s="50"/>
      <c r="X311" s="48"/>
      <c r="Y311" s="48"/>
      <c r="Z311" s="48"/>
      <c r="AA311" s="48"/>
      <c r="AB311" s="48"/>
      <c r="AC311" s="51"/>
      <c r="AD311" s="52"/>
      <c r="AE311" s="46"/>
    </row>
    <row r="312" ht="21.25" customHeight="1">
      <c r="A312" t="s" s="8">
        <v>429</v>
      </c>
      <c r="B312" t="s" s="42">
        <f>VLOOKUP(A312,'Player Data'!A1:B734,2,FALSE)</f>
        <v>166</v>
      </c>
      <c r="C312" s="44">
        <f>((E312)*'Settings'!$C$12)+(F312*'Settings'!$C$2)+(G312*'Settings'!$C$3)+(H312*'Settings'!$C$4)+(I312*'Settings'!$C$5)+(K312*'Settings'!$C$9)+(N312*'Settings'!$C$6)+(J312*'Settings'!$C$8)+(O312*'Settings'!$C$7)+(P312*'Settings'!$C$14)+(Q312*'Settings'!$C$15)+(R312*'Settings'!$C$16)+(S312*'Settings'!$C$17)+(T312*'Settings'!$C$18)+(U312*'Settings'!$C$19)+(L312*'Settings'!$C$10)+('Settings'!$C$11*M312)</f>
        <v>-1.28489805830214</v>
      </c>
      <c r="D312" s="48">
        <f>IF('Settings'!$E$12="YES",VLOOKUP(A312,'Player Data'!A1:E734,5,FALSE),82)</f>
        <v>72.59999999999999</v>
      </c>
      <c r="E312" s="46">
        <f>(VLOOKUP($A312,'The List'!$B1:$AH730,17,FALSE)-AVERAGE('The List'!R2:R730))/STDEV('The List'!R2:R730)</f>
        <v>0.582143958155208</v>
      </c>
      <c r="F312" s="46">
        <f>(VLOOKUP($A312,'The List'!$B1:$AH730,18,FALSE)-AVERAGE('The List'!S2:S730))/STDEV('The List'!S2:S730)</f>
        <v>-0.604793418049213</v>
      </c>
      <c r="G312" s="46">
        <f>(VLOOKUP($A312,'The List'!$B1:$AH730,19,FALSE)-AVERAGE('The List'!T2:T730))/STDEV('The List'!T2:T730)</f>
        <v>0.0588977372957128</v>
      </c>
      <c r="H312" s="46">
        <f>(VLOOKUP($A312,'The List'!$B1:$AH730,20,FALSE)-AVERAGE('The List'!U2:U730))/STDEV('The List'!U2:U730)</f>
        <v>-0.23888345385718</v>
      </c>
      <c r="I312" s="46">
        <f>(VLOOKUP($A312,'The List'!$B1:$AH730,21,FALSE)-AVERAGE('The List'!V2:V730))/STDEV('The List'!V2:V730)</f>
        <v>-0.8126531363267649</v>
      </c>
      <c r="J312" s="46">
        <f>(VLOOKUP($A312,'The List'!$B1:$AH730,22,FALSE)-AVERAGE('The List'!W2:W730))/STDEV('The List'!W2:W730)</f>
        <v>-0.681536100007577</v>
      </c>
      <c r="K312" s="46">
        <f>(VLOOKUP($A312,'The List'!$B1:$AH730,23,FALSE)-AVERAGE('The List'!X2:X730))/STDEV('The List'!X2:X730)</f>
        <v>-0.219765091867875</v>
      </c>
      <c r="L312" s="46">
        <f>(VLOOKUP($A312,'The List'!$B1:$AH730,24,FALSE)-AVERAGE('The List'!Y2:Y730))/STDEV('The List'!Y2:Y730)</f>
        <v>-0.526781850002664</v>
      </c>
      <c r="M312" s="46">
        <f>(VLOOKUP($A312,'The List'!$B1:$AH730,25,FALSE)-AVERAGE('The List'!Z2:Z730))/STDEV('The List'!Z2:Z730)</f>
        <v>-0.685398823806859</v>
      </c>
      <c r="N312" s="46">
        <f>(VLOOKUP($A312,'The List'!$B1:$AH730,26,FALSE)-AVERAGE('The List'!AA2:AA730))/STDEV('The List'!AA2:AA730)</f>
        <v>0.692280801529369</v>
      </c>
      <c r="O312" s="46">
        <f>(VLOOKUP($A312,'The List'!$B1:$AH730,27,FALSE)-AVERAGE('The List'!AB2:AB730))/STDEV('The List'!AB2:AB730)</f>
        <v>0.824078396680842</v>
      </c>
      <c r="P312" s="46">
        <f>(VLOOKUP($A312,'The List'!$B1:$AH730,28,FALSE)-AVERAGE('The List'!AC2:AC730))/STDEV('The List'!AC2:AC730)</f>
        <v>-0.398864950883373</v>
      </c>
      <c r="Q312" s="46">
        <f>(VLOOKUP($A312,'The List'!$B1:$AH730,29,FALSE)-AVERAGE('The List'!AD2:AD730))/STDEV('The List'!AD2:AD730)</f>
        <v>-0.168045091061487</v>
      </c>
      <c r="R312" s="46">
        <f>(VLOOKUP($A312,'The List'!$B1:$AH730,30,FALSE)-AVERAGE('The List'!AE2:AE730))/STDEV('The List'!AE2:AE730)</f>
        <v>-0.631593211976513</v>
      </c>
      <c r="S312" s="46">
        <f>(VLOOKUP($A312,'The List'!$B1:$AH730,31,FALSE)-AVERAGE('The List'!AF2:AF730))/STDEV('The List'!AF2:AF730)</f>
        <v>-0.5569063253591</v>
      </c>
      <c r="T312" s="46">
        <f>(VLOOKUP($A312,'The List'!$B1:$AH730,32,FALSE)-AVERAGE('The List'!AG2:AG730))/STDEV('The List'!AG2:AG730)</f>
        <v>-0.600856269042678</v>
      </c>
      <c r="U312" s="46">
        <f>(VLOOKUP($A312,'The List'!$B1:$AH730,33,FALSE)-AVERAGE('The List'!AH2:AH730))/STDEV('The List'!AH2:AH730)</f>
        <v>-1.2363238714826</v>
      </c>
      <c r="V312" s="46"/>
      <c r="W312" s="50"/>
      <c r="X312" s="48"/>
      <c r="Y312" s="48"/>
      <c r="Z312" s="48"/>
      <c r="AA312" s="48"/>
      <c r="AB312" s="48"/>
      <c r="AC312" s="51"/>
      <c r="AD312" s="52"/>
      <c r="AE312" s="46"/>
    </row>
    <row r="313" ht="21.25" customHeight="1">
      <c r="A313" t="s" s="8">
        <v>618</v>
      </c>
      <c r="B313" t="s" s="42">
        <f>VLOOKUP(A313,'Player Data'!A1:B734,2,FALSE)</f>
        <v>196</v>
      </c>
      <c r="C313" s="44">
        <f>((E313)*'Settings'!$C$12)+(F313*'Settings'!$C$2)+(G313*'Settings'!$C$3)+(H313*'Settings'!$C$4)+(I313*'Settings'!$C$5)+(K313*'Settings'!$C$9)+(N313*'Settings'!$C$6)+(J313*'Settings'!$C$8)+(O313*'Settings'!$C$7)+(P313*'Settings'!$C$14)+(Q313*'Settings'!$C$15)+(R313*'Settings'!$C$16)+(S313*'Settings'!$C$17)+(T313*'Settings'!$C$18)+(U313*'Settings'!$C$19)+(L313*'Settings'!$C$10)+('Settings'!$C$11*M313)</f>
        <v>-1.90019673709787</v>
      </c>
      <c r="D313" s="48">
        <f>IF('Settings'!$E$12="YES",VLOOKUP(A313,'Player Data'!A1:E734,5,FALSE),82)</f>
        <v>82</v>
      </c>
      <c r="E313" s="46">
        <f>(VLOOKUP($A313,'The List'!$B1:$AH730,17,FALSE)-AVERAGE('The List'!R2:R730))/STDEV('The List'!R2:R730)</f>
        <v>-0.63361999124927</v>
      </c>
      <c r="F313" s="46">
        <f>(VLOOKUP($A313,'The List'!$B1:$AH730,18,FALSE)-AVERAGE('The List'!S2:S730))/STDEV('The List'!S2:S730)</f>
        <v>-0.296792227530591</v>
      </c>
      <c r="G313" s="46">
        <f>(VLOOKUP($A313,'The List'!$B1:$AH730,19,FALSE)-AVERAGE('The List'!T2:T730))/STDEV('The List'!T2:T730)</f>
        <v>0.113983726186687</v>
      </c>
      <c r="H313" s="46">
        <f>(VLOOKUP($A313,'The List'!$B1:$AH730,20,FALSE)-AVERAGE('The List'!U2:U730))/STDEV('The List'!U2:U730)</f>
        <v>-0.0647769468732905</v>
      </c>
      <c r="I313" s="46">
        <f>(VLOOKUP($A313,'The List'!$B1:$AH730,21,FALSE)-AVERAGE('The List'!V2:V730))/STDEV('The List'!V2:V730)</f>
        <v>-0.193116653552945</v>
      </c>
      <c r="J313" s="46">
        <f>(VLOOKUP($A313,'The List'!$B1:$AH730,22,FALSE)-AVERAGE('The List'!W2:W730))/STDEV('The List'!W2:W730)</f>
        <v>-0.524045511079114</v>
      </c>
      <c r="K313" s="46">
        <f>(VLOOKUP($A313,'The List'!$B1:$AH730,23,FALSE)-AVERAGE('The List'!X2:X730))/STDEV('The List'!X2:X730)</f>
        <v>-0.647949646356373</v>
      </c>
      <c r="L313" s="46">
        <f>(VLOOKUP($A313,'The List'!$B1:$AH730,24,FALSE)-AVERAGE('The List'!Y2:Y730))/STDEV('The List'!Y2:Y730)</f>
        <v>0.885036923972947</v>
      </c>
      <c r="M313" s="46">
        <f>(VLOOKUP($A313,'The List'!$B1:$AH730,25,FALSE)-AVERAGE('The List'!Z2:Z730))/STDEV('The List'!Z2:Z730)</f>
        <v>1.81857736495915</v>
      </c>
      <c r="N313" s="46">
        <f>(VLOOKUP($A313,'The List'!$B1:$AH730,26,FALSE)-AVERAGE('The List'!AA2:AA730))/STDEV('The List'!AA2:AA730)</f>
        <v>-0.252731850363846</v>
      </c>
      <c r="O313" s="46">
        <f>(VLOOKUP($A313,'The List'!$B1:$AH730,27,FALSE)-AVERAGE('The List'!AB2:AB730))/STDEV('The List'!AB2:AB730)</f>
        <v>-0.56949966830218</v>
      </c>
      <c r="P313" s="46">
        <f>(VLOOKUP($A313,'The List'!$B1:$AH730,28,FALSE)-AVERAGE('The List'!AC2:AC730))/STDEV('The List'!AC2:AC730)</f>
        <v>-0.623590085480801</v>
      </c>
      <c r="Q313" s="46">
        <f>(VLOOKUP($A313,'The List'!$B1:$AH730,29,FALSE)-AVERAGE('The List'!AD2:AD730))/STDEV('The List'!AD2:AD730)</f>
        <v>-0.488945527499748</v>
      </c>
      <c r="R313" s="46">
        <f>(VLOOKUP($A313,'The List'!$B1:$AH730,30,FALSE)-AVERAGE('The List'!AE2:AE730))/STDEV('The List'!AE2:AE730)</f>
        <v>-0.36432830339152</v>
      </c>
      <c r="S313" s="46">
        <f>(VLOOKUP($A313,'The List'!$B1:$AH730,31,FALSE)-AVERAGE('The List'!AF2:AF730))/STDEV('The List'!AF2:AF730)</f>
        <v>-0.184382325000095</v>
      </c>
      <c r="T313" s="46">
        <f>(VLOOKUP($A313,'The List'!$B1:$AH730,32,FALSE)-AVERAGE('The List'!AG2:AG730))/STDEV('The List'!AG2:AG730)</f>
        <v>-0.0878869720142188</v>
      </c>
      <c r="U313" s="46">
        <f>(VLOOKUP($A313,'The List'!$B1:$AH730,33,FALSE)-AVERAGE('The List'!AH2:AH730))/STDEV('The List'!AH2:AH730)</f>
        <v>0.719458581976434</v>
      </c>
      <c r="V313" s="46"/>
      <c r="W313" s="48"/>
      <c r="X313" s="46"/>
      <c r="Y313" s="46"/>
      <c r="Z313" s="46"/>
      <c r="AA313" s="46"/>
      <c r="AB313" s="46"/>
      <c r="AC313" s="46"/>
      <c r="AD313" s="46"/>
      <c r="AE313" s="46"/>
    </row>
    <row r="314" ht="21.25" customHeight="1">
      <c r="A314" t="s" s="8">
        <v>543</v>
      </c>
      <c r="B314" t="s" s="42">
        <f>VLOOKUP(A314,'Player Data'!A1:B734,2,FALSE)</f>
        <v>115</v>
      </c>
      <c r="C314" s="44">
        <f>((E314)*'Settings'!$C$12)+(F314*'Settings'!$C$2)+(G314*'Settings'!$C$3)+(H314*'Settings'!$C$4)+(I314*'Settings'!$C$5)+(K314*'Settings'!$C$9)+(N314*'Settings'!$C$6)+(J314*'Settings'!$C$8)+(O314*'Settings'!$C$7)+(P314*'Settings'!$C$14)+(Q314*'Settings'!$C$15)+(R314*'Settings'!$C$16)+(S314*'Settings'!$C$17)+(T314*'Settings'!$C$18)+(U314*'Settings'!$C$19)+(L314*'Settings'!$C$10)+('Settings'!$C$11*M314)</f>
        <v>-0.754073012549666</v>
      </c>
      <c r="D314" s="48">
        <f>IF('Settings'!$E$12="YES",VLOOKUP(A314,'Player Data'!A1:E734,5,FALSE),82)</f>
        <v>74</v>
      </c>
      <c r="E314" s="46">
        <f>(VLOOKUP($A314,'The List'!$B1:$AH730,17,FALSE)-AVERAGE('The List'!R2:R730))/STDEV('The List'!R2:R730)</f>
        <v>-0.39691315665872</v>
      </c>
      <c r="F314" s="46">
        <f>(VLOOKUP($A314,'The List'!$B1:$AH730,18,FALSE)-AVERAGE('The List'!S2:S730))/STDEV('The List'!S2:S730)</f>
        <v>0.243850001489696</v>
      </c>
      <c r="G314" s="46">
        <f>(VLOOKUP($A314,'The List'!$B1:$AH730,19,FALSE)-AVERAGE('The List'!T2:T730))/STDEV('The List'!T2:T730)</f>
        <v>-0.114224345104241</v>
      </c>
      <c r="H314" s="46">
        <f>(VLOOKUP($A314,'The List'!$B1:$AH730,20,FALSE)-AVERAGE('The List'!U2:U730))/STDEV('The List'!U2:U730)</f>
        <v>0.0405388338312842</v>
      </c>
      <c r="I314" s="46">
        <f>(VLOOKUP($A314,'The List'!$B1:$AH730,21,FALSE)-AVERAGE('The List'!V2:V730))/STDEV('The List'!V2:V730)</f>
        <v>-0.0269911509094363</v>
      </c>
      <c r="J314" s="46">
        <f>(VLOOKUP($A314,'The List'!$B1:$AH730,22,FALSE)-AVERAGE('The List'!W2:W730))/STDEV('The List'!W2:W730)</f>
        <v>0.10763213961531</v>
      </c>
      <c r="K314" s="46">
        <f>(VLOOKUP($A314,'The List'!$B1:$AH730,23,FALSE)-AVERAGE('The List'!X2:X730))/STDEV('The List'!X2:X730)</f>
        <v>-0.06649054574368971</v>
      </c>
      <c r="L314" s="46">
        <f>(VLOOKUP($A314,'The List'!$B1:$AH730,24,FALSE)-AVERAGE('The List'!Y2:Y730))/STDEV('The List'!Y2:Y730)</f>
        <v>-0.542843480388394</v>
      </c>
      <c r="M314" s="46">
        <f>(VLOOKUP($A314,'The List'!$B1:$AH730,25,FALSE)-AVERAGE('The List'!Z2:Z730))/STDEV('The List'!Z2:Z730)</f>
        <v>-0.72177514995105</v>
      </c>
      <c r="N314" s="46">
        <f>(VLOOKUP($A314,'The List'!$B1:$AH730,26,FALSE)-AVERAGE('The List'!AA2:AA730))/STDEV('The List'!AA2:AA730)</f>
        <v>-0.701779125050319</v>
      </c>
      <c r="O314" s="46">
        <f>(VLOOKUP($A314,'The List'!$B1:$AH730,27,FALSE)-AVERAGE('The List'!AB2:AB730))/STDEV('The List'!AB2:AB730)</f>
        <v>-0.0670218920383413</v>
      </c>
      <c r="P314" s="46">
        <f>(VLOOKUP($A314,'The List'!$B1:$AH730,28,FALSE)-AVERAGE('The List'!AC2:AC730))/STDEV('The List'!AC2:AC730)</f>
        <v>-0.088437847231676</v>
      </c>
      <c r="Q314" s="46">
        <f>(VLOOKUP($A314,'The List'!$B1:$AH730,29,FALSE)-AVERAGE('The List'!AD2:AD730))/STDEV('The List'!AD2:AD730)</f>
        <v>-0.0887497104742084</v>
      </c>
      <c r="R314" s="46">
        <f>(VLOOKUP($A314,'The List'!$B1:$AH730,30,FALSE)-AVERAGE('The List'!AE2:AE730))/STDEV('The List'!AE2:AE730)</f>
        <v>0.424753235840082</v>
      </c>
      <c r="S314" s="46">
        <f>(VLOOKUP($A314,'The List'!$B1:$AH730,31,FALSE)-AVERAGE('The List'!AF2:AF730))/STDEV('The List'!AF2:AF730)</f>
        <v>-0.5569063253591</v>
      </c>
      <c r="T314" s="46">
        <f>(VLOOKUP($A314,'The List'!$B1:$AH730,32,FALSE)-AVERAGE('The List'!AG2:AG730))/STDEV('The List'!AG2:AG730)</f>
        <v>-0.600856269042678</v>
      </c>
      <c r="U314" s="46">
        <f>(VLOOKUP($A314,'The List'!$B1:$AH730,33,FALSE)-AVERAGE('The List'!AH2:AH730))/STDEV('The List'!AH2:AH730)</f>
        <v>-1.2363238714826</v>
      </c>
      <c r="V314" s="46"/>
      <c r="W314" s="50"/>
      <c r="X314" s="48"/>
      <c r="Y314" s="48"/>
      <c r="Z314" s="48"/>
      <c r="AA314" s="48"/>
      <c r="AB314" s="48"/>
      <c r="AC314" s="51"/>
      <c r="AD314" s="52"/>
      <c r="AE314" s="46"/>
    </row>
    <row r="315" ht="21.25" customHeight="1">
      <c r="A315" t="s" s="8">
        <v>386</v>
      </c>
      <c r="B315" t="s" s="42">
        <f>VLOOKUP(A315,'Player Data'!A1:B734,2,FALSE)</f>
        <v>196</v>
      </c>
      <c r="C315" s="44">
        <f>((E315)*'Settings'!$C$12)+(F315*'Settings'!$C$2)+(G315*'Settings'!$C$3)+(H315*'Settings'!$C$4)+(I315*'Settings'!$C$5)+(K315*'Settings'!$C$9)+(N315*'Settings'!$C$6)+(J315*'Settings'!$C$8)+(O315*'Settings'!$C$7)+(P315*'Settings'!$C$14)+(Q315*'Settings'!$C$15)+(R315*'Settings'!$C$16)+(S315*'Settings'!$C$17)+(T315*'Settings'!$C$18)+(U315*'Settings'!$C$19)+(L315*'Settings'!$C$10)+('Settings'!$C$11*M315)</f>
        <v>-0.546600717309604</v>
      </c>
      <c r="D315" s="48">
        <f>IF('Settings'!$E$12="YES",VLOOKUP(A315,'Player Data'!A1:E734,5,FALSE),82)</f>
        <v>76.3075</v>
      </c>
      <c r="E315" s="46">
        <f>(VLOOKUP($A315,'The List'!$B1:$AH730,17,FALSE)-AVERAGE('The List'!R2:R730))/STDEV('The List'!R2:R730)</f>
        <v>0.607953968241732</v>
      </c>
      <c r="F315" s="46">
        <f>(VLOOKUP($A315,'The List'!$B1:$AH730,18,FALSE)-AVERAGE('The List'!S2:S730))/STDEV('The List'!S2:S730)</f>
        <v>-0.859730071645568</v>
      </c>
      <c r="G315" s="46">
        <f>(VLOOKUP($A315,'The List'!$B1:$AH730,19,FALSE)-AVERAGE('The List'!T2:T730))/STDEV('The List'!T2:T730)</f>
        <v>0.32379679349174</v>
      </c>
      <c r="H315" s="46">
        <f>(VLOOKUP($A315,'The List'!$B1:$AH730,20,FALSE)-AVERAGE('The List'!U2:U730))/STDEV('The List'!U2:U730)</f>
        <v>-0.191577957779373</v>
      </c>
      <c r="I315" s="46">
        <f>(VLOOKUP($A315,'The List'!$B1:$AH730,21,FALSE)-AVERAGE('The List'!V2:V730))/STDEV('The List'!V2:V730)</f>
        <v>-0.506774958916918</v>
      </c>
      <c r="J315" s="46">
        <f>(VLOOKUP($A315,'The List'!$B1:$AH730,22,FALSE)-AVERAGE('The List'!W2:W730))/STDEV('The List'!W2:W730)</f>
        <v>-0.444917463141293</v>
      </c>
      <c r="K315" s="46">
        <f>(VLOOKUP($A315,'The List'!$B1:$AH730,23,FALSE)-AVERAGE('The List'!X2:X730))/STDEV('The List'!X2:X730)</f>
        <v>0.181278716220967</v>
      </c>
      <c r="L315" s="46">
        <f>(VLOOKUP($A315,'The List'!$B1:$AH730,24,FALSE)-AVERAGE('The List'!Y2:Y730))/STDEV('The List'!Y2:Y730)</f>
        <v>-0.5053472422236061</v>
      </c>
      <c r="M315" s="46">
        <f>(VLOOKUP($A315,'The List'!$B1:$AH730,25,FALSE)-AVERAGE('The List'!Z2:Z730))/STDEV('The List'!Z2:Z730)</f>
        <v>-0.63772439215679</v>
      </c>
      <c r="N315" s="46">
        <f>(VLOOKUP($A315,'The List'!$B1:$AH730,26,FALSE)-AVERAGE('The List'!AA2:AA730))/STDEV('The List'!AA2:AA730)</f>
        <v>0.97724210248409</v>
      </c>
      <c r="O315" s="46">
        <f>(VLOOKUP($A315,'The List'!$B1:$AH730,27,FALSE)-AVERAGE('The List'!AB2:AB730))/STDEV('The List'!AB2:AB730)</f>
        <v>-0.451042322538574</v>
      </c>
      <c r="P315" s="46">
        <f>(VLOOKUP($A315,'The List'!$B1:$AH730,28,FALSE)-AVERAGE('The List'!AC2:AC730))/STDEV('The List'!AC2:AC730)</f>
        <v>-0.662413298943915</v>
      </c>
      <c r="Q315" s="46">
        <f>(VLOOKUP($A315,'The List'!$B1:$AH730,29,FALSE)-AVERAGE('The List'!AD2:AD730))/STDEV('The List'!AD2:AD730)</f>
        <v>1.22826891719036</v>
      </c>
      <c r="R315" s="46">
        <f>(VLOOKUP($A315,'The List'!$B1:$AH730,30,FALSE)-AVERAGE('The List'!AE2:AE730))/STDEV('The List'!AE2:AE730)</f>
        <v>-0.826599336412444</v>
      </c>
      <c r="S315" s="46">
        <f>(VLOOKUP($A315,'The List'!$B1:$AH730,31,FALSE)-AVERAGE('The List'!AF2:AF730))/STDEV('The List'!AF2:AF730)</f>
        <v>-0.5569063253591</v>
      </c>
      <c r="T315" s="46">
        <f>(VLOOKUP($A315,'The List'!$B1:$AH730,32,FALSE)-AVERAGE('The List'!AG2:AG730))/STDEV('The List'!AG2:AG730)</f>
        <v>-0.600856269042678</v>
      </c>
      <c r="U315" s="46">
        <f>(VLOOKUP($A315,'The List'!$B1:$AH730,33,FALSE)-AVERAGE('The List'!AH2:AH730))/STDEV('The List'!AH2:AH730)</f>
        <v>-1.2363238714826</v>
      </c>
      <c r="V315" s="46"/>
      <c r="W315" s="50"/>
      <c r="X315" s="48"/>
      <c r="Y315" s="48"/>
      <c r="Z315" s="48"/>
      <c r="AA315" s="48"/>
      <c r="AB315" s="48"/>
      <c r="AC315" s="51"/>
      <c r="AD315" s="52"/>
      <c r="AE315" s="46"/>
    </row>
    <row r="316" ht="21.25" customHeight="1">
      <c r="A316" t="s" s="8">
        <v>358</v>
      </c>
      <c r="B316" t="s" s="42">
        <f>VLOOKUP(A316,'Player Data'!A1:B734,2,FALSE)</f>
        <v>184</v>
      </c>
      <c r="C316" s="44">
        <f>((E316)*'Settings'!$C$12)+(F316*'Settings'!$C$2)+(G316*'Settings'!$C$3)+(H316*'Settings'!$C$4)+(I316*'Settings'!$C$5)+(K316*'Settings'!$C$9)+(N316*'Settings'!$C$6)+(J316*'Settings'!$C$8)+(O316*'Settings'!$C$7)+(P316*'Settings'!$C$14)+(Q316*'Settings'!$C$15)+(R316*'Settings'!$C$16)+(S316*'Settings'!$C$17)+(T316*'Settings'!$C$18)+(U316*'Settings'!$C$19)+(L316*'Settings'!$C$10)+('Settings'!$C$11*M316)</f>
        <v>-0.278494948285685</v>
      </c>
      <c r="D316" s="48">
        <f>IF('Settings'!$E$12="YES",VLOOKUP(A316,'Player Data'!A1:E734,5,FALSE),82)</f>
        <v>78.5910714285714</v>
      </c>
      <c r="E316" s="46">
        <f>(VLOOKUP($A316,'The List'!$B1:$AH730,17,FALSE)-AVERAGE('The List'!R2:R730))/STDEV('The List'!R2:R730)</f>
        <v>0.278754297244216</v>
      </c>
      <c r="F316" s="46">
        <f>(VLOOKUP($A316,'The List'!$B1:$AH730,18,FALSE)-AVERAGE('The List'!S2:S730))/STDEV('The List'!S2:S730)</f>
        <v>-0.343760422681424</v>
      </c>
      <c r="G316" s="46">
        <f>(VLOOKUP($A316,'The List'!$B1:$AH730,19,FALSE)-AVERAGE('The List'!T2:T730))/STDEV('The List'!T2:T730)</f>
        <v>0.009149649372229011</v>
      </c>
      <c r="H316" s="46">
        <f>(VLOOKUP($A316,'The List'!$B1:$AH730,20,FALSE)-AVERAGE('The List'!U2:U730))/STDEV('The List'!U2:U730)</f>
        <v>-0.150777248097646</v>
      </c>
      <c r="I316" s="46">
        <f>(VLOOKUP($A316,'The List'!$B1:$AH730,21,FALSE)-AVERAGE('The List'!V2:V730))/STDEV('The List'!V2:V730)</f>
        <v>-0.148947589723234</v>
      </c>
      <c r="J316" s="46">
        <f>(VLOOKUP($A316,'The List'!$B1:$AH730,22,FALSE)-AVERAGE('The List'!W2:W730))/STDEV('The List'!W2:W730)</f>
        <v>-0.012546874175737</v>
      </c>
      <c r="K316" s="46">
        <f>(VLOOKUP($A316,'The List'!$B1:$AH730,23,FALSE)-AVERAGE('The List'!X2:X730))/STDEV('The List'!X2:X730)</f>
        <v>0.197721890639979</v>
      </c>
      <c r="L316" s="46">
        <f>(VLOOKUP($A316,'The List'!$B1:$AH730,24,FALSE)-AVERAGE('The List'!Y2:Y730))/STDEV('The List'!Y2:Y730)</f>
        <v>-0.0765012715616171</v>
      </c>
      <c r="M316" s="46">
        <f>(VLOOKUP($A316,'The List'!$B1:$AH730,25,FALSE)-AVERAGE('The List'!Z2:Z730))/STDEV('The List'!Z2:Z730)</f>
        <v>-0.4079130545204</v>
      </c>
      <c r="N316" s="46">
        <f>(VLOOKUP($A316,'The List'!$B1:$AH730,26,FALSE)-AVERAGE('The List'!AA2:AA730))/STDEV('The List'!AA2:AA730)</f>
        <v>0.645281846292047</v>
      </c>
      <c r="O316" s="46">
        <f>(VLOOKUP($A316,'The List'!$B1:$AH730,27,FALSE)-AVERAGE('The List'!AB2:AB730))/STDEV('The List'!AB2:AB730)</f>
        <v>-0.772083891687825</v>
      </c>
      <c r="P316" s="46">
        <f>(VLOOKUP($A316,'The List'!$B1:$AH730,28,FALSE)-AVERAGE('The List'!AC2:AC730))/STDEV('The List'!AC2:AC730)</f>
        <v>-0.637940322185282</v>
      </c>
      <c r="Q316" s="46">
        <f>(VLOOKUP($A316,'The List'!$B1:$AH730,29,FALSE)-AVERAGE('The List'!AD2:AD730))/STDEV('The List'!AD2:AD730)</f>
        <v>-0.75094495115338</v>
      </c>
      <c r="R316" s="46">
        <f>(VLOOKUP($A316,'The List'!$B1:$AH730,30,FALSE)-AVERAGE('The List'!AE2:AE730))/STDEV('The List'!AE2:AE730)</f>
        <v>-0.364874488691771</v>
      </c>
      <c r="S316" s="46">
        <f>(VLOOKUP($A316,'The List'!$B1:$AH730,31,FALSE)-AVERAGE('The List'!AF2:AF730))/STDEV('The List'!AF2:AF730)</f>
        <v>-0.5569063253591</v>
      </c>
      <c r="T316" s="46">
        <f>(VLOOKUP($A316,'The List'!$B1:$AH730,32,FALSE)-AVERAGE('The List'!AG2:AG730))/STDEV('The List'!AG2:AG730)</f>
        <v>-0.600856269042678</v>
      </c>
      <c r="U316" s="46">
        <f>(VLOOKUP($A316,'The List'!$B1:$AH730,33,FALSE)-AVERAGE('The List'!AH2:AH730))/STDEV('The List'!AH2:AH730)</f>
        <v>-1.2363238714826</v>
      </c>
      <c r="V316" s="46"/>
      <c r="W316" s="50"/>
      <c r="X316" s="48"/>
      <c r="Y316" s="48"/>
      <c r="Z316" s="48"/>
      <c r="AA316" s="48"/>
      <c r="AB316" s="48"/>
      <c r="AC316" s="51"/>
      <c r="AD316" s="52"/>
      <c r="AE316" s="46"/>
    </row>
    <row r="317" ht="21.25" customHeight="1">
      <c r="A317" t="s" s="8">
        <v>323</v>
      </c>
      <c r="B317" t="s" s="42">
        <f>VLOOKUP(A317,'Player Data'!A1:B734,2,FALSE)</f>
        <v>173</v>
      </c>
      <c r="C317" s="44">
        <f>((E317)*'Settings'!$C$12)+(F317*'Settings'!$C$2)+(G317*'Settings'!$C$3)+(H317*'Settings'!$C$4)+(I317*'Settings'!$C$5)+(K317*'Settings'!$C$9)+(N317*'Settings'!$C$6)+(J317*'Settings'!$C$8)+(O317*'Settings'!$C$7)+(P317*'Settings'!$C$14)+(Q317*'Settings'!$C$15)+(R317*'Settings'!$C$16)+(S317*'Settings'!$C$17)+(T317*'Settings'!$C$18)+(U317*'Settings'!$C$19)+(L317*'Settings'!$C$10)+('Settings'!$C$11*M317)</f>
        <v>2.4549882333394</v>
      </c>
      <c r="D317" s="48">
        <f>IF('Settings'!$E$12="YES",VLOOKUP(A317,'Player Data'!A1:E734,5,FALSE),82)</f>
        <v>79.955</v>
      </c>
      <c r="E317" s="46">
        <f>(VLOOKUP($A317,'The List'!$B1:$AH730,17,FALSE)-AVERAGE('The List'!R2:R730))/STDEV('The List'!R2:R730)</f>
        <v>1.47753792642411</v>
      </c>
      <c r="F317" s="46">
        <f>(VLOOKUP($A317,'The List'!$B1:$AH730,18,FALSE)-AVERAGE('The List'!S2:S730))/STDEV('The List'!S2:S730)</f>
        <v>-0.7963157635000629</v>
      </c>
      <c r="G317" s="46">
        <f>(VLOOKUP($A317,'The List'!$B1:$AH730,19,FALSE)-AVERAGE('The List'!T2:T730))/STDEV('The List'!T2:T730)</f>
        <v>0.372840651946399</v>
      </c>
      <c r="H317" s="46">
        <f>(VLOOKUP($A317,'The List'!$B1:$AH730,20,FALSE)-AVERAGE('The List'!U2:U730))/STDEV('The List'!U2:U730)</f>
        <v>-0.132488281634293</v>
      </c>
      <c r="I317" s="46">
        <f>(VLOOKUP($A317,'The List'!$B1:$AH730,21,FALSE)-AVERAGE('The List'!V2:V730))/STDEV('The List'!V2:V730)</f>
        <v>0.0570351823108773</v>
      </c>
      <c r="J317" s="46">
        <f>(VLOOKUP($A317,'The List'!$B1:$AH730,22,FALSE)-AVERAGE('The List'!W2:W730))/STDEV('The List'!W2:W730)</f>
        <v>-0.251488574134104</v>
      </c>
      <c r="K317" s="46">
        <f>(VLOOKUP($A317,'The List'!$B1:$AH730,23,FALSE)-AVERAGE('The List'!X2:X730))/STDEV('The List'!X2:X730)</f>
        <v>0.482907684409613</v>
      </c>
      <c r="L317" s="46">
        <f>(VLOOKUP($A317,'The List'!$B1:$AH730,24,FALSE)-AVERAGE('The List'!Y2:Y730))/STDEV('The List'!Y2:Y730)</f>
        <v>-0.467782235923469</v>
      </c>
      <c r="M317" s="46">
        <f>(VLOOKUP($A317,'The List'!$B1:$AH730,25,FALSE)-AVERAGE('The List'!Z2:Z730))/STDEV('The List'!Z2:Z730)</f>
        <v>-0.485581566320797</v>
      </c>
      <c r="N317" s="46">
        <f>(VLOOKUP($A317,'The List'!$B1:$AH730,26,FALSE)-AVERAGE('The List'!AA2:AA730))/STDEV('The List'!AA2:AA730)</f>
        <v>2.37549711993805</v>
      </c>
      <c r="O317" s="46">
        <f>(VLOOKUP($A317,'The List'!$B1:$AH730,27,FALSE)-AVERAGE('The List'!AB2:AB730))/STDEV('The List'!AB2:AB730)</f>
        <v>-0.462290714332226</v>
      </c>
      <c r="P317" s="46">
        <f>(VLOOKUP($A317,'The List'!$B1:$AH730,28,FALSE)-AVERAGE('The List'!AC2:AC730))/STDEV('The List'!AC2:AC730)</f>
        <v>-0.0369766417654804</v>
      </c>
      <c r="Q317" s="46">
        <f>(VLOOKUP($A317,'The List'!$B1:$AH730,29,FALSE)-AVERAGE('The List'!AD2:AD730))/STDEV('The List'!AD2:AD730)</f>
        <v>-0.761444939157068</v>
      </c>
      <c r="R317" s="46">
        <f>(VLOOKUP($A317,'The List'!$B1:$AH730,30,FALSE)-AVERAGE('The List'!AE2:AE730))/STDEV('The List'!AE2:AE730)</f>
        <v>-0.6959441209489839</v>
      </c>
      <c r="S317" s="46">
        <f>(VLOOKUP($A317,'The List'!$B1:$AH730,31,FALSE)-AVERAGE('The List'!AF2:AF730))/STDEV('The List'!AF2:AF730)</f>
        <v>-0.5569063253591</v>
      </c>
      <c r="T317" s="46">
        <f>(VLOOKUP($A317,'The List'!$B1:$AH730,32,FALSE)-AVERAGE('The List'!AG2:AG730))/STDEV('The List'!AG2:AG730)</f>
        <v>-0.600856269042678</v>
      </c>
      <c r="U317" s="46">
        <f>(VLOOKUP($A317,'The List'!$B1:$AH730,33,FALSE)-AVERAGE('The List'!AH2:AH730))/STDEV('The List'!AH2:AH730)</f>
        <v>-1.2363238714826</v>
      </c>
      <c r="V317" s="46"/>
      <c r="W317" s="48"/>
      <c r="X317" s="46"/>
      <c r="Y317" s="46"/>
      <c r="Z317" s="46"/>
      <c r="AA317" s="46"/>
      <c r="AB317" s="46"/>
      <c r="AC317" s="46"/>
      <c r="AD317" s="46"/>
      <c r="AE317" s="46"/>
    </row>
    <row r="318" ht="21.25" customHeight="1">
      <c r="A318" t="s" s="8">
        <v>340</v>
      </c>
      <c r="B318" t="s" s="42">
        <f>VLOOKUP(A318,'Player Data'!A1:B734,2,FALSE)</f>
        <v>134</v>
      </c>
      <c r="C318" s="44">
        <f>((E318)*'Settings'!$C$12)+(F318*'Settings'!$C$2)+(G318*'Settings'!$C$3)+(H318*'Settings'!$C$4)+(I318*'Settings'!$C$5)+(K318*'Settings'!$C$9)+(N318*'Settings'!$C$6)+(J318*'Settings'!$C$8)+(O318*'Settings'!$C$7)+(P318*'Settings'!$C$14)+(Q318*'Settings'!$C$15)+(R318*'Settings'!$C$16)+(S318*'Settings'!$C$17)+(T318*'Settings'!$C$18)+(U318*'Settings'!$C$19)+(L318*'Settings'!$C$10)+('Settings'!$C$11*M318)</f>
        <v>3.48012351602676</v>
      </c>
      <c r="D318" s="48">
        <f>IF('Settings'!$E$12="YES",VLOOKUP(A318,'Player Data'!A1:E734,5,FALSE),82)</f>
        <v>79.40000000000001</v>
      </c>
      <c r="E318" s="46">
        <f>(VLOOKUP($A318,'The List'!$B1:$AH730,17,FALSE)-AVERAGE('The List'!R2:R730))/STDEV('The List'!R2:R730)</f>
        <v>1.33097979529123</v>
      </c>
      <c r="F318" s="46">
        <f>(VLOOKUP($A318,'The List'!$B1:$AH730,18,FALSE)-AVERAGE('The List'!S2:S730))/STDEV('The List'!S2:S730)</f>
        <v>-0.360484484369571</v>
      </c>
      <c r="G318" s="46">
        <f>(VLOOKUP($A318,'The List'!$B1:$AH730,19,FALSE)-AVERAGE('The List'!T2:T730))/STDEV('The List'!T2:T730)</f>
        <v>0.0324198000824581</v>
      </c>
      <c r="H318" s="46">
        <f>(VLOOKUP($A318,'The List'!$B1:$AH730,20,FALSE)-AVERAGE('The List'!U2:U730))/STDEV('The List'!U2:U730)</f>
        <v>-0.144041289521014</v>
      </c>
      <c r="I318" s="46">
        <f>(VLOOKUP($A318,'The List'!$B1:$AH730,21,FALSE)-AVERAGE('The List'!V2:V730))/STDEV('The List'!V2:V730)</f>
        <v>0.268439026658926</v>
      </c>
      <c r="J318" s="46">
        <f>(VLOOKUP($A318,'The List'!$B1:$AH730,22,FALSE)-AVERAGE('The List'!W2:W730))/STDEV('The List'!W2:W730)</f>
        <v>-0.5642012510965621</v>
      </c>
      <c r="K318" s="46">
        <f>(VLOOKUP($A318,'The List'!$B1:$AH730,23,FALSE)-AVERAGE('The List'!X2:X730))/STDEV('The List'!X2:X730)</f>
        <v>-0.395525613633628</v>
      </c>
      <c r="L318" s="46">
        <f>(VLOOKUP($A318,'The List'!$B1:$AH730,24,FALSE)-AVERAGE('The List'!Y2:Y730))/STDEV('The List'!Y2:Y730)</f>
        <v>-0.49976851257905</v>
      </c>
      <c r="M318" s="46">
        <f>(VLOOKUP($A318,'The List'!$B1:$AH730,25,FALSE)-AVERAGE('The List'!Z2:Z730))/STDEV('The List'!Z2:Z730)</f>
        <v>-0.0489817090665433</v>
      </c>
      <c r="N318" s="46">
        <f>(VLOOKUP($A318,'The List'!$B1:$AH730,26,FALSE)-AVERAGE('The List'!AA2:AA730))/STDEV('The List'!AA2:AA730)</f>
        <v>2.65107193372323</v>
      </c>
      <c r="O318" s="46">
        <f>(VLOOKUP($A318,'The List'!$B1:$AH730,27,FALSE)-AVERAGE('The List'!AB2:AB730))/STDEV('The List'!AB2:AB730)</f>
        <v>-0.380555795480646</v>
      </c>
      <c r="P318" s="46">
        <f>(VLOOKUP($A318,'The List'!$B1:$AH730,28,FALSE)-AVERAGE('The List'!AC2:AC730))/STDEV('The List'!AC2:AC730)</f>
        <v>1.28420285356534</v>
      </c>
      <c r="Q318" s="46">
        <f>(VLOOKUP($A318,'The List'!$B1:$AH730,29,FALSE)-AVERAGE('The List'!AD2:AD730))/STDEV('The List'!AD2:AD730)</f>
        <v>-1.02795388181516</v>
      </c>
      <c r="R318" s="46">
        <f>(VLOOKUP($A318,'The List'!$B1:$AH730,30,FALSE)-AVERAGE('The List'!AE2:AE730))/STDEV('The List'!AE2:AE730)</f>
        <v>-0.207443934167349</v>
      </c>
      <c r="S318" s="46">
        <f>(VLOOKUP($A318,'The List'!$B1:$AH730,31,FALSE)-AVERAGE('The List'!AF2:AF730))/STDEV('The List'!AF2:AF730)</f>
        <v>-0.5569063253591</v>
      </c>
      <c r="T318" s="46">
        <f>(VLOOKUP($A318,'The List'!$B1:$AH730,32,FALSE)-AVERAGE('The List'!AG2:AG730))/STDEV('The List'!AG2:AG730)</f>
        <v>-0.600856269042678</v>
      </c>
      <c r="U318" s="46">
        <f>(VLOOKUP($A318,'The List'!$B1:$AH730,33,FALSE)-AVERAGE('The List'!AH2:AH730))/STDEV('The List'!AH2:AH730)</f>
        <v>-1.2363238714826</v>
      </c>
      <c r="V318" s="46"/>
      <c r="W318" s="48"/>
      <c r="X318" s="46"/>
      <c r="Y318" s="46"/>
      <c r="Z318" s="46"/>
      <c r="AA318" s="46"/>
      <c r="AB318" s="46"/>
      <c r="AC318" s="46"/>
      <c r="AD318" s="46"/>
      <c r="AE318" s="46"/>
    </row>
    <row r="319" ht="21.25" customHeight="1">
      <c r="A319" t="s" s="8">
        <v>360</v>
      </c>
      <c r="B319" t="s" s="42">
        <f>VLOOKUP(A319,'Player Data'!A1:B734,2,FALSE)</f>
        <v>170</v>
      </c>
      <c r="C319" s="44">
        <f>((E319)*'Settings'!$C$12)+(F319*'Settings'!$C$2)+(G319*'Settings'!$C$3)+(H319*'Settings'!$C$4)+(I319*'Settings'!$C$5)+(K319*'Settings'!$C$9)+(N319*'Settings'!$C$6)+(J319*'Settings'!$C$8)+(O319*'Settings'!$C$7)+(P319*'Settings'!$C$14)+(Q319*'Settings'!$C$15)+(R319*'Settings'!$C$16)+(S319*'Settings'!$C$17)+(T319*'Settings'!$C$18)+(U319*'Settings'!$C$19)+(L319*'Settings'!$C$10)+('Settings'!$C$11*M319)</f>
        <v>0.553975341546688</v>
      </c>
      <c r="D319" s="48">
        <f>IF('Settings'!$E$12="YES",VLOOKUP(A319,'Player Data'!A1:E734,5,FALSE),82)</f>
        <v>76.2310714285714</v>
      </c>
      <c r="E319" s="46">
        <f>(VLOOKUP($A319,'The List'!$B1:$AH730,17,FALSE)-AVERAGE('The List'!R2:R730))/STDEV('The List'!R2:R730)</f>
        <v>0.931565248890324</v>
      </c>
      <c r="F319" s="46">
        <f>(VLOOKUP($A319,'The List'!$B1:$AH730,18,FALSE)-AVERAGE('The List'!S2:S730))/STDEV('The List'!S2:S730)</f>
        <v>-0.650860188768536</v>
      </c>
      <c r="G319" s="46">
        <f>(VLOOKUP($A319,'The List'!$B1:$AH730,19,FALSE)-AVERAGE('The List'!T2:T730))/STDEV('The List'!T2:T730)</f>
        <v>0.139849485192716</v>
      </c>
      <c r="H319" s="46">
        <f>(VLOOKUP($A319,'The List'!$B1:$AH730,20,FALSE)-AVERAGE('The List'!U2:U730))/STDEV('The List'!U2:U730)</f>
        <v>-0.209939069860971</v>
      </c>
      <c r="I319" s="46">
        <f>(VLOOKUP($A319,'The List'!$B1:$AH730,21,FALSE)-AVERAGE('The List'!V2:V730))/STDEV('The List'!V2:V730)</f>
        <v>-0.08450184464462</v>
      </c>
      <c r="J319" s="46">
        <f>(VLOOKUP($A319,'The List'!$B1:$AH730,22,FALSE)-AVERAGE('The List'!W2:W730))/STDEV('The List'!W2:W730)</f>
        <v>-0.318197439915991</v>
      </c>
      <c r="K319" s="46">
        <f>(VLOOKUP($A319,'The List'!$B1:$AH730,23,FALSE)-AVERAGE('The List'!X2:X730))/STDEV('The List'!X2:X730)</f>
        <v>-0.0711721565661458</v>
      </c>
      <c r="L319" s="46">
        <f>(VLOOKUP($A319,'The List'!$B1:$AH730,24,FALSE)-AVERAGE('The List'!Y2:Y730))/STDEV('The List'!Y2:Y730)</f>
        <v>-0.501349468074</v>
      </c>
      <c r="M319" s="46">
        <f>(VLOOKUP($A319,'The List'!$B1:$AH730,25,FALSE)-AVERAGE('The List'!Z2:Z730))/STDEV('The List'!Z2:Z730)</f>
        <v>-0.249108794099775</v>
      </c>
      <c r="N319" s="46">
        <f>(VLOOKUP($A319,'The List'!$B1:$AH730,26,FALSE)-AVERAGE('The List'!AA2:AA730))/STDEV('The List'!AA2:AA730)</f>
        <v>1.50001582216923</v>
      </c>
      <c r="O319" s="46">
        <f>(VLOOKUP($A319,'The List'!$B1:$AH730,27,FALSE)-AVERAGE('The List'!AB2:AB730))/STDEV('The List'!AB2:AB730)</f>
        <v>1.72436120998522</v>
      </c>
      <c r="P319" s="46">
        <f>(VLOOKUP($A319,'The List'!$B1:$AH730,28,FALSE)-AVERAGE('The List'!AC2:AC730))/STDEV('The List'!AC2:AC730)</f>
        <v>-0.279355775835956</v>
      </c>
      <c r="Q319" s="46">
        <f>(VLOOKUP($A319,'The List'!$B1:$AH730,29,FALSE)-AVERAGE('The List'!AD2:AD730))/STDEV('The List'!AD2:AD730)</f>
        <v>0.03324492859354</v>
      </c>
      <c r="R319" s="46">
        <f>(VLOOKUP($A319,'The List'!$B1:$AH730,30,FALSE)-AVERAGE('The List'!AE2:AE730))/STDEV('The List'!AE2:AE730)</f>
        <v>-0.511091015321239</v>
      </c>
      <c r="S319" s="46">
        <f>(VLOOKUP($A319,'The List'!$B1:$AH730,31,FALSE)-AVERAGE('The List'!AF2:AF730))/STDEV('The List'!AF2:AF730)</f>
        <v>-0.5569063253591</v>
      </c>
      <c r="T319" s="46">
        <f>(VLOOKUP($A319,'The List'!$B1:$AH730,32,FALSE)-AVERAGE('The List'!AG2:AG730))/STDEV('The List'!AG2:AG730)</f>
        <v>-0.600856269042678</v>
      </c>
      <c r="U319" s="46">
        <f>(VLOOKUP($A319,'The List'!$B1:$AH730,33,FALSE)-AVERAGE('The List'!AH2:AH730))/STDEV('The List'!AH2:AH730)</f>
        <v>-1.2363238714826</v>
      </c>
      <c r="V319" s="46"/>
      <c r="W319" s="50"/>
      <c r="X319" s="48"/>
      <c r="Y319" s="48"/>
      <c r="Z319" s="48"/>
      <c r="AA319" s="48"/>
      <c r="AB319" s="48"/>
      <c r="AC319" s="51"/>
      <c r="AD319" s="52"/>
      <c r="AE319" s="46"/>
    </row>
    <row r="320" ht="21.25" customHeight="1">
      <c r="A320" t="s" s="8">
        <v>665</v>
      </c>
      <c r="B320" t="s" s="42">
        <f>VLOOKUP(A320,'Player Data'!A1:B734,2,FALSE)</f>
        <v>173</v>
      </c>
      <c r="C320" s="44">
        <f>((E320)*'Settings'!$C$12)+(F320*'Settings'!$C$2)+(G320*'Settings'!$C$3)+(H320*'Settings'!$C$4)+(I320*'Settings'!$C$5)+(K320*'Settings'!$C$9)+(N320*'Settings'!$C$6)+(J320*'Settings'!$C$8)+(O320*'Settings'!$C$7)+(P320*'Settings'!$C$14)+(Q320*'Settings'!$C$15)+(R320*'Settings'!$C$16)+(S320*'Settings'!$C$17)+(T320*'Settings'!$C$18)+(U320*'Settings'!$C$19)+(L320*'Settings'!$C$10)+('Settings'!$C$11*M320)</f>
        <v>-1.89322108416166</v>
      </c>
      <c r="D320" s="48">
        <f>IF('Settings'!$E$12="YES",VLOOKUP(A320,'Player Data'!A1:E734,5,FALSE),82)</f>
        <v>70.86750000000001</v>
      </c>
      <c r="E320" s="46">
        <f>(VLOOKUP($A320,'The List'!$B1:$AH730,17,FALSE)-AVERAGE('The List'!R2:R730))/STDEV('The List'!R2:R730)</f>
        <v>-0.540664753397944</v>
      </c>
      <c r="F320" s="46">
        <f>(VLOOKUP($A320,'The List'!$B1:$AH730,18,FALSE)-AVERAGE('The List'!S2:S730))/STDEV('The List'!S2:S730)</f>
        <v>0.130671027942365</v>
      </c>
      <c r="G320" s="46">
        <f>(VLOOKUP($A320,'The List'!$B1:$AH730,19,FALSE)-AVERAGE('The List'!T2:T730))/STDEV('The List'!T2:T730)</f>
        <v>-0.60664582204006</v>
      </c>
      <c r="H320" s="46">
        <f>(VLOOKUP($A320,'The List'!$B1:$AH730,20,FALSE)-AVERAGE('The List'!U2:U730))/STDEV('The List'!U2:U730)</f>
        <v>-0.314531237317684</v>
      </c>
      <c r="I320" s="46">
        <f>(VLOOKUP($A320,'The List'!$B1:$AH730,21,FALSE)-AVERAGE('The List'!V2:V730))/STDEV('The List'!V2:V730)</f>
        <v>-0.28462896064263</v>
      </c>
      <c r="J320" s="46">
        <f>(VLOOKUP($A320,'The List'!$B1:$AH730,22,FALSE)-AVERAGE('The List'!W2:W730))/STDEV('The List'!W2:W730)</f>
        <v>-0.223038053508142</v>
      </c>
      <c r="K320" s="46">
        <f>(VLOOKUP($A320,'The List'!$B1:$AH730,23,FALSE)-AVERAGE('The List'!X2:X730))/STDEV('The List'!X2:X730)</f>
        <v>-0.418313338895011</v>
      </c>
      <c r="L320" s="46">
        <f>(VLOOKUP($A320,'The List'!$B1:$AH730,24,FALSE)-AVERAGE('The List'!Y2:Y730))/STDEV('The List'!Y2:Y730)</f>
        <v>-0.325566881019379</v>
      </c>
      <c r="M320" s="46">
        <f>(VLOOKUP($A320,'The List'!$B1:$AH730,25,FALSE)-AVERAGE('The List'!Z2:Z730))/STDEV('The List'!Z2:Z730)</f>
        <v>-0.475814312881927</v>
      </c>
      <c r="N320" s="46">
        <f>(VLOOKUP($A320,'The List'!$B1:$AH730,26,FALSE)-AVERAGE('The List'!AA2:AA730))/STDEV('The List'!AA2:AA730)</f>
        <v>-0.492372564637038</v>
      </c>
      <c r="O320" s="46">
        <f>(VLOOKUP($A320,'The List'!$B1:$AH730,27,FALSE)-AVERAGE('The List'!AB2:AB730))/STDEV('The List'!AB2:AB730)</f>
        <v>-0.620045357400697</v>
      </c>
      <c r="P320" s="46">
        <f>(VLOOKUP($A320,'The List'!$B1:$AH730,28,FALSE)-AVERAGE('The List'!AC2:AC730))/STDEV('The List'!AC2:AC730)</f>
        <v>-0.221931425889285</v>
      </c>
      <c r="Q320" s="46">
        <f>(VLOOKUP($A320,'The List'!$B1:$AH730,29,FALSE)-AVERAGE('The List'!AD2:AD730))/STDEV('The List'!AD2:AD730)</f>
        <v>-0.778593686433082</v>
      </c>
      <c r="R320" s="46">
        <f>(VLOOKUP($A320,'The List'!$B1:$AH730,30,FALSE)-AVERAGE('The List'!AE2:AE730))/STDEV('The List'!AE2:AE730)</f>
        <v>0.211185349814919</v>
      </c>
      <c r="S320" s="46">
        <f>(VLOOKUP($A320,'The List'!$B1:$AH730,31,FALSE)-AVERAGE('The List'!AF2:AF730))/STDEV('The List'!AF2:AF730)</f>
        <v>1.13807666858082</v>
      </c>
      <c r="T320" s="46">
        <f>(VLOOKUP($A320,'The List'!$B1:$AH730,32,FALSE)-AVERAGE('The List'!AG2:AG730))/STDEV('The List'!AG2:AG730)</f>
        <v>1.13331770888903</v>
      </c>
      <c r="U320" s="46">
        <f>(VLOOKUP($A320,'The List'!$B1:$AH730,33,FALSE)-AVERAGE('The List'!AH2:AH730))/STDEV('The List'!AH2:AH730)</f>
        <v>1.05303137560836</v>
      </c>
      <c r="V320" s="46"/>
      <c r="W320" s="50"/>
      <c r="X320" s="48"/>
      <c r="Y320" s="48"/>
      <c r="Z320" s="48"/>
      <c r="AA320" s="48"/>
      <c r="AB320" s="48"/>
      <c r="AC320" s="51"/>
      <c r="AD320" s="52"/>
      <c r="AE320" s="46"/>
    </row>
    <row r="321" ht="21.25" customHeight="1">
      <c r="A321" t="s" s="8">
        <v>607</v>
      </c>
      <c r="B321" t="s" s="42">
        <f>VLOOKUP(A321,'Player Data'!A1:B734,2,FALSE)</f>
        <v>225</v>
      </c>
      <c r="C321" s="44">
        <f>((E321)*'Settings'!$C$12)+(F321*'Settings'!$C$2)+(G321*'Settings'!$C$3)+(H321*'Settings'!$C$4)+(I321*'Settings'!$C$5)+(K321*'Settings'!$C$9)+(N321*'Settings'!$C$6)+(J321*'Settings'!$C$8)+(O321*'Settings'!$C$7)+(P321*'Settings'!$C$14)+(Q321*'Settings'!$C$15)+(R321*'Settings'!$C$16)+(S321*'Settings'!$C$17)+(T321*'Settings'!$C$18)+(U321*'Settings'!$C$19)+(L321*'Settings'!$C$10)+('Settings'!$C$11*M321)</f>
        <v>-2.72617131542787</v>
      </c>
      <c r="D321" s="48">
        <f>IF('Settings'!$E$12="YES",VLOOKUP(A321,'Player Data'!A1:E734,5,FALSE),82)</f>
        <v>78.0989285714286</v>
      </c>
      <c r="E321" s="46">
        <f>(VLOOKUP($A321,'The List'!$B1:$AH730,17,FALSE)-AVERAGE('The List'!R2:R730))/STDEV('The List'!R2:R730)</f>
        <v>-0.885050219522735</v>
      </c>
      <c r="F321" s="46">
        <f>(VLOOKUP($A321,'The List'!$B1:$AH730,18,FALSE)-AVERAGE('The List'!S2:S730))/STDEV('The List'!S2:S730)</f>
        <v>0.1850158638346</v>
      </c>
      <c r="G321" s="46">
        <f>(VLOOKUP($A321,'The List'!$B1:$AH730,19,FALSE)-AVERAGE('The List'!T2:T730))/STDEV('The List'!T2:T730)</f>
        <v>-0.436344138208208</v>
      </c>
      <c r="H321" s="46">
        <f>(VLOOKUP($A321,'The List'!$B1:$AH730,20,FALSE)-AVERAGE('The List'!U2:U730))/STDEV('The List'!U2:U730)</f>
        <v>-0.184814497371239</v>
      </c>
      <c r="I321" s="46">
        <f>(VLOOKUP($A321,'The List'!$B1:$AH730,21,FALSE)-AVERAGE('The List'!V2:V730))/STDEV('The List'!V2:V730)</f>
        <v>0.333653843374095</v>
      </c>
      <c r="J321" s="46">
        <f>(VLOOKUP($A321,'The List'!$B1:$AH730,22,FALSE)-AVERAGE('The List'!W2:W730))/STDEV('The List'!W2:W730)</f>
        <v>-0.486233738224186</v>
      </c>
      <c r="K321" s="46">
        <f>(VLOOKUP($A321,'The List'!$B1:$AH730,23,FALSE)-AVERAGE('The List'!X2:X730))/STDEV('The List'!X2:X730)</f>
        <v>-0.51024420181852</v>
      </c>
      <c r="L321" s="46">
        <f>(VLOOKUP($A321,'The List'!$B1:$AH730,24,FALSE)-AVERAGE('The List'!Y2:Y730))/STDEV('The List'!Y2:Y730)</f>
        <v>-0.125490754299905</v>
      </c>
      <c r="M321" s="46">
        <f>(VLOOKUP($A321,'The List'!$B1:$AH730,25,FALSE)-AVERAGE('The List'!Z2:Z730))/STDEV('The List'!Z2:Z730)</f>
        <v>-0.252783699818261</v>
      </c>
      <c r="N321" s="46">
        <f>(VLOOKUP($A321,'The List'!$B1:$AH730,26,FALSE)-AVERAGE('The List'!AA2:AA730))/STDEV('The List'!AA2:AA730)</f>
        <v>-0.980518484639226</v>
      </c>
      <c r="O321" s="46">
        <f>(VLOOKUP($A321,'The List'!$B1:$AH730,27,FALSE)-AVERAGE('The List'!AB2:AB730))/STDEV('The List'!AB2:AB730)</f>
        <v>-0.137403070220887</v>
      </c>
      <c r="P321" s="46">
        <f>(VLOOKUP($A321,'The List'!$B1:$AH730,28,FALSE)-AVERAGE('The List'!AC2:AC730))/STDEV('The List'!AC2:AC730)</f>
        <v>-1.31773419797061</v>
      </c>
      <c r="Q321" s="46">
        <f>(VLOOKUP($A321,'The List'!$B1:$AH730,29,FALSE)-AVERAGE('The List'!AD2:AD730))/STDEV('The List'!AD2:AD730)</f>
        <v>0.15120718964776</v>
      </c>
      <c r="R321" s="46">
        <f>(VLOOKUP($A321,'The List'!$B1:$AH730,30,FALSE)-AVERAGE('The List'!AE2:AE730))/STDEV('The List'!AE2:AE730)</f>
        <v>-0.0555320037406895</v>
      </c>
      <c r="S321" s="46">
        <f>(VLOOKUP($A321,'The List'!$B1:$AH730,31,FALSE)-AVERAGE('The List'!AF2:AF730))/STDEV('The List'!AF2:AF730)</f>
        <v>-0.24876866539795</v>
      </c>
      <c r="T321" s="46">
        <f>(VLOOKUP($A321,'The List'!$B1:$AH730,32,FALSE)-AVERAGE('The List'!AG2:AG730))/STDEV('The List'!AG2:AG730)</f>
        <v>-0.13768565371036</v>
      </c>
      <c r="U321" s="46">
        <f>(VLOOKUP($A321,'The List'!$B1:$AH730,33,FALSE)-AVERAGE('The List'!AH2:AH730))/STDEV('The List'!AH2:AH730)</f>
        <v>0.622914389312194</v>
      </c>
      <c r="V321" s="46"/>
      <c r="W321" s="50"/>
      <c r="X321" s="48"/>
      <c r="Y321" s="48"/>
      <c r="Z321" s="48"/>
      <c r="AA321" s="48"/>
      <c r="AB321" s="48"/>
      <c r="AC321" s="51"/>
      <c r="AD321" s="52"/>
      <c r="AE321" s="46"/>
    </row>
    <row r="322" ht="21.25" customHeight="1">
      <c r="A322" t="s" s="8">
        <v>361</v>
      </c>
      <c r="B322" t="s" s="42">
        <f>VLOOKUP(A322,'Player Data'!A1:B734,2,FALSE)</f>
        <v>234</v>
      </c>
      <c r="C322" s="44">
        <f>((E322)*'Settings'!$C$12)+(F322*'Settings'!$C$2)+(G322*'Settings'!$C$3)+(H322*'Settings'!$C$4)+(I322*'Settings'!$C$5)+(K322*'Settings'!$C$9)+(N322*'Settings'!$C$6)+(J322*'Settings'!$C$8)+(O322*'Settings'!$C$7)+(P322*'Settings'!$C$14)+(Q322*'Settings'!$C$15)+(R322*'Settings'!$C$16)+(S322*'Settings'!$C$17)+(T322*'Settings'!$C$18)+(U322*'Settings'!$C$19)+(L322*'Settings'!$C$10)+('Settings'!$C$11*M322)</f>
        <v>-1.8134193440303</v>
      </c>
      <c r="D322" s="48">
        <f>IF('Settings'!$E$12="YES",VLOOKUP(A322,'Player Data'!A1:E734,5,FALSE),82)</f>
        <v>72.9467857142857</v>
      </c>
      <c r="E322" s="46">
        <f>(VLOOKUP($A322,'The List'!$B1:$AH730,17,FALSE)-AVERAGE('The List'!R2:R730))/STDEV('The List'!R2:R730)</f>
        <v>1.44362617433404</v>
      </c>
      <c r="F322" s="46">
        <f>(VLOOKUP($A322,'The List'!$B1:$AH730,18,FALSE)-AVERAGE('The List'!S2:S730))/STDEV('The List'!S2:S730)</f>
        <v>-0.7463278980766</v>
      </c>
      <c r="G322" s="46">
        <f>(VLOOKUP($A322,'The List'!$B1:$AH730,19,FALSE)-AVERAGE('The List'!T2:T730))/STDEV('The List'!T2:T730)</f>
        <v>0.200773913170964</v>
      </c>
      <c r="H322" s="46">
        <f>(VLOOKUP($A322,'The List'!$B1:$AH730,20,FALSE)-AVERAGE('The List'!U2:U730))/STDEV('The List'!U2:U730)</f>
        <v>-0.215819683190258</v>
      </c>
      <c r="I322" s="46">
        <f>(VLOOKUP($A322,'The List'!$B1:$AH730,21,FALSE)-AVERAGE('The List'!V2:V730))/STDEV('The List'!V2:V730)</f>
        <v>-0.146137707682187</v>
      </c>
      <c r="J322" s="46">
        <f>(VLOOKUP($A322,'The List'!$B1:$AH730,22,FALSE)-AVERAGE('The List'!W2:W730))/STDEV('The List'!W2:W730)</f>
        <v>-0.584881227983502</v>
      </c>
      <c r="K322" s="46">
        <f>(VLOOKUP($A322,'The List'!$B1:$AH730,23,FALSE)-AVERAGE('The List'!X2:X730))/STDEV('The List'!X2:X730)</f>
        <v>0.225393574027203</v>
      </c>
      <c r="L322" s="46">
        <f>(VLOOKUP($A322,'The List'!$B1:$AH730,24,FALSE)-AVERAGE('The List'!Y2:Y730))/STDEV('The List'!Y2:Y730)</f>
        <v>-0.332209703323076</v>
      </c>
      <c r="M322" s="46">
        <f>(VLOOKUP($A322,'The List'!$B1:$AH730,25,FALSE)-AVERAGE('The List'!Z2:Z730))/STDEV('The List'!Z2:Z730)</f>
        <v>-0.236677363589671</v>
      </c>
      <c r="N322" s="46">
        <f>(VLOOKUP($A322,'The List'!$B1:$AH730,26,FALSE)-AVERAGE('The List'!AA2:AA730))/STDEV('The List'!AA2:AA730)</f>
        <v>0.975099215458397</v>
      </c>
      <c r="O322" s="46">
        <f>(VLOOKUP($A322,'The List'!$B1:$AH730,27,FALSE)-AVERAGE('The List'!AB2:AB730))/STDEV('The List'!AB2:AB730)</f>
        <v>-0.294566777622775</v>
      </c>
      <c r="P322" s="46">
        <f>(VLOOKUP($A322,'The List'!$B1:$AH730,28,FALSE)-AVERAGE('The List'!AC2:AC730))/STDEV('The List'!AC2:AC730)</f>
        <v>-2.32222044092808</v>
      </c>
      <c r="Q322" s="46">
        <f>(VLOOKUP($A322,'The List'!$B1:$AH730,29,FALSE)-AVERAGE('The List'!AD2:AD730))/STDEV('The List'!AD2:AD730)</f>
        <v>-0.49967809659342</v>
      </c>
      <c r="R322" s="46">
        <f>(VLOOKUP($A322,'The List'!$B1:$AH730,30,FALSE)-AVERAGE('The List'!AE2:AE730))/STDEV('The List'!AE2:AE730)</f>
        <v>-0.841884040988483</v>
      </c>
      <c r="S322" s="46">
        <f>(VLOOKUP($A322,'The List'!$B1:$AH730,31,FALSE)-AVERAGE('The List'!AF2:AF730))/STDEV('The List'!AF2:AF730)</f>
        <v>-0.5569063253591</v>
      </c>
      <c r="T322" s="46">
        <f>(VLOOKUP($A322,'The List'!$B1:$AH730,32,FALSE)-AVERAGE('The List'!AG2:AG730))/STDEV('The List'!AG2:AG730)</f>
        <v>-0.600856269042678</v>
      </c>
      <c r="U322" s="46">
        <f>(VLOOKUP($A322,'The List'!$B1:$AH730,33,FALSE)-AVERAGE('The List'!AH2:AH730))/STDEV('The List'!AH2:AH730)</f>
        <v>-1.2363238714826</v>
      </c>
      <c r="V322" s="46"/>
      <c r="W322" s="50"/>
      <c r="X322" s="48"/>
      <c r="Y322" s="48"/>
      <c r="Z322" s="48"/>
      <c r="AA322" s="48"/>
      <c r="AB322" s="48"/>
      <c r="AC322" s="51"/>
      <c r="AD322" s="52"/>
      <c r="AE322" s="46"/>
    </row>
    <row r="323" ht="21.25" customHeight="1">
      <c r="A323" t="s" s="8">
        <v>347</v>
      </c>
      <c r="B323" t="s" s="42">
        <f>VLOOKUP(A323,'Player Data'!A1:B734,2,FALSE)</f>
        <v>108</v>
      </c>
      <c r="C323" s="44">
        <f>((E323)*'Settings'!$C$12)+(F323*'Settings'!$C$2)+(G323*'Settings'!$C$3)+(H323*'Settings'!$C$4)+(I323*'Settings'!$C$5)+(K323*'Settings'!$C$9)+(N323*'Settings'!$C$6)+(J323*'Settings'!$C$8)+(O323*'Settings'!$C$7)+(P323*'Settings'!$C$14)+(Q323*'Settings'!$C$15)+(R323*'Settings'!$C$16)+(S323*'Settings'!$C$17)+(T323*'Settings'!$C$18)+(U323*'Settings'!$C$19)+(L323*'Settings'!$C$10)+('Settings'!$C$11*M323)</f>
        <v>3.0086425717745</v>
      </c>
      <c r="D323" s="48">
        <f>IF('Settings'!$E$12="YES",VLOOKUP(A323,'Player Data'!A1:E734,5,FALSE),82)</f>
        <v>79.3235714285714</v>
      </c>
      <c r="E323" s="46">
        <f>(VLOOKUP($A323,'The List'!$B1:$AH730,17,FALSE)-AVERAGE('The List'!R2:R730))/STDEV('The List'!R2:R730)</f>
        <v>1.54343015646878</v>
      </c>
      <c r="F323" s="46">
        <f>(VLOOKUP($A323,'The List'!$B1:$AH730,18,FALSE)-AVERAGE('The List'!S2:S730))/STDEV('The List'!S2:S730)</f>
        <v>-0.515788163679072</v>
      </c>
      <c r="G323" s="46">
        <f>(VLOOKUP($A323,'The List'!$B1:$AH730,19,FALSE)-AVERAGE('The List'!T2:T730))/STDEV('The List'!T2:T730)</f>
        <v>0.208597385376183</v>
      </c>
      <c r="H323" s="46">
        <f>(VLOOKUP($A323,'The List'!$B1:$AH730,20,FALSE)-AVERAGE('The List'!U2:U730))/STDEV('The List'!U2:U730)</f>
        <v>-0.106096412618568</v>
      </c>
      <c r="I323" s="46">
        <f>(VLOOKUP($A323,'The List'!$B1:$AH730,21,FALSE)-AVERAGE('The List'!V2:V730))/STDEV('The List'!V2:V730)</f>
        <v>0.322094821689984</v>
      </c>
      <c r="J323" s="46">
        <f>(VLOOKUP($A323,'The List'!$B1:$AH730,22,FALSE)-AVERAGE('The List'!W2:W730))/STDEV('The List'!W2:W730)</f>
        <v>-0.684311282287936</v>
      </c>
      <c r="K323" s="46">
        <f>(VLOOKUP($A323,'The List'!$B1:$AH730,23,FALSE)-AVERAGE('The List'!X2:X730))/STDEV('The List'!X2:X730)</f>
        <v>-0.421725320983528</v>
      </c>
      <c r="L323" s="46">
        <f>(VLOOKUP($A323,'The List'!$B1:$AH730,24,FALSE)-AVERAGE('The List'!Y2:Y730))/STDEV('The List'!Y2:Y730)</f>
        <v>-0.507858878825744</v>
      </c>
      <c r="M323" s="46">
        <f>(VLOOKUP($A323,'The List'!$B1:$AH730,25,FALSE)-AVERAGE('The List'!Z2:Z730))/STDEV('The List'!Z2:Z730)</f>
        <v>0.232461213705759</v>
      </c>
      <c r="N323" s="46">
        <f>(VLOOKUP($A323,'The List'!$B1:$AH730,26,FALSE)-AVERAGE('The List'!AA2:AA730))/STDEV('The List'!AA2:AA730)</f>
        <v>1.24556926669696</v>
      </c>
      <c r="O323" s="46">
        <f>(VLOOKUP($A323,'The List'!$B1:$AH730,27,FALSE)-AVERAGE('The List'!AB2:AB730))/STDEV('The List'!AB2:AB730)</f>
        <v>-0.0400514419956926</v>
      </c>
      <c r="P323" s="46">
        <f>(VLOOKUP($A323,'The List'!$B1:$AH730,28,FALSE)-AVERAGE('The List'!AC2:AC730))/STDEV('The List'!AC2:AC730)</f>
        <v>2.16989458267397</v>
      </c>
      <c r="Q323" s="46">
        <f>(VLOOKUP($A323,'The List'!$B1:$AH730,29,FALSE)-AVERAGE('The List'!AD2:AD730))/STDEV('The List'!AD2:AD730)</f>
        <v>0.254214195494866</v>
      </c>
      <c r="R323" s="46">
        <f>(VLOOKUP($A323,'The List'!$B1:$AH730,30,FALSE)-AVERAGE('The List'!AE2:AE730))/STDEV('The List'!AE2:AE730)</f>
        <v>-0.381324129443178</v>
      </c>
      <c r="S323" s="46">
        <f>(VLOOKUP($A323,'The List'!$B1:$AH730,31,FALSE)-AVERAGE('The List'!AF2:AF730))/STDEV('The List'!AF2:AF730)</f>
        <v>-0.5569063253591</v>
      </c>
      <c r="T323" s="46">
        <f>(VLOOKUP($A323,'The List'!$B1:$AH730,32,FALSE)-AVERAGE('The List'!AG2:AG730))/STDEV('The List'!AG2:AG730)</f>
        <v>-0.600856269042678</v>
      </c>
      <c r="U323" s="46">
        <f>(VLOOKUP($A323,'The List'!$B1:$AH730,33,FALSE)-AVERAGE('The List'!AH2:AH730))/STDEV('The List'!AH2:AH730)</f>
        <v>-1.2363238714826</v>
      </c>
      <c r="V323" s="46"/>
      <c r="W323" s="48"/>
      <c r="X323" s="46"/>
      <c r="Y323" s="46"/>
      <c r="Z323" s="46"/>
      <c r="AA323" s="46"/>
      <c r="AB323" s="46"/>
      <c r="AC323" s="46"/>
      <c r="AD323" s="46"/>
      <c r="AE323" s="46"/>
    </row>
    <row r="324" ht="21.25" customHeight="1">
      <c r="A324" t="s" s="8">
        <v>387</v>
      </c>
      <c r="B324" t="s" s="42">
        <f>VLOOKUP(A324,'Player Data'!A1:B734,2,FALSE)</f>
        <v>248</v>
      </c>
      <c r="C324" s="44">
        <f>((E324)*'Settings'!$C$12)+(F324*'Settings'!$C$2)+(G324*'Settings'!$C$3)+(H324*'Settings'!$C$4)+(I324*'Settings'!$C$5)+(K324*'Settings'!$C$9)+(N324*'Settings'!$C$6)+(J324*'Settings'!$C$8)+(O324*'Settings'!$C$7)+(P324*'Settings'!$C$14)+(Q324*'Settings'!$C$15)+(R324*'Settings'!$C$16)+(S324*'Settings'!$C$17)+(T324*'Settings'!$C$18)+(U324*'Settings'!$C$19)+(L324*'Settings'!$C$10)+('Settings'!$C$11*M324)</f>
        <v>-0.279766629128725</v>
      </c>
      <c r="D324" s="48">
        <f>IF('Settings'!$E$12="YES",VLOOKUP(A324,'Player Data'!A1:E734,5,FALSE),82)</f>
        <v>77.8682142857143</v>
      </c>
      <c r="E324" s="46">
        <f>(VLOOKUP($A324,'The List'!$B1:$AH730,17,FALSE)-AVERAGE('The List'!R2:R730))/STDEV('The List'!R2:R730)</f>
        <v>0.264334493769992</v>
      </c>
      <c r="F324" s="46">
        <f>(VLOOKUP($A324,'The List'!$B1:$AH730,18,FALSE)-AVERAGE('The List'!S2:S730))/STDEV('The List'!S2:S730)</f>
        <v>-0.794184168208533</v>
      </c>
      <c r="G324" s="46">
        <f>(VLOOKUP($A324,'The List'!$B1:$AH730,19,FALSE)-AVERAGE('The List'!T2:T730))/STDEV('The List'!T2:T730)</f>
        <v>0.238499557409314</v>
      </c>
      <c r="H324" s="46">
        <f>(VLOOKUP($A324,'The List'!$B1:$AH730,20,FALSE)-AVERAGE('The List'!U2:U730))/STDEV('The List'!U2:U730)</f>
        <v>-0.214337882072014</v>
      </c>
      <c r="I324" s="46">
        <f>(VLOOKUP($A324,'The List'!$B1:$AH730,21,FALSE)-AVERAGE('The List'!V2:V730))/STDEV('The List'!V2:V730)</f>
        <v>-0.480692643143742</v>
      </c>
      <c r="J324" s="46">
        <f>(VLOOKUP($A324,'The List'!$B1:$AH730,22,FALSE)-AVERAGE('The List'!W2:W730))/STDEV('The List'!W2:W730)</f>
        <v>-0.372988719405109</v>
      </c>
      <c r="K324" s="46">
        <f>(VLOOKUP($A324,'The List'!$B1:$AH730,23,FALSE)-AVERAGE('The List'!X2:X730))/STDEV('The List'!X2:X730)</f>
        <v>0.300942928122436</v>
      </c>
      <c r="L324" s="46">
        <f>(VLOOKUP($A324,'The List'!$B1:$AH730,24,FALSE)-AVERAGE('The List'!Y2:Y730))/STDEV('The List'!Y2:Y730)</f>
        <v>-0.53471733314813</v>
      </c>
      <c r="M324" s="46">
        <f>(VLOOKUP($A324,'The List'!$B1:$AH730,25,FALSE)-AVERAGE('The List'!Z2:Z730))/STDEV('The List'!Z2:Z730)</f>
        <v>-0.702427731132674</v>
      </c>
      <c r="N324" s="46">
        <f>(VLOOKUP($A324,'The List'!$B1:$AH730,26,FALSE)-AVERAGE('The List'!AA2:AA730))/STDEV('The List'!AA2:AA730)</f>
        <v>0.619069773394411</v>
      </c>
      <c r="O324" s="46">
        <f>(VLOOKUP($A324,'The List'!$B1:$AH730,27,FALSE)-AVERAGE('The List'!AB2:AB730))/STDEV('The List'!AB2:AB730)</f>
        <v>-0.848376428069079</v>
      </c>
      <c r="P324" s="46">
        <f>(VLOOKUP($A324,'The List'!$B1:$AH730,28,FALSE)-AVERAGE('The List'!AC2:AC730))/STDEV('The List'!AC2:AC730)</f>
        <v>-0.163402076702611</v>
      </c>
      <c r="Q324" s="46">
        <f>(VLOOKUP($A324,'The List'!$B1:$AH730,29,FALSE)-AVERAGE('The List'!AD2:AD730))/STDEV('The List'!AD2:AD730)</f>
        <v>-0.0685186699315892</v>
      </c>
      <c r="R324" s="46">
        <f>(VLOOKUP($A324,'The List'!$B1:$AH730,30,FALSE)-AVERAGE('The List'!AE2:AE730))/STDEV('The List'!AE2:AE730)</f>
        <v>-0.72591154180457</v>
      </c>
      <c r="S324" s="46">
        <f>(VLOOKUP($A324,'The List'!$B1:$AH730,31,FALSE)-AVERAGE('The List'!AF2:AF730))/STDEV('The List'!AF2:AF730)</f>
        <v>-0.5569063253591</v>
      </c>
      <c r="T324" s="46">
        <f>(VLOOKUP($A324,'The List'!$B1:$AH730,32,FALSE)-AVERAGE('The List'!AG2:AG730))/STDEV('The List'!AG2:AG730)</f>
        <v>-0.600856269042678</v>
      </c>
      <c r="U324" s="46">
        <f>(VLOOKUP($A324,'The List'!$B1:$AH730,33,FALSE)-AVERAGE('The List'!AH2:AH730))/STDEV('The List'!AH2:AH730)</f>
        <v>-1.2363238714826</v>
      </c>
      <c r="V324" s="46"/>
      <c r="W324" s="50"/>
      <c r="X324" s="48"/>
      <c r="Y324" s="48"/>
      <c r="Z324" s="48"/>
      <c r="AA324" s="48"/>
      <c r="AB324" s="48"/>
      <c r="AC324" s="51"/>
      <c r="AD324" s="52"/>
      <c r="AE324" s="46"/>
    </row>
    <row r="325" ht="21.25" customHeight="1">
      <c r="A325" t="s" s="8">
        <v>694</v>
      </c>
      <c r="B325" t="s" s="42">
        <f>VLOOKUP(A325,'Player Data'!A1:B734,2,FALSE)</f>
        <v>108</v>
      </c>
      <c r="C325" s="44">
        <f>((E325)*'Settings'!$C$12)+(F325*'Settings'!$C$2)+(G325*'Settings'!$C$3)+(H325*'Settings'!$C$4)+(I325*'Settings'!$C$5)+(K325*'Settings'!$C$9)+(N325*'Settings'!$C$6)+(J325*'Settings'!$C$8)+(O325*'Settings'!$C$7)+(P325*'Settings'!$C$14)+(Q325*'Settings'!$C$15)+(R325*'Settings'!$C$16)+(S325*'Settings'!$C$17)+(T325*'Settings'!$C$18)+(U325*'Settings'!$C$19)+(L325*'Settings'!$C$10)+('Settings'!$C$11*M325)</f>
        <v>-1.16669120973109</v>
      </c>
      <c r="D325" s="48">
        <f>IF('Settings'!$E$12="YES",VLOOKUP(A325,'Player Data'!A1:E734,5,FALSE),82)</f>
        <v>74.28</v>
      </c>
      <c r="E325" s="46">
        <f>(VLOOKUP($A325,'The List'!$B1:$AH730,17,FALSE)-AVERAGE('The List'!R2:R730))/STDEV('The List'!R2:R730)</f>
        <v>-0.567840122773361</v>
      </c>
      <c r="F325" s="46">
        <f>(VLOOKUP($A325,'The List'!$B1:$AH730,18,FALSE)-AVERAGE('The List'!S2:S730))/STDEV('The List'!S2:S730)</f>
        <v>-0.00691280402371808</v>
      </c>
      <c r="G325" s="46">
        <f>(VLOOKUP($A325,'The List'!$B1:$AH730,19,FALSE)-AVERAGE('The List'!T2:T730))/STDEV('The List'!T2:T730)</f>
        <v>-0.462676209703822</v>
      </c>
      <c r="H325" s="46">
        <f>(VLOOKUP($A325,'The List'!$B1:$AH730,20,FALSE)-AVERAGE('The List'!U2:U730))/STDEV('The List'!U2:U730)</f>
        <v>-0.288379266487119</v>
      </c>
      <c r="I325" s="46">
        <f>(VLOOKUP($A325,'The List'!$B1:$AH730,21,FALSE)-AVERAGE('The List'!V2:V730))/STDEV('The List'!V2:V730)</f>
        <v>-0.497065285256454</v>
      </c>
      <c r="J325" s="46">
        <f>(VLOOKUP($A325,'The List'!$B1:$AH730,22,FALSE)-AVERAGE('The List'!W2:W730))/STDEV('The List'!W2:W730)</f>
        <v>-0.434956542682234</v>
      </c>
      <c r="K325" s="46">
        <f>(VLOOKUP($A325,'The List'!$B1:$AH730,23,FALSE)-AVERAGE('The List'!X2:X730))/STDEV('The List'!X2:X730)</f>
        <v>-0.533767118819274</v>
      </c>
      <c r="L325" s="46">
        <f>(VLOOKUP($A325,'The List'!$B1:$AH730,24,FALSE)-AVERAGE('The List'!Y2:Y730))/STDEV('The List'!Y2:Y730)</f>
        <v>1.84523919382289</v>
      </c>
      <c r="M325" s="46">
        <f>(VLOOKUP($A325,'The List'!$B1:$AH730,25,FALSE)-AVERAGE('The List'!Z2:Z730))/STDEV('The List'!Z2:Z730)</f>
        <v>1.53321620682719</v>
      </c>
      <c r="N325" s="46">
        <f>(VLOOKUP($A325,'The List'!$B1:$AH730,26,FALSE)-AVERAGE('The List'!AA2:AA730))/STDEV('The List'!AA2:AA730)</f>
        <v>-0.760339498460194</v>
      </c>
      <c r="O325" s="46">
        <f>(VLOOKUP($A325,'The List'!$B1:$AH730,27,FALSE)-AVERAGE('The List'!AB2:AB730))/STDEV('The List'!AB2:AB730)</f>
        <v>-0.716149193298439</v>
      </c>
      <c r="P325" s="46">
        <f>(VLOOKUP($A325,'The List'!$B1:$AH730,28,FALSE)-AVERAGE('The List'!AC2:AC730))/STDEV('The List'!AC2:AC730)</f>
        <v>1.09406970653237</v>
      </c>
      <c r="Q325" s="46">
        <f>(VLOOKUP($A325,'The List'!$B1:$AH730,29,FALSE)-AVERAGE('The List'!AD2:AD730))/STDEV('The List'!AD2:AD730)</f>
        <v>-0.736078470210551</v>
      </c>
      <c r="R325" s="46">
        <f>(VLOOKUP($A325,'The List'!$B1:$AH730,30,FALSE)-AVERAGE('The List'!AE2:AE730))/STDEV('The List'!AE2:AE730)</f>
        <v>0.142820899105218</v>
      </c>
      <c r="S325" s="46">
        <f>(VLOOKUP($A325,'The List'!$B1:$AH730,31,FALSE)-AVERAGE('The List'!AF2:AF730))/STDEV('The List'!AF2:AF730)</f>
        <v>1.22272385337756</v>
      </c>
      <c r="T325" s="46">
        <f>(VLOOKUP($A325,'The List'!$B1:$AH730,32,FALSE)-AVERAGE('The List'!AG2:AG730))/STDEV('The List'!AG2:AG730)</f>
        <v>1.44591535948565</v>
      </c>
      <c r="U325" s="46">
        <f>(VLOOKUP($A325,'The List'!$B1:$AH730,33,FALSE)-AVERAGE('The List'!AH2:AH730))/STDEV('The List'!AH2:AH730)</f>
        <v>0.920997760257855</v>
      </c>
      <c r="V325" s="46"/>
      <c r="W325" s="50"/>
      <c r="X325" s="48"/>
      <c r="Y325" s="48"/>
      <c r="Z325" s="48"/>
      <c r="AA325" s="48"/>
      <c r="AB325" s="48"/>
      <c r="AC325" s="51"/>
      <c r="AD325" s="52"/>
      <c r="AE325" s="46"/>
    </row>
    <row r="326" ht="21.25" customHeight="1">
      <c r="A326" t="s" s="8">
        <v>399</v>
      </c>
      <c r="B326" t="s" s="42">
        <f>VLOOKUP(A326,'Player Data'!A1:B734,2,FALSE)</f>
        <v>134</v>
      </c>
      <c r="C326" s="44">
        <f>((E326)*'Settings'!$C$12)+(F326*'Settings'!$C$2)+(G326*'Settings'!$C$3)+(H326*'Settings'!$C$4)+(I326*'Settings'!$C$5)+(K326*'Settings'!$C$9)+(N326*'Settings'!$C$6)+(J326*'Settings'!$C$8)+(O326*'Settings'!$C$7)+(P326*'Settings'!$C$14)+(Q326*'Settings'!$C$15)+(R326*'Settings'!$C$16)+(S326*'Settings'!$C$17)+(T326*'Settings'!$C$18)+(U326*'Settings'!$C$19)+(L326*'Settings'!$C$10)+('Settings'!$C$11*M326)</f>
        <v>-0.143879422627146</v>
      </c>
      <c r="D326" s="48">
        <f>IF('Settings'!$E$12="YES",VLOOKUP(A326,'Player Data'!A1:E734,5,FALSE),82)</f>
        <v>74</v>
      </c>
      <c r="E326" s="46">
        <f>(VLOOKUP($A326,'The List'!$B1:$AH730,17,FALSE)-AVERAGE('The List'!R2:R730))/STDEV('The List'!R2:R730)</f>
        <v>0.94805795416634</v>
      </c>
      <c r="F326" s="46">
        <f>(VLOOKUP($A326,'The List'!$B1:$AH730,18,FALSE)-AVERAGE('The List'!S2:S730))/STDEV('The List'!S2:S730)</f>
        <v>-0.734716952917932</v>
      </c>
      <c r="G326" s="46">
        <f>(VLOOKUP($A326,'The List'!$B1:$AH730,19,FALSE)-AVERAGE('The List'!T2:T730))/STDEV('The List'!T2:T730)</f>
        <v>0.06557900051024609</v>
      </c>
      <c r="H326" s="46">
        <f>(VLOOKUP($A326,'The List'!$B1:$AH730,20,FALSE)-AVERAGE('The List'!U2:U730))/STDEV('The List'!U2:U730)</f>
        <v>-0.293882356974353</v>
      </c>
      <c r="I326" s="46">
        <f>(VLOOKUP($A326,'The List'!$B1:$AH730,21,FALSE)-AVERAGE('The List'!V2:V730))/STDEV('The List'!V2:V730)</f>
        <v>-0.262230174358225</v>
      </c>
      <c r="J326" s="46">
        <f>(VLOOKUP($A326,'The List'!$B1:$AH730,22,FALSE)-AVERAGE('The List'!W2:W730))/STDEV('The List'!W2:W730)</f>
        <v>-0.429659827085908</v>
      </c>
      <c r="K326" s="46">
        <f>(VLOOKUP($A326,'The List'!$B1:$AH730,23,FALSE)-AVERAGE('The List'!X2:X730))/STDEV('The List'!X2:X730)</f>
        <v>-0.246310995160886</v>
      </c>
      <c r="L326" s="46">
        <f>(VLOOKUP($A326,'The List'!$B1:$AH730,24,FALSE)-AVERAGE('The List'!Y2:Y730))/STDEV('The List'!Y2:Y730)</f>
        <v>-0.542843480388394</v>
      </c>
      <c r="M326" s="46">
        <f>(VLOOKUP($A326,'The List'!$B1:$AH730,25,FALSE)-AVERAGE('The List'!Z2:Z730))/STDEV('The List'!Z2:Z730)</f>
        <v>-0.72177514995105</v>
      </c>
      <c r="N326" s="46">
        <f>(VLOOKUP($A326,'The List'!$B1:$AH730,26,FALSE)-AVERAGE('The List'!AA2:AA730))/STDEV('The List'!AA2:AA730)</f>
        <v>0.944316479819707</v>
      </c>
      <c r="O326" s="46">
        <f>(VLOOKUP($A326,'The List'!$B1:$AH730,27,FALSE)-AVERAGE('The List'!AB2:AB730))/STDEV('The List'!AB2:AB730)</f>
        <v>0.147433509911316</v>
      </c>
      <c r="P326" s="46">
        <f>(VLOOKUP($A326,'The List'!$B1:$AH730,28,FALSE)-AVERAGE('The List'!AC2:AC730))/STDEV('The List'!AC2:AC730)</f>
        <v>0.0894832194799437</v>
      </c>
      <c r="Q326" s="46">
        <f>(VLOOKUP($A326,'The List'!$B1:$AH730,29,FALSE)-AVERAGE('The List'!AD2:AD730))/STDEV('The List'!AD2:AD730)</f>
        <v>0.261606863129872</v>
      </c>
      <c r="R326" s="46">
        <f>(VLOOKUP($A326,'The List'!$B1:$AH730,30,FALSE)-AVERAGE('The List'!AE2:AE730))/STDEV('The List'!AE2:AE730)</f>
        <v>-0.598475494853128</v>
      </c>
      <c r="S326" s="46">
        <f>(VLOOKUP($A326,'The List'!$B1:$AH730,31,FALSE)-AVERAGE('The List'!AF2:AF730))/STDEV('The List'!AF2:AF730)</f>
        <v>-0.5569063253591</v>
      </c>
      <c r="T326" s="46">
        <f>(VLOOKUP($A326,'The List'!$B1:$AH730,32,FALSE)-AVERAGE('The List'!AG2:AG730))/STDEV('The List'!AG2:AG730)</f>
        <v>-0.600856269042678</v>
      </c>
      <c r="U326" s="46">
        <f>(VLOOKUP($A326,'The List'!$B1:$AH730,33,FALSE)-AVERAGE('The List'!AH2:AH730))/STDEV('The List'!AH2:AH730)</f>
        <v>-1.2363238714826</v>
      </c>
      <c r="V326" s="46"/>
      <c r="W326" s="48"/>
      <c r="X326" s="46"/>
      <c r="Y326" s="46"/>
      <c r="Z326" s="46"/>
      <c r="AA326" s="46"/>
      <c r="AB326" s="46"/>
      <c r="AC326" s="46"/>
      <c r="AD326" s="46"/>
      <c r="AE326" s="46"/>
    </row>
    <row r="327" ht="21.25" customHeight="1">
      <c r="A327" t="s" s="8">
        <v>562</v>
      </c>
      <c r="B327" t="s" s="42">
        <f>VLOOKUP(A327,'Player Data'!A1:B734,2,FALSE)</f>
        <v>292</v>
      </c>
      <c r="C327" s="44">
        <f>((E327)*'Settings'!$C$12)+(F327*'Settings'!$C$2)+(G327*'Settings'!$C$3)+(H327*'Settings'!$C$4)+(I327*'Settings'!$C$5)+(K327*'Settings'!$C$9)+(N327*'Settings'!$C$6)+(J327*'Settings'!$C$8)+(O327*'Settings'!$C$7)+(P327*'Settings'!$C$14)+(Q327*'Settings'!$C$15)+(R327*'Settings'!$C$16)+(S327*'Settings'!$C$17)+(T327*'Settings'!$C$18)+(U327*'Settings'!$C$19)+(L327*'Settings'!$C$10)+('Settings'!$C$11*M327)</f>
        <v>-1.6328076589169</v>
      </c>
      <c r="D327" s="48">
        <f>IF('Settings'!$E$12="YES",VLOOKUP(A327,'Player Data'!A1:E734,5,FALSE),82)</f>
        <v>82.03</v>
      </c>
      <c r="E327" s="46">
        <f>(VLOOKUP($A327,'The List'!$B1:$AH730,17,FALSE)-AVERAGE('The List'!R2:R730))/STDEV('The List'!R2:R730)</f>
        <v>-1.04354389775255</v>
      </c>
      <c r="F327" s="46">
        <f>(VLOOKUP($A327,'The List'!$B1:$AH730,18,FALSE)-AVERAGE('The List'!S2:S730))/STDEV('The List'!S2:S730)</f>
        <v>-0.343984391739752</v>
      </c>
      <c r="G327" s="46">
        <f>(VLOOKUP($A327,'The List'!$B1:$AH730,19,FALSE)-AVERAGE('The List'!T2:T730))/STDEV('The List'!T2:T730)</f>
        <v>0.00452002869360651</v>
      </c>
      <c r="H327" s="46">
        <f>(VLOOKUP($A327,'The List'!$B1:$AH730,20,FALSE)-AVERAGE('The List'!U2:U730))/STDEV('The List'!U2:U730)</f>
        <v>-0.153733258809166</v>
      </c>
      <c r="I327" s="46">
        <f>(VLOOKUP($A327,'The List'!$B1:$AH730,21,FALSE)-AVERAGE('The List'!V2:V730))/STDEV('The List'!V2:V730)</f>
        <v>0.0600506748481127</v>
      </c>
      <c r="J327" s="46">
        <f>(VLOOKUP($A327,'The List'!$B1:$AH730,22,FALSE)-AVERAGE('The List'!W2:W730))/STDEV('The List'!W2:W730)</f>
        <v>-0.348304314311812</v>
      </c>
      <c r="K327" s="46">
        <f>(VLOOKUP($A327,'The List'!$B1:$AH730,23,FALSE)-AVERAGE('The List'!X2:X730))/STDEV('The List'!X2:X730)</f>
        <v>-0.151161777116033</v>
      </c>
      <c r="L327" s="46">
        <f>(VLOOKUP($A327,'The List'!$B1:$AH730,24,FALSE)-AVERAGE('The List'!Y2:Y730))/STDEV('The List'!Y2:Y730)</f>
        <v>-0.542843480388394</v>
      </c>
      <c r="M327" s="46">
        <f>(VLOOKUP($A327,'The List'!$B1:$AH730,25,FALSE)-AVERAGE('The List'!Z2:Z730))/STDEV('The List'!Z2:Z730)</f>
        <v>-0.72177514995105</v>
      </c>
      <c r="N327" s="46">
        <f>(VLOOKUP($A327,'The List'!$B1:$AH730,26,FALSE)-AVERAGE('The List'!AA2:AA730))/STDEV('The List'!AA2:AA730)</f>
        <v>-0.874766590623695</v>
      </c>
      <c r="O327" s="46">
        <f>(VLOOKUP($A327,'The List'!$B1:$AH730,27,FALSE)-AVERAGE('The List'!AB2:AB730))/STDEV('The List'!AB2:AB730)</f>
        <v>-1.50793472173922</v>
      </c>
      <c r="P327" s="46">
        <f>(VLOOKUP($A327,'The List'!$B1:$AH730,28,FALSE)-AVERAGE('The List'!AC2:AC730))/STDEV('The List'!AC2:AC730)</f>
        <v>-0.327465602979144</v>
      </c>
      <c r="Q327" s="46">
        <f>(VLOOKUP($A327,'The List'!$B1:$AH730,29,FALSE)-AVERAGE('The List'!AD2:AD730))/STDEV('The List'!AD2:AD730)</f>
        <v>-0.517715651756566</v>
      </c>
      <c r="R327" s="46">
        <f>(VLOOKUP($A327,'The List'!$B1:$AH730,30,FALSE)-AVERAGE('The List'!AE2:AE730))/STDEV('The List'!AE2:AE730)</f>
        <v>-1.18448477237391</v>
      </c>
      <c r="S327" s="46">
        <f>(VLOOKUP($A327,'The List'!$B1:$AH730,31,FALSE)-AVERAGE('The List'!AF2:AF730))/STDEV('The List'!AF2:AF730)</f>
        <v>-0.539146249839098</v>
      </c>
      <c r="T327" s="46">
        <f>(VLOOKUP($A327,'The List'!$B1:$AH730,32,FALSE)-AVERAGE('The List'!AG2:AG730))/STDEV('The List'!AG2:AG730)</f>
        <v>-0.565875565594426</v>
      </c>
      <c r="U327" s="46">
        <f>(VLOOKUP($A327,'The List'!$B1:$AH730,33,FALSE)-AVERAGE('The List'!AH2:AH730))/STDEV('The List'!AH2:AH730)</f>
        <v>0.33585235602101</v>
      </c>
      <c r="V327" s="46"/>
      <c r="W327" s="50"/>
      <c r="X327" s="48"/>
      <c r="Y327" s="48"/>
      <c r="Z327" s="48"/>
      <c r="AA327" s="48"/>
      <c r="AB327" s="48"/>
      <c r="AC327" s="51"/>
      <c r="AD327" s="52"/>
      <c r="AE327" s="46"/>
    </row>
    <row r="328" ht="21.25" customHeight="1">
      <c r="A328" t="s" s="8">
        <v>364</v>
      </c>
      <c r="B328" t="s" s="42">
        <f>VLOOKUP(A328,'Player Data'!A1:B734,2,FALSE)</f>
        <v>194</v>
      </c>
      <c r="C328" s="44">
        <f>((E328)*'Settings'!$C$12)+(F328*'Settings'!$C$2)+(G328*'Settings'!$C$3)+(H328*'Settings'!$C$4)+(I328*'Settings'!$C$5)+(K328*'Settings'!$C$9)+(N328*'Settings'!$C$6)+(J328*'Settings'!$C$8)+(O328*'Settings'!$C$7)+(P328*'Settings'!$C$14)+(Q328*'Settings'!$C$15)+(R328*'Settings'!$C$16)+(S328*'Settings'!$C$17)+(T328*'Settings'!$C$18)+(U328*'Settings'!$C$19)+(L328*'Settings'!$C$10)+('Settings'!$C$11*M328)</f>
        <v>-0.554729646721233</v>
      </c>
      <c r="D328" s="48">
        <f>IF('Settings'!$E$12="YES",VLOOKUP(A328,'Player Data'!A1:E734,5,FALSE),82)</f>
        <v>78.44</v>
      </c>
      <c r="E328" s="46">
        <f>(VLOOKUP($A328,'The List'!$B1:$AH730,17,FALSE)-AVERAGE('The List'!R2:R730))/STDEV('The List'!R2:R730)</f>
        <v>1.77729463096633</v>
      </c>
      <c r="F328" s="46">
        <f>(VLOOKUP($A328,'The List'!$B1:$AH730,18,FALSE)-AVERAGE('The List'!S2:S730))/STDEV('The List'!S2:S730)</f>
        <v>-0.789980295400616</v>
      </c>
      <c r="G328" s="46">
        <f>(VLOOKUP($A328,'The List'!$B1:$AH730,19,FALSE)-AVERAGE('The List'!T2:T730))/STDEV('The List'!T2:T730)</f>
        <v>0.224397060649167</v>
      </c>
      <c r="H328" s="46">
        <f>(VLOOKUP($A328,'The List'!$B1:$AH730,20,FALSE)-AVERAGE('The List'!U2:U730))/STDEV('The List'!U2:U730)</f>
        <v>-0.221119039526755</v>
      </c>
      <c r="I328" s="46">
        <f>(VLOOKUP($A328,'The List'!$B1:$AH730,21,FALSE)-AVERAGE('The List'!V2:V730))/STDEV('The List'!V2:V730)</f>
        <v>0.0254247438594915</v>
      </c>
      <c r="J328" s="46">
        <f>(VLOOKUP($A328,'The List'!$B1:$AH730,22,FALSE)-AVERAGE('The List'!W2:W730))/STDEV('The List'!W2:W730)</f>
        <v>-0.68749659048715</v>
      </c>
      <c r="K328" s="46">
        <f>(VLOOKUP($A328,'The List'!$B1:$AH730,23,FALSE)-AVERAGE('The List'!X2:X730))/STDEV('The List'!X2:X730)</f>
        <v>-0.638169967236755</v>
      </c>
      <c r="L328" s="46">
        <f>(VLOOKUP($A328,'The List'!$B1:$AH730,24,FALSE)-AVERAGE('The List'!Y2:Y730))/STDEV('The List'!Y2:Y730)</f>
        <v>-0.50006150008032</v>
      </c>
      <c r="M328" s="46">
        <f>(VLOOKUP($A328,'The List'!$B1:$AH730,25,FALSE)-AVERAGE('The List'!Z2:Z730))/STDEV('The List'!Z2:Z730)</f>
        <v>-0.0398476198805297</v>
      </c>
      <c r="N328" s="46">
        <f>(VLOOKUP($A328,'The List'!$B1:$AH730,26,FALSE)-AVERAGE('The List'!AA2:AA730))/STDEV('The List'!AA2:AA730)</f>
        <v>2.24616489585692</v>
      </c>
      <c r="O328" s="46">
        <f>(VLOOKUP($A328,'The List'!$B1:$AH730,27,FALSE)-AVERAGE('The List'!AB2:AB730))/STDEV('The List'!AB2:AB730)</f>
        <v>0.221300970082599</v>
      </c>
      <c r="P328" s="46">
        <f>(VLOOKUP($A328,'The List'!$B1:$AH730,28,FALSE)-AVERAGE('The List'!AC2:AC730))/STDEV('The List'!AC2:AC730)</f>
        <v>-1.62256608444944</v>
      </c>
      <c r="Q328" s="46">
        <f>(VLOOKUP($A328,'The List'!$B1:$AH730,29,FALSE)-AVERAGE('The List'!AD2:AD730))/STDEV('The List'!AD2:AD730)</f>
        <v>-0.138182215877433</v>
      </c>
      <c r="R328" s="46">
        <f>(VLOOKUP($A328,'The List'!$B1:$AH730,30,FALSE)-AVERAGE('The List'!AE2:AE730))/STDEV('The List'!AE2:AE730)</f>
        <v>-0.80591785349431</v>
      </c>
      <c r="S328" s="46">
        <f>(VLOOKUP($A328,'The List'!$B1:$AH730,31,FALSE)-AVERAGE('The List'!AF2:AF730))/STDEV('The List'!AF2:AF730)</f>
        <v>-0.5569063253591</v>
      </c>
      <c r="T328" s="46">
        <f>(VLOOKUP($A328,'The List'!$B1:$AH730,32,FALSE)-AVERAGE('The List'!AG2:AG730))/STDEV('The List'!AG2:AG730)</f>
        <v>-0.600856269042678</v>
      </c>
      <c r="U328" s="46">
        <f>(VLOOKUP($A328,'The List'!$B1:$AH730,33,FALSE)-AVERAGE('The List'!AH2:AH730))/STDEV('The List'!AH2:AH730)</f>
        <v>-1.2363238714826</v>
      </c>
      <c r="V328" s="46"/>
      <c r="W328" s="50"/>
      <c r="X328" s="48"/>
      <c r="Y328" s="48"/>
      <c r="Z328" s="48"/>
      <c r="AA328" s="48"/>
      <c r="AB328" s="48"/>
      <c r="AC328" s="51"/>
      <c r="AD328" s="52"/>
      <c r="AE328" s="46"/>
    </row>
    <row r="329" ht="21.25" customHeight="1">
      <c r="A329" t="s" s="8">
        <v>663</v>
      </c>
      <c r="B329" t="s" s="42">
        <f>VLOOKUP(A329,'Player Data'!A1:B734,2,FALSE)</f>
        <v>248</v>
      </c>
      <c r="C329" s="44">
        <f>((E329)*'Settings'!$C$12)+(F329*'Settings'!$C$2)+(G329*'Settings'!$C$3)+(H329*'Settings'!$C$4)+(I329*'Settings'!$C$5)+(K329*'Settings'!$C$9)+(N329*'Settings'!$C$6)+(J329*'Settings'!$C$8)+(O329*'Settings'!$C$7)+(P329*'Settings'!$C$14)+(Q329*'Settings'!$C$15)+(R329*'Settings'!$C$16)+(S329*'Settings'!$C$17)+(T329*'Settings'!$C$18)+(U329*'Settings'!$C$19)+(L329*'Settings'!$C$10)+('Settings'!$C$11*M329)</f>
        <v>-2.49174004830544</v>
      </c>
      <c r="D329" s="48">
        <f>IF('Settings'!$E$12="YES",VLOOKUP(A329,'Player Data'!A1:E734,5,FALSE),82)</f>
        <v>76.2</v>
      </c>
      <c r="E329" s="46">
        <f>(VLOOKUP($A329,'The List'!$B1:$AH730,17,FALSE)-AVERAGE('The List'!R2:R730))/STDEV('The List'!R2:R730)</f>
        <v>-0.823744735494526</v>
      </c>
      <c r="F329" s="46">
        <f>(VLOOKUP($A329,'The List'!$B1:$AH730,18,FALSE)-AVERAGE('The List'!S2:S730))/STDEV('The List'!S2:S730)</f>
        <v>-0.0345697993287146</v>
      </c>
      <c r="G329" s="46">
        <f>(VLOOKUP($A329,'The List'!$B1:$AH730,19,FALSE)-AVERAGE('The List'!T2:T730))/STDEV('The List'!T2:T730)</f>
        <v>-0.416036245401515</v>
      </c>
      <c r="H329" s="46">
        <f>(VLOOKUP($A329,'The List'!$B1:$AH730,20,FALSE)-AVERAGE('The List'!U2:U730))/STDEV('The List'!U2:U730)</f>
        <v>-0.272210829059571</v>
      </c>
      <c r="I329" s="46">
        <f>(VLOOKUP($A329,'The List'!$B1:$AH730,21,FALSE)-AVERAGE('The List'!V2:V730))/STDEV('The List'!V2:V730)</f>
        <v>-0.559715697616354</v>
      </c>
      <c r="J329" s="46">
        <f>(VLOOKUP($A329,'The List'!$B1:$AH730,22,FALSE)-AVERAGE('The List'!W2:W730))/STDEV('The List'!W2:W730)</f>
        <v>-0.49180616557089</v>
      </c>
      <c r="K329" s="46">
        <f>(VLOOKUP($A329,'The List'!$B1:$AH730,23,FALSE)-AVERAGE('The List'!X2:X730))/STDEV('The List'!X2:X730)</f>
        <v>-0.617682378846006</v>
      </c>
      <c r="L329" s="46">
        <f>(VLOOKUP($A329,'The List'!$B1:$AH730,24,FALSE)-AVERAGE('The List'!Y2:Y730))/STDEV('The List'!Y2:Y730)</f>
        <v>0.169450326777102</v>
      </c>
      <c r="M329" s="46">
        <f>(VLOOKUP($A329,'The List'!$B1:$AH730,25,FALSE)-AVERAGE('The List'!Z2:Z730))/STDEV('The List'!Z2:Z730)</f>
        <v>0.234805282243169</v>
      </c>
      <c r="N329" s="46">
        <f>(VLOOKUP($A329,'The List'!$B1:$AH730,26,FALSE)-AVERAGE('The List'!AA2:AA730))/STDEV('The List'!AA2:AA730)</f>
        <v>-0.789515660431251</v>
      </c>
      <c r="O329" s="46">
        <f>(VLOOKUP($A329,'The List'!$B1:$AH730,27,FALSE)-AVERAGE('The List'!AB2:AB730))/STDEV('The List'!AB2:AB730)</f>
        <v>-0.136623386797897</v>
      </c>
      <c r="P329" s="46">
        <f>(VLOOKUP($A329,'The List'!$B1:$AH730,28,FALSE)-AVERAGE('The List'!AC2:AC730))/STDEV('The List'!AC2:AC730)</f>
        <v>-0.07422026668159649</v>
      </c>
      <c r="Q329" s="46">
        <f>(VLOOKUP($A329,'The List'!$B1:$AH730,29,FALSE)-AVERAGE('The List'!AD2:AD730))/STDEV('The List'!AD2:AD730)</f>
        <v>-0.399820495823853</v>
      </c>
      <c r="R329" s="46">
        <f>(VLOOKUP($A329,'The List'!$B1:$AH730,30,FALSE)-AVERAGE('The List'!AE2:AE730))/STDEV('The List'!AE2:AE730)</f>
        <v>-0.0311327971007414</v>
      </c>
      <c r="S329" s="46">
        <f>(VLOOKUP($A329,'The List'!$B1:$AH730,31,FALSE)-AVERAGE('The List'!AF2:AF730))/STDEV('The List'!AF2:AF730)</f>
        <v>-0.540646381346418</v>
      </c>
      <c r="T329" s="46">
        <f>(VLOOKUP($A329,'The List'!$B1:$AH730,32,FALSE)-AVERAGE('The List'!AG2:AG730))/STDEV('The List'!AG2:AG730)</f>
        <v>-0.563935287422587</v>
      </c>
      <c r="U329" s="46">
        <f>(VLOOKUP($A329,'The List'!$B1:$AH730,33,FALSE)-AVERAGE('The List'!AH2:AH730))/STDEV('The List'!AH2:AH730)</f>
        <v>0.193398225769523</v>
      </c>
      <c r="V329" s="46"/>
      <c r="W329" s="48"/>
      <c r="X329" s="48"/>
      <c r="Y329" s="48"/>
      <c r="Z329" s="48"/>
      <c r="AA329" s="48"/>
      <c r="AB329" s="48"/>
      <c r="AC329" s="51"/>
      <c r="AD329" s="52"/>
      <c r="AE329" s="46"/>
    </row>
    <row r="330" ht="21.25" customHeight="1">
      <c r="A330" t="s" s="8">
        <v>713</v>
      </c>
      <c r="B330" t="s" s="42">
        <f>VLOOKUP(A330,'Player Data'!A1:B734,2,FALSE)</f>
        <v>141</v>
      </c>
      <c r="C330" s="44">
        <f>((E330)*'Settings'!$C$12)+(F330*'Settings'!$C$2)+(G330*'Settings'!$C$3)+(H330*'Settings'!$C$4)+(I330*'Settings'!$C$5)+(K330*'Settings'!$C$9)+(N330*'Settings'!$C$6)+(J330*'Settings'!$C$8)+(O330*'Settings'!$C$7)+(P330*'Settings'!$C$14)+(Q330*'Settings'!$C$15)+(R330*'Settings'!$C$16)+(S330*'Settings'!$C$17)+(T330*'Settings'!$C$18)+(U330*'Settings'!$C$19)+(L330*'Settings'!$C$10)+('Settings'!$C$11*M330)</f>
        <v>-3.00698879815855</v>
      </c>
      <c r="D330" s="48">
        <f>IF('Settings'!$E$12="YES",VLOOKUP(A330,'Player Data'!A1:E734,5,FALSE),82)</f>
        <v>65.9175</v>
      </c>
      <c r="E330" s="46">
        <f>(VLOOKUP($A330,'The List'!$B1:$AH730,17,FALSE)-AVERAGE('The List'!R2:R730))/STDEV('The List'!R2:R730)</f>
        <v>-0.95396129053087</v>
      </c>
      <c r="F330" s="46">
        <f>(VLOOKUP($A330,'The List'!$B1:$AH730,18,FALSE)-AVERAGE('The List'!S2:S730))/STDEV('The List'!S2:S730)</f>
        <v>-0.474406245211135</v>
      </c>
      <c r="G330" s="46">
        <f>(VLOOKUP($A330,'The List'!$B1:$AH730,19,FALSE)-AVERAGE('The List'!T2:T730))/STDEV('The List'!T2:T730)</f>
        <v>-0.382679655104956</v>
      </c>
      <c r="H330" s="46">
        <f>(VLOOKUP($A330,'The List'!$B1:$AH730,20,FALSE)-AVERAGE('The List'!U2:U730))/STDEV('The List'!U2:U730)</f>
        <v>-0.451781333673854</v>
      </c>
      <c r="I330" s="46">
        <f>(VLOOKUP($A330,'The List'!$B1:$AH730,21,FALSE)-AVERAGE('The List'!V2:V730))/STDEV('The List'!V2:V730)</f>
        <v>-0.412531783320507</v>
      </c>
      <c r="J330" s="46">
        <f>(VLOOKUP($A330,'The List'!$B1:$AH730,22,FALSE)-AVERAGE('The List'!W2:W730))/STDEV('The List'!W2:W730)</f>
        <v>-0.552338387413478</v>
      </c>
      <c r="K330" s="46">
        <f>(VLOOKUP($A330,'The List'!$B1:$AH730,23,FALSE)-AVERAGE('The List'!X2:X730))/STDEV('The List'!X2:X730)</f>
        <v>-0.6358964324080379</v>
      </c>
      <c r="L330" s="46">
        <f>(VLOOKUP($A330,'The List'!$B1:$AH730,24,FALSE)-AVERAGE('The List'!Y2:Y730))/STDEV('The List'!Y2:Y730)</f>
        <v>-0.532043504470326</v>
      </c>
      <c r="M330" s="46">
        <f>(VLOOKUP($A330,'The List'!$B1:$AH730,25,FALSE)-AVERAGE('The List'!Z2:Z730))/STDEV('The List'!Z2:Z730)</f>
        <v>-0.709993727281908</v>
      </c>
      <c r="N330" s="46">
        <f>(VLOOKUP($A330,'The List'!$B1:$AH730,26,FALSE)-AVERAGE('The List'!AA2:AA730))/STDEV('The List'!AA2:AA730)</f>
        <v>-0.952385598511996</v>
      </c>
      <c r="O330" s="46">
        <f>(VLOOKUP($A330,'The List'!$B1:$AH730,27,FALSE)-AVERAGE('The List'!AB2:AB730))/STDEV('The List'!AB2:AB730)</f>
        <v>-0.668634402118175</v>
      </c>
      <c r="P330" s="46">
        <f>(VLOOKUP($A330,'The List'!$B1:$AH730,28,FALSE)-AVERAGE('The List'!AC2:AC730))/STDEV('The List'!AC2:AC730)</f>
        <v>-0.149089083601921</v>
      </c>
      <c r="Q330" s="46">
        <f>(VLOOKUP($A330,'The List'!$B1:$AH730,29,FALSE)-AVERAGE('The List'!AD2:AD730))/STDEV('The List'!AD2:AD730)</f>
        <v>-1.13308189692018</v>
      </c>
      <c r="R330" s="46">
        <f>(VLOOKUP($A330,'The List'!$B1:$AH730,30,FALSE)-AVERAGE('The List'!AE2:AE730))/STDEV('The List'!AE2:AE730)</f>
        <v>-0.521085471258374</v>
      </c>
      <c r="S330" s="46">
        <f>(VLOOKUP($A330,'The List'!$B1:$AH730,31,FALSE)-AVERAGE('The List'!AF2:AF730))/STDEV('The List'!AF2:AF730)</f>
        <v>-0.520956899177547</v>
      </c>
      <c r="T330" s="46">
        <f>(VLOOKUP($A330,'The List'!$B1:$AH730,32,FALSE)-AVERAGE('The List'!AG2:AG730))/STDEV('The List'!AG2:AG730)</f>
        <v>-0.554573184530804</v>
      </c>
      <c r="U330" s="46">
        <f>(VLOOKUP($A330,'The List'!$B1:$AH730,33,FALSE)-AVERAGE('The List'!AH2:AH730))/STDEV('The List'!AH2:AH730)</f>
        <v>0.794338238713903</v>
      </c>
      <c r="V330" s="46"/>
      <c r="W330" s="50"/>
      <c r="X330" s="48"/>
      <c r="Y330" s="48"/>
      <c r="Z330" s="48"/>
      <c r="AA330" s="48"/>
      <c r="AB330" s="48"/>
      <c r="AC330" s="51"/>
      <c r="AD330" s="52"/>
      <c r="AE330" s="46"/>
    </row>
    <row r="331" ht="21.25" customHeight="1">
      <c r="A331" t="s" s="8">
        <v>707</v>
      </c>
      <c r="B331" t="s" s="42">
        <f>VLOOKUP(A331,'Player Data'!A1:B734,2,FALSE)</f>
        <v>166</v>
      </c>
      <c r="C331" s="44">
        <f>((E331)*'Settings'!$C$12)+(F331*'Settings'!$C$2)+(G331*'Settings'!$C$3)+(H331*'Settings'!$C$4)+(I331*'Settings'!$C$5)+(K331*'Settings'!$C$9)+(N331*'Settings'!$C$6)+(J331*'Settings'!$C$8)+(O331*'Settings'!$C$7)+(P331*'Settings'!$C$14)+(Q331*'Settings'!$C$15)+(R331*'Settings'!$C$16)+(S331*'Settings'!$C$17)+(T331*'Settings'!$C$18)+(U331*'Settings'!$C$19)+(L331*'Settings'!$C$10)+('Settings'!$C$11*M331)</f>
        <v>-3.60971581756208</v>
      </c>
      <c r="D331" s="48">
        <f>IF('Settings'!$E$12="YES",VLOOKUP(A331,'Player Data'!A1:E734,5,FALSE),82)</f>
        <v>74.83499999999999</v>
      </c>
      <c r="E331" s="46">
        <f>(VLOOKUP($A331,'The List'!$B1:$AH730,17,FALSE)-AVERAGE('The List'!R2:R730))/STDEV('The List'!R2:R730)</f>
        <v>-1.1060945269288</v>
      </c>
      <c r="F331" s="46">
        <f>(VLOOKUP($A331,'The List'!$B1:$AH730,18,FALSE)-AVERAGE('The List'!S2:S730))/STDEV('The List'!S2:S730)</f>
        <v>-0.237839871438173</v>
      </c>
      <c r="G331" s="46">
        <f>(VLOOKUP($A331,'The List'!$B1:$AH730,19,FALSE)-AVERAGE('The List'!T2:T730))/STDEV('The List'!T2:T730)</f>
        <v>-0.30831900062258</v>
      </c>
      <c r="H331" s="46">
        <f>(VLOOKUP($A331,'The List'!$B1:$AH730,20,FALSE)-AVERAGE('The List'!U2:U730))/STDEV('The List'!U2:U730)</f>
        <v>-0.298296522987321</v>
      </c>
      <c r="I331" s="46">
        <f>(VLOOKUP($A331,'The List'!$B1:$AH730,21,FALSE)-AVERAGE('The List'!V2:V730))/STDEV('The List'!V2:V730)</f>
        <v>-0.672257889381738</v>
      </c>
      <c r="J331" s="46">
        <f>(VLOOKUP($A331,'The List'!$B1:$AH730,22,FALSE)-AVERAGE('The List'!W2:W730))/STDEV('The List'!W2:W730)</f>
        <v>-0.5892399013064999</v>
      </c>
      <c r="K331" s="46">
        <f>(VLOOKUP($A331,'The List'!$B1:$AH730,23,FALSE)-AVERAGE('The List'!X2:X730))/STDEV('The List'!X2:X730)</f>
        <v>-0.671731091788723</v>
      </c>
      <c r="L331" s="46">
        <f>(VLOOKUP($A331,'The List'!$B1:$AH730,24,FALSE)-AVERAGE('The List'!Y2:Y730))/STDEV('The List'!Y2:Y730)</f>
        <v>-0.541457442941211</v>
      </c>
      <c r="M331" s="46">
        <f>(VLOOKUP($A331,'The List'!$B1:$AH730,25,FALSE)-AVERAGE('The List'!Z2:Z730))/STDEV('The List'!Z2:Z730)</f>
        <v>-0.7202146940142919</v>
      </c>
      <c r="N331" s="46">
        <f>(VLOOKUP($A331,'The List'!$B1:$AH730,26,FALSE)-AVERAGE('The List'!AA2:AA730))/STDEV('The List'!AA2:AA730)</f>
        <v>-1.01607076321124</v>
      </c>
      <c r="O331" s="46">
        <f>(VLOOKUP($A331,'The List'!$B1:$AH730,27,FALSE)-AVERAGE('The List'!AB2:AB730))/STDEV('The List'!AB2:AB730)</f>
        <v>-0.892978846055499</v>
      </c>
      <c r="P331" s="46">
        <f>(VLOOKUP($A331,'The List'!$B1:$AH730,28,FALSE)-AVERAGE('The List'!AC2:AC730))/STDEV('The List'!AC2:AC730)</f>
        <v>-0.703497201119627</v>
      </c>
      <c r="Q331" s="46">
        <f>(VLOOKUP($A331,'The List'!$B1:$AH730,29,FALSE)-AVERAGE('The List'!AD2:AD730))/STDEV('The List'!AD2:AD730)</f>
        <v>-1.01499590214461</v>
      </c>
      <c r="R331" s="46">
        <f>(VLOOKUP($A331,'The List'!$B1:$AH730,30,FALSE)-AVERAGE('The List'!AE2:AE730))/STDEV('The List'!AE2:AE730)</f>
        <v>-0.337878586097247</v>
      </c>
      <c r="S331" s="46">
        <f>(VLOOKUP($A331,'The List'!$B1:$AH730,31,FALSE)-AVERAGE('The List'!AF2:AF730))/STDEV('The List'!AF2:AF730)</f>
        <v>-0.5569063253591</v>
      </c>
      <c r="T331" s="46">
        <f>(VLOOKUP($A331,'The List'!$B1:$AH730,32,FALSE)-AVERAGE('The List'!AG2:AG730))/STDEV('The List'!AG2:AG730)</f>
        <v>-0.598976114817795</v>
      </c>
      <c r="U331" s="46">
        <f>(VLOOKUP($A331,'The List'!$B1:$AH730,33,FALSE)-AVERAGE('The List'!AH2:AH730))/STDEV('The List'!AH2:AH730)</f>
        <v>-1.2363238714826</v>
      </c>
      <c r="V331" s="46"/>
      <c r="W331" s="50"/>
      <c r="X331" s="48"/>
      <c r="Y331" s="48"/>
      <c r="Z331" s="48"/>
      <c r="AA331" s="48"/>
      <c r="AB331" s="48"/>
      <c r="AC331" s="51"/>
      <c r="AD331" s="52"/>
      <c r="AE331" s="46"/>
    </row>
    <row r="332" ht="21.25" customHeight="1">
      <c r="A332" t="s" s="8">
        <v>450</v>
      </c>
      <c r="B332" t="s" s="42">
        <f>VLOOKUP(A332,'Player Data'!A1:B734,2,FALSE)</f>
        <v>236</v>
      </c>
      <c r="C332" s="44">
        <f>((E332)*'Settings'!$C$12)+(F332*'Settings'!$C$2)+(G332*'Settings'!$C$3)+(H332*'Settings'!$C$4)+(I332*'Settings'!$C$5)+(K332*'Settings'!$C$9)+(N332*'Settings'!$C$6)+(J332*'Settings'!$C$8)+(O332*'Settings'!$C$7)+(P332*'Settings'!$C$14)+(Q332*'Settings'!$C$15)+(R332*'Settings'!$C$16)+(S332*'Settings'!$C$17)+(T332*'Settings'!$C$18)+(U332*'Settings'!$C$19)+(L332*'Settings'!$C$10)+('Settings'!$C$11*M332)</f>
        <v>-0.6962022662670579</v>
      </c>
      <c r="D332" s="48">
        <f>IF('Settings'!$E$12="YES",VLOOKUP(A332,'Player Data'!A1:E734,5,FALSE),82)</f>
        <v>66.40000000000001</v>
      </c>
      <c r="E332" s="46">
        <f>(VLOOKUP($A332,'The List'!$B1:$AH730,17,FALSE)-AVERAGE('The List'!R2:R730))/STDEV('The List'!R2:R730)</f>
        <v>-0.122789043436268</v>
      </c>
      <c r="F332" s="46">
        <f>(VLOOKUP($A332,'The List'!$B1:$AH730,18,FALSE)-AVERAGE('The List'!S2:S730))/STDEV('The List'!S2:S730)</f>
        <v>-0.6724865213734</v>
      </c>
      <c r="G332" s="46">
        <f>(VLOOKUP($A332,'The List'!$B1:$AH730,19,FALSE)-AVERAGE('The List'!T2:T730))/STDEV('The List'!T2:T730)</f>
        <v>-0.225844742204687</v>
      </c>
      <c r="H332" s="46">
        <f>(VLOOKUP($A332,'The List'!$B1:$AH730,20,FALSE)-AVERAGE('The List'!U2:U730))/STDEV('The List'!U2:U730)</f>
        <v>-0.445225169550668</v>
      </c>
      <c r="I332" s="46">
        <f>(VLOOKUP($A332,'The List'!$B1:$AH730,21,FALSE)-AVERAGE('The List'!V2:V730))/STDEV('The List'!V2:V730)</f>
        <v>-0.348795826013049</v>
      </c>
      <c r="J332" s="46">
        <f>(VLOOKUP($A332,'The List'!$B1:$AH730,22,FALSE)-AVERAGE('The List'!W2:W730))/STDEV('The List'!W2:W730)</f>
        <v>-0.5199560767292291</v>
      </c>
      <c r="K332" s="46">
        <f>(VLOOKUP($A332,'The List'!$B1:$AH730,23,FALSE)-AVERAGE('The List'!X2:X730))/STDEV('The List'!X2:X730)</f>
        <v>-0.345044445712006</v>
      </c>
      <c r="L332" s="46">
        <f>(VLOOKUP($A332,'The List'!$B1:$AH730,24,FALSE)-AVERAGE('The List'!Y2:Y730))/STDEV('The List'!Y2:Y730)</f>
        <v>-0.537039254518765</v>
      </c>
      <c r="M332" s="46">
        <f>(VLOOKUP($A332,'The List'!$B1:$AH730,25,FALSE)-AVERAGE('The List'!Z2:Z730))/STDEV('The List'!Z2:Z730)</f>
        <v>-0.70853254524815</v>
      </c>
      <c r="N332" s="46">
        <f>(VLOOKUP($A332,'The List'!$B1:$AH730,26,FALSE)-AVERAGE('The List'!AA2:AA730))/STDEV('The List'!AA2:AA730)</f>
        <v>0.0362485348360463</v>
      </c>
      <c r="O332" s="46">
        <f>(VLOOKUP($A332,'The List'!$B1:$AH730,27,FALSE)-AVERAGE('The List'!AB2:AB730))/STDEV('The List'!AB2:AB730)</f>
        <v>-0.905179820938711</v>
      </c>
      <c r="P332" s="46">
        <f>(VLOOKUP($A332,'The List'!$B1:$AH730,28,FALSE)-AVERAGE('The List'!AC2:AC730))/STDEV('The List'!AC2:AC730)</f>
        <v>0.859720734200038</v>
      </c>
      <c r="Q332" s="46">
        <f>(VLOOKUP($A332,'The List'!$B1:$AH730,29,FALSE)-AVERAGE('The List'!AD2:AD730))/STDEV('The List'!AD2:AD730)</f>
        <v>-0.0829546691975281</v>
      </c>
      <c r="R332" s="46">
        <f>(VLOOKUP($A332,'The List'!$B1:$AH730,30,FALSE)-AVERAGE('The List'!AE2:AE730))/STDEV('The List'!AE2:AE730)</f>
        <v>-0.707913444108771</v>
      </c>
      <c r="S332" s="46">
        <f>(VLOOKUP($A332,'The List'!$B1:$AH730,31,FALSE)-AVERAGE('The List'!AF2:AF730))/STDEV('The List'!AF2:AF730)</f>
        <v>-0.5569063253591</v>
      </c>
      <c r="T332" s="46">
        <f>(VLOOKUP($A332,'The List'!$B1:$AH730,32,FALSE)-AVERAGE('The List'!AG2:AG730))/STDEV('The List'!AG2:AG730)</f>
        <v>-0.600856269042678</v>
      </c>
      <c r="U332" s="46">
        <f>(VLOOKUP($A332,'The List'!$B1:$AH730,33,FALSE)-AVERAGE('The List'!AH2:AH730))/STDEV('The List'!AH2:AH730)</f>
        <v>-1.2363238714826</v>
      </c>
      <c r="V332" s="46"/>
      <c r="W332" s="50"/>
      <c r="X332" s="48"/>
      <c r="Y332" s="48"/>
      <c r="Z332" s="48"/>
      <c r="AA332" s="48"/>
      <c r="AB332" s="48"/>
      <c r="AC332" s="51"/>
      <c r="AD332" s="52"/>
      <c r="AE332" s="46"/>
    </row>
    <row r="333" ht="21.25" customHeight="1">
      <c r="A333" t="s" s="8">
        <v>697</v>
      </c>
      <c r="B333" t="s" s="42">
        <f>VLOOKUP(A333,'Player Data'!A1:B734,2,FALSE)</f>
        <v>204</v>
      </c>
      <c r="C333" s="44">
        <f>((E333)*'Settings'!$C$12)+(F333*'Settings'!$C$2)+(G333*'Settings'!$C$3)+(H333*'Settings'!$C$4)+(I333*'Settings'!$C$5)+(K333*'Settings'!$C$9)+(N333*'Settings'!$C$6)+(J333*'Settings'!$C$8)+(O333*'Settings'!$C$7)+(P333*'Settings'!$C$14)+(Q333*'Settings'!$C$15)+(R333*'Settings'!$C$16)+(S333*'Settings'!$C$17)+(T333*'Settings'!$C$18)+(U333*'Settings'!$C$19)+(L333*'Settings'!$C$10)+('Settings'!$C$11*M333)</f>
        <v>-2.31406471754896</v>
      </c>
      <c r="D333" s="48">
        <f>IF('Settings'!$E$12="YES",VLOOKUP(A333,'Player Data'!A1:E734,5,FALSE),82)</f>
        <v>78.0060714285714</v>
      </c>
      <c r="E333" s="46">
        <f>(VLOOKUP($A333,'The List'!$B1:$AH730,17,FALSE)-AVERAGE('The List'!R2:R730))/STDEV('The List'!R2:R730)</f>
        <v>-0.959669799141957</v>
      </c>
      <c r="F333" s="46">
        <f>(VLOOKUP($A333,'The List'!$B1:$AH730,18,FALSE)-AVERAGE('The List'!S2:S730))/STDEV('The List'!S2:S730)</f>
        <v>-0.218615242051367</v>
      </c>
      <c r="G333" s="46">
        <f>(VLOOKUP($A333,'The List'!$B1:$AH730,19,FALSE)-AVERAGE('The List'!T2:T730))/STDEV('The List'!T2:T730)</f>
        <v>-0.239052081649854</v>
      </c>
      <c r="H333" s="46">
        <f>(VLOOKUP($A333,'The List'!$B1:$AH730,20,FALSE)-AVERAGE('The List'!U2:U730))/STDEV('The List'!U2:U730)</f>
        <v>-0.246846785928351</v>
      </c>
      <c r="I333" s="46">
        <f>(VLOOKUP($A333,'The List'!$B1:$AH730,21,FALSE)-AVERAGE('The List'!V2:V730))/STDEV('The List'!V2:V730)</f>
        <v>-0.474928235641441</v>
      </c>
      <c r="J333" s="46">
        <f>(VLOOKUP($A333,'The List'!$B1:$AH730,22,FALSE)-AVERAGE('The List'!W2:W730))/STDEV('The List'!W2:W730)</f>
        <v>-0.699292501674451</v>
      </c>
      <c r="K333" s="46">
        <f>(VLOOKUP($A333,'The List'!$B1:$AH730,23,FALSE)-AVERAGE('The List'!X2:X730))/STDEV('The List'!X2:X730)</f>
        <v>-0.789390671636098</v>
      </c>
      <c r="L333" s="46">
        <f>(VLOOKUP($A333,'The List'!$B1:$AH730,24,FALSE)-AVERAGE('The List'!Y2:Y730))/STDEV('The List'!Y2:Y730)</f>
        <v>0.200395376203774</v>
      </c>
      <c r="M333" s="46">
        <f>(VLOOKUP($A333,'The List'!$B1:$AH730,25,FALSE)-AVERAGE('The List'!Z2:Z730))/STDEV('The List'!Z2:Z730)</f>
        <v>1.66777374028163</v>
      </c>
      <c r="N333" s="46">
        <f>(VLOOKUP($A333,'The List'!$B1:$AH730,26,FALSE)-AVERAGE('The List'!AA2:AA730))/STDEV('The List'!AA2:AA730)</f>
        <v>-0.667506651453819</v>
      </c>
      <c r="O333" s="46">
        <f>(VLOOKUP($A333,'The List'!$B1:$AH730,27,FALSE)-AVERAGE('The List'!AB2:AB730))/STDEV('The List'!AB2:AB730)</f>
        <v>0.0250339824767111</v>
      </c>
      <c r="P333" s="46">
        <f>(VLOOKUP($A333,'The List'!$B1:$AH730,28,FALSE)-AVERAGE('The List'!AC2:AC730))/STDEV('The List'!AC2:AC730)</f>
        <v>0.0754281648836153</v>
      </c>
      <c r="Q333" s="46">
        <f>(VLOOKUP($A333,'The List'!$B1:$AH730,29,FALSE)-AVERAGE('The List'!AD2:AD730))/STDEV('The List'!AD2:AD730)</f>
        <v>0.719842754725317</v>
      </c>
      <c r="R333" s="46">
        <f>(VLOOKUP($A333,'The List'!$B1:$AH730,30,FALSE)-AVERAGE('The List'!AE2:AE730))/STDEV('The List'!AE2:AE730)</f>
        <v>-0.146910704278746</v>
      </c>
      <c r="S333" s="46">
        <f>(VLOOKUP($A333,'The List'!$B1:$AH730,31,FALSE)-AVERAGE('The List'!AF2:AF730))/STDEV('The List'!AF2:AF730)</f>
        <v>1.37067903989397</v>
      </c>
      <c r="T333" s="46">
        <f>(VLOOKUP($A333,'The List'!$B1:$AH730,32,FALSE)-AVERAGE('The List'!AG2:AG730))/STDEV('The List'!AG2:AG730)</f>
        <v>1.31707215669534</v>
      </c>
      <c r="U333" s="46">
        <f>(VLOOKUP($A333,'The List'!$B1:$AH730,33,FALSE)-AVERAGE('The List'!AH2:AH730))/STDEV('The List'!AH2:AH730)</f>
        <v>1.0844972844926</v>
      </c>
      <c r="V333" s="46"/>
      <c r="W333" s="50"/>
      <c r="X333" s="48"/>
      <c r="Y333" s="48"/>
      <c r="Z333" s="48"/>
      <c r="AA333" s="48"/>
      <c r="AB333" s="48"/>
      <c r="AC333" s="51"/>
      <c r="AD333" s="52"/>
      <c r="AE333" s="46"/>
    </row>
    <row r="334" ht="21.25" customHeight="1">
      <c r="A334" t="s" s="8">
        <v>717</v>
      </c>
      <c r="B334" t="s" s="42">
        <f>VLOOKUP(A334,'Player Data'!A1:B734,2,FALSE)</f>
        <v>258</v>
      </c>
      <c r="C334" s="44">
        <f>((E334)*'Settings'!$C$12)+(F334*'Settings'!$C$2)+(G334*'Settings'!$C$3)+(H334*'Settings'!$C$4)+(I334*'Settings'!$C$5)+(K334*'Settings'!$C$9)+(N334*'Settings'!$C$6)+(J334*'Settings'!$C$8)+(O334*'Settings'!$C$7)+(P334*'Settings'!$C$14)+(Q334*'Settings'!$C$15)+(R334*'Settings'!$C$16)+(S334*'Settings'!$C$17)+(T334*'Settings'!$C$18)+(U334*'Settings'!$C$19)+(L334*'Settings'!$C$10)+('Settings'!$C$11*M334)</f>
        <v>-4.09325363854253</v>
      </c>
      <c r="D334" s="48">
        <f>IF('Settings'!$E$12="YES",VLOOKUP(A334,'Player Data'!A1:E734,5,FALSE),82)</f>
        <v>64.185</v>
      </c>
      <c r="E334" s="46">
        <f>(VLOOKUP($A334,'The List'!$B1:$AH730,17,FALSE)-AVERAGE('The List'!R2:R730))/STDEV('The List'!R2:R730)</f>
        <v>-0.763607774984012</v>
      </c>
      <c r="F334" s="46">
        <f>(VLOOKUP($A334,'The List'!$B1:$AH730,18,FALSE)-AVERAGE('The List'!S2:S730))/STDEV('The List'!S2:S730)</f>
        <v>-0.298643118343407</v>
      </c>
      <c r="G334" s="46">
        <f>(VLOOKUP($A334,'The List'!$B1:$AH730,19,FALSE)-AVERAGE('The List'!T2:T730))/STDEV('The List'!T2:T730)</f>
        <v>-0.574950792846275</v>
      </c>
      <c r="H334" s="46">
        <f>(VLOOKUP($A334,'The List'!$B1:$AH730,20,FALSE)-AVERAGE('The List'!U2:U730))/STDEV('The List'!U2:U730)</f>
        <v>-0.490338215164257</v>
      </c>
      <c r="I334" s="46">
        <f>(VLOOKUP($A334,'The List'!$B1:$AH730,21,FALSE)-AVERAGE('The List'!V2:V730))/STDEV('The List'!V2:V730)</f>
        <v>-0.723121080087635</v>
      </c>
      <c r="J334" s="46">
        <f>(VLOOKUP($A334,'The List'!$B1:$AH730,22,FALSE)-AVERAGE('The List'!W2:W730))/STDEV('The List'!W2:W730)</f>
        <v>-0.11031128035218</v>
      </c>
      <c r="K334" s="46">
        <f>(VLOOKUP($A334,'The List'!$B1:$AH730,23,FALSE)-AVERAGE('The List'!X2:X730))/STDEV('The List'!X2:X730)</f>
        <v>-0.273538645672571</v>
      </c>
      <c r="L334" s="46">
        <f>(VLOOKUP($A334,'The List'!$B1:$AH730,24,FALSE)-AVERAGE('The List'!Y2:Y730))/STDEV('The List'!Y2:Y730)</f>
        <v>-0.541046913204788</v>
      </c>
      <c r="M334" s="46">
        <f>(VLOOKUP($A334,'The List'!$B1:$AH730,25,FALSE)-AVERAGE('The List'!Z2:Z730))/STDEV('The List'!Z2:Z730)</f>
        <v>-0.719762600382188</v>
      </c>
      <c r="N334" s="46">
        <f>(VLOOKUP($A334,'The List'!$B1:$AH730,26,FALSE)-AVERAGE('The List'!AA2:AA730))/STDEV('The List'!AA2:AA730)</f>
        <v>-0.512480134636457</v>
      </c>
      <c r="O334" s="46">
        <f>(VLOOKUP($A334,'The List'!$B1:$AH730,27,FALSE)-AVERAGE('The List'!AB2:AB730))/STDEV('The List'!AB2:AB730)</f>
        <v>-0.0459364155613658</v>
      </c>
      <c r="P334" s="46">
        <f>(VLOOKUP($A334,'The List'!$B1:$AH730,28,FALSE)-AVERAGE('The List'!AC2:AC730))/STDEV('The List'!AC2:AC730)</f>
        <v>-1.71051986695618</v>
      </c>
      <c r="Q334" s="46">
        <f>(VLOOKUP($A334,'The List'!$B1:$AH730,29,FALSE)-AVERAGE('The List'!AD2:AD730))/STDEV('The List'!AD2:AD730)</f>
        <v>0.0169222949229668</v>
      </c>
      <c r="R334" s="46">
        <f>(VLOOKUP($A334,'The List'!$B1:$AH730,30,FALSE)-AVERAGE('The List'!AE2:AE730))/STDEV('The List'!AE2:AE730)</f>
        <v>-0.51994339901866</v>
      </c>
      <c r="S334" s="46">
        <f>(VLOOKUP($A334,'The List'!$B1:$AH730,31,FALSE)-AVERAGE('The List'!AF2:AF730))/STDEV('The List'!AF2:AF730)</f>
        <v>-0.511575152022124</v>
      </c>
      <c r="T334" s="46">
        <f>(VLOOKUP($A334,'The List'!$B1:$AH730,32,FALSE)-AVERAGE('The List'!AG2:AG730))/STDEV('The List'!AG2:AG730)</f>
        <v>-0.553178151402658</v>
      </c>
      <c r="U334" s="46">
        <f>(VLOOKUP($A334,'The List'!$B1:$AH730,33,FALSE)-AVERAGE('The List'!AH2:AH730))/STDEV('The List'!AH2:AH730)</f>
        <v>1.02184901198491</v>
      </c>
      <c r="V334" s="46"/>
      <c r="W334" s="50"/>
      <c r="X334" s="48"/>
      <c r="Y334" s="48"/>
      <c r="Z334" s="48"/>
      <c r="AA334" s="48"/>
      <c r="AB334" s="48"/>
      <c r="AC334" s="51"/>
      <c r="AD334" s="52"/>
      <c r="AE334" s="46"/>
    </row>
    <row r="335" ht="21.25" customHeight="1">
      <c r="A335" t="s" s="8">
        <v>696</v>
      </c>
      <c r="B335" t="s" s="42">
        <f>VLOOKUP(A335,'Player Data'!A1:B734,2,FALSE)</f>
        <v>248</v>
      </c>
      <c r="C335" s="44">
        <f>((E335)*'Settings'!$C$12)+(F335*'Settings'!$C$2)+(G335*'Settings'!$C$3)+(H335*'Settings'!$C$4)+(I335*'Settings'!$C$5)+(K335*'Settings'!$C$9)+(N335*'Settings'!$C$6)+(J335*'Settings'!$C$8)+(O335*'Settings'!$C$7)+(P335*'Settings'!$C$14)+(Q335*'Settings'!$C$15)+(R335*'Settings'!$C$16)+(S335*'Settings'!$C$17)+(T335*'Settings'!$C$18)+(U335*'Settings'!$C$19)+(L335*'Settings'!$C$10)+('Settings'!$C$11*M335)</f>
        <v>-1.87415620262812</v>
      </c>
      <c r="D335" s="48">
        <f>IF('Settings'!$E$12="YES",VLOOKUP(A335,'Player Data'!A1:E734,5,FALSE),82)</f>
        <v>71.2</v>
      </c>
      <c r="E335" s="46">
        <f>(VLOOKUP($A335,'The List'!$B1:$AH730,17,FALSE)-AVERAGE('The List'!R2:R730))/STDEV('The List'!R2:R730)</f>
        <v>-0.616705838372044</v>
      </c>
      <c r="F335" s="46">
        <f>(VLOOKUP($A335,'The List'!$B1:$AH730,18,FALSE)-AVERAGE('The List'!S2:S730))/STDEV('The List'!S2:S730)</f>
        <v>-0.0574367284755233</v>
      </c>
      <c r="G335" s="46">
        <f>(VLOOKUP($A335,'The List'!$B1:$AH730,19,FALSE)-AVERAGE('The List'!T2:T730))/STDEV('The List'!T2:T730)</f>
        <v>-0.562100521038207</v>
      </c>
      <c r="H335" s="46">
        <f>(VLOOKUP($A335,'The List'!$B1:$AH730,20,FALSE)-AVERAGE('The List'!U2:U730))/STDEV('The List'!U2:U730)</f>
        <v>-0.372662446541804</v>
      </c>
      <c r="I335" s="46">
        <f>(VLOOKUP($A335,'The List'!$B1:$AH730,21,FALSE)-AVERAGE('The List'!V2:V730))/STDEV('The List'!V2:V730)</f>
        <v>-0.518306752853012</v>
      </c>
      <c r="J335" s="46">
        <f>(VLOOKUP($A335,'The List'!$B1:$AH730,22,FALSE)-AVERAGE('The List'!W2:W730))/STDEV('The List'!W2:W730)</f>
        <v>-0.6872310381872631</v>
      </c>
      <c r="K335" s="46">
        <f>(VLOOKUP($A335,'The List'!$B1:$AH730,23,FALSE)-AVERAGE('The List'!X2:X730))/STDEV('The List'!X2:X730)</f>
        <v>-0.785922543600469</v>
      </c>
      <c r="L335" s="46">
        <f>(VLOOKUP($A335,'The List'!$B1:$AH730,24,FALSE)-AVERAGE('The List'!Y2:Y730))/STDEV('The List'!Y2:Y730)</f>
        <v>1.61319027774631</v>
      </c>
      <c r="M335" s="46">
        <f>(VLOOKUP($A335,'The List'!$B1:$AH730,25,FALSE)-AVERAGE('The List'!Z2:Z730))/STDEV('The List'!Z2:Z730)</f>
        <v>0.94745201466364</v>
      </c>
      <c r="N335" s="46">
        <f>(VLOOKUP($A335,'The List'!$B1:$AH730,26,FALSE)-AVERAGE('The List'!AA2:AA730))/STDEV('The List'!AA2:AA730)</f>
        <v>-0.0592104770195017</v>
      </c>
      <c r="O335" s="46">
        <f>(VLOOKUP($A335,'The List'!$B1:$AH730,27,FALSE)-AVERAGE('The List'!AB2:AB730))/STDEV('The List'!AB2:AB730)</f>
        <v>1.58814776338197</v>
      </c>
      <c r="P335" s="46">
        <f>(VLOOKUP($A335,'The List'!$B1:$AH730,28,FALSE)-AVERAGE('The List'!AC2:AC730))/STDEV('The List'!AC2:AC730)</f>
        <v>0.108820820358598</v>
      </c>
      <c r="Q335" s="46">
        <f>(VLOOKUP($A335,'The List'!$B1:$AH730,29,FALSE)-AVERAGE('The List'!AD2:AD730))/STDEV('The List'!AD2:AD730)</f>
        <v>-0.209326804836953</v>
      </c>
      <c r="R335" s="46">
        <f>(VLOOKUP($A335,'The List'!$B1:$AH730,30,FALSE)-AVERAGE('The List'!AE2:AE730))/STDEV('The List'!AE2:AE730)</f>
        <v>-0.052047957448842</v>
      </c>
      <c r="S335" s="46">
        <f>(VLOOKUP($A335,'The List'!$B1:$AH730,31,FALSE)-AVERAGE('The List'!AF2:AF730))/STDEV('The List'!AF2:AF730)</f>
        <v>-0.534498109516383</v>
      </c>
      <c r="T335" s="46">
        <f>(VLOOKUP($A335,'The List'!$B1:$AH730,32,FALSE)-AVERAGE('The List'!AG2:AG730))/STDEV('The List'!AG2:AG730)</f>
        <v>-0.517082103272867</v>
      </c>
      <c r="U335" s="46">
        <f>(VLOOKUP($A335,'The List'!$B1:$AH730,33,FALSE)-AVERAGE('The List'!AH2:AH730))/STDEV('The List'!AH2:AH730)</f>
        <v>-0.244705005288251</v>
      </c>
      <c r="V335" s="46"/>
      <c r="W335" s="50"/>
      <c r="X335" s="48"/>
      <c r="Y335" s="48"/>
      <c r="Z335" s="48"/>
      <c r="AA335" s="48"/>
      <c r="AB335" s="48"/>
      <c r="AC335" s="51"/>
      <c r="AD335" s="52"/>
      <c r="AE335" s="46"/>
    </row>
    <row r="336" ht="21.25" customHeight="1">
      <c r="A336" t="s" s="8">
        <v>641</v>
      </c>
      <c r="B336" t="s" s="42">
        <f>VLOOKUP(A336,'Player Data'!A1:B734,2,FALSE)</f>
        <v>218</v>
      </c>
      <c r="C336" s="44">
        <f>((E336)*'Settings'!$C$12)+(F336*'Settings'!$C$2)+(G336*'Settings'!$C$3)+(H336*'Settings'!$C$4)+(I336*'Settings'!$C$5)+(K336*'Settings'!$C$9)+(N336*'Settings'!$C$6)+(J336*'Settings'!$C$8)+(O336*'Settings'!$C$7)+(P336*'Settings'!$C$14)+(Q336*'Settings'!$C$15)+(R336*'Settings'!$C$16)+(S336*'Settings'!$C$17)+(T336*'Settings'!$C$18)+(U336*'Settings'!$C$19)+(L336*'Settings'!$C$10)+('Settings'!$C$11*M336)</f>
        <v>-0.422002382379191</v>
      </c>
      <c r="D336" s="48">
        <f>IF('Settings'!$E$12="YES",VLOOKUP(A336,'Player Data'!A1:E734,5,FALSE),82)</f>
        <v>74.21678571428571</v>
      </c>
      <c r="E336" s="46">
        <f>(VLOOKUP($A336,'The List'!$B1:$AH730,17,FALSE)-AVERAGE('The List'!R2:R730))/STDEV('The List'!R2:R730)</f>
        <v>-1.0415266206672</v>
      </c>
      <c r="F336" s="46">
        <f>(VLOOKUP($A336,'The List'!$B1:$AH730,18,FALSE)-AVERAGE('The List'!S2:S730))/STDEV('The List'!S2:S730)</f>
        <v>0.165398508584779</v>
      </c>
      <c r="G336" s="46">
        <f>(VLOOKUP($A336,'The List'!$B1:$AH730,19,FALSE)-AVERAGE('The List'!T2:T730))/STDEV('The List'!T2:T730)</f>
        <v>-0.6510290548465399</v>
      </c>
      <c r="H336" s="46">
        <f>(VLOOKUP($A336,'The List'!$B1:$AH730,20,FALSE)-AVERAGE('The List'!U2:U730))/STDEV('The List'!U2:U730)</f>
        <v>-0.326091216807757</v>
      </c>
      <c r="I336" s="46">
        <f>(VLOOKUP($A336,'The List'!$B1:$AH730,21,FALSE)-AVERAGE('The List'!V2:V730))/STDEV('The List'!V2:V730)</f>
        <v>0.09249326381267051</v>
      </c>
      <c r="J336" s="46">
        <f>(VLOOKUP($A336,'The List'!$B1:$AH730,22,FALSE)-AVERAGE('The List'!W2:W730))/STDEV('The List'!W2:W730)</f>
        <v>-0.607444524466822</v>
      </c>
      <c r="K336" s="46">
        <f>(VLOOKUP($A336,'The List'!$B1:$AH730,23,FALSE)-AVERAGE('The List'!X2:X730))/STDEV('The List'!X2:X730)</f>
        <v>-0.700133747547833</v>
      </c>
      <c r="L336" s="46">
        <f>(VLOOKUP($A336,'The List'!$B1:$AH730,24,FALSE)-AVERAGE('The List'!Y2:Y730))/STDEV('The List'!Y2:Y730)</f>
        <v>-0.424126642439017</v>
      </c>
      <c r="M336" s="46">
        <f>(VLOOKUP($A336,'The List'!$B1:$AH730,25,FALSE)-AVERAGE('The List'!Z2:Z730))/STDEV('The List'!Z2:Z730)</f>
        <v>-0.588630046615455</v>
      </c>
      <c r="N336" s="46">
        <f>(VLOOKUP($A336,'The List'!$B1:$AH730,26,FALSE)-AVERAGE('The List'!AA2:AA730))/STDEV('The List'!AA2:AA730)</f>
        <v>-0.797332254327447</v>
      </c>
      <c r="O336" s="46">
        <f>(VLOOKUP($A336,'The List'!$B1:$AH730,27,FALSE)-AVERAGE('The List'!AB2:AB730))/STDEV('The List'!AB2:AB730)</f>
        <v>1.52768973311888</v>
      </c>
      <c r="P336" s="46">
        <f>(VLOOKUP($A336,'The List'!$B1:$AH730,28,FALSE)-AVERAGE('The List'!AC2:AC730))/STDEV('The List'!AC2:AC730)</f>
        <v>1.46860090194518</v>
      </c>
      <c r="Q336" s="46">
        <f>(VLOOKUP($A336,'The List'!$B1:$AH730,29,FALSE)-AVERAGE('The List'!AD2:AD730))/STDEV('The List'!AD2:AD730)</f>
        <v>0.0183985024731433</v>
      </c>
      <c r="R336" s="46">
        <f>(VLOOKUP($A336,'The List'!$B1:$AH730,30,FALSE)-AVERAGE('The List'!AE2:AE730))/STDEV('The List'!AE2:AE730)</f>
        <v>0.369147639475557</v>
      </c>
      <c r="S336" s="46">
        <f>(VLOOKUP($A336,'The List'!$B1:$AH730,31,FALSE)-AVERAGE('The List'!AF2:AF730))/STDEV('The List'!AF2:AF730)</f>
        <v>-0.5400059042615381</v>
      </c>
      <c r="T336" s="46">
        <f>(VLOOKUP($A336,'The List'!$B1:$AH730,32,FALSE)-AVERAGE('The List'!AG2:AG730))/STDEV('The List'!AG2:AG730)</f>
        <v>-0.561926242878825</v>
      </c>
      <c r="U336" s="46">
        <f>(VLOOKUP($A336,'The List'!$B1:$AH730,33,FALSE)-AVERAGE('The List'!AH2:AH730))/STDEV('The List'!AH2:AH730)</f>
        <v>0.179411693943792</v>
      </c>
      <c r="V336" s="46"/>
      <c r="W336" s="48"/>
      <c r="X336" s="46"/>
      <c r="Y336" s="46"/>
      <c r="Z336" s="46"/>
      <c r="AA336" s="46"/>
      <c r="AB336" s="46"/>
      <c r="AC336" s="46"/>
      <c r="AD336" s="46"/>
      <c r="AE336" s="46"/>
    </row>
    <row r="337" ht="21.25" customHeight="1">
      <c r="A337" t="s" s="8">
        <v>621</v>
      </c>
      <c r="B337" t="s" s="42">
        <f>VLOOKUP(A337,'Player Data'!A1:B734,2,FALSE)</f>
        <v>149</v>
      </c>
      <c r="C337" s="44">
        <f>((E337)*'Settings'!$C$12)+(F337*'Settings'!$C$2)+(G337*'Settings'!$C$3)+(H337*'Settings'!$C$4)+(I337*'Settings'!$C$5)+(K337*'Settings'!$C$9)+(N337*'Settings'!$C$6)+(J337*'Settings'!$C$8)+(O337*'Settings'!$C$7)+(P337*'Settings'!$C$14)+(Q337*'Settings'!$C$15)+(R337*'Settings'!$C$16)+(S337*'Settings'!$C$17)+(T337*'Settings'!$C$18)+(U337*'Settings'!$C$19)+(L337*'Settings'!$C$10)+('Settings'!$C$11*M337)</f>
        <v>-1.56678994989906</v>
      </c>
      <c r="D337" s="48">
        <f>IF('Settings'!$E$12="YES",VLOOKUP(A337,'Player Data'!A1:E734,5,FALSE),82)</f>
        <v>70.69285714285709</v>
      </c>
      <c r="E337" s="46">
        <f>(VLOOKUP($A337,'The List'!$B1:$AH730,17,FALSE)-AVERAGE('The List'!R2:R730))/STDEV('The List'!R2:R730)</f>
        <v>-1.18785442893045</v>
      </c>
      <c r="F337" s="46">
        <f>(VLOOKUP($A337,'The List'!$B1:$AH730,18,FALSE)-AVERAGE('The List'!S2:S730))/STDEV('The List'!S2:S730)</f>
        <v>-0.0419667067399223</v>
      </c>
      <c r="G337" s="46">
        <f>(VLOOKUP($A337,'The List'!$B1:$AH730,19,FALSE)-AVERAGE('The List'!T2:T730))/STDEV('The List'!T2:T730)</f>
        <v>-0.599902324472356</v>
      </c>
      <c r="H337" s="46">
        <f>(VLOOKUP($A337,'The List'!$B1:$AH730,20,FALSE)-AVERAGE('The List'!U2:U730))/STDEV('The List'!U2:U730)</f>
        <v>-0.388927591352423</v>
      </c>
      <c r="I337" s="46">
        <f>(VLOOKUP($A337,'The List'!$B1:$AH730,21,FALSE)-AVERAGE('The List'!V2:V730))/STDEV('The List'!V2:V730)</f>
        <v>0.00709439256460401</v>
      </c>
      <c r="J337" s="46">
        <f>(VLOOKUP($A337,'The List'!$B1:$AH730,22,FALSE)-AVERAGE('The List'!W2:W730))/STDEV('The List'!W2:W730)</f>
        <v>-0.0535395259813613</v>
      </c>
      <c r="K337" s="46">
        <f>(VLOOKUP($A337,'The List'!$B1:$AH730,23,FALSE)-AVERAGE('The List'!X2:X730))/STDEV('The List'!X2:X730)</f>
        <v>-0.332041465958402</v>
      </c>
      <c r="L337" s="46">
        <f>(VLOOKUP($A337,'The List'!$B1:$AH730,24,FALSE)-AVERAGE('The List'!Y2:Y730))/STDEV('The List'!Y2:Y730)</f>
        <v>-0.542380624071935</v>
      </c>
      <c r="M337" s="46">
        <f>(VLOOKUP($A337,'The List'!$B1:$AH730,25,FALSE)-AVERAGE('The List'!Z2:Z730))/STDEV('The List'!Z2:Z730)</f>
        <v>-0.721255968507645</v>
      </c>
      <c r="N337" s="46">
        <f>(VLOOKUP($A337,'The List'!$B1:$AH730,26,FALSE)-AVERAGE('The List'!AA2:AA730))/STDEV('The List'!AA2:AA730)</f>
        <v>-0.845742346485412</v>
      </c>
      <c r="O337" s="46">
        <f>(VLOOKUP($A337,'The List'!$B1:$AH730,27,FALSE)-AVERAGE('The List'!AB2:AB730))/STDEV('The List'!AB2:AB730)</f>
        <v>0.159502138824446</v>
      </c>
      <c r="P337" s="46">
        <f>(VLOOKUP($A337,'The List'!$B1:$AH730,28,FALSE)-AVERAGE('The List'!AC2:AC730))/STDEV('The List'!AC2:AC730)</f>
        <v>0.245768501192432</v>
      </c>
      <c r="Q337" s="46">
        <f>(VLOOKUP($A337,'The List'!$B1:$AH730,29,FALSE)-AVERAGE('The List'!AD2:AD730))/STDEV('The List'!AD2:AD730)</f>
        <v>0.826943782370534</v>
      </c>
      <c r="R337" s="46">
        <f>(VLOOKUP($A337,'The List'!$B1:$AH730,30,FALSE)-AVERAGE('The List'!AE2:AE730))/STDEV('The List'!AE2:AE730)</f>
        <v>0.07598358691347989</v>
      </c>
      <c r="S337" s="46">
        <f>(VLOOKUP($A337,'The List'!$B1:$AH730,31,FALSE)-AVERAGE('The List'!AF2:AF730))/STDEV('The List'!AF2:AF730)</f>
        <v>-0.497087180995962</v>
      </c>
      <c r="T337" s="46">
        <f>(VLOOKUP($A337,'The List'!$B1:$AH730,32,FALSE)-AVERAGE('The List'!AG2:AG730))/STDEV('The List'!AG2:AG730)</f>
        <v>-0.5077817039338069</v>
      </c>
      <c r="U337" s="46">
        <f>(VLOOKUP($A337,'The List'!$B1:$AH730,33,FALSE)-AVERAGE('The List'!AH2:AH730))/STDEV('The List'!AH2:AH730)</f>
        <v>0.585266374122326</v>
      </c>
      <c r="V337" s="46"/>
      <c r="W337" s="48"/>
      <c r="X337" s="46"/>
      <c r="Y337" s="46"/>
      <c r="Z337" s="46"/>
      <c r="AA337" s="46"/>
      <c r="AB337" s="46"/>
      <c r="AC337" s="46"/>
      <c r="AD337" s="46"/>
      <c r="AE337" s="46"/>
    </row>
    <row r="338" ht="21.25" customHeight="1">
      <c r="A338" t="s" s="8">
        <v>608</v>
      </c>
      <c r="B338" t="s" s="42">
        <f>VLOOKUP(A338,'Player Data'!A1:B734,2,FALSE)</f>
        <v>258</v>
      </c>
      <c r="C338" s="44">
        <f>((E338)*'Settings'!$C$12)+(F338*'Settings'!$C$2)+(G338*'Settings'!$C$3)+(H338*'Settings'!$C$4)+(I338*'Settings'!$C$5)+(K338*'Settings'!$C$9)+(N338*'Settings'!$C$6)+(J338*'Settings'!$C$8)+(O338*'Settings'!$C$7)+(P338*'Settings'!$C$14)+(Q338*'Settings'!$C$15)+(R338*'Settings'!$C$16)+(S338*'Settings'!$C$17)+(T338*'Settings'!$C$18)+(U338*'Settings'!$C$19)+(L338*'Settings'!$C$10)+('Settings'!$C$11*M338)</f>
        <v>-2.7415342366348</v>
      </c>
      <c r="D338" s="48">
        <f>IF('Settings'!$E$12="YES",VLOOKUP(A338,'Player Data'!A1:E734,5,FALSE),82)</f>
        <v>67.3925</v>
      </c>
      <c r="E338" s="46">
        <f>(VLOOKUP($A338,'The List'!$B1:$AH730,17,FALSE)-AVERAGE('The List'!R2:R730))/STDEV('The List'!R2:R730)</f>
        <v>-0.757194295996119</v>
      </c>
      <c r="F338" s="46">
        <f>(VLOOKUP($A338,'The List'!$B1:$AH730,18,FALSE)-AVERAGE('The List'!S2:S730))/STDEV('The List'!S2:S730)</f>
        <v>-0.183548612925778</v>
      </c>
      <c r="G338" s="46">
        <f>(VLOOKUP($A338,'The List'!$B1:$AH730,19,FALSE)-AVERAGE('The List'!T2:T730))/STDEV('The List'!T2:T730)</f>
        <v>-0.587038000126277</v>
      </c>
      <c r="H338" s="46">
        <f>(VLOOKUP($A338,'The List'!$B1:$AH730,20,FALSE)-AVERAGE('The List'!U2:U730))/STDEV('The List'!U2:U730)</f>
        <v>-0.445419511316248</v>
      </c>
      <c r="I338" s="46">
        <f>(VLOOKUP($A338,'The List'!$B1:$AH730,21,FALSE)-AVERAGE('The List'!V2:V730))/STDEV('The List'!V2:V730)</f>
        <v>0.415656897248394</v>
      </c>
      <c r="J338" s="46">
        <f>(VLOOKUP($A338,'The List'!$B1:$AH730,22,FALSE)-AVERAGE('The List'!W2:W730))/STDEV('The List'!W2:W730)</f>
        <v>-0.262255819359232</v>
      </c>
      <c r="K338" s="46">
        <f>(VLOOKUP($A338,'The List'!$B1:$AH730,23,FALSE)-AVERAGE('The List'!X2:X730))/STDEV('The List'!X2:X730)</f>
        <v>-0.458967534200995</v>
      </c>
      <c r="L338" s="46">
        <f>(VLOOKUP($A338,'The List'!$B1:$AH730,24,FALSE)-AVERAGE('The List'!Y2:Y730))/STDEV('The List'!Y2:Y730)</f>
        <v>-0.538147825078981</v>
      </c>
      <c r="M338" s="46">
        <f>(VLOOKUP($A338,'The List'!$B1:$AH730,25,FALSE)-AVERAGE('The List'!Z2:Z730))/STDEV('The List'!Z2:Z730)</f>
        <v>-0.716436829745166</v>
      </c>
      <c r="N338" s="46">
        <f>(VLOOKUP($A338,'The List'!$B1:$AH730,26,FALSE)-AVERAGE('The List'!AA2:AA730))/STDEV('The List'!AA2:AA730)</f>
        <v>-0.803393682576019</v>
      </c>
      <c r="O338" s="46">
        <f>(VLOOKUP($A338,'The List'!$B1:$AH730,27,FALSE)-AVERAGE('The List'!AB2:AB730))/STDEV('The List'!AB2:AB730)</f>
        <v>-0.831941737451767</v>
      </c>
      <c r="P338" s="46">
        <f>(VLOOKUP($A338,'The List'!$B1:$AH730,28,FALSE)-AVERAGE('The List'!AC2:AC730))/STDEV('The List'!AC2:AC730)</f>
        <v>-1.12424330405412</v>
      </c>
      <c r="Q338" s="46">
        <f>(VLOOKUP($A338,'The List'!$B1:$AH730,29,FALSE)-AVERAGE('The List'!AD2:AD730))/STDEV('The List'!AD2:AD730)</f>
        <v>0.851085654568742</v>
      </c>
      <c r="R338" s="46">
        <f>(VLOOKUP($A338,'The List'!$B1:$AH730,30,FALSE)-AVERAGE('The List'!AE2:AE730))/STDEV('The List'!AE2:AE730)</f>
        <v>-0.443221081431133</v>
      </c>
      <c r="S338" s="46">
        <f>(VLOOKUP($A338,'The List'!$B1:$AH730,31,FALSE)-AVERAGE('The List'!AF2:AF730))/STDEV('The List'!AF2:AF730)</f>
        <v>-0.483080348768195</v>
      </c>
      <c r="T338" s="46">
        <f>(VLOOKUP($A338,'The List'!$B1:$AH730,32,FALSE)-AVERAGE('The List'!AG2:AG730))/STDEV('The List'!AG2:AG730)</f>
        <v>-0.484642598782483</v>
      </c>
      <c r="U338" s="46">
        <f>(VLOOKUP($A338,'The List'!$B1:$AH730,33,FALSE)-AVERAGE('The List'!AH2:AH730))/STDEV('The List'!AH2:AH730)</f>
        <v>0.572624396793582</v>
      </c>
      <c r="V338" s="46"/>
      <c r="W338" s="50"/>
      <c r="X338" s="48"/>
      <c r="Y338" s="48"/>
      <c r="Z338" s="48"/>
      <c r="AA338" s="48"/>
      <c r="AB338" s="48"/>
      <c r="AC338" s="51"/>
      <c r="AD338" s="52"/>
      <c r="AE338" s="46"/>
    </row>
    <row r="339" ht="21.25" customHeight="1">
      <c r="A339" t="s" s="8">
        <v>722</v>
      </c>
      <c r="B339" t="s" s="42">
        <f>VLOOKUP(A339,'Player Data'!A1:B734,2,FALSE)</f>
        <v>156</v>
      </c>
      <c r="C339" s="44">
        <f>((E339)*'Settings'!$C$12)+(F339*'Settings'!$C$2)+(G339*'Settings'!$C$3)+(H339*'Settings'!$C$4)+(I339*'Settings'!$C$5)+(K339*'Settings'!$C$9)+(N339*'Settings'!$C$6)+(J339*'Settings'!$C$8)+(O339*'Settings'!$C$7)+(P339*'Settings'!$C$14)+(Q339*'Settings'!$C$15)+(R339*'Settings'!$C$16)+(S339*'Settings'!$C$17)+(T339*'Settings'!$C$18)+(U339*'Settings'!$C$19)+(L339*'Settings'!$C$10)+('Settings'!$C$11*M339)</f>
        <v>-2.86984292001982</v>
      </c>
      <c r="D339" s="48">
        <f>IF('Settings'!$E$12="YES",VLOOKUP(A339,'Player Data'!A1:E734,5,FALSE),82)</f>
        <v>57.8642857142857</v>
      </c>
      <c r="E339" s="46">
        <f>(VLOOKUP($A339,'The List'!$B1:$AH730,17,FALSE)-AVERAGE('The List'!R2:R730))/STDEV('The List'!R2:R730)</f>
        <v>-0.5092321579068541</v>
      </c>
      <c r="F339" s="46">
        <f>(VLOOKUP($A339,'The List'!$B1:$AH730,18,FALSE)-AVERAGE('The List'!S2:S730))/STDEV('The List'!S2:S730)</f>
        <v>-0.367492211832909</v>
      </c>
      <c r="G339" s="46">
        <f>(VLOOKUP($A339,'The List'!$B1:$AH730,19,FALSE)-AVERAGE('The List'!T2:T730))/STDEV('The List'!T2:T730)</f>
        <v>-0.720057878101898</v>
      </c>
      <c r="H339" s="46">
        <f>(VLOOKUP($A339,'The List'!$B1:$AH730,20,FALSE)-AVERAGE('The List'!U2:U730))/STDEV('The List'!U2:U730)</f>
        <v>-0.611122544337932</v>
      </c>
      <c r="I339" s="46">
        <f>(VLOOKUP($A339,'The List'!$B1:$AH730,21,FALSE)-AVERAGE('The List'!V2:V730))/STDEV('The List'!V2:V730)</f>
        <v>-0.125102302271634</v>
      </c>
      <c r="J339" s="46">
        <f>(VLOOKUP($A339,'The List'!$B1:$AH730,22,FALSE)-AVERAGE('The List'!W2:W730))/STDEV('The List'!W2:W730)</f>
        <v>-0.6455856770248301</v>
      </c>
      <c r="K339" s="46">
        <f>(VLOOKUP($A339,'The List'!$B1:$AH730,23,FALSE)-AVERAGE('The List'!X2:X730))/STDEV('The List'!X2:X730)</f>
        <v>-0.7085884719822509</v>
      </c>
      <c r="L339" s="46">
        <f>(VLOOKUP($A339,'The List'!$B1:$AH730,24,FALSE)-AVERAGE('The List'!Y2:Y730))/STDEV('The List'!Y2:Y730)</f>
        <v>-0.214885609464666</v>
      </c>
      <c r="M339" s="46">
        <f>(VLOOKUP($A339,'The List'!$B1:$AH730,25,FALSE)-AVERAGE('The List'!Z2:Z730))/STDEV('The List'!Z2:Z730)</f>
        <v>0.6201083390636321</v>
      </c>
      <c r="N339" s="46">
        <f>(VLOOKUP($A339,'The List'!$B1:$AH730,26,FALSE)-AVERAGE('The List'!AA2:AA730))/STDEV('The List'!AA2:AA730)</f>
        <v>-0.9034346442844849</v>
      </c>
      <c r="O339" s="46">
        <f>(VLOOKUP($A339,'The List'!$B1:$AH730,27,FALSE)-AVERAGE('The List'!AB2:AB730))/STDEV('The List'!AB2:AB730)</f>
        <v>0.0450587523938491</v>
      </c>
      <c r="P339" s="46">
        <f>(VLOOKUP($A339,'The List'!$B1:$AH730,28,FALSE)-AVERAGE('The List'!AC2:AC730))/STDEV('The List'!AC2:AC730)</f>
        <v>-0.0451674115466402</v>
      </c>
      <c r="Q339" s="46">
        <f>(VLOOKUP($A339,'The List'!$B1:$AH730,29,FALSE)-AVERAGE('The List'!AD2:AD730))/STDEV('The List'!AD2:AD730)</f>
        <v>-0.422860937280424</v>
      </c>
      <c r="R339" s="46">
        <f>(VLOOKUP($A339,'The List'!$B1:$AH730,30,FALSE)-AVERAGE('The List'!AE2:AE730))/STDEV('The List'!AE2:AE730)</f>
        <v>-0.329608199627621</v>
      </c>
      <c r="S339" s="46">
        <f>(VLOOKUP($A339,'The List'!$B1:$AH730,31,FALSE)-AVERAGE('The List'!AF2:AF730))/STDEV('The List'!AF2:AF730)</f>
        <v>-0.543235844299765</v>
      </c>
      <c r="T339" s="46">
        <f>(VLOOKUP($A339,'The List'!$B1:$AH730,32,FALSE)-AVERAGE('The List'!AG2:AG730))/STDEV('The List'!AG2:AG730)</f>
        <v>-0.56832197820935</v>
      </c>
      <c r="U339" s="46">
        <f>(VLOOKUP($A339,'The List'!$B1:$AH730,33,FALSE)-AVERAGE('The List'!AH2:AH730))/STDEV('The List'!AH2:AH730)</f>
        <v>0.147893179511145</v>
      </c>
      <c r="V339" s="46"/>
      <c r="W339" s="50"/>
      <c r="X339" s="48"/>
      <c r="Y339" s="48"/>
      <c r="Z339" s="48"/>
      <c r="AA339" s="48"/>
      <c r="AB339" s="48"/>
      <c r="AC339" s="51"/>
      <c r="AD339" s="52"/>
      <c r="AE339" s="46"/>
    </row>
    <row r="340" ht="21.25" customHeight="1">
      <c r="A340" t="s" s="8">
        <v>373</v>
      </c>
      <c r="B340" t="s" s="42">
        <f>VLOOKUP(A340,'Player Data'!A1:B734,2,FALSE)</f>
        <v>202</v>
      </c>
      <c r="C340" s="44">
        <f>((E340)*'Settings'!$C$12)+(F340*'Settings'!$C$2)+(G340*'Settings'!$C$3)+(H340*'Settings'!$C$4)+(I340*'Settings'!$C$5)+(K340*'Settings'!$C$9)+(N340*'Settings'!$C$6)+(J340*'Settings'!$C$8)+(O340*'Settings'!$C$7)+(P340*'Settings'!$C$14)+(Q340*'Settings'!$C$15)+(R340*'Settings'!$C$16)+(S340*'Settings'!$C$17)+(T340*'Settings'!$C$18)+(U340*'Settings'!$C$19)+(L340*'Settings'!$C$10)+('Settings'!$C$11*M340)</f>
        <v>2.44273369059174</v>
      </c>
      <c r="D340" s="48">
        <f>IF('Settings'!$E$12="YES",VLOOKUP(A340,'Player Data'!A1:E734,5,FALSE),82)</f>
        <v>79.96678571428571</v>
      </c>
      <c r="E340" s="46">
        <f>(VLOOKUP($A340,'The List'!$B1:$AH730,17,FALSE)-AVERAGE('The List'!R2:R730))/STDEV('The List'!R2:R730)</f>
        <v>1.45903046616107</v>
      </c>
      <c r="F340" s="46">
        <f>(VLOOKUP($A340,'The List'!$B1:$AH730,18,FALSE)-AVERAGE('The List'!S2:S730))/STDEV('The List'!S2:S730)</f>
        <v>-0.773613759606913</v>
      </c>
      <c r="G340" s="46">
        <f>(VLOOKUP($A340,'The List'!$B1:$AH730,19,FALSE)-AVERAGE('The List'!T2:T730))/STDEV('The List'!T2:T730)</f>
        <v>0.190693147585382</v>
      </c>
      <c r="H340" s="46">
        <f>(VLOOKUP($A340,'The List'!$B1:$AH730,20,FALSE)-AVERAGE('The List'!U2:U730))/STDEV('The List'!U2:U730)</f>
        <v>-0.234449956908743</v>
      </c>
      <c r="I340" s="46">
        <f>(VLOOKUP($A340,'The List'!$B1:$AH730,21,FALSE)-AVERAGE('The List'!V2:V730))/STDEV('The List'!V2:V730)</f>
        <v>0.181329342500355</v>
      </c>
      <c r="J340" s="46">
        <f>(VLOOKUP($A340,'The List'!$B1:$AH730,22,FALSE)-AVERAGE('The List'!W2:W730))/STDEV('The List'!W2:W730)</f>
        <v>-0.698089945439307</v>
      </c>
      <c r="K340" s="46">
        <f>(VLOOKUP($A340,'The List'!$B1:$AH730,23,FALSE)-AVERAGE('The List'!X2:X730))/STDEV('The List'!X2:X730)</f>
        <v>-0.764493596808028</v>
      </c>
      <c r="L340" s="46">
        <f>(VLOOKUP($A340,'The List'!$B1:$AH730,24,FALSE)-AVERAGE('The List'!Y2:Y730))/STDEV('The List'!Y2:Y730)</f>
        <v>-0.503167742415235</v>
      </c>
      <c r="M340" s="46">
        <f>(VLOOKUP($A340,'The List'!$B1:$AH730,25,FALSE)-AVERAGE('The List'!Z2:Z730))/STDEV('The List'!Z2:Z730)</f>
        <v>0.641341160788901</v>
      </c>
      <c r="N340" s="46">
        <f>(VLOOKUP($A340,'The List'!$B1:$AH730,26,FALSE)-AVERAGE('The List'!AA2:AA730))/STDEV('The List'!AA2:AA730)</f>
        <v>1.44207606289123</v>
      </c>
      <c r="O340" s="46">
        <f>(VLOOKUP($A340,'The List'!$B1:$AH730,27,FALSE)-AVERAGE('The List'!AB2:AB730))/STDEV('The List'!AB2:AB730)</f>
        <v>-0.8449995588661759</v>
      </c>
      <c r="P340" s="46">
        <f>(VLOOKUP($A340,'The List'!$B1:$AH730,28,FALSE)-AVERAGE('The List'!AC2:AC730))/STDEV('The List'!AC2:AC730)</f>
        <v>2.16674249402971</v>
      </c>
      <c r="Q340" s="46">
        <f>(VLOOKUP($A340,'The List'!$B1:$AH730,29,FALSE)-AVERAGE('The List'!AD2:AD730))/STDEV('The List'!AD2:AD730)</f>
        <v>-1.32004310227796</v>
      </c>
      <c r="R340" s="46">
        <f>(VLOOKUP($A340,'The List'!$B1:$AH730,30,FALSE)-AVERAGE('The List'!AE2:AE730))/STDEV('The List'!AE2:AE730)</f>
        <v>-0.57511168305474</v>
      </c>
      <c r="S340" s="46">
        <f>(VLOOKUP($A340,'The List'!$B1:$AH730,31,FALSE)-AVERAGE('The List'!AF2:AF730))/STDEV('The List'!AF2:AF730)</f>
        <v>-0.5569063253591</v>
      </c>
      <c r="T340" s="46">
        <f>(VLOOKUP($A340,'The List'!$B1:$AH730,32,FALSE)-AVERAGE('The List'!AG2:AG730))/STDEV('The List'!AG2:AG730)</f>
        <v>-0.600856269042678</v>
      </c>
      <c r="U340" s="46">
        <f>(VLOOKUP($A340,'The List'!$B1:$AH730,33,FALSE)-AVERAGE('The List'!AH2:AH730))/STDEV('The List'!AH2:AH730)</f>
        <v>-1.2363238714826</v>
      </c>
      <c r="V340" s="46"/>
      <c r="W340" s="50"/>
      <c r="X340" s="48"/>
      <c r="Y340" s="48"/>
      <c r="Z340" s="48"/>
      <c r="AA340" s="48"/>
      <c r="AB340" s="48"/>
      <c r="AC340" s="51"/>
      <c r="AD340" s="52"/>
      <c r="AE340" s="46"/>
    </row>
    <row r="341" ht="21.25" customHeight="1">
      <c r="A341" t="s" s="8">
        <v>600</v>
      </c>
      <c r="B341" t="s" s="42">
        <f>VLOOKUP(A341,'Player Data'!A1:B734,2,FALSE)</f>
        <v>136</v>
      </c>
      <c r="C341" s="44">
        <f>((E341)*'Settings'!$C$12)+(F341*'Settings'!$C$2)+(G341*'Settings'!$C$3)+(H341*'Settings'!$C$4)+(I341*'Settings'!$C$5)+(K341*'Settings'!$C$9)+(N341*'Settings'!$C$6)+(J341*'Settings'!$C$8)+(O341*'Settings'!$C$7)+(P341*'Settings'!$C$14)+(Q341*'Settings'!$C$15)+(R341*'Settings'!$C$16)+(S341*'Settings'!$C$17)+(T341*'Settings'!$C$18)+(U341*'Settings'!$C$19)+(L341*'Settings'!$C$10)+('Settings'!$C$11*M341)</f>
        <v>-0.356357240331235</v>
      </c>
      <c r="D341" s="48">
        <f>IF('Settings'!$E$12="YES",VLOOKUP(A341,'Player Data'!A1:E734,5,FALSE),82)</f>
        <v>79.73607142857141</v>
      </c>
      <c r="E341" s="46">
        <f>(VLOOKUP($A341,'The List'!$B1:$AH730,17,FALSE)-AVERAGE('The List'!R2:R730))/STDEV('The List'!R2:R730)</f>
        <v>-0.740878597703962</v>
      </c>
      <c r="F341" s="46">
        <f>(VLOOKUP($A341,'The List'!$B1:$AH730,18,FALSE)-AVERAGE('The List'!S2:S730))/STDEV('The List'!S2:S730)</f>
        <v>-0.265248863562916</v>
      </c>
      <c r="G341" s="46">
        <f>(VLOOKUP($A341,'The List'!$B1:$AH730,19,FALSE)-AVERAGE('The List'!T2:T730))/STDEV('The List'!T2:T730)</f>
        <v>-0.194185063345226</v>
      </c>
      <c r="H341" s="46">
        <f>(VLOOKUP($A341,'The List'!$B1:$AH730,20,FALSE)-AVERAGE('The List'!U2:U730))/STDEV('The List'!U2:U730)</f>
        <v>-0.240406091918823</v>
      </c>
      <c r="I341" s="46">
        <f>(VLOOKUP($A341,'The List'!$B1:$AH730,21,FALSE)-AVERAGE('The List'!V2:V730))/STDEV('The List'!V2:V730)</f>
        <v>-0.148867338247083</v>
      </c>
      <c r="J341" s="46">
        <f>(VLOOKUP($A341,'The List'!$B1:$AH730,22,FALSE)-AVERAGE('The List'!W2:W730))/STDEV('The List'!W2:W730)</f>
        <v>-0.316499570654799</v>
      </c>
      <c r="K341" s="46">
        <f>(VLOOKUP($A341,'The List'!$B1:$AH730,23,FALSE)-AVERAGE('The List'!X2:X730))/STDEV('The List'!X2:X730)</f>
        <v>-0.241975252790853</v>
      </c>
      <c r="L341" s="46">
        <f>(VLOOKUP($A341,'The List'!$B1:$AH730,24,FALSE)-AVERAGE('The List'!Y2:Y730))/STDEV('The List'!Y2:Y730)</f>
        <v>-0.406963642615153</v>
      </c>
      <c r="M341" s="46">
        <f>(VLOOKUP($A341,'The List'!$B1:$AH730,25,FALSE)-AVERAGE('The List'!Z2:Z730))/STDEV('The List'!Z2:Z730)</f>
        <v>-0.562803466479332</v>
      </c>
      <c r="N341" s="46">
        <f>(VLOOKUP($A341,'The List'!$B1:$AH730,26,FALSE)-AVERAGE('The List'!AA2:AA730))/STDEV('The List'!AA2:AA730)</f>
        <v>-0.554941720081117</v>
      </c>
      <c r="O341" s="46">
        <f>(VLOOKUP($A341,'The List'!$B1:$AH730,27,FALSE)-AVERAGE('The List'!AB2:AB730))/STDEV('The List'!AB2:AB730)</f>
        <v>-0.858776583548313</v>
      </c>
      <c r="P341" s="46">
        <f>(VLOOKUP($A341,'The List'!$B1:$AH730,28,FALSE)-AVERAGE('The List'!AC2:AC730))/STDEV('The List'!AC2:AC730)</f>
        <v>1.04886099769596</v>
      </c>
      <c r="Q341" s="46">
        <f>(VLOOKUP($A341,'The List'!$B1:$AH730,29,FALSE)-AVERAGE('The List'!AD2:AD730))/STDEV('The List'!AD2:AD730)</f>
        <v>-0.990368548696644</v>
      </c>
      <c r="R341" s="46">
        <f>(VLOOKUP($A341,'The List'!$B1:$AH730,30,FALSE)-AVERAGE('The List'!AE2:AE730))/STDEV('The List'!AE2:AE730)</f>
        <v>-0.111845224541334</v>
      </c>
      <c r="S341" s="46">
        <f>(VLOOKUP($A341,'The List'!$B1:$AH730,31,FALSE)-AVERAGE('The List'!AF2:AF730))/STDEV('The List'!AF2:AF730)</f>
        <v>-0.550880919461507</v>
      </c>
      <c r="T341" s="46">
        <f>(VLOOKUP($A341,'The List'!$B1:$AH730,32,FALSE)-AVERAGE('The List'!AG2:AG730))/STDEV('The List'!AG2:AG730)</f>
        <v>-0.572357081943183</v>
      </c>
      <c r="U341" s="46">
        <f>(VLOOKUP($A341,'The List'!$B1:$AH730,33,FALSE)-AVERAGE('The List'!AH2:AH730))/STDEV('The List'!AH2:AH730)</f>
        <v>-0.414723707656575</v>
      </c>
      <c r="V341" s="46"/>
      <c r="W341" s="50"/>
      <c r="X341" s="48"/>
      <c r="Y341" s="48"/>
      <c r="Z341" s="48"/>
      <c r="AA341" s="48"/>
      <c r="AB341" s="48"/>
      <c r="AC341" s="51"/>
      <c r="AD341" s="52"/>
      <c r="AE341" s="46"/>
    </row>
    <row r="342" ht="21.25" customHeight="1">
      <c r="A342" t="s" s="8">
        <v>672</v>
      </c>
      <c r="B342" t="s" s="42">
        <f>VLOOKUP(A342,'Player Data'!A1:B734,2,FALSE)</f>
        <v>292</v>
      </c>
      <c r="C342" s="44">
        <f>((E342)*'Settings'!$C$12)+(F342*'Settings'!$C$2)+(G342*'Settings'!$C$3)+(H342*'Settings'!$C$4)+(I342*'Settings'!$C$5)+(K342*'Settings'!$C$9)+(N342*'Settings'!$C$6)+(J342*'Settings'!$C$8)+(O342*'Settings'!$C$7)+(P342*'Settings'!$C$14)+(Q342*'Settings'!$C$15)+(R342*'Settings'!$C$16)+(S342*'Settings'!$C$17)+(T342*'Settings'!$C$18)+(U342*'Settings'!$C$19)+(L342*'Settings'!$C$10)+('Settings'!$C$11*M342)</f>
        <v>-2.75819664674031</v>
      </c>
      <c r="D342" s="48">
        <f>IF('Settings'!$E$12="YES",VLOOKUP(A342,'Player Data'!A1:E734,5,FALSE),82)</f>
        <v>77.4421428571429</v>
      </c>
      <c r="E342" s="46">
        <f>(VLOOKUP($A342,'The List'!$B1:$AH730,17,FALSE)-AVERAGE('The List'!R2:R730))/STDEV('The List'!R2:R730)</f>
        <v>-0.903827756910778</v>
      </c>
      <c r="F342" s="46">
        <f>(VLOOKUP($A342,'The List'!$B1:$AH730,18,FALSE)-AVERAGE('The List'!S2:S730))/STDEV('The List'!S2:S730)</f>
        <v>-0.379041507892634</v>
      </c>
      <c r="G342" s="46">
        <f>(VLOOKUP($A342,'The List'!$B1:$AH730,19,FALSE)-AVERAGE('The List'!T2:T730))/STDEV('The List'!T2:T730)</f>
        <v>-0.178804069368264</v>
      </c>
      <c r="H342" s="46">
        <f>(VLOOKUP($A342,'The List'!$B1:$AH730,20,FALSE)-AVERAGE('The List'!U2:U730))/STDEV('The List'!U2:U730)</f>
        <v>-0.282701846655892</v>
      </c>
      <c r="I342" s="46">
        <f>(VLOOKUP($A342,'The List'!$B1:$AH730,21,FALSE)-AVERAGE('The List'!V2:V730))/STDEV('The List'!V2:V730)</f>
        <v>-0.801648736597555</v>
      </c>
      <c r="J342" s="46">
        <f>(VLOOKUP($A342,'The List'!$B1:$AH730,22,FALSE)-AVERAGE('The List'!W2:W730))/STDEV('The List'!W2:W730)</f>
        <v>-0.55819364705636</v>
      </c>
      <c r="K342" s="46">
        <f>(VLOOKUP($A342,'The List'!$B1:$AH730,23,FALSE)-AVERAGE('The List'!X2:X730))/STDEV('The List'!X2:X730)</f>
        <v>-0.360267731637553</v>
      </c>
      <c r="L342" s="46">
        <f>(VLOOKUP($A342,'The List'!$B1:$AH730,24,FALSE)-AVERAGE('The List'!Y2:Y730))/STDEV('The List'!Y2:Y730)</f>
        <v>-0.542843480388394</v>
      </c>
      <c r="M342" s="46">
        <f>(VLOOKUP($A342,'The List'!$B1:$AH730,25,FALSE)-AVERAGE('The List'!Z2:Z730))/STDEV('The List'!Z2:Z730)</f>
        <v>-0.72177514995105</v>
      </c>
      <c r="N342" s="46">
        <f>(VLOOKUP($A342,'The List'!$B1:$AH730,26,FALSE)-AVERAGE('The List'!AA2:AA730))/STDEV('The List'!AA2:AA730)</f>
        <v>-0.809105775712651</v>
      </c>
      <c r="O342" s="46">
        <f>(VLOOKUP($A342,'The List'!$B1:$AH730,27,FALSE)-AVERAGE('The List'!AB2:AB730))/STDEV('The List'!AB2:AB730)</f>
        <v>-1.3641652751661</v>
      </c>
      <c r="P342" s="46">
        <f>(VLOOKUP($A342,'The List'!$B1:$AH730,28,FALSE)-AVERAGE('The List'!AC2:AC730))/STDEV('The List'!AC2:AC730)</f>
        <v>-0.229328825531654</v>
      </c>
      <c r="Q342" s="46">
        <f>(VLOOKUP($A342,'The List'!$B1:$AH730,29,FALSE)-AVERAGE('The List'!AD2:AD730))/STDEV('The List'!AD2:AD730)</f>
        <v>-1.65559545789275</v>
      </c>
      <c r="R342" s="46">
        <f>(VLOOKUP($A342,'The List'!$B1:$AH730,30,FALSE)-AVERAGE('The List'!AE2:AE730))/STDEV('The List'!AE2:AE730)</f>
        <v>-1.18448477237391</v>
      </c>
      <c r="S342" s="46">
        <f>(VLOOKUP($A342,'The List'!$B1:$AH730,31,FALSE)-AVERAGE('The List'!AF2:AF730))/STDEV('The List'!AF2:AF730)</f>
        <v>-0.375381174639294</v>
      </c>
      <c r="T342" s="46">
        <f>(VLOOKUP($A342,'The List'!$B1:$AH730,32,FALSE)-AVERAGE('The List'!AG2:AG730))/STDEV('The List'!AG2:AG730)</f>
        <v>-0.326977147247023</v>
      </c>
      <c r="U342" s="46">
        <f>(VLOOKUP($A342,'The List'!$B1:$AH730,33,FALSE)-AVERAGE('The List'!AH2:AH730))/STDEV('The List'!AH2:AH730)</f>
        <v>0.618820624369145</v>
      </c>
      <c r="V342" s="46"/>
      <c r="W342" s="48"/>
      <c r="X342" s="46"/>
      <c r="Y342" s="46"/>
      <c r="Z342" s="46"/>
      <c r="AA342" s="46"/>
      <c r="AB342" s="46"/>
      <c r="AC342" s="46"/>
      <c r="AD342" s="46"/>
      <c r="AE342" s="46"/>
    </row>
    <row r="343" ht="21.25" customHeight="1">
      <c r="A343" t="s" s="8">
        <v>644</v>
      </c>
      <c r="B343" t="s" s="42">
        <f>VLOOKUP(A343,'Player Data'!A1:B734,2,FALSE)</f>
        <v>141</v>
      </c>
      <c r="C343" s="44">
        <f>((E343)*'Settings'!$C$12)+(F343*'Settings'!$C$2)+(G343*'Settings'!$C$3)+(H343*'Settings'!$C$4)+(I343*'Settings'!$C$5)+(K343*'Settings'!$C$9)+(N343*'Settings'!$C$6)+(J343*'Settings'!$C$8)+(O343*'Settings'!$C$7)+(P343*'Settings'!$C$14)+(Q343*'Settings'!$C$15)+(R343*'Settings'!$C$16)+(S343*'Settings'!$C$17)+(T343*'Settings'!$C$18)+(U343*'Settings'!$C$19)+(L343*'Settings'!$C$10)+('Settings'!$C$11*M343)</f>
        <v>-1.43608362452318</v>
      </c>
      <c r="D343" s="48">
        <f>IF('Settings'!$E$12="YES",VLOOKUP(A343,'Player Data'!A1:E734,5,FALSE),82)</f>
        <v>70.34178571428571</v>
      </c>
      <c r="E343" s="46">
        <f>(VLOOKUP($A343,'The List'!$B1:$AH730,17,FALSE)-AVERAGE('The List'!R2:R730))/STDEV('The List'!R2:R730)</f>
        <v>-0.300191513181895</v>
      </c>
      <c r="F343" s="46">
        <f>(VLOOKUP($A343,'The List'!$B1:$AH730,18,FALSE)-AVERAGE('The List'!S2:S730))/STDEV('The List'!S2:S730)</f>
        <v>-0.0322240337459576</v>
      </c>
      <c r="G343" s="46">
        <f>(VLOOKUP($A343,'The List'!$B1:$AH730,19,FALSE)-AVERAGE('The List'!T2:T730))/STDEV('The List'!T2:T730)</f>
        <v>-0.635922280682778</v>
      </c>
      <c r="H343" s="46">
        <f>(VLOOKUP($A343,'The List'!$B1:$AH730,20,FALSE)-AVERAGE('The List'!U2:U730))/STDEV('The List'!U2:U730)</f>
        <v>-0.406700309313066</v>
      </c>
      <c r="I343" s="46">
        <f>(VLOOKUP($A343,'The List'!$B1:$AH730,21,FALSE)-AVERAGE('The List'!V2:V730))/STDEV('The List'!V2:V730)</f>
        <v>-0.0501304081958918</v>
      </c>
      <c r="J343" s="46">
        <f>(VLOOKUP($A343,'The List'!$B1:$AH730,22,FALSE)-AVERAGE('The List'!W2:W730))/STDEV('The List'!W2:W730)</f>
        <v>-0.0907429766733947</v>
      </c>
      <c r="K343" s="46">
        <f>(VLOOKUP($A343,'The List'!$B1:$AH730,23,FALSE)-AVERAGE('The List'!X2:X730))/STDEV('The List'!X2:X730)</f>
        <v>-0.200969214165002</v>
      </c>
      <c r="L343" s="46">
        <f>(VLOOKUP($A343,'The List'!$B1:$AH730,24,FALSE)-AVERAGE('The List'!Y2:Y730))/STDEV('The List'!Y2:Y730)</f>
        <v>-0.114900271148918</v>
      </c>
      <c r="M343" s="46">
        <f>(VLOOKUP($A343,'The List'!$B1:$AH730,25,FALSE)-AVERAGE('The List'!Z2:Z730))/STDEV('The List'!Z2:Z730)</f>
        <v>-0.281082992099727</v>
      </c>
      <c r="N343" s="46">
        <f>(VLOOKUP($A343,'The List'!$B1:$AH730,26,FALSE)-AVERAGE('The List'!AA2:AA730))/STDEV('The List'!AA2:AA730)</f>
        <v>-0.204151265530882</v>
      </c>
      <c r="O343" s="46">
        <f>(VLOOKUP($A343,'The List'!$B1:$AH730,27,FALSE)-AVERAGE('The List'!AB2:AB730))/STDEV('The List'!AB2:AB730)</f>
        <v>1.25820566231294</v>
      </c>
      <c r="P343" s="46">
        <f>(VLOOKUP($A343,'The List'!$B1:$AH730,28,FALSE)-AVERAGE('The List'!AC2:AC730))/STDEV('The List'!AC2:AC730)</f>
        <v>-0.31268642220267</v>
      </c>
      <c r="Q343" s="46">
        <f>(VLOOKUP($A343,'The List'!$B1:$AH730,29,FALSE)-AVERAGE('The List'!AD2:AD730))/STDEV('The List'!AD2:AD730)</f>
        <v>1.70441098735476</v>
      </c>
      <c r="R343" s="46">
        <f>(VLOOKUP($A343,'The List'!$B1:$AH730,30,FALSE)-AVERAGE('The List'!AE2:AE730))/STDEV('The List'!AE2:AE730)</f>
        <v>-0.163848245216326</v>
      </c>
      <c r="S343" s="46">
        <f>(VLOOKUP($A343,'The List'!$B1:$AH730,31,FALSE)-AVERAGE('The List'!AF2:AF730))/STDEV('The List'!AF2:AF730)</f>
        <v>-0.439337275933736</v>
      </c>
      <c r="T343" s="46">
        <f>(VLOOKUP($A343,'The List'!$B1:$AH730,32,FALSE)-AVERAGE('The List'!AG2:AG730))/STDEV('The List'!AG2:AG730)</f>
        <v>-0.426179553523895</v>
      </c>
      <c r="U343" s="46">
        <f>(VLOOKUP($A343,'The List'!$B1:$AH730,33,FALSE)-AVERAGE('The List'!AH2:AH730))/STDEV('The List'!AH2:AH730)</f>
        <v>0.635657269224588</v>
      </c>
      <c r="V343" s="46"/>
      <c r="W343" s="48"/>
      <c r="X343" s="46"/>
      <c r="Y343" s="46"/>
      <c r="Z343" s="46"/>
      <c r="AA343" s="46"/>
      <c r="AB343" s="46"/>
      <c r="AC343" s="46"/>
      <c r="AD343" s="46"/>
      <c r="AE343" s="46"/>
    </row>
    <row r="344" ht="21.25" customHeight="1">
      <c r="A344" t="s" s="8">
        <v>365</v>
      </c>
      <c r="B344" t="s" s="42">
        <f>VLOOKUP(A344,'Player Data'!A1:B734,2,FALSE)</f>
        <v>202</v>
      </c>
      <c r="C344" s="44">
        <f>((E344)*'Settings'!$C$12)+(F344*'Settings'!$C$2)+(G344*'Settings'!$C$3)+(H344*'Settings'!$C$4)+(I344*'Settings'!$C$5)+(K344*'Settings'!$C$9)+(N344*'Settings'!$C$6)+(J344*'Settings'!$C$8)+(O344*'Settings'!$C$7)+(P344*'Settings'!$C$14)+(Q344*'Settings'!$C$15)+(R344*'Settings'!$C$16)+(S344*'Settings'!$C$17)+(T344*'Settings'!$C$18)+(U344*'Settings'!$C$19)+(L344*'Settings'!$C$10)+('Settings'!$C$11*M344)</f>
        <v>2.07432043006501</v>
      </c>
      <c r="D344" s="48">
        <f>IF('Settings'!$E$12="YES",VLOOKUP(A344,'Player Data'!A1:E734,5,FALSE),82)</f>
        <v>80.23357142857139</v>
      </c>
      <c r="E344" s="46">
        <f>(VLOOKUP($A344,'The List'!$B1:$AH730,17,FALSE)-AVERAGE('The List'!R2:R730))/STDEV('The List'!R2:R730)</f>
        <v>1.30918240526071</v>
      </c>
      <c r="F344" s="46">
        <f>(VLOOKUP($A344,'The List'!$B1:$AH730,18,FALSE)-AVERAGE('The List'!S2:S730))/STDEV('The List'!S2:S730)</f>
        <v>-0.717857841219256</v>
      </c>
      <c r="G344" s="46">
        <f>(VLOOKUP($A344,'The List'!$B1:$AH730,19,FALSE)-AVERAGE('The List'!T2:T730))/STDEV('The List'!T2:T730)</f>
        <v>0.138350017862813</v>
      </c>
      <c r="H344" s="46">
        <f>(VLOOKUP($A344,'The List'!$B1:$AH730,20,FALSE)-AVERAGE('The List'!U2:U730))/STDEV('The List'!U2:U730)</f>
        <v>-0.241348747311162</v>
      </c>
      <c r="I344" s="46">
        <f>(VLOOKUP($A344,'The List'!$B1:$AH730,21,FALSE)-AVERAGE('The List'!V2:V730))/STDEV('The List'!V2:V730)</f>
        <v>0.172358336837355</v>
      </c>
      <c r="J344" s="46">
        <f>(VLOOKUP($A344,'The List'!$B1:$AH730,22,FALSE)-AVERAGE('The List'!W2:W730))/STDEV('The List'!W2:W730)</f>
        <v>-0.561623633022018</v>
      </c>
      <c r="K344" s="46">
        <f>(VLOOKUP($A344,'The List'!$B1:$AH730,23,FALSE)-AVERAGE('The List'!X2:X730))/STDEV('The List'!X2:X730)</f>
        <v>-0.5498165542837971</v>
      </c>
      <c r="L344" s="46">
        <f>(VLOOKUP($A344,'The List'!$B1:$AH730,24,FALSE)-AVERAGE('The List'!Y2:Y730))/STDEV('The List'!Y2:Y730)</f>
        <v>-0.504489460143858</v>
      </c>
      <c r="M344" s="46">
        <f>(VLOOKUP($A344,'The List'!$B1:$AH730,25,FALSE)-AVERAGE('The List'!Z2:Z730))/STDEV('The List'!Z2:Z730)</f>
        <v>0.351469139828348</v>
      </c>
      <c r="N344" s="46">
        <f>(VLOOKUP($A344,'The List'!$B1:$AH730,26,FALSE)-AVERAGE('The List'!AA2:AA730))/STDEV('The List'!AA2:AA730)</f>
        <v>1.34279079937124</v>
      </c>
      <c r="O344" s="46">
        <f>(VLOOKUP($A344,'The List'!$B1:$AH730,27,FALSE)-AVERAGE('The List'!AB2:AB730))/STDEV('The List'!AB2:AB730)</f>
        <v>-0.9238490398220019</v>
      </c>
      <c r="P344" s="46">
        <f>(VLOOKUP($A344,'The List'!$B1:$AH730,28,FALSE)-AVERAGE('The List'!AC2:AC730))/STDEV('The List'!AC2:AC730)</f>
        <v>1.68849567149665</v>
      </c>
      <c r="Q344" s="46">
        <f>(VLOOKUP($A344,'The List'!$B1:$AH730,29,FALSE)-AVERAGE('The List'!AD2:AD730))/STDEV('The List'!AD2:AD730)</f>
        <v>0.09953738531541929</v>
      </c>
      <c r="R344" s="46">
        <f>(VLOOKUP($A344,'The List'!$B1:$AH730,30,FALSE)-AVERAGE('The List'!AE2:AE730))/STDEV('The List'!AE2:AE730)</f>
        <v>-0.51001539825826</v>
      </c>
      <c r="S344" s="46">
        <f>(VLOOKUP($A344,'The List'!$B1:$AH730,31,FALSE)-AVERAGE('The List'!AF2:AF730))/STDEV('The List'!AF2:AF730)</f>
        <v>-0.5569063253591</v>
      </c>
      <c r="T344" s="46">
        <f>(VLOOKUP($A344,'The List'!$B1:$AH730,32,FALSE)-AVERAGE('The List'!AG2:AG730))/STDEV('The List'!AG2:AG730)</f>
        <v>-0.600856269042678</v>
      </c>
      <c r="U344" s="46">
        <f>(VLOOKUP($A344,'The List'!$B1:$AH730,33,FALSE)-AVERAGE('The List'!AH2:AH730))/STDEV('The List'!AH2:AH730)</f>
        <v>-1.2363238714826</v>
      </c>
      <c r="V344" s="46"/>
      <c r="W344" s="48"/>
      <c r="X344" s="46"/>
      <c r="Y344" s="46"/>
      <c r="Z344" s="46"/>
      <c r="AA344" s="46"/>
      <c r="AB344" s="46"/>
      <c r="AC344" s="46"/>
      <c r="AD344" s="46"/>
      <c r="AE344" s="46"/>
    </row>
    <row r="345" ht="21.25" customHeight="1">
      <c r="A345" t="s" s="8">
        <v>704</v>
      </c>
      <c r="B345" t="s" s="42">
        <f>VLOOKUP(A345,'Player Data'!A1:B734,2,FALSE)</f>
        <v>189</v>
      </c>
      <c r="C345" s="44">
        <f>((E345)*'Settings'!$C$12)+(F345*'Settings'!$C$2)+(G345*'Settings'!$C$3)+(H345*'Settings'!$C$4)+(I345*'Settings'!$C$5)+(K345*'Settings'!$C$9)+(N345*'Settings'!$C$6)+(J345*'Settings'!$C$8)+(O345*'Settings'!$C$7)+(P345*'Settings'!$C$14)+(Q345*'Settings'!$C$15)+(R345*'Settings'!$C$16)+(S345*'Settings'!$C$17)+(T345*'Settings'!$C$18)+(U345*'Settings'!$C$19)+(L345*'Settings'!$C$10)+('Settings'!$C$11*M345)</f>
        <v>-4.08911533290388</v>
      </c>
      <c r="D345" s="48">
        <f>IF('Settings'!$E$12="YES",VLOOKUP(A345,'Player Data'!A1:E734,5,FALSE),82)</f>
        <v>72.12</v>
      </c>
      <c r="E345" s="46">
        <f>(VLOOKUP($A345,'The List'!$B1:$AH730,17,FALSE)-AVERAGE('The List'!R2:R730))/STDEV('The List'!R2:R730)</f>
        <v>-1.28465778645698</v>
      </c>
      <c r="F345" s="46">
        <f>(VLOOKUP($A345,'The List'!$B1:$AH730,18,FALSE)-AVERAGE('The List'!S2:S730))/STDEV('The List'!S2:S730)</f>
        <v>-0.0532706515889171</v>
      </c>
      <c r="G345" s="46">
        <f>(VLOOKUP($A345,'The List'!$B1:$AH730,19,FALSE)-AVERAGE('The List'!T2:T730))/STDEV('The List'!T2:T730)</f>
        <v>-0.578454033085286</v>
      </c>
      <c r="H345" s="46">
        <f>(VLOOKUP($A345,'The List'!$B1:$AH730,20,FALSE)-AVERAGE('The List'!U2:U730))/STDEV('The List'!U2:U730)</f>
        <v>-0.38084852323654</v>
      </c>
      <c r="I345" s="46">
        <f>(VLOOKUP($A345,'The List'!$B1:$AH730,21,FALSE)-AVERAGE('The List'!V2:V730))/STDEV('The List'!V2:V730)</f>
        <v>-0.685933863540948</v>
      </c>
      <c r="J345" s="46">
        <f>(VLOOKUP($A345,'The List'!$B1:$AH730,22,FALSE)-AVERAGE('The List'!W2:W730))/STDEV('The List'!W2:W730)</f>
        <v>-0.650586378313317</v>
      </c>
      <c r="K345" s="46">
        <f>(VLOOKUP($A345,'The List'!$B1:$AH730,23,FALSE)-AVERAGE('The List'!X2:X730))/STDEV('The List'!X2:X730)</f>
        <v>-0.74212163040014</v>
      </c>
      <c r="L345" s="46">
        <f>(VLOOKUP($A345,'The List'!$B1:$AH730,24,FALSE)-AVERAGE('The List'!Y2:Y730))/STDEV('The List'!Y2:Y730)</f>
        <v>-0.542843480388394</v>
      </c>
      <c r="M345" s="46">
        <f>(VLOOKUP($A345,'The List'!$B1:$AH730,25,FALSE)-AVERAGE('The List'!Z2:Z730))/STDEV('The List'!Z2:Z730)</f>
        <v>-0.72177514995105</v>
      </c>
      <c r="N345" s="46">
        <f>(VLOOKUP($A345,'The List'!$B1:$AH730,26,FALSE)-AVERAGE('The List'!AA2:AA730))/STDEV('The List'!AA2:AA730)</f>
        <v>-0.897511561246228</v>
      </c>
      <c r="O345" s="46">
        <f>(VLOOKUP($A345,'The List'!$B1:$AH730,27,FALSE)-AVERAGE('The List'!AB2:AB730))/STDEV('The List'!AB2:AB730)</f>
        <v>-0.673788309901927</v>
      </c>
      <c r="P345" s="46">
        <f>(VLOOKUP($A345,'The List'!$B1:$AH730,28,FALSE)-AVERAGE('The List'!AC2:AC730))/STDEV('The List'!AC2:AC730)</f>
        <v>-1.13182359304236</v>
      </c>
      <c r="Q345" s="46">
        <f>(VLOOKUP($A345,'The List'!$B1:$AH730,29,FALSE)-AVERAGE('The List'!AD2:AD730))/STDEV('The List'!AD2:AD730)</f>
        <v>-2.20349239295021</v>
      </c>
      <c r="R345" s="46">
        <f>(VLOOKUP($A345,'The List'!$B1:$AH730,30,FALSE)-AVERAGE('The List'!AE2:AE730))/STDEV('The List'!AE2:AE730)</f>
        <v>-0.318264821881518</v>
      </c>
      <c r="S345" s="46">
        <f>(VLOOKUP($A345,'The List'!$B1:$AH730,31,FALSE)-AVERAGE('The List'!AF2:AF730))/STDEV('The List'!AF2:AF730)</f>
        <v>-0.08764917831884581</v>
      </c>
      <c r="T345" s="46">
        <f>(VLOOKUP($A345,'The List'!$B1:$AH730,32,FALSE)-AVERAGE('The List'!AG2:AG730))/STDEV('The List'!AG2:AG730)</f>
        <v>0.294655251112781</v>
      </c>
      <c r="U345" s="46">
        <f>(VLOOKUP($A345,'The List'!$B1:$AH730,33,FALSE)-AVERAGE('The List'!AH2:AH730))/STDEV('The List'!AH2:AH730)</f>
        <v>0.368391716872818</v>
      </c>
      <c r="V345" s="46"/>
      <c r="W345" s="50"/>
      <c r="X345" s="48"/>
      <c r="Y345" s="48"/>
      <c r="Z345" s="48"/>
      <c r="AA345" s="48"/>
      <c r="AB345" s="48"/>
      <c r="AC345" s="51"/>
      <c r="AD345" s="52"/>
      <c r="AE345" s="46"/>
    </row>
    <row r="346" ht="21.25" customHeight="1">
      <c r="A346" t="s" s="8">
        <v>732</v>
      </c>
      <c r="B346" t="s" s="42">
        <f>VLOOKUP(A346,'Player Data'!A1:B734,2,FALSE)</f>
        <v>238</v>
      </c>
      <c r="C346" s="44">
        <f>((E346)*'Settings'!$C$12)+(F346*'Settings'!$C$2)+(G346*'Settings'!$C$3)+(H346*'Settings'!$C$4)+(I346*'Settings'!$C$5)+(K346*'Settings'!$C$9)+(N346*'Settings'!$C$6)+(J346*'Settings'!$C$8)+(O346*'Settings'!$C$7)+(P346*'Settings'!$C$14)+(Q346*'Settings'!$C$15)+(R346*'Settings'!$C$16)+(S346*'Settings'!$C$17)+(T346*'Settings'!$C$18)+(U346*'Settings'!$C$19)+(L346*'Settings'!$C$10)+('Settings'!$C$11*M346)</f>
        <v>-3.1740259976704</v>
      </c>
      <c r="D346" s="48">
        <f>IF('Settings'!$E$12="YES",VLOOKUP(A346,'Player Data'!A1:E734,5,FALSE),82)</f>
        <v>59.205</v>
      </c>
      <c r="E346" s="46">
        <f>(VLOOKUP($A346,'The List'!$B1:$AH730,17,FALSE)-AVERAGE('The List'!R2:R730))/STDEV('The List'!R2:R730)</f>
        <v>-1.39345868984904</v>
      </c>
      <c r="F346" s="46">
        <f>(VLOOKUP($A346,'The List'!$B1:$AH730,18,FALSE)-AVERAGE('The List'!S2:S730))/STDEV('The List'!S2:S730)</f>
        <v>-0.117228384511191</v>
      </c>
      <c r="G346" s="46">
        <f>(VLOOKUP($A346,'The List'!$B1:$AH730,19,FALSE)-AVERAGE('The List'!T2:T730))/STDEV('The List'!T2:T730)</f>
        <v>-0.88745260769306</v>
      </c>
      <c r="H346" s="46">
        <f>(VLOOKUP($A346,'The List'!$B1:$AH730,20,FALSE)-AVERAGE('The List'!U2:U730))/STDEV('The List'!U2:U730)</f>
        <v>-0.600444134301083</v>
      </c>
      <c r="I346" s="46">
        <f>(VLOOKUP($A346,'The List'!$B1:$AH730,21,FALSE)-AVERAGE('The List'!V2:V730))/STDEV('The List'!V2:V730)</f>
        <v>-0.549732896873646</v>
      </c>
      <c r="J346" s="46">
        <f>(VLOOKUP($A346,'The List'!$B1:$AH730,22,FALSE)-AVERAGE('The List'!W2:W730))/STDEV('The List'!W2:W730)</f>
        <v>-0.675548683241618</v>
      </c>
      <c r="K346" s="46">
        <f>(VLOOKUP($A346,'The List'!$B1:$AH730,23,FALSE)-AVERAGE('The List'!X2:X730))/STDEV('The List'!X2:X730)</f>
        <v>-0.766203096639129</v>
      </c>
      <c r="L346" s="46">
        <f>(VLOOKUP($A346,'The List'!$B1:$AH730,24,FALSE)-AVERAGE('The List'!Y2:Y730))/STDEV('The List'!Y2:Y730)</f>
        <v>-0.542843480388394</v>
      </c>
      <c r="M346" s="46">
        <f>(VLOOKUP($A346,'The List'!$B1:$AH730,25,FALSE)-AVERAGE('The List'!Z2:Z730))/STDEV('The List'!Z2:Z730)</f>
        <v>-0.72177514995105</v>
      </c>
      <c r="N346" s="46">
        <f>(VLOOKUP($A346,'The List'!$B1:$AH730,26,FALSE)-AVERAGE('The List'!AA2:AA730))/STDEV('The List'!AA2:AA730)</f>
        <v>-1.10665853026666</v>
      </c>
      <c r="O346" s="46">
        <f>(VLOOKUP($A346,'The List'!$B1:$AH730,27,FALSE)-AVERAGE('The List'!AB2:AB730))/STDEV('The List'!AB2:AB730)</f>
        <v>0.343426105889565</v>
      </c>
      <c r="P346" s="46">
        <f>(VLOOKUP($A346,'The List'!$B1:$AH730,28,FALSE)-AVERAGE('The List'!AC2:AC730))/STDEV('The List'!AC2:AC730)</f>
        <v>0.253249518313284</v>
      </c>
      <c r="Q346" s="46">
        <f>(VLOOKUP($A346,'The List'!$B1:$AH730,29,FALSE)-AVERAGE('The List'!AD2:AD730))/STDEV('The List'!AD2:AD730)</f>
        <v>-1.18485566381569</v>
      </c>
      <c r="R346" s="46">
        <f>(VLOOKUP($A346,'The List'!$B1:$AH730,30,FALSE)-AVERAGE('The List'!AE2:AE730))/STDEV('The List'!AE2:AE730)</f>
        <v>0.096737840384704</v>
      </c>
      <c r="S346" s="46">
        <f>(VLOOKUP($A346,'The List'!$B1:$AH730,31,FALSE)-AVERAGE('The List'!AF2:AF730))/STDEV('The List'!AF2:AF730)</f>
        <v>-0.545304654836961</v>
      </c>
      <c r="T346" s="46">
        <f>(VLOOKUP($A346,'The List'!$B1:$AH730,32,FALSE)-AVERAGE('The List'!AG2:AG730))/STDEV('The List'!AG2:AG730)</f>
        <v>-0.525382796958129</v>
      </c>
      <c r="U346" s="46">
        <f>(VLOOKUP($A346,'The List'!$B1:$AH730,33,FALSE)-AVERAGE('The List'!AH2:AH730))/STDEV('The List'!AH2:AH730)</f>
        <v>-0.607758982818511</v>
      </c>
      <c r="V346" s="46"/>
      <c r="W346" s="50"/>
      <c r="X346" s="48"/>
      <c r="Y346" s="48"/>
      <c r="Z346" s="48"/>
      <c r="AA346" s="48"/>
      <c r="AB346" s="48"/>
      <c r="AC346" s="51"/>
      <c r="AD346" s="52"/>
      <c r="AE346" s="46"/>
    </row>
    <row r="347" ht="21.25" customHeight="1">
      <c r="A347" t="s" s="8">
        <v>729</v>
      </c>
      <c r="B347" t="s" s="42">
        <f>VLOOKUP(A347,'Player Data'!A1:B734,2,FALSE)</f>
        <v>131</v>
      </c>
      <c r="C347" s="44">
        <f>((E347)*'Settings'!$C$12)+(F347*'Settings'!$C$2)+(G347*'Settings'!$C$3)+(H347*'Settings'!$C$4)+(I347*'Settings'!$C$5)+(K347*'Settings'!$C$9)+(N347*'Settings'!$C$6)+(J347*'Settings'!$C$8)+(O347*'Settings'!$C$7)+(P347*'Settings'!$C$14)+(Q347*'Settings'!$C$15)+(R347*'Settings'!$C$16)+(S347*'Settings'!$C$17)+(T347*'Settings'!$C$18)+(U347*'Settings'!$C$19)+(L347*'Settings'!$C$10)+('Settings'!$C$11*M347)</f>
        <v>-3.31558524493382</v>
      </c>
      <c r="D347" s="48">
        <f>IF('Settings'!$E$12="YES",VLOOKUP(A347,'Player Data'!A1:E734,5,FALSE),82)</f>
        <v>57.5353571428571</v>
      </c>
      <c r="E347" s="46">
        <f>(VLOOKUP($A347,'The List'!$B1:$AH730,17,FALSE)-AVERAGE('The List'!R2:R730))/STDEV('The List'!R2:R730)</f>
        <v>-0.880435678327509</v>
      </c>
      <c r="F347" s="46">
        <f>(VLOOKUP($A347,'The List'!$B1:$AH730,18,FALSE)-AVERAGE('The List'!S2:S730))/STDEV('The List'!S2:S730)</f>
        <v>-0.330599703286107</v>
      </c>
      <c r="G347" s="46">
        <f>(VLOOKUP($A347,'The List'!$B1:$AH730,19,FALSE)-AVERAGE('The List'!T2:T730))/STDEV('The List'!T2:T730)</f>
        <v>-0.787299862575198</v>
      </c>
      <c r="H347" s="46">
        <f>(VLOOKUP($A347,'The List'!$B1:$AH730,20,FALSE)-AVERAGE('The List'!U2:U730))/STDEV('The List'!U2:U730)</f>
        <v>-0.635789512664881</v>
      </c>
      <c r="I347" s="46">
        <f>(VLOOKUP($A347,'The List'!$B1:$AH730,21,FALSE)-AVERAGE('The List'!V2:V730))/STDEV('The List'!V2:V730)</f>
        <v>-0.593202690150598</v>
      </c>
      <c r="J347" s="46">
        <f>(VLOOKUP($A347,'The List'!$B1:$AH730,22,FALSE)-AVERAGE('The List'!W2:W730))/STDEV('The List'!W2:W730)</f>
        <v>-0.486544674884161</v>
      </c>
      <c r="K347" s="46">
        <f>(VLOOKUP($A347,'The List'!$B1:$AH730,23,FALSE)-AVERAGE('The List'!X2:X730))/STDEV('The List'!X2:X730)</f>
        <v>-0.603772205240251</v>
      </c>
      <c r="L347" s="46">
        <f>(VLOOKUP($A347,'The List'!$B1:$AH730,24,FALSE)-AVERAGE('The List'!Y2:Y730))/STDEV('The List'!Y2:Y730)</f>
        <v>-0.5144025216554859</v>
      </c>
      <c r="M347" s="46">
        <f>(VLOOKUP($A347,'The List'!$B1:$AH730,25,FALSE)-AVERAGE('The List'!Z2:Z730))/STDEV('The List'!Z2:Z730)</f>
        <v>-0.689587688866352</v>
      </c>
      <c r="N347" s="46">
        <f>(VLOOKUP($A347,'The List'!$B1:$AH730,26,FALSE)-AVERAGE('The List'!AA2:AA730))/STDEV('The List'!AA2:AA730)</f>
        <v>-0.829159996935224</v>
      </c>
      <c r="O347" s="46">
        <f>(VLOOKUP($A347,'The List'!$B1:$AH730,27,FALSE)-AVERAGE('The List'!AB2:AB730))/STDEV('The List'!AB2:AB730)</f>
        <v>1.0801241438428</v>
      </c>
      <c r="P347" s="46">
        <f>(VLOOKUP($A347,'The List'!$B1:$AH730,28,FALSE)-AVERAGE('The List'!AC2:AC730))/STDEV('The List'!AC2:AC730)</f>
        <v>-0.171550786746438</v>
      </c>
      <c r="Q347" s="46">
        <f>(VLOOKUP($A347,'The List'!$B1:$AH730,29,FALSE)-AVERAGE('The List'!AD2:AD730))/STDEV('The List'!AD2:AD730)</f>
        <v>-0.13057339739028</v>
      </c>
      <c r="R347" s="46">
        <f>(VLOOKUP($A347,'The List'!$B1:$AH730,30,FALSE)-AVERAGE('The List'!AE2:AE730))/STDEV('The List'!AE2:AE730)</f>
        <v>-0.267579441578002</v>
      </c>
      <c r="S347" s="46">
        <f>(VLOOKUP($A347,'The List'!$B1:$AH730,31,FALSE)-AVERAGE('The List'!AF2:AF730))/STDEV('The List'!AF2:AF730)</f>
        <v>-0.504322201023811</v>
      </c>
      <c r="T347" s="46">
        <f>(VLOOKUP($A347,'The List'!$B1:$AH730,32,FALSE)-AVERAGE('The List'!AG2:AG730))/STDEV('The List'!AG2:AG730)</f>
        <v>-0.569552950291083</v>
      </c>
      <c r="U347" s="46">
        <f>(VLOOKUP($A347,'The List'!$B1:$AH730,33,FALSE)-AVERAGE('The List'!AH2:AH730))/STDEV('The List'!AH2:AH730)</f>
        <v>1.64768405967261</v>
      </c>
      <c r="V347" s="46"/>
      <c r="W347" s="50"/>
      <c r="X347" s="48"/>
      <c r="Y347" s="48"/>
      <c r="Z347" s="48"/>
      <c r="AA347" s="48"/>
      <c r="AB347" s="48"/>
      <c r="AC347" s="51"/>
      <c r="AD347" s="52"/>
      <c r="AE347" s="46"/>
    </row>
    <row r="348" ht="21.25" customHeight="1">
      <c r="A348" t="s" s="8">
        <v>698</v>
      </c>
      <c r="B348" t="s" s="42">
        <f>VLOOKUP(A348,'Player Data'!A1:B734,2,FALSE)</f>
        <v>134</v>
      </c>
      <c r="C348" s="44">
        <f>((E348)*'Settings'!$C$12)+(F348*'Settings'!$C$2)+(G348*'Settings'!$C$3)+(H348*'Settings'!$C$4)+(I348*'Settings'!$C$5)+(K348*'Settings'!$C$9)+(N348*'Settings'!$C$6)+(J348*'Settings'!$C$8)+(O348*'Settings'!$C$7)+(P348*'Settings'!$C$14)+(Q348*'Settings'!$C$15)+(R348*'Settings'!$C$16)+(S348*'Settings'!$C$17)+(T348*'Settings'!$C$18)+(U348*'Settings'!$C$19)+(L348*'Settings'!$C$10)+('Settings'!$C$11*M348)</f>
        <v>-1.71597076686788</v>
      </c>
      <c r="D348" s="48">
        <f>IF('Settings'!$E$12="YES",VLOOKUP(A348,'Player Data'!A1:E734,5,FALSE),82)</f>
        <v>75.42321428571429</v>
      </c>
      <c r="E348" s="46">
        <f>(VLOOKUP($A348,'The List'!$B1:$AH730,17,FALSE)-AVERAGE('The List'!R2:R730))/STDEV('The List'!R2:R730)</f>
        <v>-0.638334551865932</v>
      </c>
      <c r="F348" s="46">
        <f>(VLOOKUP($A348,'The List'!$B1:$AH730,18,FALSE)-AVERAGE('The List'!S2:S730))/STDEV('The List'!S2:S730)</f>
        <v>-0.0815680489116169</v>
      </c>
      <c r="G348" s="46">
        <f>(VLOOKUP($A348,'The List'!$B1:$AH730,19,FALSE)-AVERAGE('The List'!T2:T730))/STDEV('The List'!T2:T730)</f>
        <v>-0.486416884732577</v>
      </c>
      <c r="H348" s="46">
        <f>(VLOOKUP($A348,'The List'!$B1:$AH730,20,FALSE)-AVERAGE('The List'!U2:U730))/STDEV('The List'!U2:U730)</f>
        <v>-0.336984714289661</v>
      </c>
      <c r="I348" s="46">
        <f>(VLOOKUP($A348,'The List'!$B1:$AH730,21,FALSE)-AVERAGE('The List'!V2:V730))/STDEV('The List'!V2:V730)</f>
        <v>-0.66620488600996</v>
      </c>
      <c r="J348" s="46">
        <f>(VLOOKUP($A348,'The List'!$B1:$AH730,22,FALSE)-AVERAGE('The List'!W2:W730))/STDEV('The List'!W2:W730)</f>
        <v>-0.44039774825746</v>
      </c>
      <c r="K348" s="46">
        <f>(VLOOKUP($A348,'The List'!$B1:$AH730,23,FALSE)-AVERAGE('The List'!X2:X730))/STDEV('The List'!X2:X730)</f>
        <v>-0.551901819620943</v>
      </c>
      <c r="L348" s="46">
        <f>(VLOOKUP($A348,'The List'!$B1:$AH730,24,FALSE)-AVERAGE('The List'!Y2:Y730))/STDEV('The List'!Y2:Y730)</f>
        <v>-0.184009279302697</v>
      </c>
      <c r="M348" s="46">
        <f>(VLOOKUP($A348,'The List'!$B1:$AH730,25,FALSE)-AVERAGE('The List'!Z2:Z730))/STDEV('The List'!Z2:Z730)</f>
        <v>-0.426929652687701</v>
      </c>
      <c r="N348" s="46">
        <f>(VLOOKUP($A348,'The List'!$B1:$AH730,26,FALSE)-AVERAGE('The List'!AA2:AA730))/STDEV('The List'!AA2:AA730)</f>
        <v>-0.453335276650755</v>
      </c>
      <c r="O348" s="46">
        <f>(VLOOKUP($A348,'The List'!$B1:$AH730,27,FALSE)-AVERAGE('The List'!AB2:AB730))/STDEV('The List'!AB2:AB730)</f>
        <v>2.90531384919542</v>
      </c>
      <c r="P348" s="46">
        <f>(VLOOKUP($A348,'The List'!$B1:$AH730,28,FALSE)-AVERAGE('The List'!AC2:AC730))/STDEV('The List'!AC2:AC730)</f>
        <v>0.523456149057967</v>
      </c>
      <c r="Q348" s="46">
        <f>(VLOOKUP($A348,'The List'!$B1:$AH730,29,FALSE)-AVERAGE('The List'!AD2:AD730))/STDEV('The List'!AD2:AD730)</f>
        <v>2.61615035706543</v>
      </c>
      <c r="R348" s="46">
        <f>(VLOOKUP($A348,'The List'!$B1:$AH730,30,FALSE)-AVERAGE('The List'!AE2:AE730))/STDEV('The List'!AE2:AE730)</f>
        <v>0.0839929085018507</v>
      </c>
      <c r="S348" s="46">
        <f>(VLOOKUP($A348,'The List'!$B1:$AH730,31,FALSE)-AVERAGE('The List'!AF2:AF730))/STDEV('The List'!AF2:AF730)</f>
        <v>-0.5174130404541</v>
      </c>
      <c r="T348" s="46">
        <f>(VLOOKUP($A348,'The List'!$B1:$AH730,32,FALSE)-AVERAGE('The List'!AG2:AG730))/STDEV('The List'!AG2:AG730)</f>
        <v>-0.558705733505384</v>
      </c>
      <c r="U348" s="46">
        <f>(VLOOKUP($A348,'The List'!$B1:$AH730,33,FALSE)-AVERAGE('The List'!AH2:AH730))/STDEV('The List'!AH2:AH730)</f>
        <v>1.00532045173128</v>
      </c>
      <c r="V348" s="46"/>
      <c r="W348" s="48"/>
      <c r="X348" s="46"/>
      <c r="Y348" s="46"/>
      <c r="Z348" s="46"/>
      <c r="AA348" s="46"/>
      <c r="AB348" s="46"/>
      <c r="AC348" s="46"/>
      <c r="AD348" s="46"/>
      <c r="AE348" s="46"/>
    </row>
    <row r="349" ht="21.25" customHeight="1">
      <c r="A349" t="s" s="8">
        <v>459</v>
      </c>
      <c r="B349" t="s" s="42">
        <f>VLOOKUP(A349,'Player Data'!A1:B734,2,FALSE)</f>
        <v>189</v>
      </c>
      <c r="C349" s="44">
        <f>((E349)*'Settings'!$C$12)+(F349*'Settings'!$C$2)+(G349*'Settings'!$C$3)+(H349*'Settings'!$C$4)+(I349*'Settings'!$C$5)+(K349*'Settings'!$C$9)+(N349*'Settings'!$C$6)+(J349*'Settings'!$C$8)+(O349*'Settings'!$C$7)+(P349*'Settings'!$C$14)+(Q349*'Settings'!$C$15)+(R349*'Settings'!$C$16)+(S349*'Settings'!$C$17)+(T349*'Settings'!$C$18)+(U349*'Settings'!$C$19)+(L349*'Settings'!$C$10)+('Settings'!$C$11*M349)</f>
        <v>-2.73416240685963</v>
      </c>
      <c r="D349" s="48">
        <f>IF('Settings'!$E$12="YES",VLOOKUP(A349,'Player Data'!A1:E734,5,FALSE),82)</f>
        <v>72.09999999999999</v>
      </c>
      <c r="E349" s="46">
        <f>(VLOOKUP($A349,'The List'!$B1:$AH730,17,FALSE)-AVERAGE('The List'!R2:R730))/STDEV('The List'!R2:R730)</f>
        <v>0.0762338265014382</v>
      </c>
      <c r="F349" s="46">
        <f>(VLOOKUP($A349,'The List'!$B1:$AH730,18,FALSE)-AVERAGE('The List'!S2:S730))/STDEV('The List'!S2:S730)</f>
        <v>-0.50168994127636</v>
      </c>
      <c r="G349" s="46">
        <f>(VLOOKUP($A349,'The List'!$B1:$AH730,19,FALSE)-AVERAGE('The List'!T2:T730))/STDEV('The List'!T2:T730)</f>
        <v>-0.28311720312466</v>
      </c>
      <c r="H349" s="46">
        <f>(VLOOKUP($A349,'The List'!$B1:$AH730,20,FALSE)-AVERAGE('The List'!U2:U730))/STDEV('The List'!U2:U730)</f>
        <v>-0.4028170195481</v>
      </c>
      <c r="I349" s="46">
        <f>(VLOOKUP($A349,'The List'!$B1:$AH730,21,FALSE)-AVERAGE('The List'!V2:V730))/STDEV('The List'!V2:V730)</f>
        <v>-0.743873188182026</v>
      </c>
      <c r="J349" s="46">
        <f>(VLOOKUP($A349,'The List'!$B1:$AH730,22,FALSE)-AVERAGE('The List'!W2:W730))/STDEV('The List'!W2:W730)</f>
        <v>-0.494981533374668</v>
      </c>
      <c r="K349" s="46">
        <f>(VLOOKUP($A349,'The List'!$B1:$AH730,23,FALSE)-AVERAGE('The List'!X2:X730))/STDEV('The List'!X2:X730)</f>
        <v>-0.24920277088687</v>
      </c>
      <c r="L349" s="46">
        <f>(VLOOKUP($A349,'The List'!$B1:$AH730,24,FALSE)-AVERAGE('The List'!Y2:Y730))/STDEV('The List'!Y2:Y730)</f>
        <v>-0.537196071491617</v>
      </c>
      <c r="M349" s="46">
        <f>(VLOOKUP($A349,'The List'!$B1:$AH730,25,FALSE)-AVERAGE('The List'!Z2:Z730))/STDEV('The List'!Z2:Z730)</f>
        <v>-0.708846163566877</v>
      </c>
      <c r="N349" s="46">
        <f>(VLOOKUP($A349,'The List'!$B1:$AH730,26,FALSE)-AVERAGE('The List'!AA2:AA730))/STDEV('The List'!AA2:AA730)</f>
        <v>0.365536819045951</v>
      </c>
      <c r="O349" s="46">
        <f>(VLOOKUP($A349,'The List'!$B1:$AH730,27,FALSE)-AVERAGE('The List'!AB2:AB730))/STDEV('The List'!AB2:AB730)</f>
        <v>-0.765555417868378</v>
      </c>
      <c r="P349" s="46">
        <f>(VLOOKUP($A349,'The List'!$B1:$AH730,28,FALSE)-AVERAGE('The List'!AC2:AC730))/STDEV('The List'!AC2:AC730)</f>
        <v>-1.32181612243566</v>
      </c>
      <c r="Q349" s="46">
        <f>(VLOOKUP($A349,'The List'!$B1:$AH730,29,FALSE)-AVERAGE('The List'!AD2:AD730))/STDEV('The List'!AD2:AD730)</f>
        <v>-0.777759238766648</v>
      </c>
      <c r="R349" s="46">
        <f>(VLOOKUP($A349,'The List'!$B1:$AH730,30,FALSE)-AVERAGE('The List'!AE2:AE730))/STDEV('The List'!AE2:AE730)</f>
        <v>-0.630939675608121</v>
      </c>
      <c r="S349" s="46">
        <f>(VLOOKUP($A349,'The List'!$B1:$AH730,31,FALSE)-AVERAGE('The List'!AF2:AF730))/STDEV('The List'!AF2:AF730)</f>
        <v>-0.5569063253591</v>
      </c>
      <c r="T349" s="46">
        <f>(VLOOKUP($A349,'The List'!$B1:$AH730,32,FALSE)-AVERAGE('The List'!AG2:AG730))/STDEV('The List'!AG2:AG730)</f>
        <v>-0.600856269042678</v>
      </c>
      <c r="U349" s="46">
        <f>(VLOOKUP($A349,'The List'!$B1:$AH730,33,FALSE)-AVERAGE('The List'!AH2:AH730))/STDEV('The List'!AH2:AH730)</f>
        <v>-1.2363238714826</v>
      </c>
      <c r="V349" s="46"/>
      <c r="W349" s="50"/>
      <c r="X349" s="48"/>
      <c r="Y349" s="48"/>
      <c r="Z349" s="48"/>
      <c r="AA349" s="48"/>
      <c r="AB349" s="48"/>
      <c r="AC349" s="51"/>
      <c r="AD349" s="52"/>
      <c r="AE349" s="46"/>
    </row>
    <row r="350" ht="21.25" customHeight="1">
      <c r="A350" t="s" s="8">
        <v>706</v>
      </c>
      <c r="B350" t="s" s="42">
        <f>VLOOKUP(A350,'Player Data'!A1:B734,2,FALSE)</f>
        <v>164</v>
      </c>
      <c r="C350" s="44">
        <f>((E350)*'Settings'!$C$12)+(F350*'Settings'!$C$2)+(G350*'Settings'!$C$3)+(H350*'Settings'!$C$4)+(I350*'Settings'!$C$5)+(K350*'Settings'!$C$9)+(N350*'Settings'!$C$6)+(J350*'Settings'!$C$8)+(O350*'Settings'!$C$7)+(P350*'Settings'!$C$14)+(Q350*'Settings'!$C$15)+(R350*'Settings'!$C$16)+(S350*'Settings'!$C$17)+(T350*'Settings'!$C$18)+(U350*'Settings'!$C$19)+(L350*'Settings'!$C$10)+('Settings'!$C$11*M350)</f>
        <v>-2.21083847696371</v>
      </c>
      <c r="D350" s="48">
        <f>IF('Settings'!$E$12="YES",VLOOKUP(A350,'Player Data'!A1:E734,5,FALSE),82)</f>
        <v>72.8275</v>
      </c>
      <c r="E350" s="46">
        <f>(VLOOKUP($A350,'The List'!$B1:$AH730,17,FALSE)-AVERAGE('The List'!R2:R730))/STDEV('The List'!R2:R730)</f>
        <v>-0.247271720114333</v>
      </c>
      <c r="F350" s="46">
        <f>(VLOOKUP($A350,'The List'!$B1:$AH730,18,FALSE)-AVERAGE('The List'!S2:S730))/STDEV('The List'!S2:S730)</f>
        <v>-0.320772762830777</v>
      </c>
      <c r="G350" s="46">
        <f>(VLOOKUP($A350,'The List'!$B1:$AH730,19,FALSE)-AVERAGE('The List'!T2:T730))/STDEV('The List'!T2:T730)</f>
        <v>-0.403523896902924</v>
      </c>
      <c r="H350" s="46">
        <f>(VLOOKUP($A350,'The List'!$B1:$AH730,20,FALSE)-AVERAGE('The List'!U2:U730))/STDEV('The List'!U2:U730)</f>
        <v>-0.394725219062371</v>
      </c>
      <c r="I350" s="46">
        <f>(VLOOKUP($A350,'The List'!$B1:$AH730,21,FALSE)-AVERAGE('The List'!V2:V730))/STDEV('The List'!V2:V730)</f>
        <v>-0.244138803228762</v>
      </c>
      <c r="J350" s="46">
        <f>(VLOOKUP($A350,'The List'!$B1:$AH730,22,FALSE)-AVERAGE('The List'!W2:W730))/STDEV('The List'!W2:W730)</f>
        <v>-0.692827706908929</v>
      </c>
      <c r="K350" s="46">
        <f>(VLOOKUP($A350,'The List'!$B1:$AH730,23,FALSE)-AVERAGE('The List'!X2:X730))/STDEV('The List'!X2:X730)</f>
        <v>-0.789131940982051</v>
      </c>
      <c r="L350" s="46">
        <f>(VLOOKUP($A350,'The List'!$B1:$AH730,24,FALSE)-AVERAGE('The List'!Y2:Y730))/STDEV('The List'!Y2:Y730)</f>
        <v>-0.291103205753425</v>
      </c>
      <c r="M350" s="46">
        <f>(VLOOKUP($A350,'The List'!$B1:$AH730,25,FALSE)-AVERAGE('The List'!Z2:Z730))/STDEV('The List'!Z2:Z730)</f>
        <v>-0.0391951107952098</v>
      </c>
      <c r="N350" s="46">
        <f>(VLOOKUP($A350,'The List'!$B1:$AH730,26,FALSE)-AVERAGE('The List'!AA2:AA730))/STDEV('The List'!AA2:AA730)</f>
        <v>-0.845589671515439</v>
      </c>
      <c r="O350" s="46">
        <f>(VLOOKUP($A350,'The List'!$B1:$AH730,27,FALSE)-AVERAGE('The List'!AB2:AB730))/STDEV('The List'!AB2:AB730)</f>
        <v>-0.259340856059977</v>
      </c>
      <c r="P350" s="46">
        <f>(VLOOKUP($A350,'The List'!$B1:$AH730,28,FALSE)-AVERAGE('The List'!AC2:AC730))/STDEV('The List'!AC2:AC730)</f>
        <v>0.392318598496239</v>
      </c>
      <c r="Q350" s="46">
        <f>(VLOOKUP($A350,'The List'!$B1:$AH730,29,FALSE)-AVERAGE('The List'!AD2:AD730))/STDEV('The List'!AD2:AD730)</f>
        <v>-0.721378668696439</v>
      </c>
      <c r="R350" s="46">
        <f>(VLOOKUP($A350,'The List'!$B1:$AH730,30,FALSE)-AVERAGE('The List'!AE2:AE730))/STDEV('The List'!AE2:AE730)</f>
        <v>-0.194956518929474</v>
      </c>
      <c r="S350" s="46">
        <f>(VLOOKUP($A350,'The List'!$B1:$AH730,31,FALSE)-AVERAGE('The List'!AF2:AF730))/STDEV('The List'!AF2:AF730)</f>
        <v>-0.5259537172354301</v>
      </c>
      <c r="T350" s="46">
        <f>(VLOOKUP($A350,'The List'!$B1:$AH730,32,FALSE)-AVERAGE('The List'!AG2:AG730))/STDEV('The List'!AG2:AG730)</f>
        <v>-0.535295747642075</v>
      </c>
      <c r="U350" s="46">
        <f>(VLOOKUP($A350,'The List'!$B1:$AH730,33,FALSE)-AVERAGE('The List'!AH2:AH730))/STDEV('The List'!AH2:AH730)</f>
        <v>0.262215979254392</v>
      </c>
      <c r="V350" s="46"/>
      <c r="W350" s="50"/>
      <c r="X350" s="48"/>
      <c r="Y350" s="48"/>
      <c r="Z350" s="48"/>
      <c r="AA350" s="48"/>
      <c r="AB350" s="48"/>
      <c r="AC350" s="51"/>
      <c r="AD350" s="52"/>
      <c r="AE350" s="46"/>
    </row>
    <row r="351" ht="21.25" customHeight="1">
      <c r="A351" t="s" s="8">
        <v>720</v>
      </c>
      <c r="B351" t="s" s="42">
        <f>VLOOKUP(A351,'Player Data'!A1:B734,2,FALSE)</f>
        <v>127</v>
      </c>
      <c r="C351" s="44">
        <f>((E351)*'Settings'!$C$12)+(F351*'Settings'!$C$2)+(G351*'Settings'!$C$3)+(H351*'Settings'!$C$4)+(I351*'Settings'!$C$5)+(K351*'Settings'!$C$9)+(N351*'Settings'!$C$6)+(J351*'Settings'!$C$8)+(O351*'Settings'!$C$7)+(P351*'Settings'!$C$14)+(Q351*'Settings'!$C$15)+(R351*'Settings'!$C$16)+(S351*'Settings'!$C$17)+(T351*'Settings'!$C$18)+(U351*'Settings'!$C$19)+(L351*'Settings'!$C$10)+('Settings'!$C$11*M351)</f>
        <v>-3.18605554465101</v>
      </c>
      <c r="D351" s="48">
        <f>IF('Settings'!$E$12="YES",VLOOKUP(A351,'Player Data'!A1:E734,5,FALSE),82)</f>
        <v>61</v>
      </c>
      <c r="E351" s="46">
        <f>(VLOOKUP($A351,'The List'!$B1:$AH730,17,FALSE)-AVERAGE('The List'!R2:R730))/STDEV('The List'!R2:R730)</f>
        <v>-0.76641810542787</v>
      </c>
      <c r="F351" s="46">
        <f>(VLOOKUP($A351,'The List'!$B1:$AH730,18,FALSE)-AVERAGE('The List'!S2:S730))/STDEV('The List'!S2:S730)</f>
        <v>-0.299247587263031</v>
      </c>
      <c r="G351" s="46">
        <f>(VLOOKUP($A351,'The List'!$B1:$AH730,19,FALSE)-AVERAGE('The List'!T2:T730))/STDEV('The List'!T2:T730)</f>
        <v>-0.7394388138412989</v>
      </c>
      <c r="H351" s="46">
        <f>(VLOOKUP($A351,'The List'!$B1:$AH730,20,FALSE)-AVERAGE('The List'!U2:U730))/STDEV('The List'!U2:U730)</f>
        <v>-0.592017963611554</v>
      </c>
      <c r="I351" s="46">
        <f>(VLOOKUP($A351,'The List'!$B1:$AH730,21,FALSE)-AVERAGE('The List'!V2:V730))/STDEV('The List'!V2:V730)</f>
        <v>-0.700265906948225</v>
      </c>
      <c r="J351" s="46">
        <f>(VLOOKUP($A351,'The List'!$B1:$AH730,22,FALSE)-AVERAGE('The List'!W2:W730))/STDEV('The List'!W2:W730)</f>
        <v>0.164588812785501</v>
      </c>
      <c r="K351" s="46">
        <f>(VLOOKUP($A351,'The List'!$B1:$AH730,23,FALSE)-AVERAGE('The List'!X2:X730))/STDEV('The List'!X2:X730)</f>
        <v>-0.202416392785378</v>
      </c>
      <c r="L351" s="46">
        <f>(VLOOKUP($A351,'The List'!$B1:$AH730,24,FALSE)-AVERAGE('The List'!Y2:Y730))/STDEV('The List'!Y2:Y730)</f>
        <v>-0.542843480388394</v>
      </c>
      <c r="M351" s="46">
        <f>(VLOOKUP($A351,'The List'!$B1:$AH730,25,FALSE)-AVERAGE('The List'!Z2:Z730))/STDEV('The List'!Z2:Z730)</f>
        <v>-0.72177514995105</v>
      </c>
      <c r="N351" s="46">
        <f>(VLOOKUP($A351,'The List'!$B1:$AH730,26,FALSE)-AVERAGE('The List'!AA2:AA730))/STDEV('The List'!AA2:AA730)</f>
        <v>-0.9338049823240669</v>
      </c>
      <c r="O351" s="46">
        <f>(VLOOKUP($A351,'The List'!$B1:$AH730,27,FALSE)-AVERAGE('The List'!AB2:AB730))/STDEV('The List'!AB2:AB730)</f>
        <v>-0.710883856819462</v>
      </c>
      <c r="P351" s="46">
        <f>(VLOOKUP($A351,'The List'!$B1:$AH730,28,FALSE)-AVERAGE('The List'!AC2:AC730))/STDEV('The List'!AC2:AC730)</f>
        <v>-0.310881861489013</v>
      </c>
      <c r="Q351" s="46">
        <f>(VLOOKUP($A351,'The List'!$B1:$AH730,29,FALSE)-AVERAGE('The List'!AD2:AD730))/STDEV('The List'!AD2:AD730)</f>
        <v>-0.542236765510152</v>
      </c>
      <c r="R351" s="46">
        <f>(VLOOKUP($A351,'The List'!$B1:$AH730,30,FALSE)-AVERAGE('The List'!AE2:AE730))/STDEV('The List'!AE2:AE730)</f>
        <v>-0.23161762065654</v>
      </c>
      <c r="S351" s="46">
        <f>(VLOOKUP($A351,'The List'!$B1:$AH730,31,FALSE)-AVERAGE('The List'!AF2:AF730))/STDEV('The List'!AF2:AF730)</f>
        <v>-0.5569063253591</v>
      </c>
      <c r="T351" s="46">
        <f>(VLOOKUP($A351,'The List'!$B1:$AH730,32,FALSE)-AVERAGE('The List'!AG2:AG730))/STDEV('The List'!AG2:AG730)</f>
        <v>-0.600856269042678</v>
      </c>
      <c r="U351" s="46">
        <f>(VLOOKUP($A351,'The List'!$B1:$AH730,33,FALSE)-AVERAGE('The List'!AH2:AH730))/STDEV('The List'!AH2:AH730)</f>
        <v>-1.2363238714826</v>
      </c>
      <c r="V351" s="46"/>
      <c r="W351" s="50"/>
      <c r="X351" s="48"/>
      <c r="Y351" s="48"/>
      <c r="Z351" s="48"/>
      <c r="AA351" s="48"/>
      <c r="AB351" s="48"/>
      <c r="AC351" s="51"/>
      <c r="AD351" s="52"/>
      <c r="AE351" s="46"/>
    </row>
    <row r="352" ht="21.25" customHeight="1">
      <c r="A352" t="s" s="8">
        <v>667</v>
      </c>
      <c r="B352" t="s" s="42">
        <f>VLOOKUP(A352,'Player Data'!A1:B734,2,FALSE)</f>
        <v>202</v>
      </c>
      <c r="C352" s="44">
        <f>((E352)*'Settings'!$C$12)+(F352*'Settings'!$C$2)+(G352*'Settings'!$C$3)+(H352*'Settings'!$C$4)+(I352*'Settings'!$C$5)+(K352*'Settings'!$C$9)+(N352*'Settings'!$C$6)+(J352*'Settings'!$C$8)+(O352*'Settings'!$C$7)+(P352*'Settings'!$C$14)+(Q352*'Settings'!$C$15)+(R352*'Settings'!$C$16)+(S352*'Settings'!$C$17)+(T352*'Settings'!$C$18)+(U352*'Settings'!$C$19)+(L352*'Settings'!$C$10)+('Settings'!$C$11*M352)</f>
        <v>-0.32469495329653</v>
      </c>
      <c r="D352" s="48">
        <f>IF('Settings'!$E$12="YES",VLOOKUP(A352,'Player Data'!A1:E734,5,FALSE),82)</f>
        <v>80.86321428571431</v>
      </c>
      <c r="E352" s="46">
        <f>(VLOOKUP($A352,'The List'!$B1:$AH730,17,FALSE)-AVERAGE('The List'!R2:R730))/STDEV('The List'!R2:R730)</f>
        <v>-0.328093760571212</v>
      </c>
      <c r="F352" s="46">
        <f>(VLOOKUP($A352,'The List'!$B1:$AH730,18,FALSE)-AVERAGE('The List'!S2:S730))/STDEV('The List'!S2:S730)</f>
        <v>0.0449444079287512</v>
      </c>
      <c r="G352" s="46">
        <f>(VLOOKUP($A352,'The List'!$B1:$AH730,19,FALSE)-AVERAGE('The List'!T2:T730))/STDEV('The List'!T2:T730)</f>
        <v>-0.475918374984649</v>
      </c>
      <c r="H352" s="46">
        <f>(VLOOKUP($A352,'The List'!$B1:$AH730,20,FALSE)-AVERAGE('The List'!U2:U730))/STDEV('The List'!U2:U730)</f>
        <v>-0.272946815860988</v>
      </c>
      <c r="I352" s="46">
        <f>(VLOOKUP($A352,'The List'!$B1:$AH730,21,FALSE)-AVERAGE('The List'!V2:V730))/STDEV('The List'!V2:V730)</f>
        <v>-0.157701649934242</v>
      </c>
      <c r="J352" s="46">
        <f>(VLOOKUP($A352,'The List'!$B1:$AH730,22,FALSE)-AVERAGE('The List'!W2:W730))/STDEV('The List'!W2:W730)</f>
        <v>-0.640448109942956</v>
      </c>
      <c r="K352" s="46">
        <f>(VLOOKUP($A352,'The List'!$B1:$AH730,23,FALSE)-AVERAGE('The List'!X2:X730))/STDEV('The List'!X2:X730)</f>
        <v>-0.744936208651332</v>
      </c>
      <c r="L352" s="46">
        <f>(VLOOKUP($A352,'The List'!$B1:$AH730,24,FALSE)-AVERAGE('The List'!Y2:Y730))/STDEV('The List'!Y2:Y730)</f>
        <v>-0.418080809552245</v>
      </c>
      <c r="M352" s="46">
        <f>(VLOOKUP($A352,'The List'!$B1:$AH730,25,FALSE)-AVERAGE('The List'!Z2:Z730))/STDEV('The List'!Z2:Z730)</f>
        <v>-0.383498620311409</v>
      </c>
      <c r="N352" s="46">
        <f>(VLOOKUP($A352,'The List'!$B1:$AH730,26,FALSE)-AVERAGE('The List'!AA2:AA730))/STDEV('The List'!AA2:AA730)</f>
        <v>-0.594859457965518</v>
      </c>
      <c r="O352" s="46">
        <f>(VLOOKUP($A352,'The List'!$B1:$AH730,27,FALSE)-AVERAGE('The List'!AB2:AB730))/STDEV('The List'!AB2:AB730)</f>
        <v>1.36965081716215</v>
      </c>
      <c r="P352" s="46">
        <f>(VLOOKUP($A352,'The List'!$B1:$AH730,28,FALSE)-AVERAGE('The List'!AC2:AC730))/STDEV('The List'!AC2:AC730)</f>
        <v>1.60377633031046</v>
      </c>
      <c r="Q352" s="46">
        <f>(VLOOKUP($A352,'The List'!$B1:$AH730,29,FALSE)-AVERAGE('The List'!AD2:AD730))/STDEV('The List'!AD2:AD730)</f>
        <v>-0.229023023371767</v>
      </c>
      <c r="R352" s="46">
        <f>(VLOOKUP($A352,'The List'!$B1:$AH730,30,FALSE)-AVERAGE('The List'!AE2:AE730))/STDEV('The List'!AE2:AE730)</f>
        <v>0.380573330075376</v>
      </c>
      <c r="S352" s="46">
        <f>(VLOOKUP($A352,'The List'!$B1:$AH730,31,FALSE)-AVERAGE('The List'!AF2:AF730))/STDEV('The List'!AF2:AF730)</f>
        <v>3.23376145940861</v>
      </c>
      <c r="T352" s="46">
        <f>(VLOOKUP($A352,'The List'!$B1:$AH730,32,FALSE)-AVERAGE('The List'!AG2:AG730))/STDEV('The List'!AG2:AG730)</f>
        <v>2.44205713848057</v>
      </c>
      <c r="U352" s="46">
        <f>(VLOOKUP($A352,'The List'!$B1:$AH730,33,FALSE)-AVERAGE('The List'!AH2:AH730))/STDEV('The List'!AH2:AH730)</f>
        <v>1.32509037366076</v>
      </c>
      <c r="V352" s="46"/>
      <c r="W352" s="48"/>
      <c r="X352" s="46"/>
      <c r="Y352" s="46"/>
      <c r="Z352" s="46"/>
      <c r="AA352" s="46"/>
      <c r="AB352" s="46"/>
      <c r="AC352" s="46"/>
      <c r="AD352" s="46"/>
      <c r="AE352" s="46"/>
    </row>
    <row r="353" ht="21.25" customHeight="1">
      <c r="A353" t="s" s="8">
        <v>676</v>
      </c>
      <c r="B353" t="s" s="42">
        <f>VLOOKUP(A353,'Player Data'!A1:B734,2,FALSE)</f>
        <v>184</v>
      </c>
      <c r="C353" s="44">
        <f>((E353)*'Settings'!$C$12)+(F353*'Settings'!$C$2)+(G353*'Settings'!$C$3)+(H353*'Settings'!$C$4)+(I353*'Settings'!$C$5)+(K353*'Settings'!$C$9)+(N353*'Settings'!$C$6)+(J353*'Settings'!$C$8)+(O353*'Settings'!$C$7)+(P353*'Settings'!$C$14)+(Q353*'Settings'!$C$15)+(R353*'Settings'!$C$16)+(S353*'Settings'!$C$17)+(T353*'Settings'!$C$18)+(U353*'Settings'!$C$19)+(L353*'Settings'!$C$10)+('Settings'!$C$11*M353)</f>
        <v>-2.83339393801447</v>
      </c>
      <c r="D353" s="48">
        <f>IF('Settings'!$E$12="YES",VLOOKUP(A353,'Player Data'!A1:E734,5,FALSE),82)</f>
        <v>75.80500000000001</v>
      </c>
      <c r="E353" s="46">
        <f>(VLOOKUP($A353,'The List'!$B1:$AH730,17,FALSE)-AVERAGE('The List'!R2:R730))/STDEV('The List'!R2:R730)</f>
        <v>-1.04292460885015</v>
      </c>
      <c r="F353" s="46">
        <f>(VLOOKUP($A353,'The List'!$B1:$AH730,18,FALSE)-AVERAGE('The List'!S2:S730))/STDEV('The List'!S2:S730)</f>
        <v>0.0518396521421395</v>
      </c>
      <c r="G353" s="46">
        <f>(VLOOKUP($A353,'The List'!$B1:$AH730,19,FALSE)-AVERAGE('The List'!T2:T730))/STDEV('The List'!T2:T730)</f>
        <v>-0.619097596188574</v>
      </c>
      <c r="H353" s="46">
        <f>(VLOOKUP($A353,'The List'!$B1:$AH730,20,FALSE)-AVERAGE('The List'!U2:U730))/STDEV('The List'!U2:U730)</f>
        <v>-0.35807744942557</v>
      </c>
      <c r="I353" s="46">
        <f>(VLOOKUP($A353,'The List'!$B1:$AH730,21,FALSE)-AVERAGE('The List'!V2:V730))/STDEV('The List'!V2:V730)</f>
        <v>-0.468010274472333</v>
      </c>
      <c r="J353" s="46">
        <f>(VLOOKUP($A353,'The List'!$B1:$AH730,22,FALSE)-AVERAGE('The List'!W2:W730))/STDEV('The List'!W2:W730)</f>
        <v>-0.117106590802269</v>
      </c>
      <c r="K353" s="46">
        <f>(VLOOKUP($A353,'The List'!$B1:$AH730,23,FALSE)-AVERAGE('The List'!X2:X730))/STDEV('The List'!X2:X730)</f>
        <v>-0.36018937471888</v>
      </c>
      <c r="L353" s="46">
        <f>(VLOOKUP($A353,'The List'!$B1:$AH730,24,FALSE)-AVERAGE('The List'!Y2:Y730))/STDEV('The List'!Y2:Y730)</f>
        <v>-0.53524876445336</v>
      </c>
      <c r="M353" s="46">
        <f>(VLOOKUP($A353,'The List'!$B1:$AH730,25,FALSE)-AVERAGE('The List'!Z2:Z730))/STDEV('The List'!Z2:Z730)</f>
        <v>-0.713230396638692</v>
      </c>
      <c r="N353" s="46">
        <f>(VLOOKUP($A353,'The List'!$B1:$AH730,26,FALSE)-AVERAGE('The List'!AA2:AA730))/STDEV('The List'!AA2:AA730)</f>
        <v>-0.72090485663195</v>
      </c>
      <c r="O353" s="46">
        <f>(VLOOKUP($A353,'The List'!$B1:$AH730,27,FALSE)-AVERAGE('The List'!AB2:AB730))/STDEV('The List'!AB2:AB730)</f>
        <v>-1.1065529336528</v>
      </c>
      <c r="P353" s="46">
        <f>(VLOOKUP($A353,'The List'!$B1:$AH730,28,FALSE)-AVERAGE('The List'!AC2:AC730))/STDEV('The List'!AC2:AC730)</f>
        <v>-0.7170314881448711</v>
      </c>
      <c r="Q353" s="46">
        <f>(VLOOKUP($A353,'The List'!$B1:$AH730,29,FALSE)-AVERAGE('The List'!AD2:AD730))/STDEV('The List'!AD2:AD730)</f>
        <v>-0.811621308274416</v>
      </c>
      <c r="R353" s="46">
        <f>(VLOOKUP($A353,'The List'!$B1:$AH730,30,FALSE)-AVERAGE('The List'!AE2:AE730))/STDEV('The List'!AE2:AE730)</f>
        <v>-0.0242134265163226</v>
      </c>
      <c r="S353" s="46">
        <f>(VLOOKUP($A353,'The List'!$B1:$AH730,31,FALSE)-AVERAGE('The List'!AF2:AF730))/STDEV('The List'!AF2:AF730)</f>
        <v>-0.541229136865229</v>
      </c>
      <c r="T353" s="46">
        <f>(VLOOKUP($A353,'The List'!$B1:$AH730,32,FALSE)-AVERAGE('The List'!AG2:AG730))/STDEV('The List'!AG2:AG730)</f>
        <v>-0.5843674208119209</v>
      </c>
      <c r="U353" s="46">
        <f>(VLOOKUP($A353,'The List'!$B1:$AH730,33,FALSE)-AVERAGE('The List'!AH2:AH730))/STDEV('The List'!AH2:AH730)</f>
        <v>1.02184901198491</v>
      </c>
      <c r="V353" s="46"/>
      <c r="W353" s="48"/>
      <c r="X353" s="46"/>
      <c r="Y353" s="46"/>
      <c r="Z353" s="46"/>
      <c r="AA353" s="46"/>
      <c r="AB353" s="46"/>
      <c r="AC353" s="46"/>
      <c r="AD353" s="46"/>
      <c r="AE353" s="46"/>
    </row>
    <row r="354" ht="21.25" customHeight="1">
      <c r="A354" t="s" s="8">
        <v>629</v>
      </c>
      <c r="B354" t="s" s="42">
        <f>VLOOKUP(A354,'Player Data'!A1:B734,2,FALSE)</f>
        <v>122</v>
      </c>
      <c r="C354" s="44">
        <f>((E354)*'Settings'!$C$12)+(F354*'Settings'!$C$2)+(G354*'Settings'!$C$3)+(H354*'Settings'!$C$4)+(I354*'Settings'!$C$5)+(K354*'Settings'!$C$9)+(N354*'Settings'!$C$6)+(J354*'Settings'!$C$8)+(O354*'Settings'!$C$7)+(P354*'Settings'!$C$14)+(Q354*'Settings'!$C$15)+(R354*'Settings'!$C$16)+(S354*'Settings'!$C$17)+(T354*'Settings'!$C$18)+(U354*'Settings'!$C$19)+(L354*'Settings'!$C$10)+('Settings'!$C$11*M354)</f>
        <v>-0.666306145982336</v>
      </c>
      <c r="D354" s="48">
        <f>IF('Settings'!$E$12="YES",VLOOKUP(A354,'Player Data'!A1:E734,5,FALSE),82)</f>
        <v>76.4225</v>
      </c>
      <c r="E354" s="46">
        <f>(VLOOKUP($A354,'The List'!$B1:$AH730,17,FALSE)-AVERAGE('The List'!R2:R730))/STDEV('The List'!R2:R730)</f>
        <v>-1.09359749684862</v>
      </c>
      <c r="F354" s="46">
        <f>(VLOOKUP($A354,'The List'!$B1:$AH730,18,FALSE)-AVERAGE('The List'!S2:S730))/STDEV('The List'!S2:S730)</f>
        <v>0.0913552814073242</v>
      </c>
      <c r="G354" s="46">
        <f>(VLOOKUP($A354,'The List'!$B1:$AH730,19,FALSE)-AVERAGE('The List'!T2:T730))/STDEV('The List'!T2:T730)</f>
        <v>-0.638423503024859</v>
      </c>
      <c r="H354" s="46">
        <f>(VLOOKUP($A354,'The List'!$B1:$AH730,20,FALSE)-AVERAGE('The List'!U2:U730))/STDEV('The List'!U2:U730)</f>
        <v>-0.352011213147419</v>
      </c>
      <c r="I354" s="46">
        <f>(VLOOKUP($A354,'The List'!$B1:$AH730,21,FALSE)-AVERAGE('The List'!V2:V730))/STDEV('The List'!V2:V730)</f>
        <v>0.009443332524028221</v>
      </c>
      <c r="J354" s="46">
        <f>(VLOOKUP($A354,'The List'!$B1:$AH730,22,FALSE)-AVERAGE('The List'!W2:W730))/STDEV('The List'!W2:W730)</f>
        <v>-0.700413540399271</v>
      </c>
      <c r="K354" s="46">
        <f>(VLOOKUP($A354,'The List'!$B1:$AH730,23,FALSE)-AVERAGE('The List'!X2:X730))/STDEV('The List'!X2:X730)</f>
        <v>-0.7903955880913029</v>
      </c>
      <c r="L354" s="46">
        <f>(VLOOKUP($A354,'The List'!$B1:$AH730,24,FALSE)-AVERAGE('The List'!Y2:Y730))/STDEV('The List'!Y2:Y730)</f>
        <v>-0.412275960080351</v>
      </c>
      <c r="M354" s="46">
        <f>(VLOOKUP($A354,'The List'!$B1:$AH730,25,FALSE)-AVERAGE('The List'!Z2:Z730))/STDEV('The List'!Z2:Z730)</f>
        <v>-0.195133875756324</v>
      </c>
      <c r="N354" s="46">
        <f>(VLOOKUP($A354,'The List'!$B1:$AH730,26,FALSE)-AVERAGE('The List'!AA2:AA730))/STDEV('The List'!AA2:AA730)</f>
        <v>-0.547837799530106</v>
      </c>
      <c r="O354" s="46">
        <f>(VLOOKUP($A354,'The List'!$B1:$AH730,27,FALSE)-AVERAGE('The List'!AB2:AB730))/STDEV('The List'!AB2:AB730)</f>
        <v>0.755730560144218</v>
      </c>
      <c r="P354" s="46">
        <f>(VLOOKUP($A354,'The List'!$B1:$AH730,28,FALSE)-AVERAGE('The List'!AC2:AC730))/STDEV('The List'!AC2:AC730)</f>
        <v>1.20955213073258</v>
      </c>
      <c r="Q354" s="46">
        <f>(VLOOKUP($A354,'The List'!$B1:$AH730,29,FALSE)-AVERAGE('The List'!AD2:AD730))/STDEV('The List'!AD2:AD730)</f>
        <v>1.5299046938468</v>
      </c>
      <c r="R354" s="46">
        <f>(VLOOKUP($A354,'The List'!$B1:$AH730,30,FALSE)-AVERAGE('The List'!AE2:AE730))/STDEV('The List'!AE2:AE730)</f>
        <v>0.33059465603239</v>
      </c>
      <c r="S354" s="46">
        <f>(VLOOKUP($A354,'The List'!$B1:$AH730,31,FALSE)-AVERAGE('The List'!AF2:AF730))/STDEV('The List'!AF2:AF730)</f>
        <v>-0.398197403551722</v>
      </c>
      <c r="T354" s="46">
        <f>(VLOOKUP($A354,'The List'!$B1:$AH730,32,FALSE)-AVERAGE('The List'!AG2:AG730))/STDEV('The List'!AG2:AG730)</f>
        <v>-0.331711234965346</v>
      </c>
      <c r="U354" s="46">
        <f>(VLOOKUP($A354,'The List'!$B1:$AH730,33,FALSE)-AVERAGE('The List'!AH2:AH730))/STDEV('The List'!AH2:AH730)</f>
        <v>0.492511418396346</v>
      </c>
      <c r="V354" s="46"/>
      <c r="W354" s="50"/>
      <c r="X354" s="48"/>
      <c r="Y354" s="48"/>
      <c r="Z354" s="48"/>
      <c r="AA354" s="48"/>
      <c r="AB354" s="48"/>
      <c r="AC354" s="51"/>
      <c r="AD354" s="52"/>
      <c r="AE354" s="46"/>
    </row>
    <row r="355" ht="21.25" customHeight="1">
      <c r="A355" t="s" s="8">
        <v>788</v>
      </c>
      <c r="B355" t="s" s="42">
        <f>VLOOKUP(A355,'Player Data'!A1:B734,2,FALSE)</f>
        <v>184</v>
      </c>
      <c r="C355" s="44">
        <f>((E355)*'Settings'!$C$12)+(F355*'Settings'!$C$2)+(G355*'Settings'!$C$3)+(H355*'Settings'!$C$4)+(I355*'Settings'!$C$5)+(K355*'Settings'!$C$9)+(N355*'Settings'!$C$6)+(J355*'Settings'!$C$8)+(O355*'Settings'!$C$7)+(P355*'Settings'!$C$14)+(Q355*'Settings'!$C$15)+(R355*'Settings'!$C$16)+(S355*'Settings'!$C$17)+(T355*'Settings'!$C$18)+(U355*'Settings'!$C$19)+(L355*'Settings'!$C$10)+('Settings'!$C$11*M355)</f>
        <v>-4.17160928894494</v>
      </c>
      <c r="D355" s="48">
        <f>IF('Settings'!$E$12="YES",VLOOKUP(A355,'Player Data'!A1:E734,5,FALSE),82)</f>
        <v>63.9103571428571</v>
      </c>
      <c r="E355" s="46">
        <f>(VLOOKUP($A355,'The List'!$B1:$AH730,17,FALSE)-AVERAGE('The List'!R2:R730))/STDEV('The List'!R2:R730)</f>
        <v>-1.41426178927375</v>
      </c>
      <c r="F355" s="46">
        <f>(VLOOKUP($A355,'The List'!$B1:$AH730,18,FALSE)-AVERAGE('The List'!S2:S730))/STDEV('The List'!S2:S730)</f>
        <v>-0.199621860860942</v>
      </c>
      <c r="G355" s="46">
        <f>(VLOOKUP($A355,'The List'!$B1:$AH730,19,FALSE)-AVERAGE('The List'!T2:T730))/STDEV('The List'!T2:T730)</f>
        <v>-0.755649433881485</v>
      </c>
      <c r="H355" s="46">
        <f>(VLOOKUP($A355,'The List'!$B1:$AH730,20,FALSE)-AVERAGE('The List'!U2:U730))/STDEV('The List'!U2:U730)</f>
        <v>-0.556679894222634</v>
      </c>
      <c r="I355" s="46">
        <f>(VLOOKUP($A355,'The List'!$B1:$AH730,21,FALSE)-AVERAGE('The List'!V2:V730))/STDEV('The List'!V2:V730)</f>
        <v>-1.01270023215252</v>
      </c>
      <c r="J355" s="46">
        <f>(VLOOKUP($A355,'The List'!$B1:$AH730,22,FALSE)-AVERAGE('The List'!W2:W730))/STDEV('The List'!W2:W730)</f>
        <v>-0.699367518271898</v>
      </c>
      <c r="K355" s="46">
        <f>(VLOOKUP($A355,'The List'!$B1:$AH730,23,FALSE)-AVERAGE('The List'!X2:X730))/STDEV('The List'!X2:X730)</f>
        <v>-0.7893837813290761</v>
      </c>
      <c r="L355" s="46">
        <f>(VLOOKUP($A355,'The List'!$B1:$AH730,24,FALSE)-AVERAGE('The List'!Y2:Y730))/STDEV('The List'!Y2:Y730)</f>
        <v>-0.541994477822789</v>
      </c>
      <c r="M355" s="46">
        <f>(VLOOKUP($A355,'The List'!$B1:$AH730,25,FALSE)-AVERAGE('The List'!Z2:Z730))/STDEV('The List'!Z2:Z730)</f>
        <v>-0.720822749477076</v>
      </c>
      <c r="N355" s="46">
        <f>(VLOOKUP($A355,'The List'!$B1:$AH730,26,FALSE)-AVERAGE('The List'!AA2:AA730))/STDEV('The List'!AA2:AA730)</f>
        <v>-0.995431537118306</v>
      </c>
      <c r="O355" s="46">
        <f>(VLOOKUP($A355,'The List'!$B1:$AH730,27,FALSE)-AVERAGE('The List'!AB2:AB730))/STDEV('The List'!AB2:AB730)</f>
        <v>1.63744564444212</v>
      </c>
      <c r="P355" s="46">
        <f>(VLOOKUP($A355,'The List'!$B1:$AH730,28,FALSE)-AVERAGE('The List'!AC2:AC730))/STDEV('The List'!AC2:AC730)</f>
        <v>-0.418822443602606</v>
      </c>
      <c r="Q355" s="46">
        <f>(VLOOKUP($A355,'The List'!$B1:$AH730,29,FALSE)-AVERAGE('The List'!AD2:AD730))/STDEV('The List'!AD2:AD730)</f>
        <v>0.920717064907697</v>
      </c>
      <c r="R355" s="46">
        <f>(VLOOKUP($A355,'The List'!$B1:$AH730,30,FALSE)-AVERAGE('The List'!AE2:AE730))/STDEV('The List'!AE2:AE730)</f>
        <v>-0.240753188684168</v>
      </c>
      <c r="S355" s="46">
        <f>(VLOOKUP($A355,'The List'!$B1:$AH730,31,FALSE)-AVERAGE('The List'!AF2:AF730))/STDEV('The List'!AF2:AF730)</f>
        <v>-0.531917140518845</v>
      </c>
      <c r="T355" s="46">
        <f>(VLOOKUP($A355,'The List'!$B1:$AH730,32,FALSE)-AVERAGE('The List'!AG2:AG730))/STDEV('The List'!AG2:AG730)</f>
        <v>-0.565492457413091</v>
      </c>
      <c r="U355" s="46">
        <f>(VLOOKUP($A355,'The List'!$B1:$AH730,33,FALSE)-AVERAGE('The List'!AH2:AH730))/STDEV('The List'!AH2:AH730)</f>
        <v>0.689209697975246</v>
      </c>
      <c r="V355" s="46"/>
      <c r="W355" s="50"/>
      <c r="X355" s="48"/>
      <c r="Y355" s="48"/>
      <c r="Z355" s="48"/>
      <c r="AA355" s="48"/>
      <c r="AB355" s="48"/>
      <c r="AC355" s="51"/>
      <c r="AD355" s="52"/>
      <c r="AE355" s="46"/>
    </row>
    <row r="356" ht="21.25" customHeight="1">
      <c r="A356" t="s" s="8">
        <v>375</v>
      </c>
      <c r="B356" t="s" s="42">
        <f>VLOOKUP(A356,'Player Data'!A1:B734,2,FALSE)</f>
        <v>202</v>
      </c>
      <c r="C356" s="44">
        <f>((E356)*'Settings'!$C$12)+(F356*'Settings'!$C$2)+(G356*'Settings'!$C$3)+(H356*'Settings'!$C$4)+(I356*'Settings'!$C$5)+(K356*'Settings'!$C$9)+(N356*'Settings'!$C$6)+(J356*'Settings'!$C$8)+(O356*'Settings'!$C$7)+(P356*'Settings'!$C$14)+(Q356*'Settings'!$C$15)+(R356*'Settings'!$C$16)+(S356*'Settings'!$C$17)+(T356*'Settings'!$C$18)+(U356*'Settings'!$C$19)+(L356*'Settings'!$C$10)+('Settings'!$C$11*M356)</f>
        <v>1.14936625698812</v>
      </c>
      <c r="D356" s="48">
        <f>IF('Settings'!$E$12="YES",VLOOKUP(A356,'Player Data'!A1:E734,5,FALSE),82)</f>
        <v>80.59999999999999</v>
      </c>
      <c r="E356" s="46">
        <f>(VLOOKUP($A356,'The List'!$B1:$AH730,17,FALSE)-AVERAGE('The List'!R2:R730))/STDEV('The List'!R2:R730)</f>
        <v>0.723242352564457</v>
      </c>
      <c r="F356" s="46">
        <f>(VLOOKUP($A356,'The List'!$B1:$AH730,18,FALSE)-AVERAGE('The List'!S2:S730))/STDEV('The List'!S2:S730)</f>
        <v>-0.339513645283911</v>
      </c>
      <c r="G356" s="46">
        <f>(VLOOKUP($A356,'The List'!$B1:$AH730,19,FALSE)-AVERAGE('The List'!T2:T730))/STDEV('The List'!T2:T730)</f>
        <v>-0.212524649489628</v>
      </c>
      <c r="H356" s="46">
        <f>(VLOOKUP($A356,'The List'!$B1:$AH730,20,FALSE)-AVERAGE('The List'!U2:U730))/STDEV('The List'!U2:U730)</f>
        <v>-0.28550417084238</v>
      </c>
      <c r="I356" s="46">
        <f>(VLOOKUP($A356,'The List'!$B1:$AH730,21,FALSE)-AVERAGE('The List'!V2:V730))/STDEV('The List'!V2:V730)</f>
        <v>0.41269980672299</v>
      </c>
      <c r="J356" s="46">
        <f>(VLOOKUP($A356,'The List'!$B1:$AH730,22,FALSE)-AVERAGE('The List'!W2:W730))/STDEV('The List'!W2:W730)</f>
        <v>-0.348914460668554</v>
      </c>
      <c r="K356" s="46">
        <f>(VLOOKUP($A356,'The List'!$B1:$AH730,23,FALSE)-AVERAGE('The List'!X2:X730))/STDEV('The List'!X2:X730)</f>
        <v>-0.506640143648638</v>
      </c>
      <c r="L356" s="46">
        <f>(VLOOKUP($A356,'The List'!$B1:$AH730,24,FALSE)-AVERAGE('The List'!Y2:Y730))/STDEV('The List'!Y2:Y730)</f>
        <v>0.193705834639504</v>
      </c>
      <c r="M356" s="46">
        <f>(VLOOKUP($A356,'The List'!$B1:$AH730,25,FALSE)-AVERAGE('The List'!Z2:Z730))/STDEV('The List'!Z2:Z730)</f>
        <v>-0.0214226585020265</v>
      </c>
      <c r="N356" s="46">
        <f>(VLOOKUP($A356,'The List'!$B1:$AH730,26,FALSE)-AVERAGE('The List'!AA2:AA730))/STDEV('The List'!AA2:AA730)</f>
        <v>0.296264824025921</v>
      </c>
      <c r="O356" s="46">
        <f>(VLOOKUP($A356,'The List'!$B1:$AH730,27,FALSE)-AVERAGE('The List'!AB2:AB730))/STDEV('The List'!AB2:AB730)</f>
        <v>-0.240136349852233</v>
      </c>
      <c r="P356" s="46">
        <f>(VLOOKUP($A356,'The List'!$B1:$AH730,28,FALSE)-AVERAGE('The List'!AC2:AC730))/STDEV('The List'!AC2:AC730)</f>
        <v>1.49908006466139</v>
      </c>
      <c r="Q356" s="46">
        <f>(VLOOKUP($A356,'The List'!$B1:$AH730,29,FALSE)-AVERAGE('The List'!AD2:AD730))/STDEV('The List'!AD2:AD730)</f>
        <v>0.608991862922016</v>
      </c>
      <c r="R356" s="46">
        <f>(VLOOKUP($A356,'The List'!$B1:$AH730,30,FALSE)-AVERAGE('The List'!AE2:AE730))/STDEV('The List'!AE2:AE730)</f>
        <v>-0.0682900668151256</v>
      </c>
      <c r="S356" s="46">
        <f>(VLOOKUP($A356,'The List'!$B1:$AH730,31,FALSE)-AVERAGE('The List'!AF2:AF730))/STDEV('The List'!AF2:AF730)</f>
        <v>-0.5569063253591</v>
      </c>
      <c r="T356" s="46">
        <f>(VLOOKUP($A356,'The List'!$B1:$AH730,32,FALSE)-AVERAGE('The List'!AG2:AG730))/STDEV('The List'!AG2:AG730)</f>
        <v>-0.600856269042678</v>
      </c>
      <c r="U356" s="46">
        <f>(VLOOKUP($A356,'The List'!$B1:$AH730,33,FALSE)-AVERAGE('The List'!AH2:AH730))/STDEV('The List'!AH2:AH730)</f>
        <v>-1.2363238714826</v>
      </c>
      <c r="V356" s="46"/>
      <c r="W356" s="50"/>
      <c r="X356" s="48"/>
      <c r="Y356" s="48"/>
      <c r="Z356" s="48"/>
      <c r="AA356" s="48"/>
      <c r="AB356" s="48"/>
      <c r="AC356" s="51"/>
      <c r="AD356" s="52"/>
      <c r="AE356" s="46"/>
    </row>
    <row r="357" ht="21.25" customHeight="1">
      <c r="A357" t="s" s="8">
        <v>342</v>
      </c>
      <c r="B357" t="s" s="42">
        <f>VLOOKUP(A357,'Player Data'!A1:B734,2,FALSE)</f>
        <v>151</v>
      </c>
      <c r="C357" s="44">
        <f>((E357)*'Settings'!$C$12)+(F357*'Settings'!$C$2)+(G357*'Settings'!$C$3)+(H357*'Settings'!$C$4)+(I357*'Settings'!$C$5)+(K357*'Settings'!$C$9)+(N357*'Settings'!$C$6)+(J357*'Settings'!$C$8)+(O357*'Settings'!$C$7)+(P357*'Settings'!$C$14)+(Q357*'Settings'!$C$15)+(R357*'Settings'!$C$16)+(S357*'Settings'!$C$17)+(T357*'Settings'!$C$18)+(U357*'Settings'!$C$19)+(L357*'Settings'!$C$10)+('Settings'!$C$11*M357)</f>
        <v>2.91772892675392</v>
      </c>
      <c r="D357" s="48">
        <f>IF('Settings'!$E$12="YES",VLOOKUP(A357,'Player Data'!A1:E734,5,FALSE),82)</f>
        <v>78.51000000000001</v>
      </c>
      <c r="E357" s="46">
        <f>(VLOOKUP($A357,'The List'!$B1:$AH730,17,FALSE)-AVERAGE('The List'!R2:R730))/STDEV('The List'!R2:R730)</f>
        <v>1.1291232496529</v>
      </c>
      <c r="F357" s="46">
        <f>(VLOOKUP($A357,'The List'!$B1:$AH730,18,FALSE)-AVERAGE('The List'!S2:S730))/STDEV('The List'!S2:S730)</f>
        <v>-0.596599686574189</v>
      </c>
      <c r="G357" s="46">
        <f>(VLOOKUP($A357,'The List'!$B1:$AH730,19,FALSE)-AVERAGE('The List'!T2:T730))/STDEV('The List'!T2:T730)</f>
        <v>-0.0805953835617412</v>
      </c>
      <c r="H357" s="46">
        <f>(VLOOKUP($A357,'The List'!$B1:$AH730,20,FALSE)-AVERAGE('The List'!U2:U730))/STDEV('The List'!U2:U730)</f>
        <v>-0.321150817260965</v>
      </c>
      <c r="I357" s="46">
        <f>(VLOOKUP($A357,'The List'!$B1:$AH730,21,FALSE)-AVERAGE('The List'!V2:V730))/STDEV('The List'!V2:V730)</f>
        <v>0.614212612262888</v>
      </c>
      <c r="J357" s="46">
        <f>(VLOOKUP($A357,'The List'!$B1:$AH730,22,FALSE)-AVERAGE('The List'!W2:W730))/STDEV('The List'!W2:W730)</f>
        <v>-0.580259951589825</v>
      </c>
      <c r="K357" s="46">
        <f>(VLOOKUP($A357,'The List'!$B1:$AH730,23,FALSE)-AVERAGE('The List'!X2:X730))/STDEV('The List'!X2:X730)</f>
        <v>-0.641734346478337</v>
      </c>
      <c r="L357" s="46">
        <f>(VLOOKUP($A357,'The List'!$B1:$AH730,24,FALSE)-AVERAGE('The List'!Y2:Y730))/STDEV('The List'!Y2:Y730)</f>
        <v>-0.500822055001279</v>
      </c>
      <c r="M357" s="46">
        <f>(VLOOKUP($A357,'The List'!$B1:$AH730,25,FALSE)-AVERAGE('The List'!Z2:Z730))/STDEV('The List'!Z2:Z730)</f>
        <v>0.227234877435866</v>
      </c>
      <c r="N357" s="46">
        <f>(VLOOKUP($A357,'The List'!$B1:$AH730,26,FALSE)-AVERAGE('The List'!AA2:AA730))/STDEV('The List'!AA2:AA730)</f>
        <v>2.86501144381766</v>
      </c>
      <c r="O357" s="46">
        <f>(VLOOKUP($A357,'The List'!$B1:$AH730,27,FALSE)-AVERAGE('The List'!AB2:AB730))/STDEV('The List'!AB2:AB730)</f>
        <v>2.09392469011013</v>
      </c>
      <c r="P357" s="46">
        <f>(VLOOKUP($A357,'The List'!$B1:$AH730,28,FALSE)-AVERAGE('The List'!AC2:AC730))/STDEV('The List'!AC2:AC730)</f>
        <v>0.757434287287637</v>
      </c>
      <c r="Q357" s="46">
        <f>(VLOOKUP($A357,'The List'!$B1:$AH730,29,FALSE)-AVERAGE('The List'!AD2:AD730))/STDEV('The List'!AD2:AD730)</f>
        <v>2.10938765267826</v>
      </c>
      <c r="R357" s="46">
        <f>(VLOOKUP($A357,'The List'!$B1:$AH730,30,FALSE)-AVERAGE('The List'!AE2:AE730))/STDEV('The List'!AE2:AE730)</f>
        <v>-0.409487520094439</v>
      </c>
      <c r="S357" s="46">
        <f>(VLOOKUP($A357,'The List'!$B1:$AH730,31,FALSE)-AVERAGE('The List'!AF2:AF730))/STDEV('The List'!AF2:AF730)</f>
        <v>-0.5569063253591</v>
      </c>
      <c r="T357" s="46">
        <f>(VLOOKUP($A357,'The List'!$B1:$AH730,32,FALSE)-AVERAGE('The List'!AG2:AG730))/STDEV('The List'!AG2:AG730)</f>
        <v>-0.59716322471143</v>
      </c>
      <c r="U357" s="46">
        <f>(VLOOKUP($A357,'The List'!$B1:$AH730,33,FALSE)-AVERAGE('The List'!AH2:AH730))/STDEV('The List'!AH2:AH730)</f>
        <v>-1.2363238714826</v>
      </c>
      <c r="V357" s="46"/>
      <c r="W357" s="50"/>
      <c r="X357" s="48"/>
      <c r="Y357" s="48"/>
      <c r="Z357" s="48"/>
      <c r="AA357" s="48"/>
      <c r="AB357" s="48"/>
      <c r="AC357" s="51"/>
      <c r="AD357" s="52"/>
      <c r="AE357" s="46"/>
    </row>
    <row r="358" ht="21.25" customHeight="1">
      <c r="A358" t="s" s="8">
        <v>671</v>
      </c>
      <c r="B358" t="s" s="42">
        <f>VLOOKUP(A358,'Player Data'!A1:B734,2,FALSE)</f>
        <v>189</v>
      </c>
      <c r="C358" s="44">
        <f>((E358)*'Settings'!$C$12)+(F358*'Settings'!$C$2)+(G358*'Settings'!$C$3)+(H358*'Settings'!$C$4)+(I358*'Settings'!$C$5)+(K358*'Settings'!$C$9)+(N358*'Settings'!$C$6)+(J358*'Settings'!$C$8)+(O358*'Settings'!$C$7)+(P358*'Settings'!$C$14)+(Q358*'Settings'!$C$15)+(R358*'Settings'!$C$16)+(S358*'Settings'!$C$17)+(T358*'Settings'!$C$18)+(U358*'Settings'!$C$19)+(L358*'Settings'!$C$10)+('Settings'!$C$11*M358)</f>
        <v>-2.8924942333634</v>
      </c>
      <c r="D358" s="48">
        <f>IF('Settings'!$E$12="YES",VLOOKUP(A358,'Player Data'!A1:E734,5,FALSE),82)</f>
        <v>70</v>
      </c>
      <c r="E358" s="46">
        <f>(VLOOKUP($A358,'The List'!$B1:$AH730,17,FALSE)-AVERAGE('The List'!R2:R730))/STDEV('The List'!R2:R730)</f>
        <v>-0.867025392262448</v>
      </c>
      <c r="F358" s="46">
        <f>(VLOOKUP($A358,'The List'!$B1:$AH730,18,FALSE)-AVERAGE('The List'!S2:S730))/STDEV('The List'!S2:S730)</f>
        <v>-0.295870299255188</v>
      </c>
      <c r="G358" s="46">
        <f>(VLOOKUP($A358,'The List'!$B1:$AH730,19,FALSE)-AVERAGE('The List'!T2:T730))/STDEV('The List'!T2:T730)</f>
        <v>-0.532204048200825</v>
      </c>
      <c r="H358" s="46">
        <f>(VLOOKUP($A358,'The List'!$B1:$AH730,20,FALSE)-AVERAGE('The List'!U2:U730))/STDEV('The List'!U2:U730)</f>
        <v>-0.462723720643826</v>
      </c>
      <c r="I358" s="46">
        <f>(VLOOKUP($A358,'The List'!$B1:$AH730,21,FALSE)-AVERAGE('The List'!V2:V730))/STDEV('The List'!V2:V730)</f>
        <v>-0.404273750654587</v>
      </c>
      <c r="J358" s="46">
        <f>(VLOOKUP($A358,'The List'!$B1:$AH730,22,FALSE)-AVERAGE('The List'!W2:W730))/STDEV('The List'!W2:W730)</f>
        <v>-0.256676724263541</v>
      </c>
      <c r="K358" s="46">
        <f>(VLOOKUP($A358,'The List'!$B1:$AH730,23,FALSE)-AVERAGE('The List'!X2:X730))/STDEV('The List'!X2:X730)</f>
        <v>-0.390653926843832</v>
      </c>
      <c r="L358" s="46">
        <f>(VLOOKUP($A358,'The List'!$B1:$AH730,24,FALSE)-AVERAGE('The List'!Y2:Y730))/STDEV('The List'!Y2:Y730)</f>
        <v>-0.542843480388394</v>
      </c>
      <c r="M358" s="46">
        <f>(VLOOKUP($A358,'The List'!$B1:$AH730,25,FALSE)-AVERAGE('The List'!Z2:Z730))/STDEV('The List'!Z2:Z730)</f>
        <v>-0.72177514995105</v>
      </c>
      <c r="N358" s="46">
        <f>(VLOOKUP($A358,'The List'!$B1:$AH730,26,FALSE)-AVERAGE('The List'!AA2:AA730))/STDEV('The List'!AA2:AA730)</f>
        <v>-0.722589881083337</v>
      </c>
      <c r="O358" s="46">
        <f>(VLOOKUP($A358,'The List'!$B1:$AH730,27,FALSE)-AVERAGE('The List'!AB2:AB730))/STDEV('The List'!AB2:AB730)</f>
        <v>-0.442445765465351</v>
      </c>
      <c r="P358" s="46">
        <f>(VLOOKUP($A358,'The List'!$B1:$AH730,28,FALSE)-AVERAGE('The List'!AC2:AC730))/STDEV('The List'!AC2:AC730)</f>
        <v>-0.546902327325633</v>
      </c>
      <c r="Q358" s="46">
        <f>(VLOOKUP($A358,'The List'!$B1:$AH730,29,FALSE)-AVERAGE('The List'!AD2:AD730))/STDEV('The List'!AD2:AD730)</f>
        <v>-0.660411799313211</v>
      </c>
      <c r="R358" s="46">
        <f>(VLOOKUP($A358,'The List'!$B1:$AH730,30,FALSE)-AVERAGE('The List'!AE2:AE730))/STDEV('The List'!AE2:AE730)</f>
        <v>-0.487425273032158</v>
      </c>
      <c r="S358" s="46">
        <f>(VLOOKUP($A358,'The List'!$B1:$AH730,31,FALSE)-AVERAGE('The List'!AF2:AF730))/STDEV('The List'!AF2:AF730)</f>
        <v>-0.552474543621841</v>
      </c>
      <c r="T358" s="46">
        <f>(VLOOKUP($A358,'The List'!$B1:$AH730,32,FALSE)-AVERAGE('The List'!AG2:AG730))/STDEV('The List'!AG2:AG730)</f>
        <v>-0.568918856759302</v>
      </c>
      <c r="U358" s="46">
        <f>(VLOOKUP($A358,'The List'!$B1:$AH730,33,FALSE)-AVERAGE('The List'!AH2:AH730))/STDEV('The List'!AH2:AH730)</f>
        <v>-0.661118786195939</v>
      </c>
      <c r="V358" s="46"/>
      <c r="W358" s="48"/>
      <c r="X358" s="46"/>
      <c r="Y358" s="46"/>
      <c r="Z358" s="46"/>
      <c r="AA358" s="46"/>
      <c r="AB358" s="46"/>
      <c r="AC358" s="46"/>
      <c r="AD358" s="46"/>
      <c r="AE358" s="46"/>
    </row>
    <row r="359" ht="21.25" customHeight="1">
      <c r="A359" t="s" s="8">
        <v>369</v>
      </c>
      <c r="B359" t="s" s="42">
        <f>VLOOKUP(A359,'Player Data'!A1:B734,2,FALSE)</f>
        <v>141</v>
      </c>
      <c r="C359" s="44">
        <f>((E359)*'Settings'!$C$12)+(F359*'Settings'!$C$2)+(G359*'Settings'!$C$3)+(H359*'Settings'!$C$4)+(I359*'Settings'!$C$5)+(K359*'Settings'!$C$9)+(N359*'Settings'!$C$6)+(J359*'Settings'!$C$8)+(O359*'Settings'!$C$7)+(P359*'Settings'!$C$14)+(Q359*'Settings'!$C$15)+(R359*'Settings'!$C$16)+(S359*'Settings'!$C$17)+(T359*'Settings'!$C$18)+(U359*'Settings'!$C$19)+(L359*'Settings'!$C$10)+('Settings'!$C$11*M359)</f>
        <v>1.24688053490465</v>
      </c>
      <c r="D359" s="48">
        <f>IF('Settings'!$E$12="YES",VLOOKUP(A359,'Player Data'!A1:E734,5,FALSE),82)</f>
        <v>76.59999999999999</v>
      </c>
      <c r="E359" s="46">
        <f>(VLOOKUP($A359,'The List'!$B1:$AH730,17,FALSE)-AVERAGE('The List'!R2:R730))/STDEV('The List'!R2:R730)</f>
        <v>2.51694011408453</v>
      </c>
      <c r="F359" s="46">
        <f>(VLOOKUP($A359,'The List'!$B1:$AH730,18,FALSE)-AVERAGE('The List'!S2:S730))/STDEV('The List'!S2:S730)</f>
        <v>-0.786802957259615</v>
      </c>
      <c r="G359" s="46">
        <f>(VLOOKUP($A359,'The List'!$B1:$AH730,19,FALSE)-AVERAGE('The List'!T2:T730))/STDEV('The List'!T2:T730)</f>
        <v>0.0018663490322274</v>
      </c>
      <c r="H359" s="46">
        <f>(VLOOKUP($A359,'The List'!$B1:$AH730,20,FALSE)-AVERAGE('The List'!U2:U730))/STDEV('The List'!U2:U730)</f>
        <v>-0.356860545788652</v>
      </c>
      <c r="I359" s="46">
        <f>(VLOOKUP($A359,'The List'!$B1:$AH730,21,FALSE)-AVERAGE('The List'!V2:V730))/STDEV('The List'!V2:V730)</f>
        <v>-0.516661907639295</v>
      </c>
      <c r="J359" s="46">
        <f>(VLOOKUP($A359,'The List'!$B1:$AH730,22,FALSE)-AVERAGE('The List'!W2:W730))/STDEV('The List'!W2:W730)</f>
        <v>-0.485189100008431</v>
      </c>
      <c r="K359" s="46">
        <f>(VLOOKUP($A359,'The List'!$B1:$AH730,23,FALSE)-AVERAGE('The List'!X2:X730))/STDEV('The List'!X2:X730)</f>
        <v>0.234659751532529</v>
      </c>
      <c r="L359" s="46">
        <f>(VLOOKUP($A359,'The List'!$B1:$AH730,24,FALSE)-AVERAGE('The List'!Y2:Y730))/STDEV('The List'!Y2:Y730)</f>
        <v>-0.492983014057194</v>
      </c>
      <c r="M359" s="46">
        <f>(VLOOKUP($A359,'The List'!$B1:$AH730,25,FALSE)-AVERAGE('The List'!Z2:Z730))/STDEV('The List'!Z2:Z730)</f>
        <v>-0.5700106794080469</v>
      </c>
      <c r="N359" s="46">
        <f>(VLOOKUP($A359,'The List'!$B1:$AH730,26,FALSE)-AVERAGE('The List'!AA2:AA730))/STDEV('The List'!AA2:AA730)</f>
        <v>2.89612418718323</v>
      </c>
      <c r="O359" s="46">
        <f>(VLOOKUP($A359,'The List'!$B1:$AH730,27,FALSE)-AVERAGE('The List'!AB2:AB730))/STDEV('The List'!AB2:AB730)</f>
        <v>1.31778063443863</v>
      </c>
      <c r="P359" s="46">
        <f>(VLOOKUP($A359,'The List'!$B1:$AH730,28,FALSE)-AVERAGE('The List'!AC2:AC730))/STDEV('The List'!AC2:AC730)</f>
        <v>-0.582304887944429</v>
      </c>
      <c r="Q359" s="46">
        <f>(VLOOKUP($A359,'The List'!$B1:$AH730,29,FALSE)-AVERAGE('The List'!AD2:AD730))/STDEV('The List'!AD2:AD730)</f>
        <v>0.0421972241527094</v>
      </c>
      <c r="R359" s="46">
        <f>(VLOOKUP($A359,'The List'!$B1:$AH730,30,FALSE)-AVERAGE('The List'!AE2:AE730))/STDEV('The List'!AE2:AE730)</f>
        <v>-0.773469515535212</v>
      </c>
      <c r="S359" s="46">
        <f>(VLOOKUP($A359,'The List'!$B1:$AH730,31,FALSE)-AVERAGE('The List'!AF2:AF730))/STDEV('The List'!AF2:AF730)</f>
        <v>-0.5569063253591</v>
      </c>
      <c r="T359" s="46">
        <f>(VLOOKUP($A359,'The List'!$B1:$AH730,32,FALSE)-AVERAGE('The List'!AG2:AG730))/STDEV('The List'!AG2:AG730)</f>
        <v>-0.595994755805492</v>
      </c>
      <c r="U359" s="46">
        <f>(VLOOKUP($A359,'The List'!$B1:$AH730,33,FALSE)-AVERAGE('The List'!AH2:AH730))/STDEV('The List'!AH2:AH730)</f>
        <v>-1.2363238714826</v>
      </c>
      <c r="V359" s="46"/>
      <c r="W359" s="48"/>
      <c r="X359" s="46"/>
      <c r="Y359" s="46"/>
      <c r="Z359" s="46"/>
      <c r="AA359" s="46"/>
      <c r="AB359" s="46"/>
      <c r="AC359" s="46"/>
      <c r="AD359" s="46"/>
      <c r="AE359" s="46"/>
    </row>
    <row r="360" ht="21.25" customHeight="1">
      <c r="A360" t="s" s="8">
        <v>773</v>
      </c>
      <c r="B360" t="s" s="42">
        <f>VLOOKUP(A360,'Player Data'!A1:B734,2,FALSE)</f>
        <v>173</v>
      </c>
      <c r="C360" s="44">
        <f>((E360)*'Settings'!$C$12)+(F360*'Settings'!$C$2)+(G360*'Settings'!$C$3)+(H360*'Settings'!$C$4)+(I360*'Settings'!$C$5)+(K360*'Settings'!$C$9)+(N360*'Settings'!$C$6)+(J360*'Settings'!$C$8)+(O360*'Settings'!$C$7)+(P360*'Settings'!$C$14)+(Q360*'Settings'!$C$15)+(R360*'Settings'!$C$16)+(S360*'Settings'!$C$17)+(T360*'Settings'!$C$18)+(U360*'Settings'!$C$19)+(L360*'Settings'!$C$10)+('Settings'!$C$11*M360)</f>
        <v>-3.13047361297806</v>
      </c>
      <c r="D360" s="48">
        <f>IF('Settings'!$E$12="YES",VLOOKUP(A360,'Player Data'!A1:E734,5,FALSE),82)</f>
        <v>63</v>
      </c>
      <c r="E360" s="46">
        <f>(VLOOKUP($A360,'The List'!$B1:$AH730,17,FALSE)-AVERAGE('The List'!R2:R730))/STDEV('The List'!R2:R730)</f>
        <v>-1.16989565773668</v>
      </c>
      <c r="F360" s="46">
        <f>(VLOOKUP($A360,'The List'!$B1:$AH730,18,FALSE)-AVERAGE('The List'!S2:S730))/STDEV('The List'!S2:S730)</f>
        <v>-0.448724523800252</v>
      </c>
      <c r="G360" s="46">
        <f>(VLOOKUP($A360,'The List'!$B1:$AH730,19,FALSE)-AVERAGE('The List'!T2:T730))/STDEV('The List'!T2:T730)</f>
        <v>-0.618885109577861</v>
      </c>
      <c r="H360" s="46">
        <f>(VLOOKUP($A360,'The List'!$B1:$AH730,20,FALSE)-AVERAGE('The List'!U2:U730))/STDEV('The List'!U2:U730)</f>
        <v>-0.585713193441103</v>
      </c>
      <c r="I360" s="46">
        <f>(VLOOKUP($A360,'The List'!$B1:$AH730,21,FALSE)-AVERAGE('The List'!V2:V730))/STDEV('The List'!V2:V730)</f>
        <v>-0.761103285390608</v>
      </c>
      <c r="J360" s="46">
        <f>(VLOOKUP($A360,'The List'!$B1:$AH730,22,FALSE)-AVERAGE('The List'!W2:W730))/STDEV('The List'!W2:W730)</f>
        <v>-0.6280098294636151</v>
      </c>
      <c r="K360" s="46">
        <f>(VLOOKUP($A360,'The List'!$B1:$AH730,23,FALSE)-AVERAGE('The List'!X2:X730))/STDEV('The List'!X2:X730)</f>
        <v>-0.621527099065935</v>
      </c>
      <c r="L360" s="46">
        <f>(VLOOKUP($A360,'The List'!$B1:$AH730,24,FALSE)-AVERAGE('The List'!Y2:Y730))/STDEV('The List'!Y2:Y730)</f>
        <v>-0.32135221884108</v>
      </c>
      <c r="M360" s="46">
        <f>(VLOOKUP($A360,'The List'!$B1:$AH730,25,FALSE)-AVERAGE('The List'!Z2:Z730))/STDEV('The List'!Z2:Z730)</f>
        <v>-0.478582167636275</v>
      </c>
      <c r="N360" s="46">
        <f>(VLOOKUP($A360,'The List'!$B1:$AH730,26,FALSE)-AVERAGE('The List'!AA2:AA730))/STDEV('The List'!AA2:AA730)</f>
        <v>-1.04479647872949</v>
      </c>
      <c r="O360" s="46">
        <f>(VLOOKUP($A360,'The List'!$B1:$AH730,27,FALSE)-AVERAGE('The List'!AB2:AB730))/STDEV('The List'!AB2:AB730)</f>
        <v>-0.0308630583026956</v>
      </c>
      <c r="P360" s="46">
        <f>(VLOOKUP($A360,'The List'!$B1:$AH730,28,FALSE)-AVERAGE('The List'!AC2:AC730))/STDEV('The List'!AC2:AC730)</f>
        <v>0.364562883586082</v>
      </c>
      <c r="Q360" s="46">
        <f>(VLOOKUP($A360,'The List'!$B1:$AH730,29,FALSE)-AVERAGE('The List'!AD2:AD730))/STDEV('The List'!AD2:AD730)</f>
        <v>-0.475520673942943</v>
      </c>
      <c r="R360" s="46">
        <f>(VLOOKUP($A360,'The List'!$B1:$AH730,30,FALSE)-AVERAGE('The List'!AE2:AE730))/STDEV('The List'!AE2:AE730)</f>
        <v>-0.355798759416455</v>
      </c>
      <c r="S360" s="46">
        <f>(VLOOKUP($A360,'The List'!$B1:$AH730,31,FALSE)-AVERAGE('The List'!AF2:AF730))/STDEV('The List'!AF2:AF730)</f>
        <v>0.0713306469234624</v>
      </c>
      <c r="T360" s="46">
        <f>(VLOOKUP($A360,'The List'!$B1:$AH730,32,FALSE)-AVERAGE('The List'!AG2:AG730))/STDEV('The List'!AG2:AG730)</f>
        <v>0.41333790607827</v>
      </c>
      <c r="U360" s="46">
        <f>(VLOOKUP($A360,'The List'!$B1:$AH730,33,FALSE)-AVERAGE('The List'!AH2:AH730))/STDEV('The List'!AH2:AH730)</f>
        <v>0.545353816390853</v>
      </c>
      <c r="V360" s="46"/>
      <c r="W360" s="48"/>
      <c r="X360" s="46"/>
      <c r="Y360" s="46"/>
      <c r="Z360" s="46"/>
      <c r="AA360" s="46"/>
      <c r="AB360" s="46"/>
      <c r="AC360" s="46"/>
      <c r="AD360" s="46"/>
      <c r="AE360" s="46"/>
    </row>
    <row r="361" ht="21.25" customHeight="1">
      <c r="A361" t="s" s="8">
        <v>746</v>
      </c>
      <c r="B361" t="s" s="42">
        <f>VLOOKUP(A361,'Player Data'!A1:B734,2,FALSE)</f>
        <v>194</v>
      </c>
      <c r="C361" s="44">
        <f>((E361)*'Settings'!$C$12)+(F361*'Settings'!$C$2)+(G361*'Settings'!$C$3)+(H361*'Settings'!$C$4)+(I361*'Settings'!$C$5)+(K361*'Settings'!$C$9)+(N361*'Settings'!$C$6)+(J361*'Settings'!$C$8)+(O361*'Settings'!$C$7)+(P361*'Settings'!$C$14)+(Q361*'Settings'!$C$15)+(R361*'Settings'!$C$16)+(S361*'Settings'!$C$17)+(T361*'Settings'!$C$18)+(U361*'Settings'!$C$19)+(L361*'Settings'!$C$10)+('Settings'!$C$11*M361)</f>
        <v>-3.88223289008194</v>
      </c>
      <c r="D361" s="48">
        <f>IF('Settings'!$E$12="YES",VLOOKUP(A361,'Player Data'!A1:E734,5,FALSE),82)</f>
        <v>71.5114285714286</v>
      </c>
      <c r="E361" s="46">
        <f>(VLOOKUP($A361,'The List'!$B1:$AH730,17,FALSE)-AVERAGE('The List'!R2:R730))/STDEV('The List'!R2:R730)</f>
        <v>-1.16911709730337</v>
      </c>
      <c r="F361" s="46">
        <f>(VLOOKUP($A361,'The List'!$B1:$AH730,18,FALSE)-AVERAGE('The List'!S2:S730))/STDEV('The List'!S2:S730)</f>
        <v>-0.351000383747189</v>
      </c>
      <c r="G361" s="46">
        <f>(VLOOKUP($A361,'The List'!$B1:$AH730,19,FALSE)-AVERAGE('The List'!T2:T730))/STDEV('The List'!T2:T730)</f>
        <v>-0.48214104323958</v>
      </c>
      <c r="H361" s="46">
        <f>(VLOOKUP($A361,'The List'!$B1:$AH730,20,FALSE)-AVERAGE('The List'!U2:U730))/STDEV('The List'!U2:U730)</f>
        <v>-0.456945830213478</v>
      </c>
      <c r="I361" s="46">
        <f>(VLOOKUP($A361,'The List'!$B1:$AH730,21,FALSE)-AVERAGE('The List'!V2:V730))/STDEV('The List'!V2:V730)</f>
        <v>-0.934589043678659</v>
      </c>
      <c r="J361" s="46">
        <f>(VLOOKUP($A361,'The List'!$B1:$AH730,22,FALSE)-AVERAGE('The List'!W2:W730))/STDEV('The List'!W2:W730)</f>
        <v>-0.625928138593661</v>
      </c>
      <c r="K361" s="46">
        <f>(VLOOKUP($A361,'The List'!$B1:$AH730,23,FALSE)-AVERAGE('The List'!X2:X730))/STDEV('The List'!X2:X730)</f>
        <v>-0.682594318973765</v>
      </c>
      <c r="L361" s="46">
        <f>(VLOOKUP($A361,'The List'!$B1:$AH730,24,FALSE)-AVERAGE('The List'!Y2:Y730))/STDEV('The List'!Y2:Y730)</f>
        <v>-0.5386541285876399</v>
      </c>
      <c r="M361" s="46">
        <f>(VLOOKUP($A361,'The List'!$B1:$AH730,25,FALSE)-AVERAGE('The List'!Z2:Z730))/STDEV('The List'!Z2:Z730)</f>
        <v>-0.717057186114617</v>
      </c>
      <c r="N361" s="46">
        <f>(VLOOKUP($A361,'The List'!$B1:$AH730,26,FALSE)-AVERAGE('The List'!AA2:AA730))/STDEV('The List'!AA2:AA730)</f>
        <v>-0.612463858675577</v>
      </c>
      <c r="O361" s="46">
        <f>(VLOOKUP($A361,'The List'!$B1:$AH730,27,FALSE)-AVERAGE('The List'!AB2:AB730))/STDEV('The List'!AB2:AB730)</f>
        <v>2.5974460604861</v>
      </c>
      <c r="P361" s="46">
        <f>(VLOOKUP($A361,'The List'!$B1:$AH730,28,FALSE)-AVERAGE('The List'!AC2:AC730))/STDEV('The List'!AC2:AC730)</f>
        <v>-0.819444241767173</v>
      </c>
      <c r="Q361" s="46">
        <f>(VLOOKUP($A361,'The List'!$B1:$AH730,29,FALSE)-AVERAGE('The List'!AD2:AD730))/STDEV('The List'!AD2:AD730)</f>
        <v>-0.0248362736101257</v>
      </c>
      <c r="R361" s="46">
        <f>(VLOOKUP($A361,'The List'!$B1:$AH730,30,FALSE)-AVERAGE('The List'!AE2:AE730))/STDEV('The List'!AE2:AE730)</f>
        <v>-0.4772133476989</v>
      </c>
      <c r="S361" s="46">
        <f>(VLOOKUP($A361,'The List'!$B1:$AH730,31,FALSE)-AVERAGE('The List'!AF2:AF730))/STDEV('The List'!AF2:AF730)</f>
        <v>-0.542388284692358</v>
      </c>
      <c r="T361" s="46">
        <f>(VLOOKUP($A361,'The List'!$B1:$AH730,32,FALSE)-AVERAGE('The List'!AG2:AG730))/STDEV('The List'!AG2:AG730)</f>
        <v>-0.5748568425987149</v>
      </c>
      <c r="U361" s="46">
        <f>(VLOOKUP($A361,'The List'!$B1:$AH730,33,FALSE)-AVERAGE('The List'!AH2:AH730))/STDEV('The List'!AH2:AH730)</f>
        <v>0.434736684685249</v>
      </c>
      <c r="V361" s="46"/>
      <c r="W361" s="48"/>
      <c r="X361" s="46"/>
      <c r="Y361" s="46"/>
      <c r="Z361" s="46"/>
      <c r="AA361" s="46"/>
      <c r="AB361" s="46"/>
      <c r="AC361" s="46"/>
      <c r="AD361" s="46"/>
      <c r="AE361" s="46"/>
    </row>
    <row r="362" ht="21.25" customHeight="1">
      <c r="A362" t="s" s="8">
        <v>653</v>
      </c>
      <c r="B362" t="s" s="42">
        <f>VLOOKUP(A362,'Player Data'!A1:B734,2,FALSE)</f>
        <v>113</v>
      </c>
      <c r="C362" s="44">
        <f>((E362)*'Settings'!$C$12)+(F362*'Settings'!$C$2)+(G362*'Settings'!$C$3)+(H362*'Settings'!$C$4)+(I362*'Settings'!$C$5)+(K362*'Settings'!$C$9)+(N362*'Settings'!$C$6)+(J362*'Settings'!$C$8)+(O362*'Settings'!$C$7)+(P362*'Settings'!$C$14)+(Q362*'Settings'!$C$15)+(R362*'Settings'!$C$16)+(S362*'Settings'!$C$17)+(T362*'Settings'!$C$18)+(U362*'Settings'!$C$19)+(L362*'Settings'!$C$10)+('Settings'!$C$11*M362)</f>
        <v>-1.61490133461425</v>
      </c>
      <c r="D362" s="48">
        <f>IF('Settings'!$E$12="YES",VLOOKUP(A362,'Player Data'!A1:E734,5,FALSE),82)</f>
        <v>72.2935714285714</v>
      </c>
      <c r="E362" s="46">
        <f>(VLOOKUP($A362,'The List'!$B1:$AH730,17,FALSE)-AVERAGE('The List'!R2:R730))/STDEV('The List'!R2:R730)</f>
        <v>-1.11135159428876</v>
      </c>
      <c r="F362" s="46">
        <f>(VLOOKUP($A362,'The List'!$B1:$AH730,18,FALSE)-AVERAGE('The List'!S2:S730))/STDEV('The List'!S2:S730)</f>
        <v>-0.0939596089498745</v>
      </c>
      <c r="G362" s="46">
        <f>(VLOOKUP($A362,'The List'!$B1:$AH730,19,FALSE)-AVERAGE('The List'!T2:T730))/STDEV('The List'!T2:T730)</f>
        <v>-0.6581074466697669</v>
      </c>
      <c r="H362" s="46">
        <f>(VLOOKUP($A362,'The List'!$B1:$AH730,20,FALSE)-AVERAGE('The List'!U2:U730))/STDEV('The List'!U2:U730)</f>
        <v>-0.448468097417252</v>
      </c>
      <c r="I362" s="46">
        <f>(VLOOKUP($A362,'The List'!$B1:$AH730,21,FALSE)-AVERAGE('The List'!V2:V730))/STDEV('The List'!V2:V730)</f>
        <v>0.257273184019033</v>
      </c>
      <c r="J362" s="46">
        <f>(VLOOKUP($A362,'The List'!$B1:$AH730,22,FALSE)-AVERAGE('The List'!W2:W730))/STDEV('The List'!W2:W730)</f>
        <v>-0.603553423286232</v>
      </c>
      <c r="K362" s="46">
        <f>(VLOOKUP($A362,'The List'!$B1:$AH730,23,FALSE)-AVERAGE('The List'!X2:X730))/STDEV('The List'!X2:X730)</f>
        <v>-0.734469422706255</v>
      </c>
      <c r="L362" s="46">
        <f>(VLOOKUP($A362,'The List'!$B1:$AH730,24,FALSE)-AVERAGE('The List'!Y2:Y730))/STDEV('The List'!Y2:Y730)</f>
        <v>-0.520998124382493</v>
      </c>
      <c r="M362" s="46">
        <f>(VLOOKUP($A362,'The List'!$B1:$AH730,25,FALSE)-AVERAGE('The List'!Z2:Z730))/STDEV('The List'!Z2:Z730)</f>
        <v>-0.697218536524491</v>
      </c>
      <c r="N362" s="46">
        <f>(VLOOKUP($A362,'The List'!$B1:$AH730,26,FALSE)-AVERAGE('The List'!AA2:AA730))/STDEV('The List'!AA2:AA730)</f>
        <v>-0.928379682466133</v>
      </c>
      <c r="O362" s="46">
        <f>(VLOOKUP($A362,'The List'!$B1:$AH730,27,FALSE)-AVERAGE('The List'!AB2:AB730))/STDEV('The List'!AB2:AB730)</f>
        <v>0.162735756059847</v>
      </c>
      <c r="P362" s="46">
        <f>(VLOOKUP($A362,'The List'!$B1:$AH730,28,FALSE)-AVERAGE('The List'!AC2:AC730))/STDEV('The List'!AC2:AC730)</f>
        <v>0.542741642158747</v>
      </c>
      <c r="Q362" s="46">
        <f>(VLOOKUP($A362,'The List'!$B1:$AH730,29,FALSE)-AVERAGE('The List'!AD2:AD730))/STDEV('The List'!AD2:AD730)</f>
        <v>0.647680540104369</v>
      </c>
      <c r="R362" s="46">
        <f>(VLOOKUP($A362,'The List'!$B1:$AH730,30,FALSE)-AVERAGE('The List'!AE2:AE730))/STDEV('The List'!AE2:AE730)</f>
        <v>0.0525819636373762</v>
      </c>
      <c r="S362" s="46">
        <f>(VLOOKUP($A362,'The List'!$B1:$AH730,31,FALSE)-AVERAGE('The List'!AF2:AF730))/STDEV('The List'!AF2:AF730)</f>
        <v>-0.547821400309584</v>
      </c>
      <c r="T362" s="46">
        <f>(VLOOKUP($A362,'The List'!$B1:$AH730,32,FALSE)-AVERAGE('The List'!AG2:AG730))/STDEV('The List'!AG2:AG730)</f>
        <v>-0.567762931976448</v>
      </c>
      <c r="U362" s="46">
        <f>(VLOOKUP($A362,'The List'!$B1:$AH730,33,FALSE)-AVERAGE('The List'!AH2:AH730))/STDEV('The List'!AH2:AH730)</f>
        <v>-0.224451579708042</v>
      </c>
      <c r="V362" s="46"/>
      <c r="W362" s="50"/>
      <c r="X362" s="48"/>
      <c r="Y362" s="48"/>
      <c r="Z362" s="48"/>
      <c r="AA362" s="48"/>
      <c r="AB362" s="48"/>
      <c r="AC362" s="51"/>
      <c r="AD362" s="52"/>
      <c r="AE362" s="46"/>
    </row>
    <row r="363" ht="21.25" customHeight="1">
      <c r="A363" t="s" s="8">
        <v>648</v>
      </c>
      <c r="B363" t="s" s="42">
        <f>VLOOKUP(A363,'Player Data'!A1:B734,2,FALSE)</f>
        <v>108</v>
      </c>
      <c r="C363" s="44">
        <f>((E363)*'Settings'!$C$12)+(F363*'Settings'!$C$2)+(G363*'Settings'!$C$3)+(H363*'Settings'!$C$4)+(I363*'Settings'!$C$5)+(K363*'Settings'!$C$9)+(N363*'Settings'!$C$6)+(J363*'Settings'!$C$8)+(O363*'Settings'!$C$7)+(P363*'Settings'!$C$14)+(Q363*'Settings'!$C$15)+(R363*'Settings'!$C$16)+(S363*'Settings'!$C$17)+(T363*'Settings'!$C$18)+(U363*'Settings'!$C$19)+(L363*'Settings'!$C$10)+('Settings'!$C$11*M363)</f>
        <v>-0.766060042477942</v>
      </c>
      <c r="D363" s="48">
        <f>IF('Settings'!$E$12="YES",VLOOKUP(A363,'Player Data'!A1:E734,5,FALSE),82)</f>
        <v>78.9282142857143</v>
      </c>
      <c r="E363" s="46">
        <f>(VLOOKUP($A363,'The List'!$B1:$AH730,17,FALSE)-AVERAGE('The List'!R2:R730))/STDEV('The List'!R2:R730)</f>
        <v>-1.12271880402781</v>
      </c>
      <c r="F363" s="46">
        <f>(VLOOKUP($A363,'The List'!$B1:$AH730,18,FALSE)-AVERAGE('The List'!S2:S730))/STDEV('The List'!S2:S730)</f>
        <v>-0.060944993447498</v>
      </c>
      <c r="G363" s="46">
        <f>(VLOOKUP($A363,'The List'!$B1:$AH730,19,FALSE)-AVERAGE('The List'!T2:T730))/STDEV('The List'!T2:T730)</f>
        <v>-0.517607794137247</v>
      </c>
      <c r="H363" s="46">
        <f>(VLOOKUP($A363,'The List'!$B1:$AH730,20,FALSE)-AVERAGE('The List'!U2:U730))/STDEV('The List'!U2:U730)</f>
        <v>-0.3468295961284</v>
      </c>
      <c r="I363" s="46">
        <f>(VLOOKUP($A363,'The List'!$B1:$AH730,21,FALSE)-AVERAGE('The List'!V2:V730))/STDEV('The List'!V2:V730)</f>
        <v>0.0730509888666383</v>
      </c>
      <c r="J363" s="46">
        <f>(VLOOKUP($A363,'The List'!$B1:$AH730,22,FALSE)-AVERAGE('The List'!W2:W730))/STDEV('The List'!W2:W730)</f>
        <v>-0.580747008083449</v>
      </c>
      <c r="K363" s="46">
        <f>(VLOOKUP($A363,'The List'!$B1:$AH730,23,FALSE)-AVERAGE('The List'!X2:X730))/STDEV('The List'!X2:X730)</f>
        <v>-0.702054217777874</v>
      </c>
      <c r="L363" s="46">
        <f>(VLOOKUP($A363,'The List'!$B1:$AH730,24,FALSE)-AVERAGE('The List'!Y2:Y730))/STDEV('The List'!Y2:Y730)</f>
        <v>-0.0596908199672535</v>
      </c>
      <c r="M363" s="46">
        <f>(VLOOKUP($A363,'The List'!$B1:$AH730,25,FALSE)-AVERAGE('The List'!Z2:Z730))/STDEV('The List'!Z2:Z730)</f>
        <v>-0.379502440030667</v>
      </c>
      <c r="N363" s="46">
        <f>(VLOOKUP($A363,'The List'!$B1:$AH730,26,FALSE)-AVERAGE('The List'!AA2:AA730))/STDEV('The List'!AA2:AA730)</f>
        <v>-0.922745082202951</v>
      </c>
      <c r="O363" s="46">
        <f>(VLOOKUP($A363,'The List'!$B1:$AH730,27,FALSE)-AVERAGE('The List'!AB2:AB730))/STDEV('The List'!AB2:AB730)</f>
        <v>0.431600910174797</v>
      </c>
      <c r="P363" s="46">
        <f>(VLOOKUP($A363,'The List'!$B1:$AH730,28,FALSE)-AVERAGE('The List'!AC2:AC730))/STDEV('The List'!AC2:AC730)</f>
        <v>1.36424105622099</v>
      </c>
      <c r="Q363" s="46">
        <f>(VLOOKUP($A363,'The List'!$B1:$AH730,29,FALSE)-AVERAGE('The List'!AD2:AD730))/STDEV('The List'!AD2:AD730)</f>
        <v>-0.321082060295461</v>
      </c>
      <c r="R363" s="46">
        <f>(VLOOKUP($A363,'The List'!$B1:$AH730,30,FALSE)-AVERAGE('The List'!AE2:AE730))/STDEV('The List'!AE2:AE730)</f>
        <v>0.0871673821276292</v>
      </c>
      <c r="S363" s="46">
        <f>(VLOOKUP($A363,'The List'!$B1:$AH730,31,FALSE)-AVERAGE('The List'!AF2:AF730))/STDEV('The List'!AF2:AF730)</f>
        <v>-0.505439047425164</v>
      </c>
      <c r="T363" s="46">
        <f>(VLOOKUP($A363,'The List'!$B1:$AH730,32,FALSE)-AVERAGE('The List'!AG2:AG730))/STDEV('The List'!AG2:AG730)</f>
        <v>-0.547563606176515</v>
      </c>
      <c r="U363" s="46">
        <f>(VLOOKUP($A363,'The List'!$B1:$AH730,33,FALSE)-AVERAGE('The List'!AH2:AH730))/STDEV('The List'!AH2:AH730)</f>
        <v>1.0394908041714</v>
      </c>
      <c r="V363" s="46"/>
      <c r="W363" s="48"/>
      <c r="X363" s="46"/>
      <c r="Y363" s="46"/>
      <c r="Z363" s="46"/>
      <c r="AA363" s="46"/>
      <c r="AB363" s="46"/>
      <c r="AC363" s="46"/>
      <c r="AD363" s="46"/>
      <c r="AE363" s="46"/>
    </row>
    <row r="364" ht="21.25" customHeight="1">
      <c r="A364" t="s" s="8">
        <v>675</v>
      </c>
      <c r="B364" t="s" s="42">
        <f>VLOOKUP(A364,'Player Data'!A1:B734,2,FALSE)</f>
        <v>292</v>
      </c>
      <c r="C364" s="44">
        <f>((E364)*'Settings'!$C$12)+(F364*'Settings'!$C$2)+(G364*'Settings'!$C$3)+(H364*'Settings'!$C$4)+(I364*'Settings'!$C$5)+(K364*'Settings'!$C$9)+(N364*'Settings'!$C$6)+(J364*'Settings'!$C$8)+(O364*'Settings'!$C$7)+(P364*'Settings'!$C$14)+(Q364*'Settings'!$C$15)+(R364*'Settings'!$C$16)+(S364*'Settings'!$C$17)+(T364*'Settings'!$C$18)+(U364*'Settings'!$C$19)+(L364*'Settings'!$C$10)+('Settings'!$C$11*M364)</f>
        <v>-1.87209668648218</v>
      </c>
      <c r="D364" s="48">
        <f>IF('Settings'!$E$12="YES",VLOOKUP(A364,'Player Data'!A1:E734,5,FALSE),82)</f>
        <v>81.3510714285714</v>
      </c>
      <c r="E364" s="46">
        <f>(VLOOKUP($A364,'The List'!$B1:$AH730,17,FALSE)-AVERAGE('The List'!R2:R730))/STDEV('The List'!R2:R730)</f>
        <v>-0.574483797995376</v>
      </c>
      <c r="F364" s="46">
        <f>(VLOOKUP($A364,'The List'!$B1:$AH730,18,FALSE)-AVERAGE('The List'!S2:S730))/STDEV('The List'!S2:S730)</f>
        <v>0.140683928931568</v>
      </c>
      <c r="G364" s="46">
        <f>(VLOOKUP($A364,'The List'!$B1:$AH730,19,FALSE)-AVERAGE('The List'!T2:T730))/STDEV('The List'!T2:T730)</f>
        <v>-0.60509242140695</v>
      </c>
      <c r="H364" s="46">
        <f>(VLOOKUP($A364,'The List'!$B1:$AH730,20,FALSE)-AVERAGE('The List'!U2:U730))/STDEV('The List'!U2:U730)</f>
        <v>-0.309017515478955</v>
      </c>
      <c r="I364" s="46">
        <f>(VLOOKUP($A364,'The List'!$B1:$AH730,21,FALSE)-AVERAGE('The List'!V2:V730))/STDEV('The List'!V2:V730)</f>
        <v>-0.151390856504041</v>
      </c>
      <c r="J364" s="46">
        <f>(VLOOKUP($A364,'The List'!$B1:$AH730,22,FALSE)-AVERAGE('The List'!W2:W730))/STDEV('The List'!W2:W730)</f>
        <v>-0.704329850399224</v>
      </c>
      <c r="K364" s="46">
        <f>(VLOOKUP($A364,'The List'!$B1:$AH730,23,FALSE)-AVERAGE('The List'!X2:X730))/STDEV('The List'!X2:X730)</f>
        <v>-0.788784951404285</v>
      </c>
      <c r="L364" s="46">
        <f>(VLOOKUP($A364,'The List'!$B1:$AH730,24,FALSE)-AVERAGE('The List'!Y2:Y730))/STDEV('The List'!Y2:Y730)</f>
        <v>2.63152651357893</v>
      </c>
      <c r="M364" s="46">
        <f>(VLOOKUP($A364,'The List'!$B1:$AH730,25,FALSE)-AVERAGE('The List'!Z2:Z730))/STDEV('The List'!Z2:Z730)</f>
        <v>1.35231718647416</v>
      </c>
      <c r="N364" s="46">
        <f>(VLOOKUP($A364,'The List'!$B1:$AH730,26,FALSE)-AVERAGE('The List'!AA2:AA730))/STDEV('The List'!AA2:AA730)</f>
        <v>-0.525301757177869</v>
      </c>
      <c r="O364" s="46">
        <f>(VLOOKUP($A364,'The List'!$B1:$AH730,27,FALSE)-AVERAGE('The List'!AB2:AB730))/STDEV('The List'!AB2:AB730)</f>
        <v>-1.04600979098366</v>
      </c>
      <c r="P364" s="46">
        <f>(VLOOKUP($A364,'The List'!$B1:$AH730,28,FALSE)-AVERAGE('The List'!AC2:AC730))/STDEV('The List'!AC2:AC730)</f>
        <v>0.0577893710793961</v>
      </c>
      <c r="Q364" s="46">
        <f>(VLOOKUP($A364,'The List'!$B1:$AH730,29,FALSE)-AVERAGE('The List'!AD2:AD730))/STDEV('The List'!AD2:AD730)</f>
        <v>-1.06379786069096</v>
      </c>
      <c r="R364" s="46">
        <f>(VLOOKUP($A364,'The List'!$B1:$AH730,30,FALSE)-AVERAGE('The List'!AE2:AE730))/STDEV('The List'!AE2:AE730)</f>
        <v>-1.18448477237391</v>
      </c>
      <c r="S364" s="46">
        <f>(VLOOKUP($A364,'The List'!$B1:$AH730,31,FALSE)-AVERAGE('The List'!AF2:AF730))/STDEV('The List'!AF2:AF730)</f>
        <v>0.800023195512835</v>
      </c>
      <c r="T364" s="46">
        <f>(VLOOKUP($A364,'The List'!$B1:$AH730,32,FALSE)-AVERAGE('The List'!AG2:AG730))/STDEV('The List'!AG2:AG730)</f>
        <v>1.00585731547271</v>
      </c>
      <c r="U364" s="46">
        <f>(VLOOKUP($A364,'The List'!$B1:$AH730,33,FALSE)-AVERAGE('The List'!AH2:AH730))/STDEV('The List'!AH2:AH730)</f>
        <v>0.88822121233716</v>
      </c>
      <c r="V364" s="46"/>
      <c r="W364" s="48"/>
      <c r="X364" s="46"/>
      <c r="Y364" s="46"/>
      <c r="Z364" s="46"/>
      <c r="AA364" s="46"/>
      <c r="AB364" s="46"/>
      <c r="AC364" s="46"/>
      <c r="AD364" s="46"/>
      <c r="AE364" s="46"/>
    </row>
    <row r="365" ht="21.25" customHeight="1">
      <c r="A365" t="s" s="8">
        <v>649</v>
      </c>
      <c r="B365" t="s" s="42">
        <f>VLOOKUP(A365,'Player Data'!A1:B734,2,FALSE)</f>
        <v>202</v>
      </c>
      <c r="C365" s="44">
        <f>((E365)*'Settings'!$C$12)+(F365*'Settings'!$C$2)+(G365*'Settings'!$C$3)+(H365*'Settings'!$C$4)+(I365*'Settings'!$C$5)+(K365*'Settings'!$C$9)+(N365*'Settings'!$C$6)+(J365*'Settings'!$C$8)+(O365*'Settings'!$C$7)+(P365*'Settings'!$C$14)+(Q365*'Settings'!$C$15)+(R365*'Settings'!$C$16)+(S365*'Settings'!$C$17)+(T365*'Settings'!$C$18)+(U365*'Settings'!$C$19)+(L365*'Settings'!$C$10)+('Settings'!$C$11*M365)</f>
        <v>-0.677072447803314</v>
      </c>
      <c r="D365" s="48">
        <f>IF('Settings'!$E$12="YES",VLOOKUP(A365,'Player Data'!A1:E734,5,FALSE),82)</f>
        <v>77.1103571428571</v>
      </c>
      <c r="E365" s="46">
        <f>(VLOOKUP($A365,'The List'!$B1:$AH730,17,FALSE)-AVERAGE('The List'!R2:R730))/STDEV('The List'!R2:R730)</f>
        <v>-0.405426513001957</v>
      </c>
      <c r="F365" s="46">
        <f>(VLOOKUP($A365,'The List'!$B1:$AH730,18,FALSE)-AVERAGE('The List'!S2:S730))/STDEV('The List'!S2:S730)</f>
        <v>-0.293912249058066</v>
      </c>
      <c r="G365" s="46">
        <f>(VLOOKUP($A365,'The List'!$B1:$AH730,19,FALSE)-AVERAGE('The List'!T2:T730))/STDEV('The List'!T2:T730)</f>
        <v>-0.39632774169208</v>
      </c>
      <c r="H365" s="46">
        <f>(VLOOKUP($A365,'The List'!$B1:$AH730,20,FALSE)-AVERAGE('The List'!U2:U730))/STDEV('The List'!U2:U730)</f>
        <v>-0.378066811485873</v>
      </c>
      <c r="I365" s="46">
        <f>(VLOOKUP($A365,'The List'!$B1:$AH730,21,FALSE)-AVERAGE('The List'!V2:V730))/STDEV('The List'!V2:V730)</f>
        <v>0.149381365459917</v>
      </c>
      <c r="J365" s="46">
        <f>(VLOOKUP($A365,'The List'!$B1:$AH730,22,FALSE)-AVERAGE('The List'!W2:W730))/STDEV('The List'!W2:W730)</f>
        <v>-0.700574727293432</v>
      </c>
      <c r="K365" s="46">
        <f>(VLOOKUP($A365,'The List'!$B1:$AH730,23,FALSE)-AVERAGE('The List'!X2:X730))/STDEV('The List'!X2:X730)</f>
        <v>-0.7901354867971609</v>
      </c>
      <c r="L365" s="46">
        <f>(VLOOKUP($A365,'The List'!$B1:$AH730,24,FALSE)-AVERAGE('The List'!Y2:Y730))/STDEV('The List'!Y2:Y730)</f>
        <v>-0.282815708356689</v>
      </c>
      <c r="M365" s="46">
        <f>(VLOOKUP($A365,'The List'!$B1:$AH730,25,FALSE)-AVERAGE('The List'!Z2:Z730))/STDEV('The List'!Z2:Z730)</f>
        <v>-0.216166236751869</v>
      </c>
      <c r="N365" s="46">
        <f>(VLOOKUP($A365,'The List'!$B1:$AH730,26,FALSE)-AVERAGE('The List'!AA2:AA730))/STDEV('The List'!AA2:AA730)</f>
        <v>-0.757706629867744</v>
      </c>
      <c r="O365" s="46">
        <f>(VLOOKUP($A365,'The List'!$B1:$AH730,27,FALSE)-AVERAGE('The List'!AB2:AB730))/STDEV('The List'!AB2:AB730)</f>
        <v>-0.0685930401873394</v>
      </c>
      <c r="P365" s="46">
        <f>(VLOOKUP($A365,'The List'!$B1:$AH730,28,FALSE)-AVERAGE('The List'!AC2:AC730))/STDEV('The List'!AC2:AC730)</f>
        <v>1.41162829415182</v>
      </c>
      <c r="Q365" s="46">
        <f>(VLOOKUP($A365,'The List'!$B1:$AH730,29,FALSE)-AVERAGE('The List'!AD2:AD730))/STDEV('The List'!AD2:AD730)</f>
        <v>1.05550512330071</v>
      </c>
      <c r="R365" s="46">
        <f>(VLOOKUP($A365,'The List'!$B1:$AH730,30,FALSE)-AVERAGE('The List'!AE2:AE730))/STDEV('The List'!AE2:AE730)</f>
        <v>-0.0150494143126281</v>
      </c>
      <c r="S365" s="46">
        <f>(VLOOKUP($A365,'The List'!$B1:$AH730,31,FALSE)-AVERAGE('The List'!AF2:AF730))/STDEV('The List'!AF2:AF730)</f>
        <v>-0.361977985439015</v>
      </c>
      <c r="T365" s="46">
        <f>(VLOOKUP($A365,'The List'!$B1:$AH730,32,FALSE)-AVERAGE('The List'!AG2:AG730))/STDEV('The List'!AG2:AG730)</f>
        <v>-0.353996400070584</v>
      </c>
      <c r="U365" s="46">
        <f>(VLOOKUP($A365,'The List'!$B1:$AH730,33,FALSE)-AVERAGE('The List'!AH2:AH730))/STDEV('The List'!AH2:AH730)</f>
        <v>0.812765534333463</v>
      </c>
      <c r="V365" s="46"/>
      <c r="W365" s="50"/>
      <c r="X365" s="48"/>
      <c r="Y365" s="48"/>
      <c r="Z365" s="48"/>
      <c r="AA365" s="48"/>
      <c r="AB365" s="48"/>
      <c r="AC365" s="51"/>
      <c r="AD365" s="52"/>
      <c r="AE365" s="46"/>
    </row>
    <row r="366" ht="21.25" customHeight="1">
      <c r="A366" t="s" s="8">
        <v>642</v>
      </c>
      <c r="B366" t="s" s="42">
        <f>VLOOKUP(A366,'Player Data'!A1:B734,2,FALSE)</f>
        <v>204</v>
      </c>
      <c r="C366" s="44">
        <f>((E366)*'Settings'!$C$12)+(F366*'Settings'!$C$2)+(G366*'Settings'!$C$3)+(H366*'Settings'!$C$4)+(I366*'Settings'!$C$5)+(K366*'Settings'!$C$9)+(N366*'Settings'!$C$6)+(J366*'Settings'!$C$8)+(O366*'Settings'!$C$7)+(P366*'Settings'!$C$14)+(Q366*'Settings'!$C$15)+(R366*'Settings'!$C$16)+(S366*'Settings'!$C$17)+(T366*'Settings'!$C$18)+(U366*'Settings'!$C$19)+(L366*'Settings'!$C$10)+('Settings'!$C$11*M366)</f>
        <v>-2.21273615125833</v>
      </c>
      <c r="D366" s="48">
        <f>IF('Settings'!$E$12="YES",VLOOKUP(A366,'Player Data'!A1:E734,5,FALSE),82)</f>
        <v>69.0864285714286</v>
      </c>
      <c r="E366" s="46">
        <f>(VLOOKUP($A366,'The List'!$B1:$AH730,17,FALSE)-AVERAGE('The List'!R2:R730))/STDEV('The List'!R2:R730)</f>
        <v>-1.52007944658017</v>
      </c>
      <c r="F366" s="46">
        <f>(VLOOKUP($A366,'The List'!$B1:$AH730,18,FALSE)-AVERAGE('The List'!S2:S730))/STDEV('The List'!S2:S730)</f>
        <v>-0.200662903200007</v>
      </c>
      <c r="G366" s="46">
        <f>(VLOOKUP($A366,'The List'!$B1:$AH730,19,FALSE)-AVERAGE('The List'!T2:T730))/STDEV('The List'!T2:T730)</f>
        <v>-0.672239800379451</v>
      </c>
      <c r="H366" s="46">
        <f>(VLOOKUP($A366,'The List'!$B1:$AH730,20,FALSE)-AVERAGE('The List'!U2:U730))/STDEV('The List'!U2:U730)</f>
        <v>-0.5057326466211149</v>
      </c>
      <c r="I366" s="46">
        <f>(VLOOKUP($A366,'The List'!$B1:$AH730,21,FALSE)-AVERAGE('The List'!V2:V730))/STDEV('The List'!V2:V730)</f>
        <v>-0.0909679815634554</v>
      </c>
      <c r="J366" s="46">
        <f>(VLOOKUP($A366,'The List'!$B1:$AH730,22,FALSE)-AVERAGE('The List'!W2:W730))/STDEV('The List'!W2:W730)</f>
        <v>0.498786655914636</v>
      </c>
      <c r="K366" s="46">
        <f>(VLOOKUP($A366,'The List'!$B1:$AH730,23,FALSE)-AVERAGE('The List'!X2:X730))/STDEV('The List'!X2:X730)</f>
        <v>-0.0509758871385239</v>
      </c>
      <c r="L366" s="46">
        <f>(VLOOKUP($A366,'The List'!$B1:$AH730,24,FALSE)-AVERAGE('The List'!Y2:Y730))/STDEV('The List'!Y2:Y730)</f>
        <v>-0.541405898851877</v>
      </c>
      <c r="M366" s="46">
        <f>(VLOOKUP($A366,'The List'!$B1:$AH730,25,FALSE)-AVERAGE('The List'!Z2:Z730))/STDEV('The List'!Z2:Z730)</f>
        <v>-0.720164230284782</v>
      </c>
      <c r="N366" s="46">
        <f>(VLOOKUP($A366,'The List'!$B1:$AH730,26,FALSE)-AVERAGE('The List'!AA2:AA730))/STDEV('The List'!AA2:AA730)</f>
        <v>-1.15332085000326</v>
      </c>
      <c r="O366" s="46">
        <f>(VLOOKUP($A366,'The List'!$B1:$AH730,27,FALSE)-AVERAGE('The List'!AB2:AB730))/STDEV('The List'!AB2:AB730)</f>
        <v>-0.861207631134322</v>
      </c>
      <c r="P366" s="46">
        <f>(VLOOKUP($A366,'The List'!$B1:$AH730,28,FALSE)-AVERAGE('The List'!AC2:AC730))/STDEV('The List'!AC2:AC730)</f>
        <v>-0.044568728973633</v>
      </c>
      <c r="Q366" s="46">
        <f>(VLOOKUP($A366,'The List'!$B1:$AH730,29,FALSE)-AVERAGE('The List'!AD2:AD730))/STDEV('The List'!AD2:AD730)</f>
        <v>-0.967992560955644</v>
      </c>
      <c r="R366" s="46">
        <f>(VLOOKUP($A366,'The List'!$B1:$AH730,30,FALSE)-AVERAGE('The List'!AE2:AE730))/STDEV('The List'!AE2:AE730)</f>
        <v>-0.129614513519399</v>
      </c>
      <c r="S366" s="46">
        <f>(VLOOKUP($A366,'The List'!$B1:$AH730,31,FALSE)-AVERAGE('The List'!AF2:AF730))/STDEV('The List'!AF2:AF730)</f>
        <v>-0.5569063253591</v>
      </c>
      <c r="T366" s="46">
        <f>(VLOOKUP($A366,'The List'!$B1:$AH730,32,FALSE)-AVERAGE('The List'!AG2:AG730))/STDEV('The List'!AG2:AG730)</f>
        <v>-0.600856269042678</v>
      </c>
      <c r="U366" s="46">
        <f>(VLOOKUP($A366,'The List'!$B1:$AH730,33,FALSE)-AVERAGE('The List'!AH2:AH730))/STDEV('The List'!AH2:AH730)</f>
        <v>-1.2363238714826</v>
      </c>
      <c r="V366" s="46"/>
      <c r="W366" s="50"/>
      <c r="X366" s="48"/>
      <c r="Y366" s="48"/>
      <c r="Z366" s="48"/>
      <c r="AA366" s="48"/>
      <c r="AB366" s="48"/>
      <c r="AC366" s="51"/>
      <c r="AD366" s="52"/>
      <c r="AE366" s="46"/>
    </row>
    <row r="367" ht="21.25" customHeight="1">
      <c r="A367" t="s" s="8">
        <v>764</v>
      </c>
      <c r="B367" t="s" s="42">
        <f>VLOOKUP(A367,'Player Data'!A1:B734,2,FALSE)</f>
        <v>139</v>
      </c>
      <c r="C367" s="44">
        <f>((E367)*'Settings'!$C$12)+(F367*'Settings'!$C$2)+(G367*'Settings'!$C$3)+(H367*'Settings'!$C$4)+(I367*'Settings'!$C$5)+(K367*'Settings'!$C$9)+(N367*'Settings'!$C$6)+(J367*'Settings'!$C$8)+(O367*'Settings'!$C$7)+(P367*'Settings'!$C$14)+(Q367*'Settings'!$C$15)+(R367*'Settings'!$C$16)+(S367*'Settings'!$C$17)+(T367*'Settings'!$C$18)+(U367*'Settings'!$C$19)+(L367*'Settings'!$C$10)+('Settings'!$C$11*M367)</f>
        <v>-4.24517277488326</v>
      </c>
      <c r="D367" s="48">
        <f>IF('Settings'!$E$12="YES",VLOOKUP(A367,'Player Data'!A1:E734,5,FALSE),82)</f>
        <v>69.5582142857143</v>
      </c>
      <c r="E367" s="46">
        <f>(VLOOKUP($A367,'The List'!$B1:$AH730,17,FALSE)-AVERAGE('The List'!R2:R730))/STDEV('The List'!R2:R730)</f>
        <v>-0.900346551546154</v>
      </c>
      <c r="F367" s="46">
        <f>(VLOOKUP($A367,'The List'!$B1:$AH730,18,FALSE)-AVERAGE('The List'!S2:S730))/STDEV('The List'!S2:S730)</f>
        <v>-0.381671177113719</v>
      </c>
      <c r="G367" s="46">
        <f>(VLOOKUP($A367,'The List'!$B1:$AH730,19,FALSE)-AVERAGE('The List'!T2:T730))/STDEV('The List'!T2:T730)</f>
        <v>-0.535907665883827</v>
      </c>
      <c r="H367" s="46">
        <f>(VLOOKUP($A367,'The List'!$B1:$AH730,20,FALSE)-AVERAGE('The List'!U2:U730))/STDEV('The List'!U2:U730)</f>
        <v>-0.50404807248844</v>
      </c>
      <c r="I367" s="46">
        <f>(VLOOKUP($A367,'The List'!$B1:$AH730,21,FALSE)-AVERAGE('The List'!V2:V730))/STDEV('The List'!V2:V730)</f>
        <v>-0.977309003457446</v>
      </c>
      <c r="J367" s="46">
        <f>(VLOOKUP($A367,'The List'!$B1:$AH730,22,FALSE)-AVERAGE('The List'!W2:W730))/STDEV('The List'!W2:W730)</f>
        <v>-0.522459684247588</v>
      </c>
      <c r="K367" s="46">
        <f>(VLOOKUP($A367,'The List'!$B1:$AH730,23,FALSE)-AVERAGE('The List'!X2:X730))/STDEV('The List'!X2:X730)</f>
        <v>-0.391634989658183</v>
      </c>
      <c r="L367" s="46">
        <f>(VLOOKUP($A367,'The List'!$B1:$AH730,24,FALSE)-AVERAGE('The List'!Y2:Y730))/STDEV('The List'!Y2:Y730)</f>
        <v>0.576936224710119</v>
      </c>
      <c r="M367" s="46">
        <f>(VLOOKUP($A367,'The List'!$B1:$AH730,25,FALSE)-AVERAGE('The List'!Z2:Z730))/STDEV('The List'!Z2:Z730)</f>
        <v>0.0562949030578253</v>
      </c>
      <c r="N367" s="46">
        <f>(VLOOKUP($A367,'The List'!$B1:$AH730,26,FALSE)-AVERAGE('The List'!AA2:AA730))/STDEV('The List'!AA2:AA730)</f>
        <v>-1.03831048474607</v>
      </c>
      <c r="O367" s="46">
        <f>(VLOOKUP($A367,'The List'!$B1:$AH730,27,FALSE)-AVERAGE('The List'!AB2:AB730))/STDEV('The List'!AB2:AB730)</f>
        <v>-0.364540309949473</v>
      </c>
      <c r="P367" s="46">
        <f>(VLOOKUP($A367,'The List'!$B1:$AH730,28,FALSE)-AVERAGE('The List'!AC2:AC730))/STDEV('The List'!AC2:AC730)</f>
        <v>-0.920339454024018</v>
      </c>
      <c r="Q367" s="46">
        <f>(VLOOKUP($A367,'The List'!$B1:$AH730,29,FALSE)-AVERAGE('The List'!AD2:AD730))/STDEV('The List'!AD2:AD730)</f>
        <v>0.136737365727311</v>
      </c>
      <c r="R367" s="46">
        <f>(VLOOKUP($A367,'The List'!$B1:$AH730,30,FALSE)-AVERAGE('The List'!AE2:AE730))/STDEV('The List'!AE2:AE730)</f>
        <v>-0.423191205307899</v>
      </c>
      <c r="S367" s="46">
        <f>(VLOOKUP($A367,'The List'!$B1:$AH730,31,FALSE)-AVERAGE('The List'!AF2:AF730))/STDEV('The List'!AF2:AF730)</f>
        <v>0.366067465204163</v>
      </c>
      <c r="T367" s="46">
        <f>(VLOOKUP($A367,'The List'!$B1:$AH730,32,FALSE)-AVERAGE('The List'!AG2:AG730))/STDEV('The List'!AG2:AG730)</f>
        <v>0.763651730652629</v>
      </c>
      <c r="U367" s="46">
        <f>(VLOOKUP($A367,'The List'!$B1:$AH730,33,FALSE)-AVERAGE('The List'!AH2:AH730))/STDEV('The List'!AH2:AH730)</f>
        <v>0.641099050126544</v>
      </c>
      <c r="V367" s="46"/>
      <c r="W367" s="50"/>
      <c r="X367" s="48"/>
      <c r="Y367" s="48"/>
      <c r="Z367" s="48"/>
      <c r="AA367" s="48"/>
      <c r="AB367" s="48"/>
      <c r="AC367" s="51"/>
      <c r="AD367" s="52"/>
      <c r="AE367" s="46"/>
    </row>
    <row r="368" ht="21.25" customHeight="1">
      <c r="A368" t="s" s="8">
        <v>476</v>
      </c>
      <c r="B368" t="s" s="42">
        <f>VLOOKUP(A368,'Player Data'!A1:B734,2,FALSE)</f>
        <v>151</v>
      </c>
      <c r="C368" s="44">
        <f>((E368)*'Settings'!$C$12)+(F368*'Settings'!$C$2)+(G368*'Settings'!$C$3)+(H368*'Settings'!$C$4)+(I368*'Settings'!$C$5)+(K368*'Settings'!$C$9)+(N368*'Settings'!$C$6)+(J368*'Settings'!$C$8)+(O368*'Settings'!$C$7)+(P368*'Settings'!$C$14)+(Q368*'Settings'!$C$15)+(R368*'Settings'!$C$16)+(S368*'Settings'!$C$17)+(T368*'Settings'!$C$18)+(U368*'Settings'!$C$19)+(L368*'Settings'!$C$10)+('Settings'!$C$11*M368)</f>
        <v>-0.831924573403676</v>
      </c>
      <c r="D368" s="48">
        <f>IF('Settings'!$E$12="YES",VLOOKUP(A368,'Player Data'!A1:E734,5,FALSE),82)</f>
        <v>68.67</v>
      </c>
      <c r="E368" s="46">
        <f>(VLOOKUP($A368,'The List'!$B1:$AH730,17,FALSE)-AVERAGE('The List'!R2:R730))/STDEV('The List'!R2:R730)</f>
        <v>-0.14520017645669</v>
      </c>
      <c r="F368" s="46">
        <f>(VLOOKUP($A368,'The List'!$B1:$AH730,18,FALSE)-AVERAGE('The List'!S2:S730))/STDEV('The List'!S2:S730)</f>
        <v>-0.8921516849950329</v>
      </c>
      <c r="G368" s="46">
        <f>(VLOOKUP($A368,'The List'!$B1:$AH730,19,FALSE)-AVERAGE('The List'!T2:T730))/STDEV('The List'!T2:T730)</f>
        <v>-0.188871335544742</v>
      </c>
      <c r="H368" s="46">
        <f>(VLOOKUP($A368,'The List'!$B1:$AH730,20,FALSE)-AVERAGE('The List'!U2:U730))/STDEV('The List'!U2:U730)</f>
        <v>-0.522383605297589</v>
      </c>
      <c r="I368" s="46">
        <f>(VLOOKUP($A368,'The List'!$B1:$AH730,21,FALSE)-AVERAGE('The List'!V2:V730))/STDEV('The List'!V2:V730)</f>
        <v>-0.665980287312279</v>
      </c>
      <c r="J368" s="46">
        <f>(VLOOKUP($A368,'The List'!$B1:$AH730,22,FALSE)-AVERAGE('The List'!W2:W730))/STDEV('The List'!W2:W730)</f>
        <v>-0.693216115032271</v>
      </c>
      <c r="K368" s="46">
        <f>(VLOOKUP($A368,'The List'!$B1:$AH730,23,FALSE)-AVERAGE('The List'!X2:X730))/STDEV('The List'!X2:X730)</f>
        <v>-0.245573824685962</v>
      </c>
      <c r="L368" s="46">
        <f>(VLOOKUP($A368,'The List'!$B1:$AH730,24,FALSE)-AVERAGE('The List'!Y2:Y730))/STDEV('The List'!Y2:Y730)</f>
        <v>-0.526860204351923</v>
      </c>
      <c r="M368" s="46">
        <f>(VLOOKUP($A368,'The List'!$B1:$AH730,25,FALSE)-AVERAGE('The List'!Z2:Z730))/STDEV('The List'!Z2:Z730)</f>
        <v>-0.684324086948826</v>
      </c>
      <c r="N368" s="46">
        <f>(VLOOKUP($A368,'The List'!$B1:$AH730,26,FALSE)-AVERAGE('The List'!AA2:AA730))/STDEV('The List'!AA2:AA730)</f>
        <v>0.0057965812830001</v>
      </c>
      <c r="O368" s="46">
        <f>(VLOOKUP($A368,'The List'!$B1:$AH730,27,FALSE)-AVERAGE('The List'!AB2:AB730))/STDEV('The List'!AB2:AB730)</f>
        <v>-0.769493139948463</v>
      </c>
      <c r="P368" s="46">
        <f>(VLOOKUP($A368,'The List'!$B1:$AH730,28,FALSE)-AVERAGE('The List'!AC2:AC730))/STDEV('The List'!AC2:AC730)</f>
        <v>1.15485597785134</v>
      </c>
      <c r="Q368" s="46">
        <f>(VLOOKUP($A368,'The List'!$B1:$AH730,29,FALSE)-AVERAGE('The List'!AD2:AD730))/STDEV('The List'!AD2:AD730)</f>
        <v>-0.951024696255746</v>
      </c>
      <c r="R368" s="46">
        <f>(VLOOKUP($A368,'The List'!$B1:$AH730,30,FALSE)-AVERAGE('The List'!AE2:AE730))/STDEV('The List'!AE2:AE730)</f>
        <v>-0.737195728071807</v>
      </c>
      <c r="S368" s="46">
        <f>(VLOOKUP($A368,'The List'!$B1:$AH730,31,FALSE)-AVERAGE('The List'!AF2:AF730))/STDEV('The List'!AF2:AF730)</f>
        <v>-0.5569063253591</v>
      </c>
      <c r="T368" s="46">
        <f>(VLOOKUP($A368,'The List'!$B1:$AH730,32,FALSE)-AVERAGE('The List'!AG2:AG730))/STDEV('The List'!AG2:AG730)</f>
        <v>-0.600856269042678</v>
      </c>
      <c r="U368" s="46">
        <f>(VLOOKUP($A368,'The List'!$B1:$AH730,33,FALSE)-AVERAGE('The List'!AH2:AH730))/STDEV('The List'!AH2:AH730)</f>
        <v>-1.2363238714826</v>
      </c>
      <c r="V368" s="46"/>
      <c r="W368" s="48"/>
      <c r="X368" s="46"/>
      <c r="Y368" s="46"/>
      <c r="Z368" s="46"/>
      <c r="AA368" s="46"/>
      <c r="AB368" s="46"/>
      <c r="AC368" s="46"/>
      <c r="AD368" s="46"/>
      <c r="AE368" s="46"/>
    </row>
    <row r="369" ht="21.25" customHeight="1">
      <c r="A369" t="s" s="8">
        <v>796</v>
      </c>
      <c r="B369" t="s" s="42">
        <f>VLOOKUP(A369,'Player Data'!A1:B734,2,FALSE)</f>
        <v>166</v>
      </c>
      <c r="C369" s="44">
        <f>((E369)*'Settings'!$C$12)+(F369*'Settings'!$C$2)+(G369*'Settings'!$C$3)+(H369*'Settings'!$C$4)+(I369*'Settings'!$C$5)+(K369*'Settings'!$C$9)+(N369*'Settings'!$C$6)+(J369*'Settings'!$C$8)+(O369*'Settings'!$C$7)+(P369*'Settings'!$C$14)+(Q369*'Settings'!$C$15)+(R369*'Settings'!$C$16)+(S369*'Settings'!$C$17)+(T369*'Settings'!$C$18)+(U369*'Settings'!$C$19)+(L369*'Settings'!$C$10)+('Settings'!$C$11*M369)</f>
        <v>-4.22940022944955</v>
      </c>
      <c r="D369" s="48">
        <f>IF('Settings'!$E$12="YES",VLOOKUP(A369,'Player Data'!A1:E734,5,FALSE),82)</f>
        <v>58.89</v>
      </c>
      <c r="E369" s="46">
        <f>(VLOOKUP($A369,'The List'!$B1:$AH730,17,FALSE)-AVERAGE('The List'!R2:R730))/STDEV('The List'!R2:R730)</f>
        <v>-1.20165782317946</v>
      </c>
      <c r="F369" s="46">
        <f>(VLOOKUP($A369,'The List'!$B1:$AH730,18,FALSE)-AVERAGE('The List'!S2:S730))/STDEV('The List'!S2:S730)</f>
        <v>-0.367433763982429</v>
      </c>
      <c r="G369" s="46">
        <f>(VLOOKUP($A369,'The List'!$B1:$AH730,19,FALSE)-AVERAGE('The List'!T2:T730))/STDEV('The List'!T2:T730)</f>
        <v>-0.827356422096806</v>
      </c>
      <c r="H369" s="46">
        <f>(VLOOKUP($A369,'The List'!$B1:$AH730,20,FALSE)-AVERAGE('The List'!U2:U730))/STDEV('The List'!U2:U730)</f>
        <v>-0.677244091469082</v>
      </c>
      <c r="I369" s="46">
        <f>(VLOOKUP($A369,'The List'!$B1:$AH730,21,FALSE)-AVERAGE('The List'!V2:V730))/STDEV('The List'!V2:V730)</f>
        <v>-0.861911654678857</v>
      </c>
      <c r="J369" s="46">
        <f>(VLOOKUP($A369,'The List'!$B1:$AH730,22,FALSE)-AVERAGE('The List'!W2:W730))/STDEV('The List'!W2:W730)</f>
        <v>-0.693995999188598</v>
      </c>
      <c r="K369" s="46">
        <f>(VLOOKUP($A369,'The List'!$B1:$AH730,23,FALSE)-AVERAGE('The List'!X2:X730))/STDEV('The List'!X2:X730)</f>
        <v>-0.788489910117127</v>
      </c>
      <c r="L369" s="46">
        <f>(VLOOKUP($A369,'The List'!$B1:$AH730,24,FALSE)-AVERAGE('The List'!Y2:Y730))/STDEV('The List'!Y2:Y730)</f>
        <v>-0.542843480388394</v>
      </c>
      <c r="M369" s="46">
        <f>(VLOOKUP($A369,'The List'!$B1:$AH730,25,FALSE)-AVERAGE('The List'!Z2:Z730))/STDEV('The List'!Z2:Z730)</f>
        <v>-0.72177514995105</v>
      </c>
      <c r="N369" s="46">
        <f>(VLOOKUP($A369,'The List'!$B1:$AH730,26,FALSE)-AVERAGE('The List'!AA2:AA730))/STDEV('The List'!AA2:AA730)</f>
        <v>-0.869745986212801</v>
      </c>
      <c r="O369" s="46">
        <f>(VLOOKUP($A369,'The List'!$B1:$AH730,27,FALSE)-AVERAGE('The List'!AB2:AB730))/STDEV('The List'!AB2:AB730)</f>
        <v>-0.918625470529698</v>
      </c>
      <c r="P369" s="46">
        <f>(VLOOKUP($A369,'The List'!$B1:$AH730,28,FALSE)-AVERAGE('The List'!AC2:AC730))/STDEV('The List'!AC2:AC730)</f>
        <v>-0.514462492361526</v>
      </c>
      <c r="Q369" s="46">
        <f>(VLOOKUP($A369,'The List'!$B1:$AH730,29,FALSE)-AVERAGE('The List'!AD2:AD730))/STDEV('The List'!AD2:AD730)</f>
        <v>-1.24406552596321</v>
      </c>
      <c r="R369" s="46">
        <f>(VLOOKUP($A369,'The List'!$B1:$AH730,30,FALSE)-AVERAGE('The List'!AE2:AE730))/STDEV('The List'!AE2:AE730)</f>
        <v>-0.441607306030344</v>
      </c>
      <c r="S369" s="46">
        <f>(VLOOKUP($A369,'The List'!$B1:$AH730,31,FALSE)-AVERAGE('The List'!AF2:AF730))/STDEV('The List'!AF2:AF730)</f>
        <v>-0.533339020658904</v>
      </c>
      <c r="T369" s="46">
        <f>(VLOOKUP($A369,'The List'!$B1:$AH730,32,FALSE)-AVERAGE('The List'!AG2:AG730))/STDEV('The List'!AG2:AG730)</f>
        <v>-0.560167259626515</v>
      </c>
      <c r="U369" s="46">
        <f>(VLOOKUP($A369,'The List'!$B1:$AH730,33,FALSE)-AVERAGE('The List'!AH2:AH730))/STDEV('The List'!AH2:AH730)</f>
        <v>0.473431495631586</v>
      </c>
      <c r="V369" s="46"/>
      <c r="W369" s="50"/>
      <c r="X369" s="48"/>
      <c r="Y369" s="48"/>
      <c r="Z369" s="48"/>
      <c r="AA369" s="48"/>
      <c r="AB369" s="48"/>
      <c r="AC369" s="51"/>
      <c r="AD369" s="52"/>
      <c r="AE369" s="46"/>
    </row>
    <row r="370" ht="21.25" customHeight="1">
      <c r="A370" t="s" s="8">
        <v>678</v>
      </c>
      <c r="B370" t="s" s="42">
        <f>VLOOKUP(A370,'Player Data'!A1:B734,2,FALSE)</f>
        <v>164</v>
      </c>
      <c r="C370" s="44">
        <f>((E370)*'Settings'!$C$12)+(F370*'Settings'!$C$2)+(G370*'Settings'!$C$3)+(H370*'Settings'!$C$4)+(I370*'Settings'!$C$5)+(K370*'Settings'!$C$9)+(N370*'Settings'!$C$6)+(J370*'Settings'!$C$8)+(O370*'Settings'!$C$7)+(P370*'Settings'!$C$14)+(Q370*'Settings'!$C$15)+(R370*'Settings'!$C$16)+(S370*'Settings'!$C$17)+(T370*'Settings'!$C$18)+(U370*'Settings'!$C$19)+(L370*'Settings'!$C$10)+('Settings'!$C$11*M370)</f>
        <v>-1.65044761704783</v>
      </c>
      <c r="D370" s="48">
        <f>IF('Settings'!$E$12="YES",VLOOKUP(A370,'Player Data'!A1:E734,5,FALSE),82)</f>
        <v>81.0317857142857</v>
      </c>
      <c r="E370" s="46">
        <f>(VLOOKUP($A370,'The List'!$B1:$AH730,17,FALSE)-AVERAGE('The List'!R2:R730))/STDEV('The List'!R2:R730)</f>
        <v>-0.430426414855135</v>
      </c>
      <c r="F370" s="46">
        <f>(VLOOKUP($A370,'The List'!$B1:$AH730,18,FALSE)-AVERAGE('The List'!S2:S730))/STDEV('The List'!S2:S730)</f>
        <v>-0.0845328877904329</v>
      </c>
      <c r="G370" s="46">
        <f>(VLOOKUP($A370,'The List'!$B1:$AH730,19,FALSE)-AVERAGE('The List'!T2:T730))/STDEV('The List'!T2:T730)</f>
        <v>-0.484086618469029</v>
      </c>
      <c r="H370" s="46">
        <f>(VLOOKUP($A370,'The List'!$B1:$AH730,20,FALSE)-AVERAGE('The List'!U2:U730))/STDEV('The List'!U2:U730)</f>
        <v>-0.33689719691823</v>
      </c>
      <c r="I370" s="46">
        <f>(VLOOKUP($A370,'The List'!$B1:$AH730,21,FALSE)-AVERAGE('The List'!V2:V730))/STDEV('The List'!V2:V730)</f>
        <v>-0.241931798794493</v>
      </c>
      <c r="J370" s="46">
        <f>(VLOOKUP($A370,'The List'!$B1:$AH730,22,FALSE)-AVERAGE('The List'!W2:W730))/STDEV('The List'!W2:W730)</f>
        <v>-0.653904445181527</v>
      </c>
      <c r="K370" s="46">
        <f>(VLOOKUP($A370,'The List'!$B1:$AH730,23,FALSE)-AVERAGE('The List'!X2:X730))/STDEV('The List'!X2:X730)</f>
        <v>-0.675917462477025</v>
      </c>
      <c r="L370" s="46">
        <f>(VLOOKUP($A370,'The List'!$B1:$AH730,24,FALSE)-AVERAGE('The List'!Y2:Y730))/STDEV('The List'!Y2:Y730)</f>
        <v>3.6586802088331</v>
      </c>
      <c r="M370" s="46">
        <f>(VLOOKUP($A370,'The List'!$B1:$AH730,25,FALSE)-AVERAGE('The List'!Z2:Z730))/STDEV('The List'!Z2:Z730)</f>
        <v>3.06779996842802</v>
      </c>
      <c r="N370" s="46">
        <f>(VLOOKUP($A370,'The List'!$B1:$AH730,26,FALSE)-AVERAGE('The List'!AA2:AA730))/STDEV('The List'!AA2:AA730)</f>
        <v>-0.368504806164825</v>
      </c>
      <c r="O370" s="46">
        <f>(VLOOKUP($A370,'The List'!$B1:$AH730,27,FALSE)-AVERAGE('The List'!AB2:AB730))/STDEV('The List'!AB2:AB730)</f>
        <v>1.74610155350301</v>
      </c>
      <c r="P370" s="46">
        <f>(VLOOKUP($A370,'The List'!$B1:$AH730,28,FALSE)-AVERAGE('The List'!AC2:AC730))/STDEV('The List'!AC2:AC730)</f>
        <v>0.204525956647976</v>
      </c>
      <c r="Q370" s="46">
        <f>(VLOOKUP($A370,'The List'!$B1:$AH730,29,FALSE)-AVERAGE('The List'!AD2:AD730))/STDEV('The List'!AD2:AD730)</f>
        <v>0.599184269075817</v>
      </c>
      <c r="R370" s="46">
        <f>(VLOOKUP($A370,'The List'!$B1:$AH730,30,FALSE)-AVERAGE('The List'!AE2:AE730))/STDEV('The List'!AE2:AE730)</f>
        <v>0.0448581302539782</v>
      </c>
      <c r="S370" s="46">
        <f>(VLOOKUP($A370,'The List'!$B1:$AH730,31,FALSE)-AVERAGE('The List'!AF2:AF730))/STDEV('The List'!AF2:AF730)</f>
        <v>2.21990533272951</v>
      </c>
      <c r="T370" s="46">
        <f>(VLOOKUP($A370,'The List'!$B1:$AH730,32,FALSE)-AVERAGE('The List'!AG2:AG730))/STDEV('The List'!AG2:AG730)</f>
        <v>2.16282111184533</v>
      </c>
      <c r="U370" s="46">
        <f>(VLOOKUP($A370,'The List'!$B1:$AH730,33,FALSE)-AVERAGE('The List'!AH2:AH730))/STDEV('The List'!AH2:AH730)</f>
        <v>1.08417997409528</v>
      </c>
      <c r="V370" s="46"/>
      <c r="W370" s="50"/>
      <c r="X370" s="48"/>
      <c r="Y370" s="48"/>
      <c r="Z370" s="48"/>
      <c r="AA370" s="48"/>
      <c r="AB370" s="48"/>
      <c r="AC370" s="51"/>
      <c r="AD370" s="52"/>
      <c r="AE370" s="46"/>
    </row>
    <row r="371" ht="21.25" customHeight="1">
      <c r="A371" t="s" s="8">
        <v>668</v>
      </c>
      <c r="B371" t="s" s="42">
        <f>VLOOKUP(A371,'Player Data'!A1:B734,2,FALSE)</f>
        <v>189</v>
      </c>
      <c r="C371" s="44">
        <f>((E371)*'Settings'!$C$12)+(F371*'Settings'!$C$2)+(G371*'Settings'!$C$3)+(H371*'Settings'!$C$4)+(I371*'Settings'!$C$5)+(K371*'Settings'!$C$9)+(N371*'Settings'!$C$6)+(J371*'Settings'!$C$8)+(O371*'Settings'!$C$7)+(P371*'Settings'!$C$14)+(Q371*'Settings'!$C$15)+(R371*'Settings'!$C$16)+(S371*'Settings'!$C$17)+(T371*'Settings'!$C$18)+(U371*'Settings'!$C$19)+(L371*'Settings'!$C$10)+('Settings'!$C$11*M371)</f>
        <v>-3.59957281293974</v>
      </c>
      <c r="D371" s="48">
        <f>IF('Settings'!$E$12="YES",VLOOKUP(A371,'Player Data'!A1:E734,5,FALSE),82)</f>
        <v>77.4225</v>
      </c>
      <c r="E371" s="46">
        <f>(VLOOKUP($A371,'The List'!$B1:$AH730,17,FALSE)-AVERAGE('The List'!R2:R730))/STDEV('The List'!R2:R730)</f>
        <v>-0.648720592746321</v>
      </c>
      <c r="F371" s="46">
        <f>(VLOOKUP($A371,'The List'!$B1:$AH730,18,FALSE)-AVERAGE('The List'!S2:S730))/STDEV('The List'!S2:S730)</f>
        <v>-0.148617825227856</v>
      </c>
      <c r="G371" s="46">
        <f>(VLOOKUP($A371,'The List'!$B1:$AH730,19,FALSE)-AVERAGE('The List'!T2:T730))/STDEV('The List'!T2:T730)</f>
        <v>-0.529947521373435</v>
      </c>
      <c r="H371" s="46">
        <f>(VLOOKUP($A371,'The List'!$B1:$AH730,20,FALSE)-AVERAGE('The List'!U2:U730))/STDEV('The List'!U2:U730)</f>
        <v>-0.394329772580086</v>
      </c>
      <c r="I371" s="46">
        <f>(VLOOKUP($A371,'The List'!$B1:$AH730,21,FALSE)-AVERAGE('The List'!V2:V730))/STDEV('The List'!V2:V730)</f>
        <v>-0.09431283783425271</v>
      </c>
      <c r="J371" s="46">
        <f>(VLOOKUP($A371,'The List'!$B1:$AH730,22,FALSE)-AVERAGE('The List'!W2:W730))/STDEV('The List'!W2:W730)</f>
        <v>-0.384867945195222</v>
      </c>
      <c r="K371" s="46">
        <f>(VLOOKUP($A371,'The List'!$B1:$AH730,23,FALSE)-AVERAGE('The List'!X2:X730))/STDEV('The List'!X2:X730)</f>
        <v>-0.521982194287367</v>
      </c>
      <c r="L371" s="46">
        <f>(VLOOKUP($A371,'The List'!$B1:$AH730,24,FALSE)-AVERAGE('The List'!Y2:Y730))/STDEV('The List'!Y2:Y730)</f>
        <v>-0.292075634990933</v>
      </c>
      <c r="M371" s="46">
        <f>(VLOOKUP($A371,'The List'!$B1:$AH730,25,FALSE)-AVERAGE('The List'!Z2:Z730))/STDEV('The List'!Z2:Z730)</f>
        <v>-0.4407624998015</v>
      </c>
      <c r="N371" s="46">
        <f>(VLOOKUP($A371,'The List'!$B1:$AH730,26,FALSE)-AVERAGE('The List'!AA2:AA730))/STDEV('The List'!AA2:AA730)</f>
        <v>-0.375873211492852</v>
      </c>
      <c r="O371" s="46">
        <f>(VLOOKUP($A371,'The List'!$B1:$AH730,27,FALSE)-AVERAGE('The List'!AB2:AB730))/STDEV('The List'!AB2:AB730)</f>
        <v>0.566555557846953</v>
      </c>
      <c r="P371" s="46">
        <f>(VLOOKUP($A371,'The List'!$B1:$AH730,28,FALSE)-AVERAGE('The List'!AC2:AC730))/STDEV('The List'!AC2:AC730)</f>
        <v>-1.92883922272398</v>
      </c>
      <c r="Q371" s="46">
        <f>(VLOOKUP($A371,'The List'!$B1:$AH730,29,FALSE)-AVERAGE('The List'!AD2:AD730))/STDEV('The List'!AD2:AD730)</f>
        <v>0.00386923508698574</v>
      </c>
      <c r="R371" s="46">
        <f>(VLOOKUP($A371,'The List'!$B1:$AH730,30,FALSE)-AVERAGE('The List'!AE2:AE730))/STDEV('The List'!AE2:AE730)</f>
        <v>-0.384748722677985</v>
      </c>
      <c r="S371" s="46">
        <f>(VLOOKUP($A371,'The List'!$B1:$AH730,31,FALSE)-AVERAGE('The List'!AF2:AF730))/STDEV('The List'!AF2:AF730)</f>
        <v>1.38761874684731</v>
      </c>
      <c r="T371" s="46">
        <f>(VLOOKUP($A371,'The List'!$B1:$AH730,32,FALSE)-AVERAGE('The List'!AG2:AG730))/STDEV('The List'!AG2:AG730)</f>
        <v>1.86280480026065</v>
      </c>
      <c r="U371" s="46">
        <f>(VLOOKUP($A371,'The List'!$B1:$AH730,33,FALSE)-AVERAGE('The List'!AH2:AH730))/STDEV('The List'!AH2:AH730)</f>
        <v>0.812270906930963</v>
      </c>
      <c r="V371" s="46"/>
      <c r="W371" s="48"/>
      <c r="X371" s="46"/>
      <c r="Y371" s="46"/>
      <c r="Z371" s="46"/>
      <c r="AA371" s="46"/>
      <c r="AB371" s="46"/>
      <c r="AC371" s="46"/>
      <c r="AD371" s="46"/>
      <c r="AE371" s="46"/>
    </row>
    <row r="372" ht="21.25" customHeight="1">
      <c r="A372" t="s" s="8">
        <v>740</v>
      </c>
      <c r="B372" t="s" s="42">
        <f>VLOOKUP(A372,'Player Data'!A1:B734,2,FALSE)</f>
        <v>218</v>
      </c>
      <c r="C372" s="44">
        <f>((E372)*'Settings'!$C$12)+(F372*'Settings'!$C$2)+(G372*'Settings'!$C$3)+(H372*'Settings'!$C$4)+(I372*'Settings'!$C$5)+(K372*'Settings'!$C$9)+(N372*'Settings'!$C$6)+(J372*'Settings'!$C$8)+(O372*'Settings'!$C$7)+(P372*'Settings'!$C$14)+(Q372*'Settings'!$C$15)+(R372*'Settings'!$C$16)+(S372*'Settings'!$C$17)+(T372*'Settings'!$C$18)+(U372*'Settings'!$C$19)+(L372*'Settings'!$C$10)+('Settings'!$C$11*M372)</f>
        <v>-1.90738824503158</v>
      </c>
      <c r="D372" s="48">
        <f>IF('Settings'!$E$12="YES",VLOOKUP(A372,'Player Data'!A1:E734,5,FALSE),82)</f>
        <v>71.25321428571429</v>
      </c>
      <c r="E372" s="46">
        <f>(VLOOKUP($A372,'The List'!$B1:$AH730,17,FALSE)-AVERAGE('The List'!R2:R730))/STDEV('The List'!R2:R730)</f>
        <v>-1.17617179796189</v>
      </c>
      <c r="F372" s="46">
        <f>(VLOOKUP($A372,'The List'!$B1:$AH730,18,FALSE)-AVERAGE('The List'!S2:S730))/STDEV('The List'!S2:S730)</f>
        <v>0.0231739476095591</v>
      </c>
      <c r="G372" s="46">
        <f>(VLOOKUP($A372,'The List'!$B1:$AH730,19,FALSE)-AVERAGE('The List'!T2:T730))/STDEV('The List'!T2:T730)</f>
        <v>-0.825350745852352</v>
      </c>
      <c r="H372" s="46">
        <f>(VLOOKUP($A372,'The List'!$B1:$AH730,20,FALSE)-AVERAGE('The List'!U2:U730))/STDEV('The List'!U2:U730)</f>
        <v>-0.498273275741333</v>
      </c>
      <c r="I372" s="46">
        <f>(VLOOKUP($A372,'The List'!$B1:$AH730,21,FALSE)-AVERAGE('The List'!V2:V730))/STDEV('The List'!V2:V730)</f>
        <v>-0.575097292092251</v>
      </c>
      <c r="J372" s="46">
        <f>(VLOOKUP($A372,'The List'!$B1:$AH730,22,FALSE)-AVERAGE('The List'!W2:W730))/STDEV('The List'!W2:W730)</f>
        <v>-0.553317520992435</v>
      </c>
      <c r="K372" s="46">
        <f>(VLOOKUP($A372,'The List'!$B1:$AH730,23,FALSE)-AVERAGE('The List'!X2:X730))/STDEV('The List'!X2:X730)</f>
        <v>-0.652568499785378</v>
      </c>
      <c r="L372" s="46">
        <f>(VLOOKUP($A372,'The List'!$B1:$AH730,24,FALSE)-AVERAGE('The List'!Y2:Y730))/STDEV('The List'!Y2:Y730)</f>
        <v>-0.542843480388394</v>
      </c>
      <c r="M372" s="46">
        <f>(VLOOKUP($A372,'The List'!$B1:$AH730,25,FALSE)-AVERAGE('The List'!Z2:Z730))/STDEV('The List'!Z2:Z730)</f>
        <v>-0.72177514995105</v>
      </c>
      <c r="N372" s="46">
        <f>(VLOOKUP($A372,'The List'!$B1:$AH730,26,FALSE)-AVERAGE('The List'!AA2:AA730))/STDEV('The List'!AA2:AA730)</f>
        <v>-0.806615786700239</v>
      </c>
      <c r="O372" s="46">
        <f>(VLOOKUP($A372,'The List'!$B1:$AH730,27,FALSE)-AVERAGE('The List'!AB2:AB730))/STDEV('The List'!AB2:AB730)</f>
        <v>-0.602609672006518</v>
      </c>
      <c r="P372" s="46">
        <f>(VLOOKUP($A372,'The List'!$B1:$AH730,28,FALSE)-AVERAGE('The List'!AC2:AC730))/STDEV('The List'!AC2:AC730)</f>
        <v>0.929070131789085</v>
      </c>
      <c r="Q372" s="46">
        <f>(VLOOKUP($A372,'The List'!$B1:$AH730,29,FALSE)-AVERAGE('The List'!AD2:AD730))/STDEV('The List'!AD2:AD730)</f>
        <v>-1.03612802626605</v>
      </c>
      <c r="R372" s="46">
        <f>(VLOOKUP($A372,'The List'!$B1:$AH730,30,FALSE)-AVERAGE('The List'!AE2:AE730))/STDEV('The List'!AE2:AE730)</f>
        <v>0.21790029617983</v>
      </c>
      <c r="S372" s="46">
        <f>(VLOOKUP($A372,'The List'!$B1:$AH730,31,FALSE)-AVERAGE('The List'!AF2:AF730))/STDEV('The List'!AF2:AF730)</f>
        <v>-0.331069389854121</v>
      </c>
      <c r="T372" s="46">
        <f>(VLOOKUP($A372,'The List'!$B1:$AH730,32,FALSE)-AVERAGE('The List'!AG2:AG730))/STDEV('The List'!AG2:AG730)</f>
        <v>-0.328470935175472</v>
      </c>
      <c r="U372" s="46">
        <f>(VLOOKUP($A372,'The List'!$B1:$AH730,33,FALSE)-AVERAGE('The List'!AH2:AH730))/STDEV('The List'!AH2:AH730)</f>
        <v>0.867487779746129</v>
      </c>
      <c r="V372" s="46"/>
      <c r="W372" s="50"/>
      <c r="X372" s="48"/>
      <c r="Y372" s="48"/>
      <c r="Z372" s="48"/>
      <c r="AA372" s="48"/>
      <c r="AB372" s="48"/>
      <c r="AC372" s="51"/>
      <c r="AD372" s="52"/>
      <c r="AE372" s="46"/>
    </row>
    <row r="373" ht="21.25" customHeight="1">
      <c r="A373" t="s" s="8">
        <v>790</v>
      </c>
      <c r="B373" t="s" s="42">
        <f>VLOOKUP(A373,'Player Data'!A1:B734,2,FALSE)</f>
        <v>115</v>
      </c>
      <c r="C373" s="44">
        <f>((E373)*'Settings'!$C$12)+(F373*'Settings'!$C$2)+(G373*'Settings'!$C$3)+(H373*'Settings'!$C$4)+(I373*'Settings'!$C$5)+(K373*'Settings'!$C$9)+(N373*'Settings'!$C$6)+(J373*'Settings'!$C$8)+(O373*'Settings'!$C$7)+(P373*'Settings'!$C$14)+(Q373*'Settings'!$C$15)+(R373*'Settings'!$C$16)+(S373*'Settings'!$C$17)+(T373*'Settings'!$C$18)+(U373*'Settings'!$C$19)+(L373*'Settings'!$C$10)+('Settings'!$C$11*M373)</f>
        <v>-3.26714543996057</v>
      </c>
      <c r="D373" s="48">
        <f>IF('Settings'!$E$12="YES",VLOOKUP(A373,'Player Data'!A1:E734,5,FALSE),82)</f>
        <v>52.9160714285714</v>
      </c>
      <c r="E373" s="46">
        <f>(VLOOKUP($A373,'The List'!$B1:$AH730,17,FALSE)-AVERAGE('The List'!R2:R730))/STDEV('The List'!R2:R730)</f>
        <v>-1.20185239173991</v>
      </c>
      <c r="F373" s="46">
        <f>(VLOOKUP($A373,'The List'!$B1:$AH730,18,FALSE)-AVERAGE('The List'!S2:S730))/STDEV('The List'!S2:S730)</f>
        <v>-0.509752301087196</v>
      </c>
      <c r="G373" s="46">
        <f>(VLOOKUP($A373,'The List'!$B1:$AH730,19,FALSE)-AVERAGE('The List'!T2:T730))/STDEV('The List'!T2:T730)</f>
        <v>-0.891342788647938</v>
      </c>
      <c r="H373" s="46">
        <f>(VLOOKUP($A373,'The List'!$B1:$AH730,20,FALSE)-AVERAGE('The List'!U2:U730))/STDEV('The List'!U2:U730)</f>
        <v>-0.781448634112042</v>
      </c>
      <c r="I373" s="46">
        <f>(VLOOKUP($A373,'The List'!$B1:$AH730,21,FALSE)-AVERAGE('The List'!V2:V730))/STDEV('The List'!V2:V730)</f>
        <v>-0.773402278958656</v>
      </c>
      <c r="J373" s="46">
        <f>(VLOOKUP($A373,'The List'!$B1:$AH730,22,FALSE)-AVERAGE('The List'!W2:W730))/STDEV('The List'!W2:W730)</f>
        <v>-0.616100132753746</v>
      </c>
      <c r="K373" s="46">
        <f>(VLOOKUP($A373,'The List'!$B1:$AH730,23,FALSE)-AVERAGE('The List'!X2:X730))/STDEV('The List'!X2:X730)</f>
        <v>-0.7091899639797959</v>
      </c>
      <c r="L373" s="46">
        <f>(VLOOKUP($A373,'The List'!$B1:$AH730,24,FALSE)-AVERAGE('The List'!Y2:Y730))/STDEV('The List'!Y2:Y730)</f>
        <v>-0.523955130838668</v>
      </c>
      <c r="M373" s="46">
        <f>(VLOOKUP($A373,'The List'!$B1:$AH730,25,FALSE)-AVERAGE('The List'!Z2:Z730))/STDEV('The List'!Z2:Z730)</f>
        <v>-0.700736498656249</v>
      </c>
      <c r="N373" s="46">
        <f>(VLOOKUP($A373,'The List'!$B1:$AH730,26,FALSE)-AVERAGE('The List'!AA2:AA730))/STDEV('The List'!AA2:AA730)</f>
        <v>-0.906654223090704</v>
      </c>
      <c r="O373" s="46">
        <f>(VLOOKUP($A373,'The List'!$B1:$AH730,27,FALSE)-AVERAGE('The List'!AB2:AB730))/STDEV('The List'!AB2:AB730)</f>
        <v>-0.485484237333127</v>
      </c>
      <c r="P373" s="46">
        <f>(VLOOKUP($A373,'The List'!$B1:$AH730,28,FALSE)-AVERAGE('The List'!AC2:AC730))/STDEV('The List'!AC2:AC730)</f>
        <v>0.5231961158037181</v>
      </c>
      <c r="Q373" s="46">
        <f>(VLOOKUP($A373,'The List'!$B1:$AH730,29,FALSE)-AVERAGE('The List'!AD2:AD730))/STDEV('The List'!AD2:AD730)</f>
        <v>-1.28292305128062</v>
      </c>
      <c r="R373" s="46">
        <f>(VLOOKUP($A373,'The List'!$B1:$AH730,30,FALSE)-AVERAGE('The List'!AE2:AE730))/STDEV('The List'!AE2:AE730)</f>
        <v>-0.363037403037102</v>
      </c>
      <c r="S373" s="46">
        <f>(VLOOKUP($A373,'The List'!$B1:$AH730,31,FALSE)-AVERAGE('The List'!AF2:AF730))/STDEV('The List'!AF2:AF730)</f>
        <v>-0.538372535041209</v>
      </c>
      <c r="T373" s="46">
        <f>(VLOOKUP($A373,'The List'!$B1:$AH730,32,FALSE)-AVERAGE('The List'!AG2:AG730))/STDEV('The List'!AG2:AG730)</f>
        <v>-0.56989163503323</v>
      </c>
      <c r="U373" s="46">
        <f>(VLOOKUP($A373,'The List'!$B1:$AH730,33,FALSE)-AVERAGE('The List'!AH2:AH730))/STDEV('The List'!AH2:AH730)</f>
        <v>0.508468329472836</v>
      </c>
      <c r="V373" s="46"/>
      <c r="W373" s="48"/>
      <c r="X373" s="46"/>
      <c r="Y373" s="46"/>
      <c r="Z373" s="46"/>
      <c r="AA373" s="46"/>
      <c r="AB373" s="46"/>
      <c r="AC373" s="46"/>
      <c r="AD373" s="46"/>
      <c r="AE373" s="46"/>
    </row>
    <row r="374" ht="21.25" customHeight="1">
      <c r="A374" t="s" s="8">
        <v>374</v>
      </c>
      <c r="B374" t="s" s="42">
        <f>VLOOKUP(A374,'Player Data'!A1:B734,2,FALSE)</f>
        <v>248</v>
      </c>
      <c r="C374" s="44">
        <f>((E374)*'Settings'!$C$12)+(F374*'Settings'!$C$2)+(G374*'Settings'!$C$3)+(H374*'Settings'!$C$4)+(I374*'Settings'!$C$5)+(K374*'Settings'!$C$9)+(N374*'Settings'!$C$6)+(J374*'Settings'!$C$8)+(O374*'Settings'!$C$7)+(P374*'Settings'!$C$14)+(Q374*'Settings'!$C$15)+(R374*'Settings'!$C$16)+(S374*'Settings'!$C$17)+(T374*'Settings'!$C$18)+(U374*'Settings'!$C$19)+(L374*'Settings'!$C$10)+('Settings'!$C$11*M374)</f>
        <v>1.31862890283209</v>
      </c>
      <c r="D374" s="48">
        <f>IF('Settings'!$E$12="YES",VLOOKUP(A374,'Player Data'!A1:E734,5,FALSE),82)</f>
        <v>82.03</v>
      </c>
      <c r="E374" s="46">
        <f>(VLOOKUP($A374,'The List'!$B1:$AH730,17,FALSE)-AVERAGE('The List'!R2:R730))/STDEV('The List'!R2:R730)</f>
        <v>1.96269484071211</v>
      </c>
      <c r="F374" s="46">
        <f>(VLOOKUP($A374,'The List'!$B1:$AH730,18,FALSE)-AVERAGE('The List'!S2:S730))/STDEV('The List'!S2:S730)</f>
        <v>-0.531962140581431</v>
      </c>
      <c r="G374" s="46">
        <f>(VLOOKUP($A374,'The List'!$B1:$AH730,19,FALSE)-AVERAGE('The List'!T2:T730))/STDEV('The List'!T2:T730)</f>
        <v>-0.148730170622971</v>
      </c>
      <c r="H374" s="46">
        <f>(VLOOKUP($A374,'The List'!$B1:$AH730,20,FALSE)-AVERAGE('The List'!U2:U730))/STDEV('The List'!U2:U730)</f>
        <v>-0.333743638164633</v>
      </c>
      <c r="I374" s="46">
        <f>(VLOOKUP($A374,'The List'!$B1:$AH730,21,FALSE)-AVERAGE('The List'!V2:V730))/STDEV('The List'!V2:V730)</f>
        <v>0.0620879665672158</v>
      </c>
      <c r="J374" s="46">
        <f>(VLOOKUP($A374,'The List'!$B1:$AH730,22,FALSE)-AVERAGE('The List'!W2:W730))/STDEV('The List'!W2:W730)</f>
        <v>-0.70435749001665</v>
      </c>
      <c r="K374" s="46">
        <f>(VLOOKUP($A374,'The List'!$B1:$AH730,23,FALSE)-AVERAGE('The List'!X2:X730))/STDEV('The List'!X2:X730)</f>
        <v>-0.769606969095772</v>
      </c>
      <c r="L374" s="46">
        <f>(VLOOKUP($A374,'The List'!$B1:$AH730,24,FALSE)-AVERAGE('The List'!Y2:Y730))/STDEV('The List'!Y2:Y730)</f>
        <v>-0.495953217122001</v>
      </c>
      <c r="M374" s="46">
        <f>(VLOOKUP($A374,'The List'!$B1:$AH730,25,FALSE)-AVERAGE('The List'!Z2:Z730))/STDEV('The List'!Z2:Z730)</f>
        <v>-0.568016037035434</v>
      </c>
      <c r="N374" s="46">
        <f>(VLOOKUP($A374,'The List'!$B1:$AH730,26,FALSE)-AVERAGE('The List'!AA2:AA730))/STDEV('The List'!AA2:AA730)</f>
        <v>2.76117796549999</v>
      </c>
      <c r="O374" s="46">
        <f>(VLOOKUP($A374,'The List'!$B1:$AH730,27,FALSE)-AVERAGE('The List'!AB2:AB730))/STDEV('The List'!AB2:AB730)</f>
        <v>2.33059100164012</v>
      </c>
      <c r="P374" s="46">
        <f>(VLOOKUP($A374,'The List'!$B1:$AH730,28,FALSE)-AVERAGE('The List'!AC2:AC730))/STDEV('The List'!AC2:AC730)</f>
        <v>-0.0543377489349421</v>
      </c>
      <c r="Q374" s="46">
        <f>(VLOOKUP($A374,'The List'!$B1:$AH730,29,FALSE)-AVERAGE('The List'!AD2:AD730))/STDEV('The List'!AD2:AD730)</f>
        <v>1.41044754908505</v>
      </c>
      <c r="R374" s="46">
        <f>(VLOOKUP($A374,'The List'!$B1:$AH730,30,FALSE)-AVERAGE('The List'!AE2:AE730))/STDEV('The List'!AE2:AE730)</f>
        <v>-0.486071040291784</v>
      </c>
      <c r="S374" s="46">
        <f>(VLOOKUP($A374,'The List'!$B1:$AH730,31,FALSE)-AVERAGE('The List'!AF2:AF730))/STDEV('The List'!AF2:AF730)</f>
        <v>-0.556783298444476</v>
      </c>
      <c r="T374" s="46">
        <f>(VLOOKUP($A374,'The List'!$B1:$AH730,32,FALSE)-AVERAGE('The List'!AG2:AG730))/STDEV('The List'!AG2:AG730)</f>
        <v>-0.60016574600613</v>
      </c>
      <c r="U374" s="46">
        <f>(VLOOKUP($A374,'The List'!$B1:$AH730,33,FALSE)-AVERAGE('The List'!AH2:AH730))/STDEV('The List'!AH2:AH730)</f>
        <v>-0.523572170288688</v>
      </c>
      <c r="V374" s="46"/>
      <c r="W374" s="48"/>
      <c r="X374" s="46"/>
      <c r="Y374" s="46"/>
      <c r="Z374" s="46"/>
      <c r="AA374" s="46"/>
      <c r="AB374" s="46"/>
      <c r="AC374" s="46"/>
      <c r="AD374" s="46"/>
      <c r="AE374" s="46"/>
    </row>
    <row r="375" ht="21.25" customHeight="1">
      <c r="A375" t="s" s="8">
        <v>398</v>
      </c>
      <c r="B375" t="s" s="42">
        <f>VLOOKUP(A375,'Player Data'!A1:B734,2,FALSE)</f>
        <v>236</v>
      </c>
      <c r="C375" s="44">
        <f>((E375)*'Settings'!$C$12)+(F375*'Settings'!$C$2)+(G375*'Settings'!$C$3)+(H375*'Settings'!$C$4)+(I375*'Settings'!$C$5)+(K375*'Settings'!$C$9)+(N375*'Settings'!$C$6)+(J375*'Settings'!$C$8)+(O375*'Settings'!$C$7)+(P375*'Settings'!$C$14)+(Q375*'Settings'!$C$15)+(R375*'Settings'!$C$16)+(S375*'Settings'!$C$17)+(T375*'Settings'!$C$18)+(U375*'Settings'!$C$19)+(L375*'Settings'!$C$10)+('Settings'!$C$11*M375)</f>
        <v>-1.05661355680217</v>
      </c>
      <c r="D375" s="48">
        <f>IF('Settings'!$E$12="YES",VLOOKUP(A375,'Player Data'!A1:E734,5,FALSE),82)</f>
        <v>81.4310714285714</v>
      </c>
      <c r="E375" s="46">
        <f>(VLOOKUP($A375,'The List'!$B1:$AH730,17,FALSE)-AVERAGE('The List'!R2:R730))/STDEV('The List'!R2:R730)</f>
        <v>1.36835875689339</v>
      </c>
      <c r="F375" s="46">
        <f>(VLOOKUP($A375,'The List'!$B1:$AH730,18,FALSE)-AVERAGE('The List'!S2:S730))/STDEV('The List'!S2:S730)</f>
        <v>-0.617228021571975</v>
      </c>
      <c r="G375" s="46">
        <f>(VLOOKUP($A375,'The List'!$B1:$AH730,19,FALSE)-AVERAGE('The List'!T2:T730))/STDEV('The List'!T2:T730)</f>
        <v>-0.101470896252754</v>
      </c>
      <c r="H375" s="46">
        <f>(VLOOKUP($A375,'The List'!$B1:$AH730,20,FALSE)-AVERAGE('The List'!U2:U730))/STDEV('The List'!U2:U730)</f>
        <v>-0.343406602593621</v>
      </c>
      <c r="I375" s="46">
        <f>(VLOOKUP($A375,'The List'!$B1:$AH730,21,FALSE)-AVERAGE('The List'!V2:V730))/STDEV('The List'!V2:V730)</f>
        <v>-0.144959419345747</v>
      </c>
      <c r="J375" s="46">
        <f>(VLOOKUP($A375,'The List'!$B1:$AH730,22,FALSE)-AVERAGE('The List'!W2:W730))/STDEV('The List'!W2:W730)</f>
        <v>-0.68602017143314</v>
      </c>
      <c r="K375" s="46">
        <f>(VLOOKUP($A375,'The List'!$B1:$AH730,23,FALSE)-AVERAGE('The List'!X2:X730))/STDEV('The List'!X2:X730)</f>
        <v>-0.694007278405824</v>
      </c>
      <c r="L375" s="46">
        <f>(VLOOKUP($A375,'The List'!$B1:$AH730,24,FALSE)-AVERAGE('The List'!Y2:Y730))/STDEV('The List'!Y2:Y730)</f>
        <v>0.33018566245859</v>
      </c>
      <c r="M375" s="46">
        <f>(VLOOKUP($A375,'The List'!$B1:$AH730,25,FALSE)-AVERAGE('The List'!Z2:Z730))/STDEV('The List'!Z2:Z730)</f>
        <v>-0.08377456784496121</v>
      </c>
      <c r="N375" s="46">
        <f>(VLOOKUP($A375,'The List'!$B1:$AH730,26,FALSE)-AVERAGE('The List'!AA2:AA730))/STDEV('The List'!AA2:AA730)</f>
        <v>2.02698835366223</v>
      </c>
      <c r="O375" s="46">
        <f>(VLOOKUP($A375,'The List'!$B1:$AH730,27,FALSE)-AVERAGE('The List'!AB2:AB730))/STDEV('The List'!AB2:AB730)</f>
        <v>-0.447805710907354</v>
      </c>
      <c r="P375" s="46">
        <f>(VLOOKUP($A375,'The List'!$B1:$AH730,28,FALSE)-AVERAGE('The List'!AC2:AC730))/STDEV('The List'!AC2:AC730)</f>
        <v>-1.5259362948881</v>
      </c>
      <c r="Q375" s="46">
        <f>(VLOOKUP($A375,'The List'!$B1:$AH730,29,FALSE)-AVERAGE('The List'!AD2:AD730))/STDEV('The List'!AD2:AD730)</f>
        <v>0.492510213366859</v>
      </c>
      <c r="R375" s="46">
        <f>(VLOOKUP($A375,'The List'!$B1:$AH730,30,FALSE)-AVERAGE('The List'!AE2:AE730))/STDEV('The List'!AE2:AE730)</f>
        <v>-0.665647146004507</v>
      </c>
      <c r="S375" s="46">
        <f>(VLOOKUP($A375,'The List'!$B1:$AH730,31,FALSE)-AVERAGE('The List'!AF2:AF730))/STDEV('The List'!AF2:AF730)</f>
        <v>-0.5569063253591</v>
      </c>
      <c r="T375" s="46">
        <f>(VLOOKUP($A375,'The List'!$B1:$AH730,32,FALSE)-AVERAGE('The List'!AG2:AG730))/STDEV('The List'!AG2:AG730)</f>
        <v>-0.600856269042678</v>
      </c>
      <c r="U375" s="46">
        <f>(VLOOKUP($A375,'The List'!$B1:$AH730,33,FALSE)-AVERAGE('The List'!AH2:AH730))/STDEV('The List'!AH2:AH730)</f>
        <v>-1.2363238714826</v>
      </c>
      <c r="V375" s="46"/>
      <c r="W375" s="48"/>
      <c r="X375" s="46"/>
      <c r="Y375" s="46"/>
      <c r="Z375" s="46"/>
      <c r="AA375" s="46"/>
      <c r="AB375" s="46"/>
      <c r="AC375" s="46"/>
      <c r="AD375" s="46"/>
      <c r="AE375" s="46"/>
    </row>
    <row r="376" ht="21.25" customHeight="1">
      <c r="A376" t="s" s="8">
        <v>763</v>
      </c>
      <c r="B376" t="s" s="42">
        <f>VLOOKUP(A376,'Player Data'!A1:B734,2,FALSE)</f>
        <v>136</v>
      </c>
      <c r="C376" s="44">
        <f>((E376)*'Settings'!$C$12)+(F376*'Settings'!$C$2)+(G376*'Settings'!$C$3)+(H376*'Settings'!$C$4)+(I376*'Settings'!$C$5)+(K376*'Settings'!$C$9)+(N376*'Settings'!$C$6)+(J376*'Settings'!$C$8)+(O376*'Settings'!$C$7)+(P376*'Settings'!$C$14)+(Q376*'Settings'!$C$15)+(R376*'Settings'!$C$16)+(S376*'Settings'!$C$17)+(T376*'Settings'!$C$18)+(U376*'Settings'!$C$19)+(L376*'Settings'!$C$10)+('Settings'!$C$11*M376)</f>
        <v>-2.42751127194227</v>
      </c>
      <c r="D376" s="48">
        <f>IF('Settings'!$E$12="YES",VLOOKUP(A376,'Player Data'!A1:E734,5,FALSE),82)</f>
        <v>71.8621428571429</v>
      </c>
      <c r="E376" s="46">
        <f>(VLOOKUP($A376,'The List'!$B1:$AH730,17,FALSE)-AVERAGE('The List'!R2:R730))/STDEV('The List'!R2:R730)</f>
        <v>-0.700499599776253</v>
      </c>
      <c r="F376" s="46">
        <f>(VLOOKUP($A376,'The List'!$B1:$AH730,18,FALSE)-AVERAGE('The List'!S2:S730))/STDEV('The List'!S2:S730)</f>
        <v>-0.453271875860779</v>
      </c>
      <c r="G376" s="46">
        <f>(VLOOKUP($A376,'The List'!$B1:$AH730,19,FALSE)-AVERAGE('The List'!T2:T730))/STDEV('The List'!T2:T730)</f>
        <v>-0.462372998704279</v>
      </c>
      <c r="H376" s="46">
        <f>(VLOOKUP($A376,'The List'!$B1:$AH730,20,FALSE)-AVERAGE('The List'!U2:U730))/STDEV('The List'!U2:U730)</f>
        <v>-0.491294670620218</v>
      </c>
      <c r="I376" s="46">
        <f>(VLOOKUP($A376,'The List'!$B1:$AH730,21,FALSE)-AVERAGE('The List'!V2:V730))/STDEV('The List'!V2:V730)</f>
        <v>-0.843319337119262</v>
      </c>
      <c r="J376" s="46">
        <f>(VLOOKUP($A376,'The List'!$B1:$AH730,22,FALSE)-AVERAGE('The List'!W2:W730))/STDEV('The List'!W2:W730)</f>
        <v>-0.695845549322387</v>
      </c>
      <c r="K376" s="46">
        <f>(VLOOKUP($A376,'The List'!$B1:$AH730,23,FALSE)-AVERAGE('The List'!X2:X730))/STDEV('The List'!X2:X730)</f>
        <v>-0.789232881361856</v>
      </c>
      <c r="L376" s="46">
        <f>(VLOOKUP($A376,'The List'!$B1:$AH730,24,FALSE)-AVERAGE('The List'!Y2:Y730))/STDEV('The List'!Y2:Y730)</f>
        <v>-0.304196757160166</v>
      </c>
      <c r="M376" s="46">
        <f>(VLOOKUP($A376,'The List'!$B1:$AH730,25,FALSE)-AVERAGE('The List'!Z2:Z730))/STDEV('The List'!Z2:Z730)</f>
        <v>2.43898176183281</v>
      </c>
      <c r="N376" s="46">
        <f>(VLOOKUP($A376,'The List'!$B1:$AH730,26,FALSE)-AVERAGE('The List'!AA2:AA730))/STDEV('The List'!AA2:AA730)</f>
        <v>-0.642196604928931</v>
      </c>
      <c r="O376" s="46">
        <f>(VLOOKUP($A376,'The List'!$B1:$AH730,27,FALSE)-AVERAGE('The List'!AB2:AB730))/STDEV('The List'!AB2:AB730)</f>
        <v>0.308908739672714</v>
      </c>
      <c r="P376" s="46">
        <f>(VLOOKUP($A376,'The List'!$B1:$AH730,28,FALSE)-AVERAGE('The List'!AC2:AC730))/STDEV('The List'!AC2:AC730)</f>
        <v>0.762882426032834</v>
      </c>
      <c r="Q376" s="46">
        <f>(VLOOKUP($A376,'The List'!$B1:$AH730,29,FALSE)-AVERAGE('The List'!AD2:AD730))/STDEV('The List'!AD2:AD730)</f>
        <v>0.790972020321377</v>
      </c>
      <c r="R376" s="46">
        <f>(VLOOKUP($A376,'The List'!$B1:$AH730,30,FALSE)-AVERAGE('The List'!AE2:AE730))/STDEV('The List'!AE2:AE730)</f>
        <v>-0.3075945770154</v>
      </c>
      <c r="S376" s="46">
        <f>(VLOOKUP($A376,'The List'!$B1:$AH730,31,FALSE)-AVERAGE('The List'!AF2:AF730))/STDEV('The List'!AF2:AF730)</f>
        <v>-0.115342893834474</v>
      </c>
      <c r="T376" s="46">
        <f>(VLOOKUP($A376,'The List'!$B1:$AH730,32,FALSE)-AVERAGE('The List'!AG2:AG730))/STDEV('The List'!AG2:AG730)</f>
        <v>-0.133252993486215</v>
      </c>
      <c r="U376" s="46">
        <f>(VLOOKUP($A376,'The List'!$B1:$AH730,33,FALSE)-AVERAGE('The List'!AH2:AH730))/STDEV('The List'!AH2:AH730)</f>
        <v>1.0141475905008</v>
      </c>
      <c r="V376" s="46"/>
      <c r="W376" s="48"/>
      <c r="X376" s="46"/>
      <c r="Y376" s="46"/>
      <c r="Z376" s="46"/>
      <c r="AA376" s="46"/>
      <c r="AB376" s="46"/>
      <c r="AC376" s="46"/>
      <c r="AD376" s="46"/>
      <c r="AE376" s="46"/>
    </row>
    <row r="377" ht="21.25" customHeight="1">
      <c r="A377" t="s" s="8">
        <v>709</v>
      </c>
      <c r="B377" t="s" s="42">
        <f>VLOOKUP(A377,'Player Data'!A1:B734,2,FALSE)</f>
        <v>202</v>
      </c>
      <c r="C377" s="44">
        <f>((E377)*'Settings'!$C$12)+(F377*'Settings'!$C$2)+(G377*'Settings'!$C$3)+(H377*'Settings'!$C$4)+(I377*'Settings'!$C$5)+(K377*'Settings'!$C$9)+(N377*'Settings'!$C$6)+(J377*'Settings'!$C$8)+(O377*'Settings'!$C$7)+(P377*'Settings'!$C$14)+(Q377*'Settings'!$C$15)+(R377*'Settings'!$C$16)+(S377*'Settings'!$C$17)+(T377*'Settings'!$C$18)+(U377*'Settings'!$C$19)+(L377*'Settings'!$C$10)+('Settings'!$C$11*M377)</f>
        <v>-1.23444741462918</v>
      </c>
      <c r="D377" s="48">
        <f>IF('Settings'!$E$12="YES",VLOOKUP(A377,'Player Data'!A1:E734,5,FALSE),82)</f>
        <v>80.2107142857143</v>
      </c>
      <c r="E377" s="46">
        <f>(VLOOKUP($A377,'The List'!$B1:$AH730,17,FALSE)-AVERAGE('The List'!R2:R730))/STDEV('The List'!R2:R730)</f>
        <v>-0.637511362688696</v>
      </c>
      <c r="F377" s="46">
        <f>(VLOOKUP($A377,'The List'!$B1:$AH730,18,FALSE)-AVERAGE('The List'!S2:S730))/STDEV('The List'!S2:S730)</f>
        <v>-0.315470205377648</v>
      </c>
      <c r="G377" s="46">
        <f>(VLOOKUP($A377,'The List'!$B1:$AH730,19,FALSE)-AVERAGE('The List'!T2:T730))/STDEV('The List'!T2:T730)</f>
        <v>-0.356714575804569</v>
      </c>
      <c r="H377" s="46">
        <f>(VLOOKUP($A377,'The List'!$B1:$AH730,20,FALSE)-AVERAGE('The List'!U2:U730))/STDEV('The List'!U2:U730)</f>
        <v>-0.363455117864216</v>
      </c>
      <c r="I377" s="46">
        <f>(VLOOKUP($A377,'The List'!$B1:$AH730,21,FALSE)-AVERAGE('The List'!V2:V730))/STDEV('The List'!V2:V730)</f>
        <v>-0.843763837340534</v>
      </c>
      <c r="J377" s="46">
        <f>(VLOOKUP($A377,'The List'!$B1:$AH730,22,FALSE)-AVERAGE('The List'!W2:W730))/STDEV('The List'!W2:W730)</f>
        <v>-0.663584337839571</v>
      </c>
      <c r="K377" s="46">
        <f>(VLOOKUP($A377,'The List'!$B1:$AH730,23,FALSE)-AVERAGE('The List'!X2:X730))/STDEV('The List'!X2:X730)</f>
        <v>-0.750563651737722</v>
      </c>
      <c r="L377" s="46">
        <f>(VLOOKUP($A377,'The List'!$B1:$AH730,24,FALSE)-AVERAGE('The List'!Y2:Y730))/STDEV('The List'!Y2:Y730)</f>
        <v>-0.384132437251454</v>
      </c>
      <c r="M377" s="46">
        <f>(VLOOKUP($A377,'The List'!$B1:$AH730,25,FALSE)-AVERAGE('The List'!Z2:Z730))/STDEV('The List'!Z2:Z730)</f>
        <v>1.16894617209005</v>
      </c>
      <c r="N377" s="46">
        <f>(VLOOKUP($A377,'The List'!$B1:$AH730,26,FALSE)-AVERAGE('The List'!AA2:AA730))/STDEV('The List'!AA2:AA730)</f>
        <v>-0.5461919634611569</v>
      </c>
      <c r="O377" s="46">
        <f>(VLOOKUP($A377,'The List'!$B1:$AH730,27,FALSE)-AVERAGE('The List'!AB2:AB730))/STDEV('The List'!AB2:AB730)</f>
        <v>0.217773670047908</v>
      </c>
      <c r="P377" s="46">
        <f>(VLOOKUP($A377,'The List'!$B1:$AH730,28,FALSE)-AVERAGE('The List'!AC2:AC730))/STDEV('The List'!AC2:AC730)</f>
        <v>1.57825681909245</v>
      </c>
      <c r="Q377" s="46">
        <f>(VLOOKUP($A377,'The List'!$B1:$AH730,29,FALSE)-AVERAGE('The List'!AD2:AD730))/STDEV('The List'!AD2:AD730)</f>
        <v>-1.11520535574165</v>
      </c>
      <c r="R377" s="46">
        <f>(VLOOKUP($A377,'The List'!$B1:$AH730,30,FALSE)-AVERAGE('The List'!AE2:AE730))/STDEV('The List'!AE2:AE730)</f>
        <v>-0.0402188116571894</v>
      </c>
      <c r="S377" s="46">
        <f>(VLOOKUP($A377,'The List'!$B1:$AH730,31,FALSE)-AVERAGE('The List'!AF2:AF730))/STDEV('The List'!AF2:AF730)</f>
        <v>-0.502377157801</v>
      </c>
      <c r="T377" s="46">
        <f>(VLOOKUP($A377,'The List'!$B1:$AH730,32,FALSE)-AVERAGE('The List'!AG2:AG730))/STDEV('The List'!AG2:AG730)</f>
        <v>-0.513425895044924</v>
      </c>
      <c r="U377" s="46">
        <f>(VLOOKUP($A377,'The List'!$B1:$AH730,33,FALSE)-AVERAGE('The List'!AH2:AH730))/STDEV('The List'!AH2:AH730)</f>
        <v>0.552722228628986</v>
      </c>
      <c r="V377" s="46"/>
      <c r="W377" s="48"/>
      <c r="X377" s="46"/>
      <c r="Y377" s="46"/>
      <c r="Z377" s="46"/>
      <c r="AA377" s="46"/>
      <c r="AB377" s="46"/>
      <c r="AC377" s="46"/>
      <c r="AD377" s="46"/>
      <c r="AE377" s="46"/>
    </row>
    <row r="378" ht="21.25" customHeight="1">
      <c r="A378" t="s" s="8">
        <v>681</v>
      </c>
      <c r="B378" t="s" s="42">
        <f>VLOOKUP(A378,'Player Data'!A1:B734,2,FALSE)</f>
        <v>124</v>
      </c>
      <c r="C378" s="44">
        <f>((E378)*'Settings'!$C$12)+(F378*'Settings'!$C$2)+(G378*'Settings'!$C$3)+(H378*'Settings'!$C$4)+(I378*'Settings'!$C$5)+(K378*'Settings'!$C$9)+(N378*'Settings'!$C$6)+(J378*'Settings'!$C$8)+(O378*'Settings'!$C$7)+(P378*'Settings'!$C$14)+(Q378*'Settings'!$C$15)+(R378*'Settings'!$C$16)+(S378*'Settings'!$C$17)+(T378*'Settings'!$C$18)+(U378*'Settings'!$C$19)+(L378*'Settings'!$C$10)+('Settings'!$C$11*M378)</f>
        <v>-2.04488243502235</v>
      </c>
      <c r="D378" s="48">
        <f>IF('Settings'!$E$12="YES",VLOOKUP(A378,'Player Data'!A1:E734,5,FALSE),82)</f>
        <v>68.2</v>
      </c>
      <c r="E378" s="46">
        <f>(VLOOKUP($A378,'The List'!$B1:$AH730,17,FALSE)-AVERAGE('The List'!R2:R730))/STDEV('The List'!R2:R730)</f>
        <v>-0.9278895028615</v>
      </c>
      <c r="F378" s="46">
        <f>(VLOOKUP($A378,'The List'!$B1:$AH730,18,FALSE)-AVERAGE('The List'!S2:S730))/STDEV('The List'!S2:S730)</f>
        <v>-0.448082333614508</v>
      </c>
      <c r="G378" s="46">
        <f>(VLOOKUP($A378,'The List'!$B1:$AH730,19,FALSE)-AVERAGE('The List'!T2:T730))/STDEV('The List'!T2:T730)</f>
        <v>-0.5630894722861</v>
      </c>
      <c r="H378" s="46">
        <f>(VLOOKUP($A378,'The List'!$B1:$AH730,20,FALSE)-AVERAGE('The List'!U2:U730))/STDEV('The List'!U2:U730)</f>
        <v>-0.551023706996545</v>
      </c>
      <c r="I378" s="46">
        <f>(VLOOKUP($A378,'The List'!$B1:$AH730,21,FALSE)-AVERAGE('The List'!V2:V730))/STDEV('The List'!V2:V730)</f>
        <v>0.3596462163418</v>
      </c>
      <c r="J378" s="46">
        <f>(VLOOKUP($A378,'The List'!$B1:$AH730,22,FALSE)-AVERAGE('The List'!W2:W730))/STDEV('The List'!W2:W730)</f>
        <v>-0.614208855558999</v>
      </c>
      <c r="K378" s="46">
        <f>(VLOOKUP($A378,'The List'!$B1:$AH730,23,FALSE)-AVERAGE('The List'!X2:X730))/STDEV('The List'!X2:X730)</f>
        <v>-0.705953169526136</v>
      </c>
      <c r="L378" s="46">
        <f>(VLOOKUP($A378,'The List'!$B1:$AH730,24,FALSE)-AVERAGE('The List'!Y2:Y730))/STDEV('The List'!Y2:Y730)</f>
        <v>-0.494865788797442</v>
      </c>
      <c r="M378" s="46">
        <f>(VLOOKUP($A378,'The List'!$B1:$AH730,25,FALSE)-AVERAGE('The List'!Z2:Z730))/STDEV('The List'!Z2:Z730)</f>
        <v>-0.667550853930397</v>
      </c>
      <c r="N378" s="46">
        <f>(VLOOKUP($A378,'The List'!$B1:$AH730,26,FALSE)-AVERAGE('The List'!AA2:AA730))/STDEV('The List'!AA2:AA730)</f>
        <v>-0.839239665677845</v>
      </c>
      <c r="O378" s="46">
        <f>(VLOOKUP($A378,'The List'!$B1:$AH730,27,FALSE)-AVERAGE('The List'!AB2:AB730))/STDEV('The List'!AB2:AB730)</f>
        <v>0.766341294656962</v>
      </c>
      <c r="P378" s="46">
        <f>(VLOOKUP($A378,'The List'!$B1:$AH730,28,FALSE)-AVERAGE('The List'!AC2:AC730))/STDEV('The List'!AC2:AC730)</f>
        <v>0.151835989740444</v>
      </c>
      <c r="Q378" s="46">
        <f>(VLOOKUP($A378,'The List'!$B1:$AH730,29,FALSE)-AVERAGE('The List'!AD2:AD730))/STDEV('The List'!AD2:AD730)</f>
        <v>1.24261484357883</v>
      </c>
      <c r="R378" s="46">
        <f>(VLOOKUP($A378,'The List'!$B1:$AH730,30,FALSE)-AVERAGE('The List'!AE2:AE730))/STDEV('The List'!AE2:AE730)</f>
        <v>-0.321451701376241</v>
      </c>
      <c r="S378" s="46">
        <f>(VLOOKUP($A378,'The List'!$B1:$AH730,31,FALSE)-AVERAGE('The List'!AF2:AF730))/STDEV('The List'!AF2:AF730)</f>
        <v>-0.478122967362211</v>
      </c>
      <c r="T378" s="46">
        <f>(VLOOKUP($A378,'The List'!$B1:$AH730,32,FALSE)-AVERAGE('The List'!AG2:AG730))/STDEV('The List'!AG2:AG730)</f>
        <v>-0.447229372609973</v>
      </c>
      <c r="U378" s="46">
        <f>(VLOOKUP($A378,'The List'!$B1:$AH730,33,FALSE)-AVERAGE('The List'!AH2:AH730))/STDEV('The List'!AH2:AH730)</f>
        <v>0.34613572731511</v>
      </c>
      <c r="V378" s="46"/>
      <c r="W378" s="50"/>
      <c r="X378" s="48"/>
      <c r="Y378" s="48"/>
      <c r="Z378" s="48"/>
      <c r="AA378" s="48"/>
      <c r="AB378" s="48"/>
      <c r="AC378" s="51"/>
      <c r="AD378" s="52"/>
      <c r="AE378" s="46"/>
    </row>
    <row r="379" ht="21.25" customHeight="1">
      <c r="A379" t="s" s="8">
        <v>730</v>
      </c>
      <c r="B379" t="s" s="42">
        <f>VLOOKUP(A379,'Player Data'!A1:B734,2,FALSE)</f>
        <v>149</v>
      </c>
      <c r="C379" s="44">
        <f>((E379)*'Settings'!$C$12)+(F379*'Settings'!$C$2)+(G379*'Settings'!$C$3)+(H379*'Settings'!$C$4)+(I379*'Settings'!$C$5)+(K379*'Settings'!$C$9)+(N379*'Settings'!$C$6)+(J379*'Settings'!$C$8)+(O379*'Settings'!$C$7)+(P379*'Settings'!$C$14)+(Q379*'Settings'!$C$15)+(R379*'Settings'!$C$16)+(S379*'Settings'!$C$17)+(T379*'Settings'!$C$18)+(U379*'Settings'!$C$19)+(L379*'Settings'!$C$10)+('Settings'!$C$11*M379)</f>
        <v>-2.93140877572964</v>
      </c>
      <c r="D379" s="48">
        <f>IF('Settings'!$E$12="YES",VLOOKUP(A379,'Player Data'!A1:E734,5,FALSE),82)</f>
        <v>68.20999999999999</v>
      </c>
      <c r="E379" s="46">
        <f>(VLOOKUP($A379,'The List'!$B1:$AH730,17,FALSE)-AVERAGE('The List'!R2:R730))/STDEV('The List'!R2:R730)</f>
        <v>-1.06556111912682</v>
      </c>
      <c r="F379" s="46">
        <f>(VLOOKUP($A379,'The List'!$B1:$AH730,18,FALSE)-AVERAGE('The List'!S2:S730))/STDEV('The List'!S2:S730)</f>
        <v>-0.161011128686814</v>
      </c>
      <c r="G379" s="46">
        <f>(VLOOKUP($A379,'The List'!$B1:$AH730,19,FALSE)-AVERAGE('The List'!T2:T730))/STDEV('The List'!T2:T730)</f>
        <v>-0.7784495252504779</v>
      </c>
      <c r="H379" s="46">
        <f>(VLOOKUP($A379,'The List'!$B1:$AH730,20,FALSE)-AVERAGE('The List'!U2:U730))/STDEV('The List'!U2:U730)</f>
        <v>-0.553167193370109</v>
      </c>
      <c r="I379" s="46">
        <f>(VLOOKUP($A379,'The List'!$B1:$AH730,21,FALSE)-AVERAGE('The List'!V2:V730))/STDEV('The List'!V2:V730)</f>
        <v>-0.733261647172149</v>
      </c>
      <c r="J379" s="46">
        <f>(VLOOKUP($A379,'The List'!$B1:$AH730,22,FALSE)-AVERAGE('The List'!W2:W730))/STDEV('The List'!W2:W730)</f>
        <v>-0.651764630952324</v>
      </c>
      <c r="K379" s="46">
        <f>(VLOOKUP($A379,'The List'!$B1:$AH730,23,FALSE)-AVERAGE('The List'!X2:X730))/STDEV('The List'!X2:X730)</f>
        <v>-0.717890645338274</v>
      </c>
      <c r="L379" s="46">
        <f>(VLOOKUP($A379,'The List'!$B1:$AH730,24,FALSE)-AVERAGE('The List'!Y2:Y730))/STDEV('The List'!Y2:Y730)</f>
        <v>-0.542455161263641</v>
      </c>
      <c r="M379" s="46">
        <f>(VLOOKUP($A379,'The List'!$B1:$AH730,25,FALSE)-AVERAGE('The List'!Z2:Z730))/STDEV('The List'!Z2:Z730)</f>
        <v>-0.721336812589241</v>
      </c>
      <c r="N379" s="46">
        <f>(VLOOKUP($A379,'The List'!$B1:$AH730,26,FALSE)-AVERAGE('The List'!AA2:AA730))/STDEV('The List'!AA2:AA730)</f>
        <v>-0.720863576885837</v>
      </c>
      <c r="O379" s="46">
        <f>(VLOOKUP($A379,'The List'!$B1:$AH730,27,FALSE)-AVERAGE('The List'!AB2:AB730))/STDEV('The List'!AB2:AB730)</f>
        <v>-0.483145578290565</v>
      </c>
      <c r="P379" s="46">
        <f>(VLOOKUP($A379,'The List'!$B1:$AH730,28,FALSE)-AVERAGE('The List'!AC2:AC730))/STDEV('The List'!AC2:AC730)</f>
        <v>0.180067747603916</v>
      </c>
      <c r="Q379" s="46">
        <f>(VLOOKUP($A379,'The List'!$B1:$AH730,29,FALSE)-AVERAGE('The List'!AD2:AD730))/STDEV('The List'!AD2:AD730)</f>
        <v>-1.06393201079923</v>
      </c>
      <c r="R379" s="46">
        <f>(VLOOKUP($A379,'The List'!$B1:$AH730,30,FALSE)-AVERAGE('The List'!AE2:AE730))/STDEV('The List'!AE2:AE730)</f>
        <v>-0.0437145961104303</v>
      </c>
      <c r="S379" s="46">
        <f>(VLOOKUP($A379,'The List'!$B1:$AH730,31,FALSE)-AVERAGE('The List'!AF2:AF730))/STDEV('The List'!AF2:AF730)</f>
        <v>-0.537455382803167</v>
      </c>
      <c r="T379" s="46">
        <f>(VLOOKUP($A379,'The List'!$B1:$AH730,32,FALSE)-AVERAGE('The List'!AG2:AG730))/STDEV('The List'!AG2:AG730)</f>
        <v>-0.551072238124429</v>
      </c>
      <c r="U379" s="46">
        <f>(VLOOKUP($A379,'The List'!$B1:$AH730,33,FALSE)-AVERAGE('The List'!AH2:AH730))/STDEV('The List'!AH2:AH730)</f>
        <v>0.0790615582956145</v>
      </c>
      <c r="V379" s="46"/>
      <c r="W379" s="50"/>
      <c r="X379" s="48"/>
      <c r="Y379" s="48"/>
      <c r="Z379" s="48"/>
      <c r="AA379" s="48"/>
      <c r="AB379" s="48"/>
      <c r="AC379" s="51"/>
      <c r="AD379" s="52"/>
      <c r="AE379" s="46"/>
    </row>
    <row r="380" ht="21.25" customHeight="1">
      <c r="A380" t="s" s="8">
        <v>605</v>
      </c>
      <c r="B380" t="s" s="42">
        <f>VLOOKUP(A380,'Player Data'!A1:B734,2,FALSE)</f>
        <v>292</v>
      </c>
      <c r="C380" s="44">
        <f>((E380)*'Settings'!$C$12)+(F380*'Settings'!$C$2)+(G380*'Settings'!$C$3)+(H380*'Settings'!$C$4)+(I380*'Settings'!$C$5)+(K380*'Settings'!$C$9)+(N380*'Settings'!$C$6)+(J380*'Settings'!$C$8)+(O380*'Settings'!$C$7)+(P380*'Settings'!$C$14)+(Q380*'Settings'!$C$15)+(R380*'Settings'!$C$16)+(S380*'Settings'!$C$17)+(T380*'Settings'!$C$18)+(U380*'Settings'!$C$19)+(L380*'Settings'!$C$10)+('Settings'!$C$11*M380)</f>
        <v>-0.729387241100569</v>
      </c>
      <c r="D380" s="48">
        <f>IF('Settings'!$E$12="YES",VLOOKUP(A380,'Player Data'!A1:E734,5,FALSE),82)</f>
        <v>80.41928571428571</v>
      </c>
      <c r="E380" s="46">
        <f>(VLOOKUP($A380,'The List'!$B1:$AH730,17,FALSE)-AVERAGE('The List'!R2:R730))/STDEV('The List'!R2:R730)</f>
        <v>-0.732115239522124</v>
      </c>
      <c r="F380" s="46">
        <f>(VLOOKUP($A380,'The List'!$B1:$AH730,18,FALSE)-AVERAGE('The List'!S2:S730))/STDEV('The List'!S2:S730)</f>
        <v>0.09044000883702009</v>
      </c>
      <c r="G380" s="46">
        <f>(VLOOKUP($A380,'The List'!$B1:$AH730,19,FALSE)-AVERAGE('The List'!T2:T730))/STDEV('The List'!T2:T730)</f>
        <v>-0.666192349847949</v>
      </c>
      <c r="H380" s="46">
        <f>(VLOOKUP($A380,'The List'!$B1:$AH730,20,FALSE)-AVERAGE('The List'!U2:U730))/STDEV('The List'!U2:U730)</f>
        <v>-0.369546809604988</v>
      </c>
      <c r="I380" s="46">
        <f>(VLOOKUP($A380,'The List'!$B1:$AH730,21,FALSE)-AVERAGE('The List'!V2:V730))/STDEV('The List'!V2:V730)</f>
        <v>0.340069669167437</v>
      </c>
      <c r="J380" s="46">
        <f>(VLOOKUP($A380,'The List'!$B1:$AH730,22,FALSE)-AVERAGE('The List'!W2:W730))/STDEV('The List'!W2:W730)</f>
        <v>-0.269691555663365</v>
      </c>
      <c r="K380" s="46">
        <f>(VLOOKUP($A380,'The List'!$B1:$AH730,23,FALSE)-AVERAGE('The List'!X2:X730))/STDEV('The List'!X2:X730)</f>
        <v>-0.422040591801079</v>
      </c>
      <c r="L380" s="46">
        <f>(VLOOKUP($A380,'The List'!$B1:$AH730,24,FALSE)-AVERAGE('The List'!Y2:Y730))/STDEV('The List'!Y2:Y730)</f>
        <v>-0.542843480388394</v>
      </c>
      <c r="M380" s="46">
        <f>(VLOOKUP($A380,'The List'!$B1:$AH730,25,FALSE)-AVERAGE('The List'!Z2:Z730))/STDEV('The List'!Z2:Z730)</f>
        <v>-0.72177514995105</v>
      </c>
      <c r="N380" s="46">
        <f>(VLOOKUP($A380,'The List'!$B1:$AH730,26,FALSE)-AVERAGE('The List'!AA2:AA730))/STDEV('The List'!AA2:AA730)</f>
        <v>-0.106411990631582</v>
      </c>
      <c r="O380" s="46">
        <f>(VLOOKUP($A380,'The List'!$B1:$AH730,27,FALSE)-AVERAGE('The List'!AB2:AB730))/STDEV('The List'!AB2:AB730)</f>
        <v>-0.327298560218928</v>
      </c>
      <c r="P380" s="46">
        <f>(VLOOKUP($A380,'The List'!$B1:$AH730,28,FALSE)-AVERAGE('The List'!AC2:AC730))/STDEV('The List'!AC2:AC730)</f>
        <v>0.0347480131755843</v>
      </c>
      <c r="Q380" s="46">
        <f>(VLOOKUP($A380,'The List'!$B1:$AH730,29,FALSE)-AVERAGE('The List'!AD2:AD730))/STDEV('The List'!AD2:AD730)</f>
        <v>-0.67001121021764</v>
      </c>
      <c r="R380" s="46">
        <f>(VLOOKUP($A380,'The List'!$B1:$AH730,30,FALSE)-AVERAGE('The List'!AE2:AE730))/STDEV('The List'!AE2:AE730)</f>
        <v>-1.18448477237391</v>
      </c>
      <c r="S380" s="46">
        <f>(VLOOKUP($A380,'The List'!$B1:$AH730,31,FALSE)-AVERAGE('The List'!AF2:AF730))/STDEV('The List'!AF2:AF730)</f>
        <v>-0.482209808741646</v>
      </c>
      <c r="T380" s="46">
        <f>(VLOOKUP($A380,'The List'!$B1:$AH730,32,FALSE)-AVERAGE('The List'!AG2:AG730))/STDEV('The List'!AG2:AG730)</f>
        <v>-0.473651458275665</v>
      </c>
      <c r="U380" s="46">
        <f>(VLOOKUP($A380,'The List'!$B1:$AH730,33,FALSE)-AVERAGE('The List'!AH2:AH730))/STDEV('The List'!AH2:AH730)</f>
        <v>0.488046471500213</v>
      </c>
      <c r="V380" s="46"/>
      <c r="W380" s="48"/>
      <c r="X380" s="46"/>
      <c r="Y380" s="46"/>
      <c r="Z380" s="46"/>
      <c r="AA380" s="46"/>
      <c r="AB380" s="46"/>
      <c r="AC380" s="46"/>
      <c r="AD380" s="46"/>
      <c r="AE380" s="46"/>
    </row>
    <row r="381" ht="21.25" customHeight="1">
      <c r="A381" t="s" s="8">
        <v>793</v>
      </c>
      <c r="B381" t="s" s="42">
        <f>VLOOKUP(A381,'Player Data'!A1:B734,2,FALSE)</f>
        <v>156</v>
      </c>
      <c r="C381" s="44">
        <f>((E381)*'Settings'!$C$12)+(F381*'Settings'!$C$2)+(G381*'Settings'!$C$3)+(H381*'Settings'!$C$4)+(I381*'Settings'!$C$5)+(K381*'Settings'!$C$9)+(N381*'Settings'!$C$6)+(J381*'Settings'!$C$8)+(O381*'Settings'!$C$7)+(P381*'Settings'!$C$14)+(Q381*'Settings'!$C$15)+(R381*'Settings'!$C$16)+(S381*'Settings'!$C$17)+(T381*'Settings'!$C$18)+(U381*'Settings'!$C$19)+(L381*'Settings'!$C$10)+('Settings'!$C$11*M381)</f>
        <v>-4.07924816716453</v>
      </c>
      <c r="D381" s="48">
        <f>IF('Settings'!$E$12="YES",VLOOKUP(A381,'Player Data'!A1:E734,5,FALSE),82)</f>
        <v>55</v>
      </c>
      <c r="E381" s="46">
        <f>(VLOOKUP($A381,'The List'!$B1:$AH730,17,FALSE)-AVERAGE('The List'!R2:R730))/STDEV('The List'!R2:R730)</f>
        <v>-1.18904734209025</v>
      </c>
      <c r="F381" s="46">
        <f>(VLOOKUP($A381,'The List'!$B1:$AH730,18,FALSE)-AVERAGE('The List'!S2:S730))/STDEV('The List'!S2:S730)</f>
        <v>-0.446976054659788</v>
      </c>
      <c r="G381" s="46">
        <f>(VLOOKUP($A381,'The List'!$B1:$AH730,19,FALSE)-AVERAGE('The List'!T2:T730))/STDEV('The List'!T2:T730)</f>
        <v>-0.899461730239007</v>
      </c>
      <c r="H381" s="46">
        <f>(VLOOKUP($A381,'The List'!$B1:$AH730,20,FALSE)-AVERAGE('The List'!U2:U730))/STDEV('The List'!U2:U730)</f>
        <v>-0.757889403744215</v>
      </c>
      <c r="I381" s="46">
        <f>(VLOOKUP($A381,'The List'!$B1:$AH730,21,FALSE)-AVERAGE('The List'!V2:V730))/STDEV('The List'!V2:V730)</f>
        <v>-0.811555494054584</v>
      </c>
      <c r="J381" s="46">
        <f>(VLOOKUP($A381,'The List'!$B1:$AH730,22,FALSE)-AVERAGE('The List'!W2:W730))/STDEV('The List'!W2:W730)</f>
        <v>-0.653949466283141</v>
      </c>
      <c r="K381" s="46">
        <f>(VLOOKUP($A381,'The List'!$B1:$AH730,23,FALSE)-AVERAGE('The List'!X2:X730))/STDEV('The List'!X2:X730)</f>
        <v>-0.748338985554742</v>
      </c>
      <c r="L381" s="46">
        <f>(VLOOKUP($A381,'The List'!$B1:$AH730,24,FALSE)-AVERAGE('The List'!Y2:Y730))/STDEV('The List'!Y2:Y730)</f>
        <v>-0.542843480388394</v>
      </c>
      <c r="M381" s="46">
        <f>(VLOOKUP($A381,'The List'!$B1:$AH730,25,FALSE)-AVERAGE('The List'!Z2:Z730))/STDEV('The List'!Z2:Z730)</f>
        <v>-0.72177514995105</v>
      </c>
      <c r="N381" s="46">
        <f>(VLOOKUP($A381,'The List'!$B1:$AH730,26,FALSE)-AVERAGE('The List'!AA2:AA730))/STDEV('The List'!AA2:AA730)</f>
        <v>-1.07156458574452</v>
      </c>
      <c r="O381" s="46">
        <f>(VLOOKUP($A381,'The List'!$B1:$AH730,27,FALSE)-AVERAGE('The List'!AB2:AB730))/STDEV('The List'!AB2:AB730)</f>
        <v>-0.93357597807378</v>
      </c>
      <c r="P381" s="46">
        <f>(VLOOKUP($A381,'The List'!$B1:$AH730,28,FALSE)-AVERAGE('The List'!AC2:AC730))/STDEV('The List'!AC2:AC730)</f>
        <v>-0.101351316911888</v>
      </c>
      <c r="Q381" s="46">
        <f>(VLOOKUP($A381,'The List'!$B1:$AH730,29,FALSE)-AVERAGE('The List'!AD2:AD730))/STDEV('The List'!AD2:AD730)</f>
        <v>-1.06811475572742</v>
      </c>
      <c r="R381" s="46">
        <f>(VLOOKUP($A381,'The List'!$B1:$AH730,30,FALSE)-AVERAGE('The List'!AE2:AE730))/STDEV('The List'!AE2:AE730)</f>
        <v>-0.402824355105108</v>
      </c>
      <c r="S381" s="46">
        <f>(VLOOKUP($A381,'The List'!$B1:$AH730,31,FALSE)-AVERAGE('The List'!AF2:AF730))/STDEV('The List'!AF2:AF730)</f>
        <v>-0.553204109411317</v>
      </c>
      <c r="T381" s="46">
        <f>(VLOOKUP($A381,'The List'!$B1:$AH730,32,FALSE)-AVERAGE('The List'!AG2:AG730))/STDEV('The List'!AG2:AG730)</f>
        <v>-0.590700186695886</v>
      </c>
      <c r="U381" s="46">
        <f>(VLOOKUP($A381,'The List'!$B1:$AH730,33,FALSE)-AVERAGE('The List'!AH2:AH730))/STDEV('The List'!AH2:AH730)</f>
        <v>0.0153625590446928</v>
      </c>
      <c r="V381" s="46"/>
      <c r="W381" s="50"/>
      <c r="X381" s="48"/>
      <c r="Y381" s="48"/>
      <c r="Z381" s="48"/>
      <c r="AA381" s="48"/>
      <c r="AB381" s="48"/>
      <c r="AC381" s="51"/>
      <c r="AD381" s="52"/>
      <c r="AE381" s="46"/>
    </row>
    <row r="382" ht="21.25" customHeight="1">
      <c r="A382" t="s" s="8">
        <v>415</v>
      </c>
      <c r="B382" t="s" s="42">
        <f>VLOOKUP(A382,'Player Data'!A1:B734,2,FALSE)</f>
        <v>149</v>
      </c>
      <c r="C382" s="44">
        <f>((E382)*'Settings'!$C$12)+(F382*'Settings'!$C$2)+(G382*'Settings'!$C$3)+(H382*'Settings'!$C$4)+(I382*'Settings'!$C$5)+(K382*'Settings'!$C$9)+(N382*'Settings'!$C$6)+(J382*'Settings'!$C$8)+(O382*'Settings'!$C$7)+(P382*'Settings'!$C$14)+(Q382*'Settings'!$C$15)+(R382*'Settings'!$C$16)+(S382*'Settings'!$C$17)+(T382*'Settings'!$C$18)+(U382*'Settings'!$C$19)+(L382*'Settings'!$C$10)+('Settings'!$C$11*M382)</f>
        <v>0.623416735706416</v>
      </c>
      <c r="D382" s="48">
        <f>IF('Settings'!$E$12="YES",VLOOKUP(A382,'Player Data'!A1:E734,5,FALSE),82)</f>
        <v>77.7525</v>
      </c>
      <c r="E382" s="46">
        <f>(VLOOKUP($A382,'The List'!$B1:$AH730,17,FALSE)-AVERAGE('The List'!R2:R730))/STDEV('The List'!R2:R730)</f>
        <v>1.432253096818</v>
      </c>
      <c r="F382" s="46">
        <f>(VLOOKUP($A382,'The List'!$B1:$AH730,18,FALSE)-AVERAGE('The List'!S2:S730))/STDEV('The List'!S2:S730)</f>
        <v>-0.7687704806755979</v>
      </c>
      <c r="G382" s="46">
        <f>(VLOOKUP($A382,'The List'!$B1:$AH730,19,FALSE)-AVERAGE('The List'!T2:T730))/STDEV('The List'!T2:T730)</f>
        <v>-0.09897994254335819</v>
      </c>
      <c r="H382" s="46">
        <f>(VLOOKUP($A382,'The List'!$B1:$AH730,20,FALSE)-AVERAGE('The List'!U2:U730))/STDEV('The List'!U2:U730)</f>
        <v>-0.410825820554149</v>
      </c>
      <c r="I382" s="46">
        <f>(VLOOKUP($A382,'The List'!$B1:$AH730,21,FALSE)-AVERAGE('The List'!V2:V730))/STDEV('The List'!V2:V730)</f>
        <v>-0.198651565644557</v>
      </c>
      <c r="J382" s="46">
        <f>(VLOOKUP($A382,'The List'!$B1:$AH730,22,FALSE)-AVERAGE('The List'!W2:W730))/STDEV('The List'!W2:W730)</f>
        <v>-0.704760867041212</v>
      </c>
      <c r="K382" s="46">
        <f>(VLOOKUP($A382,'The List'!$B1:$AH730,23,FALSE)-AVERAGE('The List'!X2:X730))/STDEV('The List'!X2:X730)</f>
        <v>-0.7790766884977121</v>
      </c>
      <c r="L382" s="46">
        <f>(VLOOKUP($A382,'The List'!$B1:$AH730,24,FALSE)-AVERAGE('The List'!Y2:Y730))/STDEV('The List'!Y2:Y730)</f>
        <v>-0.143468516399691</v>
      </c>
      <c r="M382" s="46">
        <f>(VLOOKUP($A382,'The List'!$B1:$AH730,25,FALSE)-AVERAGE('The List'!Z2:Z730))/STDEV('The List'!Z2:Z730)</f>
        <v>1.24082629472253</v>
      </c>
      <c r="N382" s="46">
        <f>(VLOOKUP($A382,'The List'!$B1:$AH730,26,FALSE)-AVERAGE('The List'!AA2:AA730))/STDEV('The List'!AA2:AA730)</f>
        <v>1.97839441622874</v>
      </c>
      <c r="O382" s="46">
        <f>(VLOOKUP($A382,'The List'!$B1:$AH730,27,FALSE)-AVERAGE('The List'!AB2:AB730))/STDEV('The List'!AB2:AB730)</f>
        <v>0.132978943058676</v>
      </c>
      <c r="P382" s="46">
        <f>(VLOOKUP($A382,'The List'!$B1:$AH730,28,FALSE)-AVERAGE('The List'!AC2:AC730))/STDEV('The List'!AC2:AC730)</f>
        <v>0.490500996838901</v>
      </c>
      <c r="Q382" s="46">
        <f>(VLOOKUP($A382,'The List'!$B1:$AH730,29,FALSE)-AVERAGE('The List'!AD2:AD730))/STDEV('The List'!AD2:AD730)</f>
        <v>0.525022212946203</v>
      </c>
      <c r="R382" s="46">
        <f>(VLOOKUP($A382,'The List'!$B1:$AH730,30,FALSE)-AVERAGE('The List'!AE2:AE730))/STDEV('The List'!AE2:AE730)</f>
        <v>-0.654811604765681</v>
      </c>
      <c r="S382" s="46">
        <f>(VLOOKUP($A382,'The List'!$B1:$AH730,31,FALSE)-AVERAGE('The List'!AF2:AF730))/STDEV('The List'!AF2:AF730)</f>
        <v>-0.5569063253591</v>
      </c>
      <c r="T382" s="46">
        <f>(VLOOKUP($A382,'The List'!$B1:$AH730,32,FALSE)-AVERAGE('The List'!AG2:AG730))/STDEV('The List'!AG2:AG730)</f>
        <v>-0.600856269042678</v>
      </c>
      <c r="U382" s="46">
        <f>(VLOOKUP($A382,'The List'!$B1:$AH730,33,FALSE)-AVERAGE('The List'!AH2:AH730))/STDEV('The List'!AH2:AH730)</f>
        <v>-1.2363238714826</v>
      </c>
      <c r="V382" s="46"/>
      <c r="W382" s="50"/>
      <c r="X382" s="48"/>
      <c r="Y382" s="48"/>
      <c r="Z382" s="48"/>
      <c r="AA382" s="48"/>
      <c r="AB382" s="48"/>
      <c r="AC382" s="51"/>
      <c r="AD382" s="52"/>
      <c r="AE382" s="46"/>
    </row>
    <row r="383" ht="21.25" customHeight="1">
      <c r="A383" t="s" s="8">
        <v>430</v>
      </c>
      <c r="B383" t="s" s="42">
        <f>VLOOKUP(A383,'Player Data'!A1:B734,2,FALSE)</f>
        <v>204</v>
      </c>
      <c r="C383" s="44">
        <f>((E383)*'Settings'!$C$12)+(F383*'Settings'!$C$2)+(G383*'Settings'!$C$3)+(H383*'Settings'!$C$4)+(I383*'Settings'!$C$5)+(K383*'Settings'!$C$9)+(N383*'Settings'!$C$6)+(J383*'Settings'!$C$8)+(O383*'Settings'!$C$7)+(P383*'Settings'!$C$14)+(Q383*'Settings'!$C$15)+(R383*'Settings'!$C$16)+(S383*'Settings'!$C$17)+(T383*'Settings'!$C$18)+(U383*'Settings'!$C$19)+(L383*'Settings'!$C$10)+('Settings'!$C$11*M383)</f>
        <v>-0.256172125128483</v>
      </c>
      <c r="D383" s="48">
        <f>IF('Settings'!$E$12="YES",VLOOKUP(A383,'Player Data'!A1:E734,5,FALSE),82)</f>
        <v>79.8335714285714</v>
      </c>
      <c r="E383" s="46">
        <f>(VLOOKUP($A383,'The List'!$B1:$AH730,17,FALSE)-AVERAGE('The List'!R2:R730))/STDEV('The List'!R2:R730)</f>
        <v>1.46919463887846</v>
      </c>
      <c r="F383" s="46">
        <f>(VLOOKUP($A383,'The List'!$B1:$AH730,18,FALSE)-AVERAGE('The List'!S2:S730))/STDEV('The List'!S2:S730)</f>
        <v>-0.725842734317782</v>
      </c>
      <c r="G383" s="46">
        <f>(VLOOKUP($A383,'The List'!$B1:$AH730,19,FALSE)-AVERAGE('The List'!T2:T730))/STDEV('The List'!T2:T730)</f>
        <v>-0.0821713298085761</v>
      </c>
      <c r="H383" s="46">
        <f>(VLOOKUP($A383,'The List'!$B1:$AH730,20,FALSE)-AVERAGE('The List'!U2:U730))/STDEV('The List'!U2:U730)</f>
        <v>-0.380930546191391</v>
      </c>
      <c r="I383" s="46">
        <f>(VLOOKUP($A383,'The List'!$B1:$AH730,21,FALSE)-AVERAGE('The List'!V2:V730))/STDEV('The List'!V2:V730)</f>
        <v>-0.470260896633073</v>
      </c>
      <c r="J383" s="46">
        <f>(VLOOKUP($A383,'The List'!$B1:$AH730,22,FALSE)-AVERAGE('The List'!W2:W730))/STDEV('The List'!W2:W730)</f>
        <v>-0.692239235035131</v>
      </c>
      <c r="K383" s="46">
        <f>(VLOOKUP($A383,'The List'!$B1:$AH730,23,FALSE)-AVERAGE('The List'!X2:X730))/STDEV('The List'!X2:X730)</f>
        <v>-0.74643540537333</v>
      </c>
      <c r="L383" s="46">
        <f>(VLOOKUP($A383,'The List'!$B1:$AH730,24,FALSE)-AVERAGE('The List'!Y2:Y730))/STDEV('The List'!Y2:Y730)</f>
        <v>0.479387121767957</v>
      </c>
      <c r="M383" s="46">
        <f>(VLOOKUP($A383,'The List'!$B1:$AH730,25,FALSE)-AVERAGE('The List'!Z2:Z730))/STDEV('The List'!Z2:Z730)</f>
        <v>0.999167805362379</v>
      </c>
      <c r="N383" s="46">
        <f>(VLOOKUP($A383,'The List'!$B1:$AH730,26,FALSE)-AVERAGE('The List'!AA2:AA730))/STDEV('The List'!AA2:AA730)</f>
        <v>1.87880545445943</v>
      </c>
      <c r="O383" s="46">
        <f>(VLOOKUP($A383,'The List'!$B1:$AH730,27,FALSE)-AVERAGE('The List'!AB2:AB730))/STDEV('The List'!AB2:AB730)</f>
        <v>0.08174897822155559</v>
      </c>
      <c r="P383" s="46">
        <f>(VLOOKUP($A383,'The List'!$B1:$AH730,28,FALSE)-AVERAGE('The List'!AC2:AC730))/STDEV('The List'!AC2:AC730)</f>
        <v>-0.110267213455152</v>
      </c>
      <c r="Q383" s="46">
        <f>(VLOOKUP($A383,'The List'!$B1:$AH730,29,FALSE)-AVERAGE('The List'!AD2:AD730))/STDEV('The List'!AD2:AD730)</f>
        <v>1.17717341618446</v>
      </c>
      <c r="R383" s="46">
        <f>(VLOOKUP($A383,'The List'!$B1:$AH730,30,FALSE)-AVERAGE('The List'!AE2:AE730))/STDEV('The List'!AE2:AE730)</f>
        <v>-0.6355993112206521</v>
      </c>
      <c r="S383" s="46">
        <f>(VLOOKUP($A383,'The List'!$B1:$AH730,31,FALSE)-AVERAGE('The List'!AF2:AF730))/STDEV('The List'!AF2:AF730)</f>
        <v>-0.5569063253591</v>
      </c>
      <c r="T383" s="46">
        <f>(VLOOKUP($A383,'The List'!$B1:$AH730,32,FALSE)-AVERAGE('The List'!AG2:AG730))/STDEV('The List'!AG2:AG730)</f>
        <v>-0.600856269042678</v>
      </c>
      <c r="U383" s="46">
        <f>(VLOOKUP($A383,'The List'!$B1:$AH730,33,FALSE)-AVERAGE('The List'!AH2:AH730))/STDEV('The List'!AH2:AH730)</f>
        <v>-1.2363238714826</v>
      </c>
      <c r="V383" s="46"/>
      <c r="W383" s="50"/>
      <c r="X383" s="48"/>
      <c r="Y383" s="48"/>
      <c r="Z383" s="48"/>
      <c r="AA383" s="48"/>
      <c r="AB383" s="48"/>
      <c r="AC383" s="51"/>
      <c r="AD383" s="52"/>
      <c r="AE383" s="46"/>
    </row>
    <row r="384" ht="21.25" customHeight="1">
      <c r="A384" t="s" s="8">
        <v>734</v>
      </c>
      <c r="B384" t="s" s="42">
        <f>VLOOKUP(A384,'Player Data'!A1:B734,2,FALSE)</f>
        <v>108</v>
      </c>
      <c r="C384" s="44">
        <f>((E384)*'Settings'!$C$12)+(F384*'Settings'!$C$2)+(G384*'Settings'!$C$3)+(H384*'Settings'!$C$4)+(I384*'Settings'!$C$5)+(K384*'Settings'!$C$9)+(N384*'Settings'!$C$6)+(J384*'Settings'!$C$8)+(O384*'Settings'!$C$7)+(P384*'Settings'!$C$14)+(Q384*'Settings'!$C$15)+(R384*'Settings'!$C$16)+(S384*'Settings'!$C$17)+(T384*'Settings'!$C$18)+(U384*'Settings'!$C$19)+(L384*'Settings'!$C$10)+('Settings'!$C$11*M384)</f>
        <v>-2.03813580686749</v>
      </c>
      <c r="D384" s="48">
        <f>IF('Settings'!$E$12="YES",VLOOKUP(A384,'Player Data'!A1:E734,5,FALSE),82)</f>
        <v>77.1275</v>
      </c>
      <c r="E384" s="46">
        <f>(VLOOKUP($A384,'The List'!$B1:$AH730,17,FALSE)-AVERAGE('The List'!R2:R730))/STDEV('The List'!R2:R730)</f>
        <v>-0.700349757307098</v>
      </c>
      <c r="F384" s="46">
        <f>(VLOOKUP($A384,'The List'!$B1:$AH730,18,FALSE)-AVERAGE('The List'!S2:S730))/STDEV('The List'!S2:S730)</f>
        <v>-0.295544735295353</v>
      </c>
      <c r="G384" s="46">
        <f>(VLOOKUP($A384,'The List'!$B1:$AH730,19,FALSE)-AVERAGE('The List'!T2:T730))/STDEV('The List'!T2:T730)</f>
        <v>-0.469885098034769</v>
      </c>
      <c r="H384" s="46">
        <f>(VLOOKUP($A384,'The List'!$B1:$AH730,20,FALSE)-AVERAGE('The List'!U2:U730))/STDEV('The List'!U2:U730)</f>
        <v>-0.42415676883554</v>
      </c>
      <c r="I384" s="46">
        <f>(VLOOKUP($A384,'The List'!$B1:$AH730,21,FALSE)-AVERAGE('The List'!V2:V730))/STDEV('The List'!V2:V730)</f>
        <v>-0.607352788547469</v>
      </c>
      <c r="J384" s="46">
        <f>(VLOOKUP($A384,'The List'!$B1:$AH730,22,FALSE)-AVERAGE('The List'!W2:W730))/STDEV('The List'!W2:W730)</f>
        <v>-0.695206964285599</v>
      </c>
      <c r="K384" s="46">
        <f>(VLOOKUP($A384,'The List'!$B1:$AH730,23,FALSE)-AVERAGE('The List'!X2:X730))/STDEV('The List'!X2:X730)</f>
        <v>-0.7882469882718131</v>
      </c>
      <c r="L384" s="46">
        <f>(VLOOKUP($A384,'The List'!$B1:$AH730,24,FALSE)-AVERAGE('The List'!Y2:Y730))/STDEV('The List'!Y2:Y730)</f>
        <v>3.19558175579207</v>
      </c>
      <c r="M384" s="46">
        <f>(VLOOKUP($A384,'The List'!$B1:$AH730,25,FALSE)-AVERAGE('The List'!Z2:Z730))/STDEV('The List'!Z2:Z730)</f>
        <v>2.58212345533286</v>
      </c>
      <c r="N384" s="46">
        <f>(VLOOKUP($A384,'The List'!$B1:$AH730,26,FALSE)-AVERAGE('The List'!AA2:AA730))/STDEV('The List'!AA2:AA730)</f>
        <v>-0.735313182469379</v>
      </c>
      <c r="O384" s="46">
        <f>(VLOOKUP($A384,'The List'!$B1:$AH730,27,FALSE)-AVERAGE('The List'!AB2:AB730))/STDEV('The List'!AB2:AB730)</f>
        <v>-1.27268273524456</v>
      </c>
      <c r="P384" s="46">
        <f>(VLOOKUP($A384,'The List'!$B1:$AH730,28,FALSE)-AVERAGE('The List'!AC2:AC730))/STDEV('The List'!AC2:AC730)</f>
        <v>0.8582069857512939</v>
      </c>
      <c r="Q384" s="46">
        <f>(VLOOKUP($A384,'The List'!$B1:$AH730,29,FALSE)-AVERAGE('The List'!AD2:AD730))/STDEV('The List'!AD2:AD730)</f>
        <v>-0.430822071251002</v>
      </c>
      <c r="R384" s="46">
        <f>(VLOOKUP($A384,'The List'!$B1:$AH730,30,FALSE)-AVERAGE('The List'!AE2:AE730))/STDEV('The List'!AE2:AE730)</f>
        <v>-0.154471923166251</v>
      </c>
      <c r="S384" s="46">
        <f>(VLOOKUP($A384,'The List'!$B1:$AH730,31,FALSE)-AVERAGE('The List'!AF2:AF730))/STDEV('The List'!AF2:AF730)</f>
        <v>-0.435870649021927</v>
      </c>
      <c r="T384" s="46">
        <f>(VLOOKUP($A384,'The List'!$B1:$AH730,32,FALSE)-AVERAGE('The List'!AG2:AG730))/STDEV('The List'!AG2:AG730)</f>
        <v>-0.410571796242629</v>
      </c>
      <c r="U384" s="46">
        <f>(VLOOKUP($A384,'The List'!$B1:$AH730,33,FALSE)-AVERAGE('The List'!AH2:AH730))/STDEV('The List'!AH2:AH730)</f>
        <v>0.574018029060355</v>
      </c>
      <c r="V384" s="46"/>
      <c r="W384" s="50"/>
      <c r="X384" s="48"/>
      <c r="Y384" s="48"/>
      <c r="Z384" s="48"/>
      <c r="AA384" s="48"/>
      <c r="AB384" s="48"/>
      <c r="AC384" s="51"/>
      <c r="AD384" s="52"/>
      <c r="AE384" s="46"/>
    </row>
    <row r="385" ht="21.25" customHeight="1">
      <c r="A385" t="s" s="8">
        <v>389</v>
      </c>
      <c r="B385" t="s" s="42">
        <f>VLOOKUP(A385,'Player Data'!A1:B734,2,FALSE)</f>
        <v>170</v>
      </c>
      <c r="C385" s="44">
        <f>((E385)*'Settings'!$C$12)+(F385*'Settings'!$C$2)+(G385*'Settings'!$C$3)+(H385*'Settings'!$C$4)+(I385*'Settings'!$C$5)+(K385*'Settings'!$C$9)+(N385*'Settings'!$C$6)+(J385*'Settings'!$C$8)+(O385*'Settings'!$C$7)+(P385*'Settings'!$C$14)+(Q385*'Settings'!$C$15)+(R385*'Settings'!$C$16)+(S385*'Settings'!$C$17)+(T385*'Settings'!$C$18)+(U385*'Settings'!$C$19)+(L385*'Settings'!$C$10)+('Settings'!$C$11*M385)</f>
        <v>1.21746342971528</v>
      </c>
      <c r="D385" s="48">
        <f>IF('Settings'!$E$12="YES",VLOOKUP(A385,'Player Data'!A1:E734,5,FALSE),82)</f>
        <v>80.0646428571429</v>
      </c>
      <c r="E385" s="46">
        <f>(VLOOKUP($A385,'The List'!$B1:$AH730,17,FALSE)-AVERAGE('The List'!R2:R730))/STDEV('The List'!R2:R730)</f>
        <v>0.97066465999302</v>
      </c>
      <c r="F385" s="46">
        <f>(VLOOKUP($A385,'The List'!$B1:$AH730,18,FALSE)-AVERAGE('The List'!S2:S730))/STDEV('The List'!S2:S730)</f>
        <v>-0.67514045626345</v>
      </c>
      <c r="G385" s="46">
        <f>(VLOOKUP($A385,'The List'!$B1:$AH730,19,FALSE)-AVERAGE('The List'!T2:T730))/STDEV('The List'!T2:T730)</f>
        <v>-0.123342310795621</v>
      </c>
      <c r="H385" s="46">
        <f>(VLOOKUP($A385,'The List'!$B1:$AH730,20,FALSE)-AVERAGE('The List'!U2:U730))/STDEV('The List'!U2:U730)</f>
        <v>-0.38324136144744</v>
      </c>
      <c r="I385" s="46">
        <f>(VLOOKUP($A385,'The List'!$B1:$AH730,21,FALSE)-AVERAGE('The List'!V2:V730))/STDEV('The List'!V2:V730)</f>
        <v>0.064050230655658</v>
      </c>
      <c r="J385" s="46">
        <f>(VLOOKUP($A385,'The List'!$B1:$AH730,22,FALSE)-AVERAGE('The List'!W2:W730))/STDEV('The List'!W2:W730)</f>
        <v>-0.707403648051692</v>
      </c>
      <c r="K385" s="46">
        <f>(VLOOKUP($A385,'The List'!$B1:$AH730,23,FALSE)-AVERAGE('The List'!X2:X730))/STDEV('The List'!X2:X730)</f>
        <v>-0.786304446598201</v>
      </c>
      <c r="L385" s="46">
        <f>(VLOOKUP($A385,'The List'!$B1:$AH730,24,FALSE)-AVERAGE('The List'!Y2:Y730))/STDEV('The List'!Y2:Y730)</f>
        <v>-0.498975128948671</v>
      </c>
      <c r="M385" s="46">
        <f>(VLOOKUP($A385,'The List'!$B1:$AH730,25,FALSE)-AVERAGE('The List'!Z2:Z730))/STDEV('The List'!Z2:Z730)</f>
        <v>0.499181270937501</v>
      </c>
      <c r="N385" s="46">
        <f>(VLOOKUP($A385,'The List'!$B1:$AH730,26,FALSE)-AVERAGE('The List'!AA2:AA730))/STDEV('The List'!AA2:AA730)</f>
        <v>2.31670142261659</v>
      </c>
      <c r="O385" s="46">
        <f>(VLOOKUP($A385,'The List'!$B1:$AH730,27,FALSE)-AVERAGE('The List'!AB2:AB730))/STDEV('The List'!AB2:AB730)</f>
        <v>0.121851014273134</v>
      </c>
      <c r="P385" s="46">
        <f>(VLOOKUP($A385,'The List'!$B1:$AH730,28,FALSE)-AVERAGE('The List'!AC2:AC730))/STDEV('The List'!AC2:AC730)</f>
        <v>0.421498990100308</v>
      </c>
      <c r="Q385" s="46">
        <f>(VLOOKUP($A385,'The List'!$B1:$AH730,29,FALSE)-AVERAGE('The List'!AD2:AD730))/STDEV('The List'!AD2:AD730)</f>
        <v>0.205659587184092</v>
      </c>
      <c r="R385" s="46">
        <f>(VLOOKUP($A385,'The List'!$B1:$AH730,30,FALSE)-AVERAGE('The List'!AE2:AE730))/STDEV('The List'!AE2:AE730)</f>
        <v>-0.536452301184703</v>
      </c>
      <c r="S385" s="46">
        <f>(VLOOKUP($A385,'The List'!$B1:$AH730,31,FALSE)-AVERAGE('The List'!AF2:AF730))/STDEV('The List'!AF2:AF730)</f>
        <v>-0.5569063253591</v>
      </c>
      <c r="T385" s="46">
        <f>(VLOOKUP($A385,'The List'!$B1:$AH730,32,FALSE)-AVERAGE('The List'!AG2:AG730))/STDEV('The List'!AG2:AG730)</f>
        <v>-0.600856269042678</v>
      </c>
      <c r="U385" s="46">
        <f>(VLOOKUP($A385,'The List'!$B1:$AH730,33,FALSE)-AVERAGE('The List'!AH2:AH730))/STDEV('The List'!AH2:AH730)</f>
        <v>-1.2363238714826</v>
      </c>
      <c r="V385" s="46"/>
      <c r="W385" s="50"/>
      <c r="X385" s="48"/>
      <c r="Y385" s="48"/>
      <c r="Z385" s="48"/>
      <c r="AA385" s="48"/>
      <c r="AB385" s="48"/>
      <c r="AC385" s="51"/>
      <c r="AD385" s="52"/>
      <c r="AE385" s="46"/>
    </row>
    <row r="386" ht="21.25" customHeight="1">
      <c r="A386" t="s" s="8">
        <v>712</v>
      </c>
      <c r="B386" t="s" s="42">
        <f>VLOOKUP(A386,'Player Data'!A1:B734,2,FALSE)</f>
        <v>131</v>
      </c>
      <c r="C386" s="44">
        <f>((E386)*'Settings'!$C$12)+(F386*'Settings'!$C$2)+(G386*'Settings'!$C$3)+(H386*'Settings'!$C$4)+(I386*'Settings'!$C$5)+(K386*'Settings'!$C$9)+(N386*'Settings'!$C$6)+(J386*'Settings'!$C$8)+(O386*'Settings'!$C$7)+(P386*'Settings'!$C$14)+(Q386*'Settings'!$C$15)+(R386*'Settings'!$C$16)+(S386*'Settings'!$C$17)+(T386*'Settings'!$C$18)+(U386*'Settings'!$C$19)+(L386*'Settings'!$C$10)+('Settings'!$C$11*M386)</f>
        <v>-2.56726741185815</v>
      </c>
      <c r="D386" s="48">
        <f>IF('Settings'!$E$12="YES",VLOOKUP(A386,'Player Data'!A1:E734,5,FALSE),82)</f>
        <v>81.3246428571429</v>
      </c>
      <c r="E386" s="46">
        <f>(VLOOKUP($A386,'The List'!$B1:$AH730,17,FALSE)-AVERAGE('The List'!R2:R730))/STDEV('The List'!R2:R730)</f>
        <v>-0.262519096463113</v>
      </c>
      <c r="F386" s="46">
        <f>(VLOOKUP($A386,'The List'!$B1:$AH730,18,FALSE)-AVERAGE('The List'!S2:S730))/STDEV('The List'!S2:S730)</f>
        <v>-0.29246526684347</v>
      </c>
      <c r="G386" s="46">
        <f>(VLOOKUP($A386,'The List'!$B1:$AH730,19,FALSE)-AVERAGE('The List'!T2:T730))/STDEV('The List'!T2:T730)</f>
        <v>-0.37847281577359</v>
      </c>
      <c r="H386" s="46">
        <f>(VLOOKUP($A386,'The List'!$B1:$AH730,20,FALSE)-AVERAGE('The List'!U2:U730))/STDEV('The List'!U2:U730)</f>
        <v>-0.366401078408643</v>
      </c>
      <c r="I386" s="46">
        <f>(VLOOKUP($A386,'The List'!$B1:$AH730,21,FALSE)-AVERAGE('The List'!V2:V730))/STDEV('The List'!V2:V730)</f>
        <v>-0.676393895400873</v>
      </c>
      <c r="J386" s="46">
        <f>(VLOOKUP($A386,'The List'!$B1:$AH730,22,FALSE)-AVERAGE('The List'!W2:W730))/STDEV('The List'!W2:W730)</f>
        <v>-0.597977251422506</v>
      </c>
      <c r="K386" s="46">
        <f>(VLOOKUP($A386,'The List'!$B1:$AH730,23,FALSE)-AVERAGE('The List'!X2:X730))/STDEV('The List'!X2:X730)</f>
        <v>-0.603199350937257</v>
      </c>
      <c r="L386" s="46">
        <f>(VLOOKUP($A386,'The List'!$B1:$AH730,24,FALSE)-AVERAGE('The List'!Y2:Y730))/STDEV('The List'!Y2:Y730)</f>
        <v>0.413676700165975</v>
      </c>
      <c r="M386" s="46">
        <f>(VLOOKUP($A386,'The List'!$B1:$AH730,25,FALSE)-AVERAGE('The List'!Z2:Z730))/STDEV('The List'!Z2:Z730)</f>
        <v>0.149668300443462</v>
      </c>
      <c r="N386" s="46">
        <f>(VLOOKUP($A386,'The List'!$B1:$AH730,26,FALSE)-AVERAGE('The List'!AA2:AA730))/STDEV('The List'!AA2:AA730)</f>
        <v>0.0259747300932328</v>
      </c>
      <c r="O386" s="46">
        <f>(VLOOKUP($A386,'The List'!$B1:$AH730,27,FALSE)-AVERAGE('The List'!AB2:AB730))/STDEV('The List'!AB2:AB730)</f>
        <v>1.42575833601146</v>
      </c>
      <c r="P386" s="46">
        <f>(VLOOKUP($A386,'The List'!$B1:$AH730,28,FALSE)-AVERAGE('The List'!AC2:AC730))/STDEV('The List'!AC2:AC730)</f>
        <v>-0.642710812996193</v>
      </c>
      <c r="Q386" s="46">
        <f>(VLOOKUP($A386,'The List'!$B1:$AH730,29,FALSE)-AVERAGE('The List'!AD2:AD730))/STDEV('The List'!AD2:AD730)</f>
        <v>-0.375041264156658</v>
      </c>
      <c r="R386" s="46">
        <f>(VLOOKUP($A386,'The List'!$B1:$AH730,30,FALSE)-AVERAGE('The List'!AE2:AE730))/STDEV('The List'!AE2:AE730)</f>
        <v>-0.231343748893252</v>
      </c>
      <c r="S386" s="46">
        <f>(VLOOKUP($A386,'The List'!$B1:$AH730,31,FALSE)-AVERAGE('The List'!AF2:AF730))/STDEV('The List'!AF2:AF730)</f>
        <v>2.38261285329527</v>
      </c>
      <c r="T386" s="46">
        <f>(VLOOKUP($A386,'The List'!$B1:$AH730,32,FALSE)-AVERAGE('The List'!AG2:AG730))/STDEV('The List'!AG2:AG730)</f>
        <v>1.99550233673884</v>
      </c>
      <c r="U386" s="46">
        <f>(VLOOKUP($A386,'The List'!$B1:$AH730,33,FALSE)-AVERAGE('The List'!AH2:AH730))/STDEV('The List'!AH2:AH730)</f>
        <v>1.21850355039549</v>
      </c>
      <c r="V386" s="46"/>
      <c r="W386" s="50"/>
      <c r="X386" s="48"/>
      <c r="Y386" s="48"/>
      <c r="Z386" s="48"/>
      <c r="AA386" s="48"/>
      <c r="AB386" s="48"/>
      <c r="AC386" s="51"/>
      <c r="AD386" s="52"/>
      <c r="AE386" s="46"/>
    </row>
    <row r="387" ht="21.25" customHeight="1">
      <c r="A387" t="s" s="8">
        <v>633</v>
      </c>
      <c r="B387" t="s" s="42">
        <f>VLOOKUP(A387,'Player Data'!A1:B734,2,FALSE)</f>
        <v>115</v>
      </c>
      <c r="C387" s="44">
        <f>((E387)*'Settings'!$C$12)+(F387*'Settings'!$C$2)+(G387*'Settings'!$C$3)+(H387*'Settings'!$C$4)+(I387*'Settings'!$C$5)+(K387*'Settings'!$C$9)+(N387*'Settings'!$C$6)+(J387*'Settings'!$C$8)+(O387*'Settings'!$C$7)+(P387*'Settings'!$C$14)+(Q387*'Settings'!$C$15)+(R387*'Settings'!$C$16)+(S387*'Settings'!$C$17)+(T387*'Settings'!$C$18)+(U387*'Settings'!$C$19)+(L387*'Settings'!$C$10)+('Settings'!$C$11*M387)</f>
        <v>-3.2976194977752</v>
      </c>
      <c r="D387" s="48">
        <f>IF('Settings'!$E$12="YES",VLOOKUP(A387,'Player Data'!A1:E734,5,FALSE),82)</f>
        <v>50</v>
      </c>
      <c r="E387" s="46">
        <f>(VLOOKUP($A387,'The List'!$B1:$AH730,17,FALSE)-AVERAGE('The List'!R2:R730))/STDEV('The List'!R2:R730)</f>
        <v>-0.0157808581637681</v>
      </c>
      <c r="F387" s="46">
        <f>(VLOOKUP($A387,'The List'!$B1:$AH730,18,FALSE)-AVERAGE('The List'!S2:S730))/STDEV('The List'!S2:S730)</f>
        <v>-1.02614016271079</v>
      </c>
      <c r="G387" s="46">
        <f>(VLOOKUP($A387,'The List'!$B1:$AH730,19,FALSE)-AVERAGE('The List'!T2:T730))/STDEV('The List'!T2:T730)</f>
        <v>-0.609802765671552</v>
      </c>
      <c r="H387" s="46">
        <f>(VLOOKUP($A387,'The List'!$B1:$AH730,20,FALSE)-AVERAGE('The List'!U2:U730))/STDEV('The List'!U2:U730)</f>
        <v>-0.842849743976758</v>
      </c>
      <c r="I387" s="46">
        <f>(VLOOKUP($A387,'The List'!$B1:$AH730,21,FALSE)-AVERAGE('The List'!V2:V730))/STDEV('The List'!V2:V730)</f>
        <v>-1.38697212824162</v>
      </c>
      <c r="J387" s="46">
        <f>(VLOOKUP($A387,'The List'!$B1:$AH730,22,FALSE)-AVERAGE('The List'!W2:W730))/STDEV('The List'!W2:W730)</f>
        <v>-0.68758040333061</v>
      </c>
      <c r="K387" s="46">
        <f>(VLOOKUP($A387,'The List'!$B1:$AH730,23,FALSE)-AVERAGE('The List'!X2:X730))/STDEV('The List'!X2:X730)</f>
        <v>-0.6013446932168079</v>
      </c>
      <c r="L387" s="46">
        <f>(VLOOKUP($A387,'The List'!$B1:$AH730,24,FALSE)-AVERAGE('The List'!Y2:Y730))/STDEV('The List'!Y2:Y730)</f>
        <v>-0.535609279685763</v>
      </c>
      <c r="M387" s="46">
        <f>(VLOOKUP($A387,'The List'!$B1:$AH730,25,FALSE)-AVERAGE('The List'!Z2:Z730))/STDEV('The List'!Z2:Z730)</f>
        <v>-0.705474121071751</v>
      </c>
      <c r="N387" s="46">
        <f>(VLOOKUP($A387,'The List'!$B1:$AH730,26,FALSE)-AVERAGE('The List'!AA2:AA730))/STDEV('The List'!AA2:AA730)</f>
        <v>-0.234167758830244</v>
      </c>
      <c r="O387" s="46">
        <f>(VLOOKUP($A387,'The List'!$B1:$AH730,27,FALSE)-AVERAGE('The List'!AB2:AB730))/STDEV('The List'!AB2:AB730)</f>
        <v>-0.708541098080617</v>
      </c>
      <c r="P387" s="46">
        <f>(VLOOKUP($A387,'The List'!$B1:$AH730,28,FALSE)-AVERAGE('The List'!AC2:AC730))/STDEV('The List'!AC2:AC730)</f>
        <v>0.560808010895814</v>
      </c>
      <c r="Q387" s="46">
        <f>(VLOOKUP($A387,'The List'!$B1:$AH730,29,FALSE)-AVERAGE('The List'!AD2:AD730))/STDEV('The List'!AD2:AD730)</f>
        <v>-0.997277679030701</v>
      </c>
      <c r="R387" s="46">
        <f>(VLOOKUP($A387,'The List'!$B1:$AH730,30,FALSE)-AVERAGE('The List'!AE2:AE730))/STDEV('The List'!AE2:AE730)</f>
        <v>-0.902852000240202</v>
      </c>
      <c r="S387" s="46">
        <f>(VLOOKUP($A387,'The List'!$B1:$AH730,31,FALSE)-AVERAGE('The List'!AF2:AF730))/STDEV('The List'!AF2:AF730)</f>
        <v>-0.5569063253591</v>
      </c>
      <c r="T387" s="46">
        <f>(VLOOKUP($A387,'The List'!$B1:$AH730,32,FALSE)-AVERAGE('The List'!AG2:AG730))/STDEV('The List'!AG2:AG730)</f>
        <v>-0.600856269042678</v>
      </c>
      <c r="U387" s="46">
        <f>(VLOOKUP($A387,'The List'!$B1:$AH730,33,FALSE)-AVERAGE('The List'!AH2:AH730))/STDEV('The List'!AH2:AH730)</f>
        <v>-1.2363238714826</v>
      </c>
      <c r="V387" s="46"/>
      <c r="W387" s="48"/>
      <c r="X387" s="46"/>
      <c r="Y387" s="46"/>
      <c r="Z387" s="46"/>
      <c r="AA387" s="46"/>
      <c r="AB387" s="46"/>
      <c r="AC387" s="46"/>
      <c r="AD387" s="46"/>
      <c r="AE387" s="46"/>
    </row>
    <row r="388" ht="21.25" customHeight="1">
      <c r="A388" t="s" s="8">
        <v>776</v>
      </c>
      <c r="B388" t="s" s="42">
        <f>VLOOKUP(A388,'Player Data'!A1:B734,2,FALSE)</f>
        <v>218</v>
      </c>
      <c r="C388" s="44">
        <f>((E388)*'Settings'!$C$12)+(F388*'Settings'!$C$2)+(G388*'Settings'!$C$3)+(H388*'Settings'!$C$4)+(I388*'Settings'!$C$5)+(K388*'Settings'!$C$9)+(N388*'Settings'!$C$6)+(J388*'Settings'!$C$8)+(O388*'Settings'!$C$7)+(P388*'Settings'!$C$14)+(Q388*'Settings'!$C$15)+(R388*'Settings'!$C$16)+(S388*'Settings'!$C$17)+(T388*'Settings'!$C$18)+(U388*'Settings'!$C$19)+(L388*'Settings'!$C$10)+('Settings'!$C$11*M388)</f>
        <v>-2.14525724563936</v>
      </c>
      <c r="D388" s="48">
        <f>IF('Settings'!$E$12="YES",VLOOKUP(A388,'Player Data'!A1:E734,5,FALSE),82)</f>
        <v>70.19750000000001</v>
      </c>
      <c r="E388" s="46">
        <f>(VLOOKUP($A388,'The List'!$B1:$AH730,17,FALSE)-AVERAGE('The List'!R2:R730))/STDEV('The List'!R2:R730)</f>
        <v>-0.888222235944237</v>
      </c>
      <c r="F388" s="46">
        <f>(VLOOKUP($A388,'The List'!$B1:$AH730,18,FALSE)-AVERAGE('The List'!S2:S730))/STDEV('The List'!S2:S730)</f>
        <v>-0.310829148850762</v>
      </c>
      <c r="G388" s="46">
        <f>(VLOOKUP($A388,'The List'!$B1:$AH730,19,FALSE)-AVERAGE('The List'!T2:T730))/STDEV('The List'!T2:T730)</f>
        <v>-0.64895598404072</v>
      </c>
      <c r="H388" s="46">
        <f>(VLOOKUP($A388,'The List'!$B1:$AH730,20,FALSE)-AVERAGE('The List'!U2:U730))/STDEV('The List'!U2:U730)</f>
        <v>-0.541506331115422</v>
      </c>
      <c r="I388" s="46">
        <f>(VLOOKUP($A388,'The List'!$B1:$AH730,21,FALSE)-AVERAGE('The List'!V2:V730))/STDEV('The List'!V2:V730)</f>
        <v>-0.953161478160085</v>
      </c>
      <c r="J388" s="46">
        <f>(VLOOKUP($A388,'The List'!$B1:$AH730,22,FALSE)-AVERAGE('The List'!W2:W730))/STDEV('The List'!W2:W730)</f>
        <v>-0.705304391194166</v>
      </c>
      <c r="K388" s="46">
        <f>(VLOOKUP($A388,'The List'!$B1:$AH730,23,FALSE)-AVERAGE('The List'!X2:X730))/STDEV('The List'!X2:X730)</f>
        <v>-0.7970069980793441</v>
      </c>
      <c r="L388" s="46">
        <f>(VLOOKUP($A388,'The List'!$B1:$AH730,24,FALSE)-AVERAGE('The List'!Y2:Y730))/STDEV('The List'!Y2:Y730)</f>
        <v>-0.327020608608744</v>
      </c>
      <c r="M388" s="46">
        <f>(VLOOKUP($A388,'The List'!$B1:$AH730,25,FALSE)-AVERAGE('The List'!Z2:Z730))/STDEV('The List'!Z2:Z730)</f>
        <v>0.24176079315041</v>
      </c>
      <c r="N388" s="46">
        <f>(VLOOKUP($A388,'The List'!$B1:$AH730,26,FALSE)-AVERAGE('The List'!AA2:AA730))/STDEV('The List'!AA2:AA730)</f>
        <v>-0.310839151332757</v>
      </c>
      <c r="O388" s="46">
        <f>(VLOOKUP($A388,'The List'!$B1:$AH730,27,FALSE)-AVERAGE('The List'!AB2:AB730))/STDEV('The List'!AB2:AB730)</f>
        <v>0.647141252825932</v>
      </c>
      <c r="P388" s="46">
        <f>(VLOOKUP($A388,'The List'!$B1:$AH730,28,FALSE)-AVERAGE('The List'!AC2:AC730))/STDEV('The List'!AC2:AC730)</f>
        <v>0.875535514824312</v>
      </c>
      <c r="Q388" s="46">
        <f>(VLOOKUP($A388,'The List'!$B1:$AH730,29,FALSE)-AVERAGE('The List'!AD2:AD730))/STDEV('The List'!AD2:AD730)</f>
        <v>0.307222600197055</v>
      </c>
      <c r="R388" s="46">
        <f>(VLOOKUP($A388,'The List'!$B1:$AH730,30,FALSE)-AVERAGE('The List'!AE2:AE730))/STDEV('The List'!AE2:AE730)</f>
        <v>-0.137292088635974</v>
      </c>
      <c r="S388" s="46">
        <f>(VLOOKUP($A388,'The List'!$B1:$AH730,31,FALSE)-AVERAGE('The List'!AF2:AF730))/STDEV('The List'!AF2:AF730)</f>
        <v>0.277958947373703</v>
      </c>
      <c r="T388" s="46">
        <f>(VLOOKUP($A388,'The List'!$B1:$AH730,32,FALSE)-AVERAGE('The List'!AG2:AG730))/STDEV('The List'!AG2:AG730)</f>
        <v>0.295595541774936</v>
      </c>
      <c r="U388" s="46">
        <f>(VLOOKUP($A388,'The List'!$B1:$AH730,33,FALSE)-AVERAGE('The List'!AH2:AH730))/STDEV('The List'!AH2:AH730)</f>
        <v>0.998481614593516</v>
      </c>
      <c r="V388" s="46"/>
      <c r="W388" s="50"/>
      <c r="X388" s="48"/>
      <c r="Y388" s="48"/>
      <c r="Z388" s="48"/>
      <c r="AA388" s="48"/>
      <c r="AB388" s="48"/>
      <c r="AC388" s="51"/>
      <c r="AD388" s="52"/>
      <c r="AE388" s="46"/>
    </row>
    <row r="389" ht="21.25" customHeight="1">
      <c r="A389" t="s" s="8">
        <v>468</v>
      </c>
      <c r="B389" t="s" s="42">
        <f>VLOOKUP(A389,'Player Data'!A1:B734,2,FALSE)</f>
        <v>141</v>
      </c>
      <c r="C389" s="44">
        <f>((E389)*'Settings'!$C$12)+(F389*'Settings'!$C$2)+(G389*'Settings'!$C$3)+(H389*'Settings'!$C$4)+(I389*'Settings'!$C$5)+(K389*'Settings'!$C$9)+(N389*'Settings'!$C$6)+(J389*'Settings'!$C$8)+(O389*'Settings'!$C$7)+(P389*'Settings'!$C$14)+(Q389*'Settings'!$C$15)+(R389*'Settings'!$C$16)+(S389*'Settings'!$C$17)+(T389*'Settings'!$C$18)+(U389*'Settings'!$C$19)+(L389*'Settings'!$C$10)+('Settings'!$C$11*M389)</f>
        <v>-1.16959724832699</v>
      </c>
      <c r="D389" s="48">
        <f>IF('Settings'!$E$12="YES",VLOOKUP(A389,'Player Data'!A1:E734,5,FALSE),82)</f>
        <v>73.8</v>
      </c>
      <c r="E389" s="46">
        <f>(VLOOKUP($A389,'The List'!$B1:$AH730,17,FALSE)-AVERAGE('The List'!R2:R730))/STDEV('The List'!R2:R730)</f>
        <v>1.73360536746348</v>
      </c>
      <c r="F389" s="46">
        <f>(VLOOKUP($A389,'The List'!$B1:$AH730,18,FALSE)-AVERAGE('The List'!S2:S730))/STDEV('The List'!S2:S730)</f>
        <v>-1.05503016642727</v>
      </c>
      <c r="G389" s="46">
        <f>(VLOOKUP($A389,'The List'!$B1:$AH730,19,FALSE)-AVERAGE('The List'!T2:T730))/STDEV('The List'!T2:T730)</f>
        <v>-0.0156939022776909</v>
      </c>
      <c r="H389" s="46">
        <f>(VLOOKUP($A389,'The List'!$B1:$AH730,20,FALSE)-AVERAGE('The List'!U2:U730))/STDEV('The List'!U2:U730)</f>
        <v>-0.489734969570352</v>
      </c>
      <c r="I389" s="46">
        <f>(VLOOKUP($A389,'The List'!$B1:$AH730,21,FALSE)-AVERAGE('The List'!V2:V730))/STDEV('The List'!V2:V730)</f>
        <v>-0.817512560006885</v>
      </c>
      <c r="J389" s="46">
        <f>(VLOOKUP($A389,'The List'!$B1:$AH730,22,FALSE)-AVERAGE('The List'!W2:W730))/STDEV('The List'!W2:W730)</f>
        <v>-0.653477506483842</v>
      </c>
      <c r="K389" s="46">
        <f>(VLOOKUP($A389,'The List'!$B1:$AH730,23,FALSE)-AVERAGE('The List'!X2:X730))/STDEV('The List'!X2:X730)</f>
        <v>-0.569134109474332</v>
      </c>
      <c r="L389" s="46">
        <f>(VLOOKUP($A389,'The List'!$B1:$AH730,24,FALSE)-AVERAGE('The List'!Y2:Y730))/STDEV('The List'!Y2:Y730)</f>
        <v>-0.499080770042869</v>
      </c>
      <c r="M389" s="46">
        <f>(VLOOKUP($A389,'The List'!$B1:$AH730,25,FALSE)-AVERAGE('The List'!Z2:Z730))/STDEV('The List'!Z2:Z730)</f>
        <v>0.137181479418402</v>
      </c>
      <c r="N389" s="46">
        <f>(VLOOKUP($A389,'The List'!$B1:$AH730,26,FALSE)-AVERAGE('The List'!AA2:AA730))/STDEV('The List'!AA2:AA730)</f>
        <v>1.57882661921172</v>
      </c>
      <c r="O389" s="46">
        <f>(VLOOKUP($A389,'The List'!$B1:$AH730,27,FALSE)-AVERAGE('The List'!AB2:AB730))/STDEV('The List'!AB2:AB730)</f>
        <v>0.355299349842954</v>
      </c>
      <c r="P389" s="46">
        <f>(VLOOKUP($A389,'The List'!$B1:$AH730,28,FALSE)-AVERAGE('The List'!AC2:AC730))/STDEV('The List'!AC2:AC730)</f>
        <v>-0.291053129352532</v>
      </c>
      <c r="Q389" s="46">
        <f>(VLOOKUP($A389,'The List'!$B1:$AH730,29,FALSE)-AVERAGE('The List'!AD2:AD730))/STDEV('The List'!AD2:AD730)</f>
        <v>0.648224129169079</v>
      </c>
      <c r="R389" s="46">
        <f>(VLOOKUP($A389,'The List'!$B1:$AH730,30,FALSE)-AVERAGE('The List'!AE2:AE730))/STDEV('The List'!AE2:AE730)</f>
        <v>-0.990169196498292</v>
      </c>
      <c r="S389" s="46">
        <f>(VLOOKUP($A389,'The List'!$B1:$AH730,31,FALSE)-AVERAGE('The List'!AF2:AF730))/STDEV('The List'!AF2:AF730)</f>
        <v>-0.5569063253591</v>
      </c>
      <c r="T389" s="46">
        <f>(VLOOKUP($A389,'The List'!$B1:$AH730,32,FALSE)-AVERAGE('The List'!AG2:AG730))/STDEV('The List'!AG2:AG730)</f>
        <v>-0.600856269042678</v>
      </c>
      <c r="U389" s="46">
        <f>(VLOOKUP($A389,'The List'!$B1:$AH730,33,FALSE)-AVERAGE('The List'!AH2:AH730))/STDEV('The List'!AH2:AH730)</f>
        <v>-1.2363238714826</v>
      </c>
      <c r="V389" s="46"/>
      <c r="W389" s="50"/>
      <c r="X389" s="48"/>
      <c r="Y389" s="48"/>
      <c r="Z389" s="48"/>
      <c r="AA389" s="48"/>
      <c r="AB389" s="48"/>
      <c r="AC389" s="51"/>
      <c r="AD389" s="52"/>
      <c r="AE389" s="46"/>
    </row>
    <row r="390" ht="21.25" customHeight="1">
      <c r="A390" t="s" s="8">
        <v>716</v>
      </c>
      <c r="B390" t="s" s="42">
        <f>VLOOKUP(A390,'Player Data'!A1:B734,2,FALSE)</f>
        <v>173</v>
      </c>
      <c r="C390" s="44">
        <f>((E390)*'Settings'!$C$12)+(F390*'Settings'!$C$2)+(G390*'Settings'!$C$3)+(H390*'Settings'!$C$4)+(I390*'Settings'!$C$5)+(K390*'Settings'!$C$9)+(N390*'Settings'!$C$6)+(J390*'Settings'!$C$8)+(O390*'Settings'!$C$7)+(P390*'Settings'!$C$14)+(Q390*'Settings'!$C$15)+(R390*'Settings'!$C$16)+(S390*'Settings'!$C$17)+(T390*'Settings'!$C$18)+(U390*'Settings'!$C$19)+(L390*'Settings'!$C$10)+('Settings'!$C$11*M390)</f>
        <v>-2.66963109533175</v>
      </c>
      <c r="D390" s="48">
        <f>IF('Settings'!$E$12="YES",VLOOKUP(A390,'Player Data'!A1:E734,5,FALSE),82)</f>
        <v>75.6275</v>
      </c>
      <c r="E390" s="46">
        <f>(VLOOKUP($A390,'The List'!$B1:$AH730,17,FALSE)-AVERAGE('The List'!R2:R730))/STDEV('The List'!R2:R730)</f>
        <v>-0.793062256732691</v>
      </c>
      <c r="F390" s="46">
        <f>(VLOOKUP($A390,'The List'!$B1:$AH730,18,FALSE)-AVERAGE('The List'!S2:S730))/STDEV('The List'!S2:S730)</f>
        <v>-0.400704197371628</v>
      </c>
      <c r="G390" s="46">
        <f>(VLOOKUP($A390,'The List'!$B1:$AH730,19,FALSE)-AVERAGE('The List'!T2:T730))/STDEV('The List'!T2:T730)</f>
        <v>-0.4610558430028</v>
      </c>
      <c r="H390" s="46">
        <f>(VLOOKUP($A390,'The List'!$B1:$AH730,20,FALSE)-AVERAGE('The List'!U2:U730))/STDEV('The List'!U2:U730)</f>
        <v>-0.46656331344843</v>
      </c>
      <c r="I390" s="46">
        <f>(VLOOKUP($A390,'The List'!$B1:$AH730,21,FALSE)-AVERAGE('The List'!V2:V730))/STDEV('The List'!V2:V730)</f>
        <v>-0.685025463846471</v>
      </c>
      <c r="J390" s="46">
        <f>(VLOOKUP($A390,'The List'!$B1:$AH730,22,FALSE)-AVERAGE('The List'!W2:W730))/STDEV('The List'!W2:W730)</f>
        <v>-0.660587188751652</v>
      </c>
      <c r="K390" s="46">
        <f>(VLOOKUP($A390,'The List'!$B1:$AH730,23,FALSE)-AVERAGE('The List'!X2:X730))/STDEV('The List'!X2:X730)</f>
        <v>-0.748812890286796</v>
      </c>
      <c r="L390" s="46">
        <f>(VLOOKUP($A390,'The List'!$B1:$AH730,24,FALSE)-AVERAGE('The List'!Y2:Y730))/STDEV('The List'!Y2:Y730)</f>
        <v>2.45523099597255</v>
      </c>
      <c r="M390" s="46">
        <f>(VLOOKUP($A390,'The List'!$B1:$AH730,25,FALSE)-AVERAGE('The List'!Z2:Z730))/STDEV('The List'!Z2:Z730)</f>
        <v>2.9992831094052</v>
      </c>
      <c r="N390" s="46">
        <f>(VLOOKUP($A390,'The List'!$B1:$AH730,26,FALSE)-AVERAGE('The List'!AA2:AA730))/STDEV('The List'!AA2:AA730)</f>
        <v>-0.58228492647491</v>
      </c>
      <c r="O390" s="46">
        <f>(VLOOKUP($A390,'The List'!$B1:$AH730,27,FALSE)-AVERAGE('The List'!AB2:AB730))/STDEV('The List'!AB2:AB730)</f>
        <v>0.456656652324874</v>
      </c>
      <c r="P390" s="46">
        <f>(VLOOKUP($A390,'The List'!$B1:$AH730,28,FALSE)-AVERAGE('The List'!AC2:AC730))/STDEV('The List'!AC2:AC730)</f>
        <v>0.208252225650859</v>
      </c>
      <c r="Q390" s="46">
        <f>(VLOOKUP($A390,'The List'!$B1:$AH730,29,FALSE)-AVERAGE('The List'!AD2:AD730))/STDEV('The List'!AD2:AD730)</f>
        <v>-0.19426594879121</v>
      </c>
      <c r="R390" s="46">
        <f>(VLOOKUP($A390,'The List'!$B1:$AH730,30,FALSE)-AVERAGE('The List'!AE2:AE730))/STDEV('The List'!AE2:AE730)</f>
        <v>-0.308807093838006</v>
      </c>
      <c r="S390" s="46">
        <f>(VLOOKUP($A390,'The List'!$B1:$AH730,31,FALSE)-AVERAGE('The List'!AF2:AF730))/STDEV('The List'!AF2:AF730)</f>
        <v>-0.485152284072256</v>
      </c>
      <c r="T390" s="46">
        <f>(VLOOKUP($A390,'The List'!$B1:$AH730,32,FALSE)-AVERAGE('The List'!AG2:AG730))/STDEV('The List'!AG2:AG730)</f>
        <v>-0.476259604105736</v>
      </c>
      <c r="U390" s="46">
        <f>(VLOOKUP($A390,'The List'!$B1:$AH730,33,FALSE)-AVERAGE('The List'!AH2:AH730))/STDEV('The List'!AH2:AH730)</f>
        <v>0.467337051166643</v>
      </c>
      <c r="V390" s="46"/>
      <c r="W390" s="50"/>
      <c r="X390" s="48"/>
      <c r="Y390" s="48"/>
      <c r="Z390" s="48"/>
      <c r="AA390" s="48"/>
      <c r="AB390" s="48"/>
      <c r="AC390" s="51"/>
      <c r="AD390" s="52"/>
      <c r="AE390" s="46"/>
    </row>
    <row r="391" ht="21.25" customHeight="1">
      <c r="A391" t="s" s="8">
        <v>779</v>
      </c>
      <c r="B391" t="s" s="42">
        <f>VLOOKUP(A391,'Player Data'!A1:B734,2,FALSE)</f>
        <v>218</v>
      </c>
      <c r="C391" s="44">
        <f>((E391)*'Settings'!$C$12)+(F391*'Settings'!$C$2)+(G391*'Settings'!$C$3)+(H391*'Settings'!$C$4)+(I391*'Settings'!$C$5)+(K391*'Settings'!$C$9)+(N391*'Settings'!$C$6)+(J391*'Settings'!$C$8)+(O391*'Settings'!$C$7)+(P391*'Settings'!$C$14)+(Q391*'Settings'!$C$15)+(R391*'Settings'!$C$16)+(S391*'Settings'!$C$17)+(T391*'Settings'!$C$18)+(U391*'Settings'!$C$19)+(L391*'Settings'!$C$10)+('Settings'!$C$11*M391)</f>
        <v>-2.95457976951409</v>
      </c>
      <c r="D391" s="48">
        <f>IF('Settings'!$E$12="YES",VLOOKUP(A391,'Player Data'!A1:E734,5,FALSE),82)</f>
        <v>67.45</v>
      </c>
      <c r="E391" s="46">
        <f>(VLOOKUP($A391,'The List'!$B1:$AH730,17,FALSE)-AVERAGE('The List'!R2:R730))/STDEV('The List'!R2:R730)</f>
        <v>-1.25470037340696</v>
      </c>
      <c r="F391" s="46">
        <f>(VLOOKUP($A391,'The List'!$B1:$AH730,18,FALSE)-AVERAGE('The List'!S2:S730))/STDEV('The List'!S2:S730)</f>
        <v>0.09056500145287499</v>
      </c>
      <c r="G391" s="46">
        <f>(VLOOKUP($A391,'The List'!$B1:$AH730,19,FALSE)-AVERAGE('The List'!T2:T730))/STDEV('The List'!T2:T730)</f>
        <v>-1.02419700043599</v>
      </c>
      <c r="H391" s="46">
        <f>(VLOOKUP($A391,'The List'!$B1:$AH730,20,FALSE)-AVERAGE('The List'!U2:U730))/STDEV('The List'!U2:U730)</f>
        <v>-0.590195097047577</v>
      </c>
      <c r="I391" s="46">
        <f>(VLOOKUP($A391,'The List'!$B1:$AH730,21,FALSE)-AVERAGE('The List'!V2:V730))/STDEV('The List'!V2:V730)</f>
        <v>-0.730408664818598</v>
      </c>
      <c r="J391" s="46">
        <f>(VLOOKUP($A391,'The List'!$B1:$AH730,22,FALSE)-AVERAGE('The List'!W2:W730))/STDEV('The List'!W2:W730)</f>
        <v>-0.657570809306062</v>
      </c>
      <c r="K391" s="46">
        <f>(VLOOKUP($A391,'The List'!$B1:$AH730,23,FALSE)-AVERAGE('The List'!X2:X730))/STDEV('The List'!X2:X730)</f>
        <v>-0.747982988918281</v>
      </c>
      <c r="L391" s="46">
        <f>(VLOOKUP($A391,'The List'!$B1:$AH730,24,FALSE)-AVERAGE('The List'!Y2:Y730))/STDEV('The List'!Y2:Y730)</f>
        <v>-0.5313335168086289</v>
      </c>
      <c r="M391" s="46">
        <f>(VLOOKUP($A391,'The List'!$B1:$AH730,25,FALSE)-AVERAGE('The List'!Z2:Z730))/STDEV('The List'!Z2:Z730)</f>
        <v>-0.708672855467971</v>
      </c>
      <c r="N391" s="46">
        <f>(VLOOKUP($A391,'The List'!$B1:$AH730,26,FALSE)-AVERAGE('The List'!AA2:AA730))/STDEV('The List'!AA2:AA730)</f>
        <v>-0.967967585543982</v>
      </c>
      <c r="O391" s="46">
        <f>(VLOOKUP($A391,'The List'!$B1:$AH730,27,FALSE)-AVERAGE('The List'!AB2:AB730))/STDEV('The List'!AB2:AB730)</f>
        <v>1.61650904999258</v>
      </c>
      <c r="P391" s="46">
        <f>(VLOOKUP($A391,'The List'!$B1:$AH730,28,FALSE)-AVERAGE('The List'!AC2:AC730))/STDEV('The List'!AC2:AC730)</f>
        <v>0.425411468749889</v>
      </c>
      <c r="Q391" s="46">
        <f>(VLOOKUP($A391,'The List'!$B1:$AH730,29,FALSE)-AVERAGE('The List'!AD2:AD730))/STDEV('The List'!AD2:AD730)</f>
        <v>-0.763815448603899</v>
      </c>
      <c r="R391" s="46">
        <f>(VLOOKUP($A391,'The List'!$B1:$AH730,30,FALSE)-AVERAGE('The List'!AE2:AE730))/STDEV('The List'!AE2:AE730)</f>
        <v>0.289566665095378</v>
      </c>
      <c r="S391" s="46">
        <f>(VLOOKUP($A391,'The List'!$B1:$AH730,31,FALSE)-AVERAGE('The List'!AF2:AF730))/STDEV('The List'!AF2:AF730)</f>
        <v>-0.5002836021657709</v>
      </c>
      <c r="T391" s="46">
        <f>(VLOOKUP($A391,'The List'!$B1:$AH730,32,FALSE)-AVERAGE('The List'!AG2:AG730))/STDEV('The List'!AG2:AG730)</f>
        <v>-0.521051236396311</v>
      </c>
      <c r="U391" s="46">
        <f>(VLOOKUP($A391,'The List'!$B1:$AH730,33,FALSE)-AVERAGE('The List'!AH2:AH730))/STDEV('The List'!AH2:AH730)</f>
        <v>0.693706385651393</v>
      </c>
      <c r="V391" s="46"/>
      <c r="W391" s="48"/>
      <c r="X391" s="46"/>
      <c r="Y391" s="46"/>
      <c r="Z391" s="46"/>
      <c r="AA391" s="46"/>
      <c r="AB391" s="46"/>
      <c r="AC391" s="46"/>
      <c r="AD391" s="46"/>
      <c r="AE391" s="46"/>
    </row>
    <row r="392" ht="21.25" customHeight="1">
      <c r="A392" t="s" s="8">
        <v>714</v>
      </c>
      <c r="B392" t="s" s="42">
        <f>VLOOKUP(A392,'Player Data'!A1:B734,2,FALSE)</f>
        <v>189</v>
      </c>
      <c r="C392" s="44">
        <f>((E392)*'Settings'!$C$12)+(F392*'Settings'!$C$2)+(G392*'Settings'!$C$3)+(H392*'Settings'!$C$4)+(I392*'Settings'!$C$5)+(K392*'Settings'!$C$9)+(N392*'Settings'!$C$6)+(J392*'Settings'!$C$8)+(O392*'Settings'!$C$7)+(P392*'Settings'!$C$14)+(Q392*'Settings'!$C$15)+(R392*'Settings'!$C$16)+(S392*'Settings'!$C$17)+(T392*'Settings'!$C$18)+(U392*'Settings'!$C$19)+(L392*'Settings'!$C$10)+('Settings'!$C$11*M392)</f>
        <v>-4.25975743700651</v>
      </c>
      <c r="D392" s="48">
        <f>IF('Settings'!$E$12="YES",VLOOKUP(A392,'Player Data'!A1:E734,5,FALSE),82)</f>
        <v>78.1925</v>
      </c>
      <c r="E392" s="46">
        <f>(VLOOKUP($A392,'The List'!$B1:$AH730,17,FALSE)-AVERAGE('The List'!R2:R730))/STDEV('The List'!R2:R730)</f>
        <v>-0.834880636548807</v>
      </c>
      <c r="F392" s="46">
        <f>(VLOOKUP($A392,'The List'!$B1:$AH730,18,FALSE)-AVERAGE('The List'!S2:S730))/STDEV('The List'!S2:S730)</f>
        <v>-0.184393240678009</v>
      </c>
      <c r="G392" s="46">
        <f>(VLOOKUP($A392,'The List'!$B1:$AH730,19,FALSE)-AVERAGE('The List'!T2:T730))/STDEV('The List'!T2:T730)</f>
        <v>-0.569527050065282</v>
      </c>
      <c r="H392" s="46">
        <f>(VLOOKUP($A392,'The List'!$B1:$AH730,20,FALSE)-AVERAGE('The List'!U2:U730))/STDEV('The List'!U2:U730)</f>
        <v>-0.435008563328802</v>
      </c>
      <c r="I392" s="46">
        <f>(VLOOKUP($A392,'The List'!$B1:$AH730,21,FALSE)-AVERAGE('The List'!V2:V730))/STDEV('The List'!V2:V730)</f>
        <v>-0.415943165003346</v>
      </c>
      <c r="J392" s="46">
        <f>(VLOOKUP($A392,'The List'!$B1:$AH730,22,FALSE)-AVERAGE('The List'!W2:W730))/STDEV('The List'!W2:W730)</f>
        <v>-0.709588482760218</v>
      </c>
      <c r="K392" s="46">
        <f>(VLOOKUP($A392,'The List'!$B1:$AH730,23,FALSE)-AVERAGE('The List'!X2:X730))/STDEV('The List'!X2:X730)</f>
        <v>-0.799278548427159</v>
      </c>
      <c r="L392" s="46">
        <f>(VLOOKUP($A392,'The List'!$B1:$AH730,24,FALSE)-AVERAGE('The List'!Y2:Y730))/STDEV('The List'!Y2:Y730)</f>
        <v>1.10615029983364</v>
      </c>
      <c r="M392" s="46">
        <f>(VLOOKUP($A392,'The List'!$B1:$AH730,25,FALSE)-AVERAGE('The List'!Z2:Z730))/STDEV('The List'!Z2:Z730)</f>
        <v>1.65458663386344</v>
      </c>
      <c r="N392" s="46">
        <f>(VLOOKUP($A392,'The List'!$B1:$AH730,26,FALSE)-AVERAGE('The List'!AA2:AA730))/STDEV('The List'!AA2:AA730)</f>
        <v>-0.698016422958158</v>
      </c>
      <c r="O392" s="46">
        <f>(VLOOKUP($A392,'The List'!$B1:$AH730,27,FALSE)-AVERAGE('The List'!AB2:AB730))/STDEV('The List'!AB2:AB730)</f>
        <v>0.625074517348856</v>
      </c>
      <c r="P392" s="46">
        <f>(VLOOKUP($A392,'The List'!$B1:$AH730,28,FALSE)-AVERAGE('The List'!AC2:AC730))/STDEV('The List'!AC2:AC730)</f>
        <v>-1.59259900987456</v>
      </c>
      <c r="Q392" s="46">
        <f>(VLOOKUP($A392,'The List'!$B1:$AH730,29,FALSE)-AVERAGE('The List'!AD2:AD730))/STDEV('The List'!AD2:AD730)</f>
        <v>-1.21150167957777</v>
      </c>
      <c r="R392" s="46">
        <f>(VLOOKUP($A392,'The List'!$B1:$AH730,30,FALSE)-AVERAGE('The List'!AE2:AE730))/STDEV('The List'!AE2:AE730)</f>
        <v>-0.409694288246056</v>
      </c>
      <c r="S392" s="46">
        <f>(VLOOKUP($A392,'The List'!$B1:$AH730,31,FALSE)-AVERAGE('The List'!AF2:AF730))/STDEV('The List'!AF2:AF730)</f>
        <v>-0.533102480641991</v>
      </c>
      <c r="T392" s="46">
        <f>(VLOOKUP($A392,'The List'!$B1:$AH730,32,FALSE)-AVERAGE('The List'!AG2:AG730))/STDEV('The List'!AG2:AG730)</f>
        <v>-0.55674812541011</v>
      </c>
      <c r="U392" s="46">
        <f>(VLOOKUP($A392,'The List'!$B1:$AH730,33,FALSE)-AVERAGE('The List'!AH2:AH730))/STDEV('The List'!AH2:AH730)</f>
        <v>0.398983789753134</v>
      </c>
      <c r="V392" s="46"/>
      <c r="W392" s="50"/>
      <c r="X392" s="48"/>
      <c r="Y392" s="48"/>
      <c r="Z392" s="48"/>
      <c r="AA392" s="48"/>
      <c r="AB392" s="48"/>
      <c r="AC392" s="51"/>
      <c r="AD392" s="52"/>
      <c r="AE392" s="46"/>
    </row>
    <row r="393" ht="21.25" customHeight="1">
      <c r="A393" t="s" s="8">
        <v>724</v>
      </c>
      <c r="B393" t="s" s="42">
        <f>VLOOKUP(A393,'Player Data'!A1:B734,2,FALSE)</f>
        <v>151</v>
      </c>
      <c r="C393" s="44">
        <f>((E393)*'Settings'!$C$12)+(F393*'Settings'!$C$2)+(G393*'Settings'!$C$3)+(H393*'Settings'!$C$4)+(I393*'Settings'!$C$5)+(K393*'Settings'!$C$9)+(N393*'Settings'!$C$6)+(J393*'Settings'!$C$8)+(O393*'Settings'!$C$7)+(P393*'Settings'!$C$14)+(Q393*'Settings'!$C$15)+(R393*'Settings'!$C$16)+(S393*'Settings'!$C$17)+(T393*'Settings'!$C$18)+(U393*'Settings'!$C$19)+(L393*'Settings'!$C$10)+('Settings'!$C$11*M393)</f>
        <v>-1.37571949271925</v>
      </c>
      <c r="D393" s="48">
        <f>IF('Settings'!$E$12="YES",VLOOKUP(A393,'Player Data'!A1:E734,5,FALSE),82)</f>
        <v>81.47107142857141</v>
      </c>
      <c r="E393" s="46">
        <f>(VLOOKUP($A393,'The List'!$B1:$AH730,17,FALSE)-AVERAGE('The List'!R2:R730))/STDEV('The List'!R2:R730)</f>
        <v>-0.762137504790509</v>
      </c>
      <c r="F393" s="46">
        <f>(VLOOKUP($A393,'The List'!$B1:$AH730,18,FALSE)-AVERAGE('The List'!S2:S730))/STDEV('The List'!S2:S730)</f>
        <v>-0.360783050701742</v>
      </c>
      <c r="G393" s="46">
        <f>(VLOOKUP($A393,'The List'!$B1:$AH730,19,FALSE)-AVERAGE('The List'!T2:T730))/STDEV('The List'!T2:T730)</f>
        <v>-0.366803401074787</v>
      </c>
      <c r="H393" s="46">
        <f>(VLOOKUP($A393,'The List'!$B1:$AH730,20,FALSE)-AVERAGE('The List'!U2:U730))/STDEV('The List'!U2:U730)</f>
        <v>-0.390292999442279</v>
      </c>
      <c r="I393" s="46">
        <f>(VLOOKUP($A393,'The List'!$B1:$AH730,21,FALSE)-AVERAGE('The List'!V2:V730))/STDEV('The List'!V2:V730)</f>
        <v>-0.672252161320225</v>
      </c>
      <c r="J393" s="46">
        <f>(VLOOKUP($A393,'The List'!$B1:$AH730,22,FALSE)-AVERAGE('The List'!W2:W730))/STDEV('The List'!W2:W730)</f>
        <v>-0.658216891021682</v>
      </c>
      <c r="K393" s="46">
        <f>(VLOOKUP($A393,'The List'!$B1:$AH730,23,FALSE)-AVERAGE('The List'!X2:X730))/STDEV('The List'!X2:X730)</f>
        <v>-0.764885551798935</v>
      </c>
      <c r="L393" s="46">
        <f>(VLOOKUP($A393,'The List'!$B1:$AH730,24,FALSE)-AVERAGE('The List'!Y2:Y730))/STDEV('The List'!Y2:Y730)</f>
        <v>0.101240646600963</v>
      </c>
      <c r="M393" s="46">
        <f>(VLOOKUP($A393,'The List'!$B1:$AH730,25,FALSE)-AVERAGE('The List'!Z2:Z730))/STDEV('The List'!Z2:Z730)</f>
        <v>0.836047089229477</v>
      </c>
      <c r="N393" s="46">
        <f>(VLOOKUP($A393,'The List'!$B1:$AH730,26,FALSE)-AVERAGE('The List'!AA2:AA730))/STDEV('The List'!AA2:AA730)</f>
        <v>-0.112295414476831</v>
      </c>
      <c r="O393" s="46">
        <f>(VLOOKUP($A393,'The List'!$B1:$AH730,27,FALSE)-AVERAGE('The List'!AB2:AB730))/STDEV('The List'!AB2:AB730)</f>
        <v>0.527596792073771</v>
      </c>
      <c r="P393" s="46">
        <f>(VLOOKUP($A393,'The List'!$B1:$AH730,28,FALSE)-AVERAGE('The List'!AC2:AC730))/STDEV('The List'!AC2:AC730)</f>
        <v>0.901300086653273</v>
      </c>
      <c r="Q393" s="46">
        <f>(VLOOKUP($A393,'The List'!$B1:$AH730,29,FALSE)-AVERAGE('The List'!AD2:AD730))/STDEV('The List'!AD2:AD730)</f>
        <v>1.40653181103145</v>
      </c>
      <c r="R393" s="46">
        <f>(VLOOKUP($A393,'The List'!$B1:$AH730,30,FALSE)-AVERAGE('The List'!AE2:AE730))/STDEV('The List'!AE2:AE730)</f>
        <v>-0.148013912858085</v>
      </c>
      <c r="S393" s="46">
        <f>(VLOOKUP($A393,'The List'!$B1:$AH730,31,FALSE)-AVERAGE('The List'!AF2:AF730))/STDEV('The List'!AF2:AF730)</f>
        <v>0.775650335312783</v>
      </c>
      <c r="T393" s="46">
        <f>(VLOOKUP($A393,'The List'!$B1:$AH730,32,FALSE)-AVERAGE('The List'!AG2:AG730))/STDEV('The List'!AG2:AG730)</f>
        <v>0.916895942287512</v>
      </c>
      <c r="U393" s="46">
        <f>(VLOOKUP($A393,'The List'!$B1:$AH730,33,FALSE)-AVERAGE('The List'!AH2:AH730))/STDEV('The List'!AH2:AH730)</f>
        <v>0.931960913935527</v>
      </c>
      <c r="V393" s="46"/>
      <c r="W393" s="50"/>
      <c r="X393" s="48"/>
      <c r="Y393" s="48"/>
      <c r="Z393" s="48"/>
      <c r="AA393" s="48"/>
      <c r="AB393" s="48"/>
      <c r="AC393" s="51"/>
      <c r="AD393" s="52"/>
      <c r="AE393" s="46"/>
    </row>
    <row r="394" ht="21.25" customHeight="1">
      <c r="A394" t="s" s="8">
        <v>413</v>
      </c>
      <c r="B394" t="s" s="42">
        <f>VLOOKUP(A394,'Player Data'!A1:B734,2,FALSE)</f>
        <v>134</v>
      </c>
      <c r="C394" s="44">
        <f>((E394)*'Settings'!$C$12)+(F394*'Settings'!$C$2)+(G394*'Settings'!$C$3)+(H394*'Settings'!$C$4)+(I394*'Settings'!$C$5)+(K394*'Settings'!$C$9)+(N394*'Settings'!$C$6)+(J394*'Settings'!$C$8)+(O394*'Settings'!$C$7)+(P394*'Settings'!$C$14)+(Q394*'Settings'!$C$15)+(R394*'Settings'!$C$16)+(S394*'Settings'!$C$17)+(T394*'Settings'!$C$18)+(U394*'Settings'!$C$19)+(L394*'Settings'!$C$10)+('Settings'!$C$11*M394)</f>
        <v>1.21296375588954</v>
      </c>
      <c r="D394" s="48">
        <f>IF('Settings'!$E$12="YES",VLOOKUP(A394,'Player Data'!A1:E734,5,FALSE),82)</f>
        <v>77.3</v>
      </c>
      <c r="E394" s="46">
        <f>(VLOOKUP($A394,'The List'!$B1:$AH730,17,FALSE)-AVERAGE('The List'!R2:R730))/STDEV('The List'!R2:R730)</f>
        <v>1.64139263563551</v>
      </c>
      <c r="F394" s="46">
        <f>(VLOOKUP($A394,'The List'!$B1:$AH730,18,FALSE)-AVERAGE('The List'!S2:S730))/STDEV('The List'!S2:S730)</f>
        <v>-0.712908076416834</v>
      </c>
      <c r="G394" s="46">
        <f>(VLOOKUP($A394,'The List'!$B1:$AH730,19,FALSE)-AVERAGE('The List'!T2:T730))/STDEV('The List'!T2:T730)</f>
        <v>-0.215122820689619</v>
      </c>
      <c r="H394" s="46">
        <f>(VLOOKUP($A394,'The List'!$B1:$AH730,20,FALSE)-AVERAGE('The List'!U2:U730))/STDEV('The List'!U2:U730)</f>
        <v>-0.457007864089412</v>
      </c>
      <c r="I394" s="46">
        <f>(VLOOKUP($A394,'The List'!$B1:$AH730,21,FALSE)-AVERAGE('The List'!V2:V730))/STDEV('The List'!V2:V730)</f>
        <v>-0.212926673494739</v>
      </c>
      <c r="J394" s="46">
        <f>(VLOOKUP($A394,'The List'!$B1:$AH730,22,FALSE)-AVERAGE('The List'!W2:W730))/STDEV('The List'!W2:W730)</f>
        <v>-0.655512296493957</v>
      </c>
      <c r="K394" s="46">
        <f>(VLOOKUP($A394,'The List'!$B1:$AH730,23,FALSE)-AVERAGE('The List'!X2:X730))/STDEV('The List'!X2:X730)</f>
        <v>-0.682730883885075</v>
      </c>
      <c r="L394" s="46">
        <f>(VLOOKUP($A394,'The List'!$B1:$AH730,24,FALSE)-AVERAGE('The List'!Y2:Y730))/STDEV('The List'!Y2:Y730)</f>
        <v>-0.494334606854017</v>
      </c>
      <c r="M394" s="46">
        <f>(VLOOKUP($A394,'The List'!$B1:$AH730,25,FALSE)-AVERAGE('The List'!Z2:Z730))/STDEV('The List'!Z2:Z730)</f>
        <v>0.990594954364045</v>
      </c>
      <c r="N394" s="46">
        <f>(VLOOKUP($A394,'The List'!$B1:$AH730,26,FALSE)-AVERAGE('The List'!AA2:AA730))/STDEV('The List'!AA2:AA730)</f>
        <v>2.35529966117879</v>
      </c>
      <c r="O394" s="46">
        <f>(VLOOKUP($A394,'The List'!$B1:$AH730,27,FALSE)-AVERAGE('The List'!AB2:AB730))/STDEV('The List'!AB2:AB730)</f>
        <v>-0.572251166708723</v>
      </c>
      <c r="P394" s="46">
        <f>(VLOOKUP($A394,'The List'!$B1:$AH730,28,FALSE)-AVERAGE('The List'!AC2:AC730))/STDEV('The List'!AC2:AC730)</f>
        <v>0.681352549197015</v>
      </c>
      <c r="Q394" s="46">
        <f>(VLOOKUP($A394,'The List'!$B1:$AH730,29,FALSE)-AVERAGE('The List'!AD2:AD730))/STDEV('The List'!AD2:AD730)</f>
        <v>-0.0420901956224151</v>
      </c>
      <c r="R394" s="46">
        <f>(VLOOKUP($A394,'The List'!$B1:$AH730,30,FALSE)-AVERAGE('The List'!AE2:AE730))/STDEV('The List'!AE2:AE730)</f>
        <v>-0.57568762973787</v>
      </c>
      <c r="S394" s="46">
        <f>(VLOOKUP($A394,'The List'!$B1:$AH730,31,FALSE)-AVERAGE('The List'!AF2:AF730))/STDEV('The List'!AF2:AF730)</f>
        <v>-0.5569063253591</v>
      </c>
      <c r="T394" s="46">
        <f>(VLOOKUP($A394,'The List'!$B1:$AH730,32,FALSE)-AVERAGE('The List'!AG2:AG730))/STDEV('The List'!AG2:AG730)</f>
        <v>-0.600856269042678</v>
      </c>
      <c r="U394" s="46">
        <f>(VLOOKUP($A394,'The List'!$B1:$AH730,33,FALSE)-AVERAGE('The List'!AH2:AH730))/STDEV('The List'!AH2:AH730)</f>
        <v>-1.2363238714826</v>
      </c>
      <c r="V394" s="46"/>
      <c r="W394" s="50"/>
      <c r="X394" s="48"/>
      <c r="Y394" s="48"/>
      <c r="Z394" s="48"/>
      <c r="AA394" s="48"/>
      <c r="AB394" s="48"/>
      <c r="AC394" s="51"/>
      <c r="AD394" s="52"/>
      <c r="AE394" s="46"/>
    </row>
    <row r="395" ht="21.25" customHeight="1">
      <c r="A395" t="s" s="8">
        <v>638</v>
      </c>
      <c r="B395" t="s" s="42">
        <f>VLOOKUP(A395,'Player Data'!A1:B734,2,FALSE)</f>
        <v>170</v>
      </c>
      <c r="C395" s="44">
        <f>((E395)*'Settings'!$C$12)+(F395*'Settings'!$C$2)+(G395*'Settings'!$C$3)+(H395*'Settings'!$C$4)+(I395*'Settings'!$C$5)+(K395*'Settings'!$C$9)+(N395*'Settings'!$C$6)+(J395*'Settings'!$C$8)+(O395*'Settings'!$C$7)+(P395*'Settings'!$C$14)+(Q395*'Settings'!$C$15)+(R395*'Settings'!$C$16)+(S395*'Settings'!$C$17)+(T395*'Settings'!$C$18)+(U395*'Settings'!$C$19)+(L395*'Settings'!$C$10)+('Settings'!$C$11*M395)</f>
        <v>-1.30478030390307</v>
      </c>
      <c r="D395" s="48">
        <f>IF('Settings'!$E$12="YES",VLOOKUP(A395,'Player Data'!A1:E734,5,FALSE),82)</f>
        <v>80.3796428571429</v>
      </c>
      <c r="E395" s="46">
        <f>(VLOOKUP($A395,'The List'!$B1:$AH730,17,FALSE)-AVERAGE('The List'!R2:R730))/STDEV('The List'!R2:R730)</f>
        <v>-0.8814177982089501</v>
      </c>
      <c r="F395" s="46">
        <f>(VLOOKUP($A395,'The List'!$B1:$AH730,18,FALSE)-AVERAGE('The List'!S2:S730))/STDEV('The List'!S2:S730)</f>
        <v>-0.165247762601751</v>
      </c>
      <c r="G395" s="46">
        <f>(VLOOKUP($A395,'The List'!$B1:$AH730,19,FALSE)-AVERAGE('The List'!T2:T730))/STDEV('The List'!T2:T730)</f>
        <v>-0.54742457649343</v>
      </c>
      <c r="H395" s="46">
        <f>(VLOOKUP($A395,'The List'!$B1:$AH730,20,FALSE)-AVERAGE('The List'!U2:U730))/STDEV('The List'!U2:U730)</f>
        <v>-0.412671102378913</v>
      </c>
      <c r="I395" s="46">
        <f>(VLOOKUP($A395,'The List'!$B1:$AH730,21,FALSE)-AVERAGE('The List'!V2:V730))/STDEV('The List'!V2:V730)</f>
        <v>0.146469236519188</v>
      </c>
      <c r="J395" s="46">
        <f>(VLOOKUP($A395,'The List'!$B1:$AH730,22,FALSE)-AVERAGE('The List'!W2:W730))/STDEV('The List'!W2:W730)</f>
        <v>-0.236426537681216</v>
      </c>
      <c r="K395" s="46">
        <f>(VLOOKUP($A395,'The List'!$B1:$AH730,23,FALSE)-AVERAGE('The List'!X2:X730))/STDEV('The List'!X2:X730)</f>
        <v>-0.38268270072007</v>
      </c>
      <c r="L395" s="46">
        <f>(VLOOKUP($A395,'The List'!$B1:$AH730,24,FALSE)-AVERAGE('The List'!Y2:Y730))/STDEV('The List'!Y2:Y730)</f>
        <v>-0.00697978202400369</v>
      </c>
      <c r="M395" s="46">
        <f>(VLOOKUP($A395,'The List'!$B1:$AH730,25,FALSE)-AVERAGE('The List'!Z2:Z730))/STDEV('The List'!Z2:Z730)</f>
        <v>0.116176576887585</v>
      </c>
      <c r="N395" s="46">
        <f>(VLOOKUP($A395,'The List'!$B1:$AH730,26,FALSE)-AVERAGE('The List'!AA2:AA730))/STDEV('The List'!AA2:AA730)</f>
        <v>-0.282527806769161</v>
      </c>
      <c r="O395" s="46">
        <f>(VLOOKUP($A395,'The List'!$B1:$AH730,27,FALSE)-AVERAGE('The List'!AB2:AB730))/STDEV('The List'!AB2:AB730)</f>
        <v>-0.181654532953334</v>
      </c>
      <c r="P395" s="46">
        <f>(VLOOKUP($A395,'The List'!$B1:$AH730,28,FALSE)-AVERAGE('The List'!AC2:AC730))/STDEV('The List'!AC2:AC730)</f>
        <v>-0.0733666938378468</v>
      </c>
      <c r="Q395" s="46">
        <f>(VLOOKUP($A395,'The List'!$B1:$AH730,29,FALSE)-AVERAGE('The List'!AD2:AD730))/STDEV('The List'!AD2:AD730)</f>
        <v>-0.182620641993596</v>
      </c>
      <c r="R395" s="46">
        <f>(VLOOKUP($A395,'The List'!$B1:$AH730,30,FALSE)-AVERAGE('The List'!AE2:AE730))/STDEV('The List'!AE2:AE730)</f>
        <v>-0.00385790673032437</v>
      </c>
      <c r="S395" s="46">
        <f>(VLOOKUP($A395,'The List'!$B1:$AH730,31,FALSE)-AVERAGE('The List'!AF2:AF730))/STDEV('The List'!AF2:AF730)</f>
        <v>1.81023627970264</v>
      </c>
      <c r="T395" s="46">
        <f>(VLOOKUP($A395,'The List'!$B1:$AH730,32,FALSE)-AVERAGE('The List'!AG2:AG730))/STDEV('The List'!AG2:AG730)</f>
        <v>1.32147500810015</v>
      </c>
      <c r="U395" s="46">
        <f>(VLOOKUP($A395,'The List'!$B1:$AH730,33,FALSE)-AVERAGE('The List'!AH2:AH730))/STDEV('The List'!AH2:AH730)</f>
        <v>1.31223940892251</v>
      </c>
      <c r="V395" s="46"/>
      <c r="W395" s="50"/>
      <c r="X395" s="48"/>
      <c r="Y395" s="48"/>
      <c r="Z395" s="48"/>
      <c r="AA395" s="48"/>
      <c r="AB395" s="48"/>
      <c r="AC395" s="51"/>
      <c r="AD395" s="52"/>
      <c r="AE395" s="46"/>
    </row>
    <row r="396" ht="21.25" customHeight="1">
      <c r="A396" t="s" s="8">
        <v>595</v>
      </c>
      <c r="B396" t="s" s="42">
        <f>VLOOKUP(A396,'Player Data'!A1:B734,2,FALSE)</f>
        <v>238</v>
      </c>
      <c r="C396" s="44">
        <f>((E396)*'Settings'!$C$12)+(F396*'Settings'!$C$2)+(G396*'Settings'!$C$3)+(H396*'Settings'!$C$4)+(I396*'Settings'!$C$5)+(K396*'Settings'!$C$9)+(N396*'Settings'!$C$6)+(J396*'Settings'!$C$8)+(O396*'Settings'!$C$7)+(P396*'Settings'!$C$14)+(Q396*'Settings'!$C$15)+(R396*'Settings'!$C$16)+(S396*'Settings'!$C$17)+(T396*'Settings'!$C$18)+(U396*'Settings'!$C$19)+(L396*'Settings'!$C$10)+('Settings'!$C$11*M396)</f>
        <v>-2.77103220122628</v>
      </c>
      <c r="D396" s="48">
        <f>IF('Settings'!$E$12="YES",VLOOKUP(A396,'Player Data'!A1:E734,5,FALSE),82)</f>
        <v>52.4</v>
      </c>
      <c r="E396" s="46">
        <f>(VLOOKUP($A396,'The List'!$B1:$AH730,17,FALSE)-AVERAGE('The List'!R2:R730))/STDEV('The List'!R2:R730)</f>
        <v>-0.192277145067524</v>
      </c>
      <c r="F396" s="46">
        <f>(VLOOKUP($A396,'The List'!$B1:$AH730,18,FALSE)-AVERAGE('The List'!S2:S730))/STDEV('The List'!S2:S730)</f>
        <v>-0.855769787521804</v>
      </c>
      <c r="G396" s="46">
        <f>(VLOOKUP($A396,'The List'!$B1:$AH730,19,FALSE)-AVERAGE('The List'!T2:T730))/STDEV('The List'!T2:T730)</f>
        <v>-0.709418364959417</v>
      </c>
      <c r="H396" s="46">
        <f>(VLOOKUP($A396,'The List'!$B1:$AH730,20,FALSE)-AVERAGE('The List'!U2:U730))/STDEV('The List'!U2:U730)</f>
        <v>-0.826739514014412</v>
      </c>
      <c r="I396" s="46">
        <f>(VLOOKUP($A396,'The List'!$B1:$AH730,21,FALSE)-AVERAGE('The List'!V2:V730))/STDEV('The List'!V2:V730)</f>
        <v>-0.913587573215127</v>
      </c>
      <c r="J396" s="46">
        <f>(VLOOKUP($A396,'The List'!$B1:$AH730,22,FALSE)-AVERAGE('The List'!W2:W730))/STDEV('The List'!W2:W730)</f>
        <v>-0.600958868945295</v>
      </c>
      <c r="K396" s="46">
        <f>(VLOOKUP($A396,'The List'!$B1:$AH730,23,FALSE)-AVERAGE('The List'!X2:X730))/STDEV('The List'!X2:X730)</f>
        <v>-0.622352758103522</v>
      </c>
      <c r="L396" s="46">
        <f>(VLOOKUP($A396,'The List'!$B1:$AH730,24,FALSE)-AVERAGE('The List'!Y2:Y730))/STDEV('The List'!Y2:Y730)</f>
        <v>-0.542843480388394</v>
      </c>
      <c r="M396" s="46">
        <f>(VLOOKUP($A396,'The List'!$B1:$AH730,25,FALSE)-AVERAGE('The List'!Z2:Z730))/STDEV('The List'!Z2:Z730)</f>
        <v>-0.72177514995105</v>
      </c>
      <c r="N396" s="46">
        <f>(VLOOKUP($A396,'The List'!$B1:$AH730,26,FALSE)-AVERAGE('The List'!AA2:AA730))/STDEV('The List'!AA2:AA730)</f>
        <v>-0.159141965161395</v>
      </c>
      <c r="O396" s="46">
        <f>(VLOOKUP($A396,'The List'!$B1:$AH730,27,FALSE)-AVERAGE('The List'!AB2:AB730))/STDEV('The List'!AB2:AB730)</f>
        <v>-0.970130466420516</v>
      </c>
      <c r="P396" s="46">
        <f>(VLOOKUP($A396,'The List'!$B1:$AH730,28,FALSE)-AVERAGE('The List'!AC2:AC730))/STDEV('The List'!AC2:AC730)</f>
        <v>0.489238247734981</v>
      </c>
      <c r="Q396" s="46">
        <f>(VLOOKUP($A396,'The List'!$B1:$AH730,29,FALSE)-AVERAGE('The List'!AD2:AD730))/STDEV('The List'!AD2:AD730)</f>
        <v>-2.20349239295021</v>
      </c>
      <c r="R396" s="46">
        <f>(VLOOKUP($A396,'The List'!$B1:$AH730,30,FALSE)-AVERAGE('The List'!AE2:AE730))/STDEV('The List'!AE2:AE730)</f>
        <v>-0.706298754243511</v>
      </c>
      <c r="S396" s="46">
        <f>(VLOOKUP($A396,'The List'!$B1:$AH730,31,FALSE)-AVERAGE('The List'!AF2:AF730))/STDEV('The List'!AF2:AF730)</f>
        <v>-0.5569063253591</v>
      </c>
      <c r="T396" s="46">
        <f>(VLOOKUP($A396,'The List'!$B1:$AH730,32,FALSE)-AVERAGE('The List'!AG2:AG730))/STDEV('The List'!AG2:AG730)</f>
        <v>-0.600856269042678</v>
      </c>
      <c r="U396" s="46">
        <f>(VLOOKUP($A396,'The List'!$B1:$AH730,33,FALSE)-AVERAGE('The List'!AH2:AH730))/STDEV('The List'!AH2:AH730)</f>
        <v>-1.2363238714826</v>
      </c>
      <c r="V396" s="46"/>
      <c r="W396" s="50"/>
      <c r="X396" s="48"/>
      <c r="Y396" s="48"/>
      <c r="Z396" s="48"/>
      <c r="AA396" s="48"/>
      <c r="AB396" s="48"/>
      <c r="AC396" s="51"/>
      <c r="AD396" s="52"/>
      <c r="AE396" s="46"/>
    </row>
    <row r="397" ht="21.25" customHeight="1">
      <c r="A397" t="s" s="8">
        <v>391</v>
      </c>
      <c r="B397" t="s" s="42">
        <f>VLOOKUP(A397,'Player Data'!A1:B734,2,FALSE)</f>
        <v>189</v>
      </c>
      <c r="C397" s="44">
        <f>((E397)*'Settings'!$C$12)+(F397*'Settings'!$C$2)+(G397*'Settings'!$C$3)+(H397*'Settings'!$C$4)+(I397*'Settings'!$C$5)+(K397*'Settings'!$C$9)+(N397*'Settings'!$C$6)+(J397*'Settings'!$C$8)+(O397*'Settings'!$C$7)+(P397*'Settings'!$C$14)+(Q397*'Settings'!$C$15)+(R397*'Settings'!$C$16)+(S397*'Settings'!$C$17)+(T397*'Settings'!$C$18)+(U397*'Settings'!$C$19)+(L397*'Settings'!$C$10)+('Settings'!$C$11*M397)</f>
        <v>-0.797824114679291</v>
      </c>
      <c r="D397" s="48">
        <f>IF('Settings'!$E$12="YES",VLOOKUP(A397,'Player Data'!A1:E734,5,FALSE),82)</f>
        <v>81.61750000000001</v>
      </c>
      <c r="E397" s="46">
        <f>(VLOOKUP($A397,'The List'!$B1:$AH730,17,FALSE)-AVERAGE('The List'!R2:R730))/STDEV('The List'!R2:R730)</f>
        <v>1.38510802486946</v>
      </c>
      <c r="F397" s="46">
        <f>(VLOOKUP($A397,'The List'!$B1:$AH730,18,FALSE)-AVERAGE('The List'!S2:S730))/STDEV('The List'!S2:S730)</f>
        <v>-0.587136956171791</v>
      </c>
      <c r="G397" s="46">
        <f>(VLOOKUP($A397,'The List'!$B1:$AH730,19,FALSE)-AVERAGE('The List'!T2:T730))/STDEV('The List'!T2:T730)</f>
        <v>-0.21673141624212</v>
      </c>
      <c r="H397" s="46">
        <f>(VLOOKUP($A397,'The List'!$B1:$AH730,20,FALSE)-AVERAGE('The List'!U2:U730))/STDEV('The List'!U2:U730)</f>
        <v>-0.400771159965455</v>
      </c>
      <c r="I397" s="46">
        <f>(VLOOKUP($A397,'The List'!$B1:$AH730,21,FALSE)-AVERAGE('The List'!V2:V730))/STDEV('The List'!V2:V730)</f>
        <v>-0.146514001236602</v>
      </c>
      <c r="J397" s="46">
        <f>(VLOOKUP($A397,'The List'!$B1:$AH730,22,FALSE)-AVERAGE('The List'!W2:W730))/STDEV('The List'!W2:W730)</f>
        <v>-0.660129276517049</v>
      </c>
      <c r="K397" s="46">
        <f>(VLOOKUP($A397,'The List'!$B1:$AH730,23,FALSE)-AVERAGE('The List'!X2:X730))/STDEV('The List'!X2:X730)</f>
        <v>-0.508351370472008</v>
      </c>
      <c r="L397" s="46">
        <f>(VLOOKUP($A397,'The List'!$B1:$AH730,24,FALSE)-AVERAGE('The List'!Y2:Y730))/STDEV('The List'!Y2:Y730)</f>
        <v>-0.499150476936967</v>
      </c>
      <c r="M397" s="46">
        <f>(VLOOKUP($A397,'The List'!$B1:$AH730,25,FALSE)-AVERAGE('The List'!Z2:Z730))/STDEV('The List'!Z2:Z730)</f>
        <v>1.10646729726962</v>
      </c>
      <c r="N397" s="46">
        <f>(VLOOKUP($A397,'The List'!$B1:$AH730,26,FALSE)-AVERAGE('The List'!AA2:AA730))/STDEV('The List'!AA2:AA730)</f>
        <v>2.41500002621211</v>
      </c>
      <c r="O397" s="46">
        <f>(VLOOKUP($A397,'The List'!$B1:$AH730,27,FALSE)-AVERAGE('The List'!AB2:AB730))/STDEV('The List'!AB2:AB730)</f>
        <v>0.0411859962311603</v>
      </c>
      <c r="P397" s="46">
        <f>(VLOOKUP($A397,'The List'!$B1:$AH730,28,FALSE)-AVERAGE('The List'!AC2:AC730))/STDEV('The List'!AC2:AC730)</f>
        <v>-1.75409039676888</v>
      </c>
      <c r="Q397" s="46">
        <f>(VLOOKUP($A397,'The List'!$B1:$AH730,29,FALSE)-AVERAGE('The List'!AD2:AD730))/STDEV('The List'!AD2:AD730)</f>
        <v>-0.0673576533425376</v>
      </c>
      <c r="R397" s="46">
        <f>(VLOOKUP($A397,'The List'!$B1:$AH730,30,FALSE)-AVERAGE('The List'!AE2:AE730))/STDEV('The List'!AE2:AE730)</f>
        <v>-0.690520370502909</v>
      </c>
      <c r="S397" s="46">
        <f>(VLOOKUP($A397,'The List'!$B1:$AH730,31,FALSE)-AVERAGE('The List'!AF2:AF730))/STDEV('The List'!AF2:AF730)</f>
        <v>-0.5569063253591</v>
      </c>
      <c r="T397" s="46">
        <f>(VLOOKUP($A397,'The List'!$B1:$AH730,32,FALSE)-AVERAGE('The List'!AG2:AG730))/STDEV('The List'!AG2:AG730)</f>
        <v>-0.600856269042678</v>
      </c>
      <c r="U397" s="46">
        <f>(VLOOKUP($A397,'The List'!$B1:$AH730,33,FALSE)-AVERAGE('The List'!AH2:AH730))/STDEV('The List'!AH2:AH730)</f>
        <v>-1.2363238714826</v>
      </c>
      <c r="V397" s="46"/>
      <c r="W397" s="50"/>
      <c r="X397" s="48"/>
      <c r="Y397" s="48"/>
      <c r="Z397" s="48"/>
      <c r="AA397" s="48"/>
      <c r="AB397" s="48"/>
      <c r="AC397" s="51"/>
      <c r="AD397" s="52"/>
      <c r="AE397" s="46"/>
    </row>
    <row r="398" ht="21.25" customHeight="1">
      <c r="A398" t="s" s="8">
        <v>705</v>
      </c>
      <c r="B398" t="s" s="42">
        <f>VLOOKUP(A398,'Player Data'!A1:B734,2,FALSE)</f>
        <v>225</v>
      </c>
      <c r="C398" s="44">
        <f>((E398)*'Settings'!$C$12)+(F398*'Settings'!$C$2)+(G398*'Settings'!$C$3)+(H398*'Settings'!$C$4)+(I398*'Settings'!$C$5)+(K398*'Settings'!$C$9)+(N398*'Settings'!$C$6)+(J398*'Settings'!$C$8)+(O398*'Settings'!$C$7)+(P398*'Settings'!$C$14)+(Q398*'Settings'!$C$15)+(R398*'Settings'!$C$16)+(S398*'Settings'!$C$17)+(T398*'Settings'!$C$18)+(U398*'Settings'!$C$19)+(L398*'Settings'!$C$10)+('Settings'!$C$11*M398)</f>
        <v>-3.77828396504518</v>
      </c>
      <c r="D398" s="48">
        <f>IF('Settings'!$E$12="YES",VLOOKUP(A398,'Player Data'!A1:E734,5,FALSE),82)</f>
        <v>77.8378571428571</v>
      </c>
      <c r="E398" s="46">
        <f>(VLOOKUP($A398,'The List'!$B1:$AH730,17,FALSE)-AVERAGE('The List'!R2:R730))/STDEV('The List'!R2:R730)</f>
        <v>-0.291045511150494</v>
      </c>
      <c r="F398" s="46">
        <f>(VLOOKUP($A398,'The List'!$B1:$AH730,18,FALSE)-AVERAGE('The List'!S2:S730))/STDEV('The List'!S2:S730)</f>
        <v>-0.453129006070806</v>
      </c>
      <c r="G398" s="46">
        <f>(VLOOKUP($A398,'The List'!$B1:$AH730,19,FALSE)-AVERAGE('The List'!T2:T730))/STDEV('The List'!T2:T730)</f>
        <v>-0.408421090599481</v>
      </c>
      <c r="H398" s="46">
        <f>(VLOOKUP($A398,'The List'!$B1:$AH730,20,FALSE)-AVERAGE('The List'!U2:U730))/STDEV('The List'!U2:U730)</f>
        <v>-0.457969019780332</v>
      </c>
      <c r="I398" s="46">
        <f>(VLOOKUP($A398,'The List'!$B1:$AH730,21,FALSE)-AVERAGE('The List'!V2:V730))/STDEV('The List'!V2:V730)</f>
        <v>-0.428367530278338</v>
      </c>
      <c r="J398" s="46">
        <f>(VLOOKUP($A398,'The List'!$B1:$AH730,22,FALSE)-AVERAGE('The List'!W2:W730))/STDEV('The List'!W2:W730)</f>
        <v>-0.630342695316462</v>
      </c>
      <c r="K398" s="46">
        <f>(VLOOKUP($A398,'The List'!$B1:$AH730,23,FALSE)-AVERAGE('The List'!X2:X730))/STDEV('The List'!X2:X730)</f>
        <v>-0.739877892318858</v>
      </c>
      <c r="L398" s="46">
        <f>(VLOOKUP($A398,'The List'!$B1:$AH730,24,FALSE)-AVERAGE('The List'!Y2:Y730))/STDEV('The List'!Y2:Y730)</f>
        <v>-0.366756831033025</v>
      </c>
      <c r="M398" s="46">
        <f>(VLOOKUP($A398,'The List'!$B1:$AH730,25,FALSE)-AVERAGE('The List'!Z2:Z730))/STDEV('The List'!Z2:Z730)</f>
        <v>2.45988161667811</v>
      </c>
      <c r="N398" s="46">
        <f>(VLOOKUP($A398,'The List'!$B1:$AH730,26,FALSE)-AVERAGE('The List'!AA2:AA730))/STDEV('The List'!AA2:AA730)</f>
        <v>0.352665671911948</v>
      </c>
      <c r="O398" s="46">
        <f>(VLOOKUP($A398,'The List'!$B1:$AH730,27,FALSE)-AVERAGE('The List'!AB2:AB730))/STDEV('The List'!AB2:AB730)</f>
        <v>0.462278651067408</v>
      </c>
      <c r="P398" s="46">
        <f>(VLOOKUP($A398,'The List'!$B1:$AH730,28,FALSE)-AVERAGE('The List'!AC2:AC730))/STDEV('The List'!AC2:AC730)</f>
        <v>-2.10115411768964</v>
      </c>
      <c r="Q398" s="46">
        <f>(VLOOKUP($A398,'The List'!$B1:$AH730,29,FALSE)-AVERAGE('The List'!AD2:AD730))/STDEV('The List'!AD2:AD730)</f>
        <v>-0.243586064284059</v>
      </c>
      <c r="R398" s="46">
        <f>(VLOOKUP($A398,'The List'!$B1:$AH730,30,FALSE)-AVERAGE('The List'!AE2:AE730))/STDEV('The List'!AE2:AE730)</f>
        <v>-0.542126413876667</v>
      </c>
      <c r="S398" s="46">
        <f>(VLOOKUP($A398,'The List'!$B1:$AH730,31,FALSE)-AVERAGE('The List'!AF2:AF730))/STDEV('The List'!AF2:AF730)</f>
        <v>0.979818687479171</v>
      </c>
      <c r="T398" s="46">
        <f>(VLOOKUP($A398,'The List'!$B1:$AH730,32,FALSE)-AVERAGE('The List'!AG2:AG730))/STDEV('The List'!AG2:AG730)</f>
        <v>1.29196271691676</v>
      </c>
      <c r="U398" s="46">
        <f>(VLOOKUP($A398,'The List'!$B1:$AH730,33,FALSE)-AVERAGE('The List'!AH2:AH730))/STDEV('The List'!AH2:AH730)</f>
        <v>0.843895237298131</v>
      </c>
      <c r="V398" s="46"/>
      <c r="W398" s="50"/>
      <c r="X398" s="48"/>
      <c r="Y398" s="48"/>
      <c r="Z398" s="48"/>
      <c r="AA398" s="48"/>
      <c r="AB398" s="48"/>
      <c r="AC398" s="51"/>
      <c r="AD398" s="52"/>
      <c r="AE398" s="46"/>
    </row>
    <row r="399" ht="21.25" customHeight="1">
      <c r="A399" t="s" s="8">
        <v>750</v>
      </c>
      <c r="B399" t="s" s="42">
        <f>VLOOKUP(A399,'Player Data'!A1:B734,2,FALSE)</f>
        <v>258</v>
      </c>
      <c r="C399" s="44">
        <f>((E399)*'Settings'!$C$12)+(F399*'Settings'!$C$2)+(G399*'Settings'!$C$3)+(H399*'Settings'!$C$4)+(I399*'Settings'!$C$5)+(K399*'Settings'!$C$9)+(N399*'Settings'!$C$6)+(J399*'Settings'!$C$8)+(O399*'Settings'!$C$7)+(P399*'Settings'!$C$14)+(Q399*'Settings'!$C$15)+(R399*'Settings'!$C$16)+(S399*'Settings'!$C$17)+(T399*'Settings'!$C$18)+(U399*'Settings'!$C$19)+(L399*'Settings'!$C$10)+('Settings'!$C$11*M399)</f>
        <v>-4.56372176573409</v>
      </c>
      <c r="D399" s="48">
        <f>IF('Settings'!$E$12="YES",VLOOKUP(A399,'Player Data'!A1:E734,5,FALSE),82)</f>
        <v>74.36714285714289</v>
      </c>
      <c r="E399" s="46">
        <f>(VLOOKUP($A399,'The List'!$B1:$AH730,17,FALSE)-AVERAGE('The List'!R2:R730))/STDEV('The List'!R2:R730)</f>
        <v>-0.7903223413191131</v>
      </c>
      <c r="F399" s="46">
        <f>(VLOOKUP($A399,'The List'!$B1:$AH730,18,FALSE)-AVERAGE('The List'!S2:S730))/STDEV('The List'!S2:S730)</f>
        <v>-0.631776391460169</v>
      </c>
      <c r="G399" s="46">
        <f>(VLOOKUP($A399,'The List'!$B1:$AH730,19,FALSE)-AVERAGE('The List'!T2:T730))/STDEV('The List'!T2:T730)</f>
        <v>-0.362419113847132</v>
      </c>
      <c r="H399" s="46">
        <f>(VLOOKUP($A399,'The List'!$B1:$AH730,20,FALSE)-AVERAGE('The List'!U2:U730))/STDEV('The List'!U2:U730)</f>
        <v>-0.510897548998019</v>
      </c>
      <c r="I399" s="46">
        <f>(VLOOKUP($A399,'The List'!$B1:$AH730,21,FALSE)-AVERAGE('The List'!V2:V730))/STDEV('The List'!V2:V730)</f>
        <v>-0.744205870753975</v>
      </c>
      <c r="J399" s="46">
        <f>(VLOOKUP($A399,'The List'!$B1:$AH730,22,FALSE)-AVERAGE('The List'!W2:W730))/STDEV('The List'!W2:W730)</f>
        <v>-0.688797979667186</v>
      </c>
      <c r="K399" s="46">
        <f>(VLOOKUP($A399,'The List'!$B1:$AH730,23,FALSE)-AVERAGE('The List'!X2:X730))/STDEV('The List'!X2:X730)</f>
        <v>-0.786381945560567</v>
      </c>
      <c r="L399" s="46">
        <f>(VLOOKUP($A399,'The List'!$B1:$AH730,24,FALSE)-AVERAGE('The List'!Y2:Y730))/STDEV('The List'!Y2:Y730)</f>
        <v>0.0120242069894111</v>
      </c>
      <c r="M399" s="46">
        <f>(VLOOKUP($A399,'The List'!$B1:$AH730,25,FALSE)-AVERAGE('The List'!Z2:Z730))/STDEV('The List'!Z2:Z730)</f>
        <v>1.76865629701809</v>
      </c>
      <c r="N399" s="46">
        <f>(VLOOKUP($A399,'The List'!$B1:$AH730,26,FALSE)-AVERAGE('The List'!AA2:AA730))/STDEV('The List'!AA2:AA730)</f>
        <v>-0.334931146846668</v>
      </c>
      <c r="O399" s="46">
        <f>(VLOOKUP($A399,'The List'!$B1:$AH730,27,FALSE)-AVERAGE('The List'!AB2:AB730))/STDEV('The List'!AB2:AB730)</f>
        <v>-0.6440037497912749</v>
      </c>
      <c r="P399" s="46">
        <f>(VLOOKUP($A399,'The List'!$B1:$AH730,28,FALSE)-AVERAGE('The List'!AC2:AC730))/STDEV('The List'!AC2:AC730)</f>
        <v>-1.70400729726558</v>
      </c>
      <c r="Q399" s="46">
        <f>(VLOOKUP($A399,'The List'!$B1:$AH730,29,FALSE)-AVERAGE('The List'!AD2:AD730))/STDEV('The List'!AD2:AD730)</f>
        <v>-0.217410879710885</v>
      </c>
      <c r="R399" s="46">
        <f>(VLOOKUP($A399,'The List'!$B1:$AH730,30,FALSE)-AVERAGE('The List'!AE2:AE730))/STDEV('The List'!AE2:AE730)</f>
        <v>-0.742010965895923</v>
      </c>
      <c r="S399" s="46">
        <f>(VLOOKUP($A399,'The List'!$B1:$AH730,31,FALSE)-AVERAGE('The List'!AF2:AF730))/STDEV('The List'!AF2:AF730)</f>
        <v>1.50552493645633</v>
      </c>
      <c r="T399" s="46">
        <f>(VLOOKUP($A399,'The List'!$B1:$AH730,32,FALSE)-AVERAGE('The List'!AG2:AG730))/STDEV('The List'!AG2:AG730)</f>
        <v>1.50947258137016</v>
      </c>
      <c r="U399" s="46">
        <f>(VLOOKUP($A399,'The List'!$B1:$AH730,33,FALSE)-AVERAGE('The List'!AH2:AH730))/STDEV('The List'!AH2:AH730)</f>
        <v>1.05291873829991</v>
      </c>
      <c r="V399" s="46"/>
      <c r="W399" s="48"/>
      <c r="X399" s="46"/>
      <c r="Y399" s="46"/>
      <c r="Z399" s="46"/>
      <c r="AA399" s="46"/>
      <c r="AB399" s="46"/>
      <c r="AC399" s="46"/>
      <c r="AD399" s="46"/>
      <c r="AE399" s="46"/>
    </row>
    <row r="400" ht="21.25" customHeight="1">
      <c r="A400" t="s" s="8">
        <v>703</v>
      </c>
      <c r="B400" t="s" s="42">
        <f>VLOOKUP(A400,'Player Data'!A1:B734,2,FALSE)</f>
        <v>141</v>
      </c>
      <c r="C400" s="44">
        <f>((E400)*'Settings'!$C$12)+(F400*'Settings'!$C$2)+(G400*'Settings'!$C$3)+(H400*'Settings'!$C$4)+(I400*'Settings'!$C$5)+(K400*'Settings'!$C$9)+(N400*'Settings'!$C$6)+(J400*'Settings'!$C$8)+(O400*'Settings'!$C$7)+(P400*'Settings'!$C$14)+(Q400*'Settings'!$C$15)+(R400*'Settings'!$C$16)+(S400*'Settings'!$C$17)+(T400*'Settings'!$C$18)+(U400*'Settings'!$C$19)+(L400*'Settings'!$C$10)+('Settings'!$C$11*M400)</f>
        <v>-2.2675010556347</v>
      </c>
      <c r="D400" s="48">
        <f>IF('Settings'!$E$12="YES",VLOOKUP(A400,'Player Data'!A1:E734,5,FALSE),82)</f>
        <v>78.6314285714286</v>
      </c>
      <c r="E400" s="46">
        <f>(VLOOKUP($A400,'The List'!$B1:$AH730,17,FALSE)-AVERAGE('The List'!R2:R730))/STDEV('The List'!R2:R730)</f>
        <v>-0.769373159414137</v>
      </c>
      <c r="F400" s="46">
        <f>(VLOOKUP($A400,'The List'!$B1:$AH730,18,FALSE)-AVERAGE('The List'!S2:S730))/STDEV('The List'!S2:S730)</f>
        <v>-0.0145745221105596</v>
      </c>
      <c r="G400" s="46">
        <f>(VLOOKUP($A400,'The List'!$B1:$AH730,19,FALSE)-AVERAGE('The List'!T2:T730))/STDEV('The List'!T2:T730)</f>
        <v>-0.719384947744194</v>
      </c>
      <c r="H400" s="46">
        <f>(VLOOKUP($A400,'The List'!$B1:$AH730,20,FALSE)-AVERAGE('The List'!U2:U730))/STDEV('The List'!U2:U730)</f>
        <v>-0.450123064782597</v>
      </c>
      <c r="I400" s="46">
        <f>(VLOOKUP($A400,'The List'!$B1:$AH730,21,FALSE)-AVERAGE('The List'!V2:V730))/STDEV('The List'!V2:V730)</f>
        <v>-0.217794928221183</v>
      </c>
      <c r="J400" s="46">
        <f>(VLOOKUP($A400,'The List'!$B1:$AH730,22,FALSE)-AVERAGE('The List'!W2:W730))/STDEV('The List'!W2:W730)</f>
        <v>-0.644951234336914</v>
      </c>
      <c r="K400" s="46">
        <f>(VLOOKUP($A400,'The List'!$B1:$AH730,23,FALSE)-AVERAGE('The List'!X2:X730))/STDEV('The List'!X2:X730)</f>
        <v>-0.741393061351992</v>
      </c>
      <c r="L400" s="46">
        <f>(VLOOKUP($A400,'The List'!$B1:$AH730,24,FALSE)-AVERAGE('The List'!Y2:Y730))/STDEV('The List'!Y2:Y730)</f>
        <v>1.23823005060902</v>
      </c>
      <c r="M400" s="46">
        <f>(VLOOKUP($A400,'The List'!$B1:$AH730,25,FALSE)-AVERAGE('The List'!Z2:Z730))/STDEV('The List'!Z2:Z730)</f>
        <v>0.488039820634647</v>
      </c>
      <c r="N400" s="46">
        <f>(VLOOKUP($A400,'The List'!$B1:$AH730,26,FALSE)-AVERAGE('The List'!AA2:AA730))/STDEV('The List'!AA2:AA730)</f>
        <v>-0.406394537918719</v>
      </c>
      <c r="O400" s="46">
        <f>(VLOOKUP($A400,'The List'!$B1:$AH730,27,FALSE)-AVERAGE('The List'!AB2:AB730))/STDEV('The List'!AB2:AB730)</f>
        <v>0.302987577860973</v>
      </c>
      <c r="P400" s="46">
        <f>(VLOOKUP($A400,'The List'!$B1:$AH730,28,FALSE)-AVERAGE('The List'!AC2:AC730))/STDEV('The List'!AC2:AC730)</f>
        <v>-0.167959058288054</v>
      </c>
      <c r="Q400" s="46">
        <f>(VLOOKUP($A400,'The List'!$B1:$AH730,29,FALSE)-AVERAGE('The List'!AD2:AD730))/STDEV('The List'!AD2:AD730)</f>
        <v>-0.539922302041504</v>
      </c>
      <c r="R400" s="46">
        <f>(VLOOKUP($A400,'The List'!$B1:$AH730,30,FALSE)-AVERAGE('The List'!AE2:AE730))/STDEV('The List'!AE2:AE730)</f>
        <v>-0.14958927591783</v>
      </c>
      <c r="S400" s="46">
        <f>(VLOOKUP($A400,'The List'!$B1:$AH730,31,FALSE)-AVERAGE('The List'!AF2:AF730))/STDEV('The List'!AF2:AF730)</f>
        <v>1.57165248386078</v>
      </c>
      <c r="T400" s="46">
        <f>(VLOOKUP($A400,'The List'!$B1:$AH730,32,FALSE)-AVERAGE('The List'!AG2:AG730))/STDEV('The List'!AG2:AG730)</f>
        <v>1.29614457500545</v>
      </c>
      <c r="U400" s="46">
        <f>(VLOOKUP($A400,'The List'!$B1:$AH730,33,FALSE)-AVERAGE('The List'!AH2:AH730))/STDEV('The List'!AH2:AH730)</f>
        <v>1.20845409276312</v>
      </c>
      <c r="V400" s="46"/>
      <c r="W400" s="48"/>
      <c r="X400" s="46"/>
      <c r="Y400" s="46"/>
      <c r="Z400" s="46"/>
      <c r="AA400" s="46"/>
      <c r="AB400" s="46"/>
      <c r="AC400" s="46"/>
      <c r="AD400" s="46"/>
      <c r="AE400" s="46"/>
    </row>
    <row r="401" ht="21.25" customHeight="1">
      <c r="A401" t="s" s="8">
        <v>738</v>
      </c>
      <c r="B401" t="s" s="42">
        <f>VLOOKUP(A401,'Player Data'!A1:B734,2,FALSE)</f>
        <v>115</v>
      </c>
      <c r="C401" s="44">
        <f>((E401)*'Settings'!$C$12)+(F401*'Settings'!$C$2)+(G401*'Settings'!$C$3)+(H401*'Settings'!$C$4)+(I401*'Settings'!$C$5)+(K401*'Settings'!$C$9)+(N401*'Settings'!$C$6)+(J401*'Settings'!$C$8)+(O401*'Settings'!$C$7)+(P401*'Settings'!$C$14)+(Q401*'Settings'!$C$15)+(R401*'Settings'!$C$16)+(S401*'Settings'!$C$17)+(T401*'Settings'!$C$18)+(U401*'Settings'!$C$19)+(L401*'Settings'!$C$10)+('Settings'!$C$11*M401)</f>
        <v>-2.42227223777488</v>
      </c>
      <c r="D401" s="48">
        <f>IF('Settings'!$E$12="YES",VLOOKUP(A401,'Player Data'!A1:E734,5,FALSE),82)</f>
        <v>73.1035714285714</v>
      </c>
      <c r="E401" s="46">
        <f>(VLOOKUP($A401,'The List'!$B1:$AH730,17,FALSE)-AVERAGE('The List'!R2:R730))/STDEV('The List'!R2:R730)</f>
        <v>-0.73095239180662</v>
      </c>
      <c r="F401" s="46">
        <f>(VLOOKUP($A401,'The List'!$B1:$AH730,18,FALSE)-AVERAGE('The List'!S2:S730))/STDEV('The List'!S2:S730)</f>
        <v>-0.32706536201889</v>
      </c>
      <c r="G401" s="46">
        <f>(VLOOKUP($A401,'The List'!$B1:$AH730,19,FALSE)-AVERAGE('The List'!T2:T730))/STDEV('The List'!T2:T730)</f>
        <v>-0.624128877981018</v>
      </c>
      <c r="H401" s="46">
        <f>(VLOOKUP($A401,'The List'!$B1:$AH730,20,FALSE)-AVERAGE('The List'!U2:U730))/STDEV('The List'!U2:U730)</f>
        <v>-0.533588549169205</v>
      </c>
      <c r="I401" s="46">
        <f>(VLOOKUP($A401,'The List'!$B1:$AH730,21,FALSE)-AVERAGE('The List'!V2:V730))/STDEV('The List'!V2:V730)</f>
        <v>-0.472384732174198</v>
      </c>
      <c r="J401" s="46">
        <f>(VLOOKUP($A401,'The List'!$B1:$AH730,22,FALSE)-AVERAGE('The List'!W2:W730))/STDEV('The List'!W2:W730)</f>
        <v>-0.670188434928309</v>
      </c>
      <c r="K401" s="46">
        <f>(VLOOKUP($A401,'The List'!$B1:$AH730,23,FALSE)-AVERAGE('The List'!X2:X730))/STDEV('The List'!X2:X730)</f>
        <v>-0.760637075106774</v>
      </c>
      <c r="L401" s="46">
        <f>(VLOOKUP($A401,'The List'!$B1:$AH730,24,FALSE)-AVERAGE('The List'!Y2:Y730))/STDEV('The List'!Y2:Y730)</f>
        <v>4.02403091338079</v>
      </c>
      <c r="M401" s="46">
        <f>(VLOOKUP($A401,'The List'!$B1:$AH730,25,FALSE)-AVERAGE('The List'!Z2:Z730))/STDEV('The List'!Z2:Z730)</f>
        <v>2.9147063754378</v>
      </c>
      <c r="N401" s="46">
        <f>(VLOOKUP($A401,'The List'!$B1:$AH730,26,FALSE)-AVERAGE('The List'!AA2:AA730))/STDEV('The List'!AA2:AA730)</f>
        <v>-0.620373118145142</v>
      </c>
      <c r="O401" s="46">
        <f>(VLOOKUP($A401,'The List'!$B1:$AH730,27,FALSE)-AVERAGE('The List'!AB2:AB730))/STDEV('The List'!AB2:AB730)</f>
        <v>0.921594979371548</v>
      </c>
      <c r="P401" s="46">
        <f>(VLOOKUP($A401,'The List'!$B1:$AH730,28,FALSE)-AVERAGE('The List'!AC2:AC730))/STDEV('The List'!AC2:AC730)</f>
        <v>0.382316927651138</v>
      </c>
      <c r="Q401" s="46">
        <f>(VLOOKUP($A401,'The List'!$B1:$AH730,29,FALSE)-AVERAGE('The List'!AD2:AD730))/STDEV('The List'!AD2:AD730)</f>
        <v>0.537546840240848</v>
      </c>
      <c r="R401" s="46">
        <f>(VLOOKUP($A401,'The List'!$B1:$AH730,30,FALSE)-AVERAGE('The List'!AE2:AE730))/STDEV('The List'!AE2:AE730)</f>
        <v>-0.172062587871308</v>
      </c>
      <c r="S401" s="46">
        <f>(VLOOKUP($A401,'The List'!$B1:$AH730,31,FALSE)-AVERAGE('The List'!AF2:AF730))/STDEV('The List'!AF2:AF730)</f>
        <v>0.510321227191135</v>
      </c>
      <c r="T401" s="46">
        <f>(VLOOKUP($A401,'The List'!$B1:$AH730,32,FALSE)-AVERAGE('The List'!AG2:AG730))/STDEV('The List'!AG2:AG730)</f>
        <v>0.623386086259851</v>
      </c>
      <c r="U401" s="46">
        <f>(VLOOKUP($A401,'The List'!$B1:$AH730,33,FALSE)-AVERAGE('The List'!AH2:AH730))/STDEV('The List'!AH2:AH730)</f>
        <v>0.923927928943182</v>
      </c>
      <c r="V401" s="46"/>
      <c r="W401" s="50"/>
      <c r="X401" s="48"/>
      <c r="Y401" s="48"/>
      <c r="Z401" s="48"/>
      <c r="AA401" s="48"/>
      <c r="AB401" s="48"/>
      <c r="AC401" s="51"/>
      <c r="AD401" s="52"/>
      <c r="AE401" s="46"/>
    </row>
    <row r="402" ht="21.25" customHeight="1">
      <c r="A402" t="s" s="8">
        <v>431</v>
      </c>
      <c r="B402" t="s" s="42">
        <f>VLOOKUP(A402,'Player Data'!A1:B734,2,FALSE)</f>
        <v>124</v>
      </c>
      <c r="C402" s="44">
        <f>((E402)*'Settings'!$C$12)+(F402*'Settings'!$C$2)+(G402*'Settings'!$C$3)+(H402*'Settings'!$C$4)+(I402*'Settings'!$C$5)+(K402*'Settings'!$C$9)+(N402*'Settings'!$C$6)+(J402*'Settings'!$C$8)+(O402*'Settings'!$C$7)+(P402*'Settings'!$C$14)+(Q402*'Settings'!$C$15)+(R402*'Settings'!$C$16)+(S402*'Settings'!$C$17)+(T402*'Settings'!$C$18)+(U402*'Settings'!$C$19)+(L402*'Settings'!$C$10)+('Settings'!$C$11*M402)</f>
        <v>-0.89872606011241</v>
      </c>
      <c r="D402" s="48">
        <f>IF('Settings'!$E$12="YES",VLOOKUP(A402,'Player Data'!A1:E734,5,FALSE),82)</f>
        <v>78.2</v>
      </c>
      <c r="E402" s="46">
        <f>(VLOOKUP($A402,'The List'!$B1:$AH730,17,FALSE)-AVERAGE('The List'!R2:R730))/STDEV('The List'!R2:R730)</f>
        <v>0.176940490792733</v>
      </c>
      <c r="F402" s="46">
        <f>(VLOOKUP($A402,'The List'!$B1:$AH730,18,FALSE)-AVERAGE('The List'!S2:S730))/STDEV('The List'!S2:S730)</f>
        <v>-0.6885005559670619</v>
      </c>
      <c r="G402" s="46">
        <f>(VLOOKUP($A402,'The List'!$B1:$AH730,19,FALSE)-AVERAGE('The List'!T2:T730))/STDEV('The List'!T2:T730)</f>
        <v>-0.237828031983138</v>
      </c>
      <c r="H402" s="46">
        <f>(VLOOKUP($A402,'The List'!$B1:$AH730,20,FALSE)-AVERAGE('The List'!U2:U730))/STDEV('The List'!U2:U730)</f>
        <v>-0.459899417107351</v>
      </c>
      <c r="I402" s="46">
        <f>(VLOOKUP($A402,'The List'!$B1:$AH730,21,FALSE)-AVERAGE('The List'!V2:V730))/STDEV('The List'!V2:V730)</f>
        <v>0.0146396639038908</v>
      </c>
      <c r="J402" s="46">
        <f>(VLOOKUP($A402,'The List'!$B1:$AH730,22,FALSE)-AVERAGE('The List'!W2:W730))/STDEV('The List'!W2:W730)</f>
        <v>-0.7078452810509011</v>
      </c>
      <c r="K402" s="46">
        <f>(VLOOKUP($A402,'The List'!$B1:$AH730,23,FALSE)-AVERAGE('The List'!X2:X730))/STDEV('The List'!X2:X730)</f>
        <v>-0.787603814423239</v>
      </c>
      <c r="L402" s="46">
        <f>(VLOOKUP($A402,'The List'!$B1:$AH730,24,FALSE)-AVERAGE('The List'!Y2:Y730))/STDEV('The List'!Y2:Y730)</f>
        <v>-0.533295224699904</v>
      </c>
      <c r="M402" s="46">
        <f>(VLOOKUP($A402,'The List'!$B1:$AH730,25,FALSE)-AVERAGE('The List'!Z2:Z730))/STDEV('The List'!Z2:Z730)</f>
        <v>-0.7001031134547619</v>
      </c>
      <c r="N402" s="46">
        <f>(VLOOKUP($A402,'The List'!$B1:$AH730,26,FALSE)-AVERAGE('The List'!AA2:AA730))/STDEV('The List'!AA2:AA730)</f>
        <v>0.776955825019215</v>
      </c>
      <c r="O402" s="46">
        <f>(VLOOKUP($A402,'The List'!$B1:$AH730,27,FALSE)-AVERAGE('The List'!AB2:AB730))/STDEV('The List'!AB2:AB730)</f>
        <v>0.140600936723765</v>
      </c>
      <c r="P402" s="46">
        <f>(VLOOKUP($A402,'The List'!$B1:$AH730,28,FALSE)-AVERAGE('The List'!AC2:AC730))/STDEV('The List'!AC2:AC730)</f>
        <v>0.0236108533379234</v>
      </c>
      <c r="Q402" s="46">
        <f>(VLOOKUP($A402,'The List'!$B1:$AH730,29,FALSE)-AVERAGE('The List'!AD2:AD730))/STDEV('The List'!AD2:AD730)</f>
        <v>-0.09324336217777129</v>
      </c>
      <c r="R402" s="46">
        <f>(VLOOKUP($A402,'The List'!$B1:$AH730,30,FALSE)-AVERAGE('The List'!AE2:AE730))/STDEV('The List'!AE2:AE730)</f>
        <v>-0.566285471039088</v>
      </c>
      <c r="S402" s="46">
        <f>(VLOOKUP($A402,'The List'!$B1:$AH730,31,FALSE)-AVERAGE('The List'!AF2:AF730))/STDEV('The List'!AF2:AF730)</f>
        <v>-0.5569063253591</v>
      </c>
      <c r="T402" s="46">
        <f>(VLOOKUP($A402,'The List'!$B1:$AH730,32,FALSE)-AVERAGE('The List'!AG2:AG730))/STDEV('The List'!AG2:AG730)</f>
        <v>-0.600856269042678</v>
      </c>
      <c r="U402" s="46">
        <f>(VLOOKUP($A402,'The List'!$B1:$AH730,33,FALSE)-AVERAGE('The List'!AH2:AH730))/STDEV('The List'!AH2:AH730)</f>
        <v>-1.2363238714826</v>
      </c>
      <c r="V402" s="46"/>
      <c r="W402" s="50"/>
      <c r="X402" s="48"/>
      <c r="Y402" s="48"/>
      <c r="Z402" s="48"/>
      <c r="AA402" s="48"/>
      <c r="AB402" s="48"/>
      <c r="AC402" s="51"/>
      <c r="AD402" s="52"/>
      <c r="AE402" s="46"/>
    </row>
    <row r="403" ht="21.25" customHeight="1">
      <c r="A403" t="s" s="8">
        <v>464</v>
      </c>
      <c r="B403" t="s" s="42">
        <f>VLOOKUP(A403,'Player Data'!A1:B734,2,FALSE)</f>
        <v>115</v>
      </c>
      <c r="C403" s="44">
        <f>((E403)*'Settings'!$C$12)+(F403*'Settings'!$C$2)+(G403*'Settings'!$C$3)+(H403*'Settings'!$C$4)+(I403*'Settings'!$C$5)+(K403*'Settings'!$C$9)+(N403*'Settings'!$C$6)+(J403*'Settings'!$C$8)+(O403*'Settings'!$C$7)+(P403*'Settings'!$C$14)+(Q403*'Settings'!$C$15)+(R403*'Settings'!$C$16)+(S403*'Settings'!$C$17)+(T403*'Settings'!$C$18)+(U403*'Settings'!$C$19)+(L403*'Settings'!$C$10)+('Settings'!$C$11*M403)</f>
        <v>0.586825944523379</v>
      </c>
      <c r="D403" s="48">
        <f>IF('Settings'!$E$12="YES",VLOOKUP(A403,'Player Data'!A1:E734,5,FALSE),82)</f>
        <v>74.68000000000001</v>
      </c>
      <c r="E403" s="46">
        <f>(VLOOKUP($A403,'The List'!$B1:$AH730,17,FALSE)-AVERAGE('The List'!R2:R730))/STDEV('The List'!R2:R730)</f>
        <v>0.654744548676057</v>
      </c>
      <c r="F403" s="46">
        <f>(VLOOKUP($A403,'The List'!$B1:$AH730,18,FALSE)-AVERAGE('The List'!S2:S730))/STDEV('The List'!S2:S730)</f>
        <v>-0.664548380070204</v>
      </c>
      <c r="G403" s="46">
        <f>(VLOOKUP($A403,'The List'!$B1:$AH730,19,FALSE)-AVERAGE('The List'!T2:T730))/STDEV('The List'!T2:T730)</f>
        <v>-0.346782168596079</v>
      </c>
      <c r="H403" s="46">
        <f>(VLOOKUP($A403,'The List'!$B1:$AH730,20,FALSE)-AVERAGE('The List'!U2:U730))/STDEV('The List'!U2:U730)</f>
        <v>-0.516169489860422</v>
      </c>
      <c r="I403" s="46">
        <f>(VLOOKUP($A403,'The List'!$B1:$AH730,21,FALSE)-AVERAGE('The List'!V2:V730))/STDEV('The List'!V2:V730)</f>
        <v>-0.522326102249422</v>
      </c>
      <c r="J403" s="46">
        <f>(VLOOKUP($A403,'The List'!$B1:$AH730,22,FALSE)-AVERAGE('The List'!W2:W730))/STDEV('The List'!W2:W730)</f>
        <v>-0.655449412455563</v>
      </c>
      <c r="K403" s="46">
        <f>(VLOOKUP($A403,'The List'!$B1:$AH730,23,FALSE)-AVERAGE('The List'!X2:X730))/STDEV('The List'!X2:X730)</f>
        <v>-0.702246265702886</v>
      </c>
      <c r="L403" s="46">
        <f>(VLOOKUP($A403,'The List'!$B1:$AH730,24,FALSE)-AVERAGE('The List'!Y2:Y730))/STDEV('The List'!Y2:Y730)</f>
        <v>0.777830468765608</v>
      </c>
      <c r="M403" s="46">
        <f>(VLOOKUP($A403,'The List'!$B1:$AH730,25,FALSE)-AVERAGE('The List'!Z2:Z730))/STDEV('The List'!Z2:Z730)</f>
        <v>1.01170382993012</v>
      </c>
      <c r="N403" s="46">
        <f>(VLOOKUP($A403,'The List'!$B1:$AH730,26,FALSE)-AVERAGE('The List'!AA2:AA730))/STDEV('The List'!AA2:AA730)</f>
        <v>1.20341400825385</v>
      </c>
      <c r="O403" s="46">
        <f>(VLOOKUP($A403,'The List'!$B1:$AH730,27,FALSE)-AVERAGE('The List'!AB2:AB730))/STDEV('The List'!AB2:AB730)</f>
        <v>0.690936212332115</v>
      </c>
      <c r="P403" s="46">
        <f>(VLOOKUP($A403,'The List'!$B1:$AH730,28,FALSE)-AVERAGE('The List'!AC2:AC730))/STDEV('The List'!AC2:AC730)</f>
        <v>1.61931485288812</v>
      </c>
      <c r="Q403" s="46">
        <f>(VLOOKUP($A403,'The List'!$B1:$AH730,29,FALSE)-AVERAGE('The List'!AD2:AD730))/STDEV('The List'!AD2:AD730)</f>
        <v>0.01000906302814</v>
      </c>
      <c r="R403" s="46">
        <f>(VLOOKUP($A403,'The List'!$B1:$AH730,30,FALSE)-AVERAGE('The List'!AE2:AE730))/STDEV('The List'!AE2:AE730)</f>
        <v>-0.52485604602786</v>
      </c>
      <c r="S403" s="46">
        <f>(VLOOKUP($A403,'The List'!$B1:$AH730,31,FALSE)-AVERAGE('The List'!AF2:AF730))/STDEV('The List'!AF2:AF730)</f>
        <v>-0.5569063253591</v>
      </c>
      <c r="T403" s="46">
        <f>(VLOOKUP($A403,'The List'!$B1:$AH730,32,FALSE)-AVERAGE('The List'!AG2:AG730))/STDEV('The List'!AG2:AG730)</f>
        <v>-0.600856269042678</v>
      </c>
      <c r="U403" s="46">
        <f>(VLOOKUP($A403,'The List'!$B1:$AH730,33,FALSE)-AVERAGE('The List'!AH2:AH730))/STDEV('The List'!AH2:AH730)</f>
        <v>-1.2363238714826</v>
      </c>
      <c r="V403" s="46"/>
      <c r="W403" s="50"/>
      <c r="X403" s="48"/>
      <c r="Y403" s="48"/>
      <c r="Z403" s="48"/>
      <c r="AA403" s="48"/>
      <c r="AB403" s="48"/>
      <c r="AC403" s="51"/>
      <c r="AD403" s="52"/>
      <c r="AE403" s="46"/>
    </row>
    <row r="404" ht="21.25" customHeight="1">
      <c r="A404" t="s" s="8">
        <v>683</v>
      </c>
      <c r="B404" t="s" s="42">
        <f>VLOOKUP(A404,'Player Data'!A1:B734,2,FALSE)</f>
        <v>131</v>
      </c>
      <c r="C404" s="44">
        <f>((E404)*'Settings'!$C$12)+(F404*'Settings'!$C$2)+(G404*'Settings'!$C$3)+(H404*'Settings'!$C$4)+(I404*'Settings'!$C$5)+(K404*'Settings'!$C$9)+(N404*'Settings'!$C$6)+(J404*'Settings'!$C$8)+(O404*'Settings'!$C$7)+(P404*'Settings'!$C$14)+(Q404*'Settings'!$C$15)+(R404*'Settings'!$C$16)+(S404*'Settings'!$C$17)+(T404*'Settings'!$C$18)+(U404*'Settings'!$C$19)+(L404*'Settings'!$C$10)+('Settings'!$C$11*M404)</f>
        <v>-2.60064190231881</v>
      </c>
      <c r="D404" s="48">
        <f>IF('Settings'!$E$12="YES",VLOOKUP(A404,'Player Data'!A1:E734,5,FALSE),82)</f>
        <v>79.2567857142857</v>
      </c>
      <c r="E404" s="46">
        <f>(VLOOKUP($A404,'The List'!$B1:$AH730,17,FALSE)-AVERAGE('The List'!R2:R730))/STDEV('The List'!R2:R730)</f>
        <v>-0.458022854104506</v>
      </c>
      <c r="F404" s="46">
        <f>(VLOOKUP($A404,'The List'!$B1:$AH730,18,FALSE)-AVERAGE('The List'!S2:S730))/STDEV('The List'!S2:S730)</f>
        <v>0.08159472135170689</v>
      </c>
      <c r="G404" s="46">
        <f>(VLOOKUP($A404,'The List'!$B1:$AH730,19,FALSE)-AVERAGE('The List'!T2:T730))/STDEV('The List'!T2:T730)</f>
        <v>-0.792527302713072</v>
      </c>
      <c r="H404" s="46">
        <f>(VLOOKUP($A404,'The List'!$B1:$AH730,20,FALSE)-AVERAGE('The List'!U2:U730))/STDEV('The List'!U2:U730)</f>
        <v>-0.451455430744614</v>
      </c>
      <c r="I404" s="46">
        <f>(VLOOKUP($A404,'The List'!$B1:$AH730,21,FALSE)-AVERAGE('The List'!V2:V730))/STDEV('The List'!V2:V730)</f>
        <v>0.0910791561961265</v>
      </c>
      <c r="J404" s="46">
        <f>(VLOOKUP($A404,'The List'!$B1:$AH730,22,FALSE)-AVERAGE('The List'!W2:W730))/STDEV('The List'!W2:W730)</f>
        <v>-0.663401227721593</v>
      </c>
      <c r="K404" s="46">
        <f>(VLOOKUP($A404,'The List'!$B1:$AH730,23,FALSE)-AVERAGE('The List'!X2:X730))/STDEV('The List'!X2:X730)</f>
        <v>-0.713495981184028</v>
      </c>
      <c r="L404" s="46">
        <f>(VLOOKUP($A404,'The List'!$B1:$AH730,24,FALSE)-AVERAGE('The List'!Y2:Y730))/STDEV('The List'!Y2:Y730)</f>
        <v>1.79384081569819</v>
      </c>
      <c r="M404" s="46">
        <f>(VLOOKUP($A404,'The List'!$B1:$AH730,25,FALSE)-AVERAGE('The List'!Z2:Z730))/STDEV('The List'!Z2:Z730)</f>
        <v>0.847091142862498</v>
      </c>
      <c r="N404" s="46">
        <f>(VLOOKUP($A404,'The List'!$B1:$AH730,26,FALSE)-AVERAGE('The List'!AA2:AA730))/STDEV('The List'!AA2:AA730)</f>
        <v>-0.6636654534874949</v>
      </c>
      <c r="O404" s="46">
        <f>(VLOOKUP($A404,'The List'!$B1:$AH730,27,FALSE)-AVERAGE('The List'!AB2:AB730))/STDEV('The List'!AB2:AB730)</f>
        <v>1.58483944707379</v>
      </c>
      <c r="P404" s="46">
        <f>(VLOOKUP($A404,'The List'!$B1:$AH730,28,FALSE)-AVERAGE('The List'!AC2:AC730))/STDEV('The List'!AC2:AC730)</f>
        <v>-0.603627042482051</v>
      </c>
      <c r="Q404" s="46">
        <f>(VLOOKUP($A404,'The List'!$B1:$AH730,29,FALSE)-AVERAGE('The List'!AD2:AD730))/STDEV('The List'!AD2:AD730)</f>
        <v>0.594900023494392</v>
      </c>
      <c r="R404" s="46">
        <f>(VLOOKUP($A404,'The List'!$B1:$AH730,30,FALSE)-AVERAGE('The List'!AE2:AE730))/STDEV('The List'!AE2:AE730)</f>
        <v>0.124091496578084</v>
      </c>
      <c r="S404" s="46">
        <f>(VLOOKUP($A404,'The List'!$B1:$AH730,31,FALSE)-AVERAGE('The List'!AF2:AF730))/STDEV('The List'!AF2:AF730)</f>
        <v>-0.493561829002864</v>
      </c>
      <c r="T404" s="46">
        <f>(VLOOKUP($A404,'The List'!$B1:$AH730,32,FALSE)-AVERAGE('The List'!AG2:AG730))/STDEV('The List'!AG2:AG730)</f>
        <v>-0.484256824398414</v>
      </c>
      <c r="U404" s="46">
        <f>(VLOOKUP($A404,'The List'!$B1:$AH730,33,FALSE)-AVERAGE('The List'!AH2:AH730))/STDEV('The List'!AH2:AH730)</f>
        <v>0.405917731614376</v>
      </c>
      <c r="V404" s="46"/>
      <c r="W404" s="50"/>
      <c r="X404" s="48"/>
      <c r="Y404" s="48"/>
      <c r="Z404" s="48"/>
      <c r="AA404" s="48"/>
      <c r="AB404" s="48"/>
      <c r="AC404" s="51"/>
      <c r="AD404" s="52"/>
      <c r="AE404" s="46"/>
    </row>
    <row r="405" ht="21.25" customHeight="1">
      <c r="A405" t="s" s="8">
        <v>436</v>
      </c>
      <c r="B405" t="s" s="42">
        <f>VLOOKUP(A405,'Player Data'!A1:B734,2,FALSE)</f>
        <v>166</v>
      </c>
      <c r="C405" s="44">
        <f>((E405)*'Settings'!$C$12)+(F405*'Settings'!$C$2)+(G405*'Settings'!$C$3)+(H405*'Settings'!$C$4)+(I405*'Settings'!$C$5)+(K405*'Settings'!$C$9)+(N405*'Settings'!$C$6)+(J405*'Settings'!$C$8)+(O405*'Settings'!$C$7)+(P405*'Settings'!$C$14)+(Q405*'Settings'!$C$15)+(R405*'Settings'!$C$16)+(S405*'Settings'!$C$17)+(T405*'Settings'!$C$18)+(U405*'Settings'!$C$19)+(L405*'Settings'!$C$10)+('Settings'!$C$11*M405)</f>
        <v>-0.91623246878975</v>
      </c>
      <c r="D405" s="48">
        <f>IF('Settings'!$E$12="YES",VLOOKUP(A405,'Player Data'!A1:E734,5,FALSE),82)</f>
        <v>79.55</v>
      </c>
      <c r="E405" s="46">
        <f>(VLOOKUP($A405,'The List'!$B1:$AH730,17,FALSE)-AVERAGE('The List'!R2:R730))/STDEV('The List'!R2:R730)</f>
        <v>1.15737171931071</v>
      </c>
      <c r="F405" s="46">
        <f>(VLOOKUP($A405,'The List'!$B1:$AH730,18,FALSE)-AVERAGE('The List'!S2:S730))/STDEV('The List'!S2:S730)</f>
        <v>-0.82570144734821</v>
      </c>
      <c r="G405" s="46">
        <f>(VLOOKUP($A405,'The List'!$B1:$AH730,19,FALSE)-AVERAGE('The List'!T2:T730))/STDEV('The List'!T2:T730)</f>
        <v>-0.13217721318373</v>
      </c>
      <c r="H405" s="46">
        <f>(VLOOKUP($A405,'The List'!$B1:$AH730,20,FALSE)-AVERAGE('The List'!U2:U730))/STDEV('The List'!U2:U730)</f>
        <v>-0.457196233196061</v>
      </c>
      <c r="I405" s="46">
        <f>(VLOOKUP($A405,'The List'!$B1:$AH730,21,FALSE)-AVERAGE('The List'!V2:V730))/STDEV('The List'!V2:V730)</f>
        <v>-0.363369102757585</v>
      </c>
      <c r="J405" s="46">
        <f>(VLOOKUP($A405,'The List'!$B1:$AH730,22,FALSE)-AVERAGE('The List'!W2:W730))/STDEV('The List'!W2:W730)</f>
        <v>-0.710278900535904</v>
      </c>
      <c r="K405" s="46">
        <f>(VLOOKUP($A405,'The List'!$B1:$AH730,23,FALSE)-AVERAGE('The List'!X2:X730))/STDEV('The List'!X2:X730)</f>
        <v>-0.793511618706352</v>
      </c>
      <c r="L405" s="46">
        <f>(VLOOKUP($A405,'The List'!$B1:$AH730,24,FALSE)-AVERAGE('The List'!Y2:Y730))/STDEV('The List'!Y2:Y730)</f>
        <v>-0.500945635394605</v>
      </c>
      <c r="M405" s="46">
        <f>(VLOOKUP($A405,'The List'!$B1:$AH730,25,FALSE)-AVERAGE('The List'!Z2:Z730))/STDEV('The List'!Z2:Z730)</f>
        <v>-0.0485189652246537</v>
      </c>
      <c r="N405" s="46">
        <f>(VLOOKUP($A405,'The List'!$B1:$AH730,26,FALSE)-AVERAGE('The List'!AA2:AA730))/STDEV('The List'!AA2:AA730)</f>
        <v>1.78375176752993</v>
      </c>
      <c r="O405" s="46">
        <f>(VLOOKUP($A405,'The List'!$B1:$AH730,27,FALSE)-AVERAGE('The List'!AB2:AB730))/STDEV('The List'!AB2:AB730)</f>
        <v>0.697260952652405</v>
      </c>
      <c r="P405" s="46">
        <f>(VLOOKUP($A405,'The List'!$B1:$AH730,28,FALSE)-AVERAGE('The List'!AC2:AC730))/STDEV('The List'!AC2:AC730)</f>
        <v>-0.585224854323803</v>
      </c>
      <c r="Q405" s="46">
        <f>(VLOOKUP($A405,'The List'!$B1:$AH730,29,FALSE)-AVERAGE('The List'!AD2:AD730))/STDEV('The List'!AD2:AD730)</f>
        <v>-0.472737394927755</v>
      </c>
      <c r="R405" s="46">
        <f>(VLOOKUP($A405,'The List'!$B1:$AH730,30,FALSE)-AVERAGE('The List'!AE2:AE730))/STDEV('The List'!AE2:AE730)</f>
        <v>-0.808411012972063</v>
      </c>
      <c r="S405" s="46">
        <f>(VLOOKUP($A405,'The List'!$B1:$AH730,31,FALSE)-AVERAGE('The List'!AF2:AF730))/STDEV('The List'!AF2:AF730)</f>
        <v>-0.5569063253591</v>
      </c>
      <c r="T405" s="46">
        <f>(VLOOKUP($A405,'The List'!$B1:$AH730,32,FALSE)-AVERAGE('The List'!AG2:AG730))/STDEV('The List'!AG2:AG730)</f>
        <v>-0.600856269042678</v>
      </c>
      <c r="U405" s="46">
        <f>(VLOOKUP($A405,'The List'!$B1:$AH730,33,FALSE)-AVERAGE('The List'!AH2:AH730))/STDEV('The List'!AH2:AH730)</f>
        <v>-1.2363238714826</v>
      </c>
      <c r="V405" s="46"/>
      <c r="W405" s="50"/>
      <c r="X405" s="48"/>
      <c r="Y405" s="48"/>
      <c r="Z405" s="48"/>
      <c r="AA405" s="48"/>
      <c r="AB405" s="48"/>
      <c r="AC405" s="51"/>
      <c r="AD405" s="52"/>
      <c r="AE405" s="46"/>
    </row>
    <row r="406" ht="21.25" customHeight="1">
      <c r="A406" t="s" s="8">
        <v>765</v>
      </c>
      <c r="B406" t="s" s="42">
        <f>VLOOKUP(A406,'Player Data'!A1:B734,2,FALSE)</f>
        <v>196</v>
      </c>
      <c r="C406" s="44">
        <f>((E406)*'Settings'!$C$12)+(F406*'Settings'!$C$2)+(G406*'Settings'!$C$3)+(H406*'Settings'!$C$4)+(I406*'Settings'!$C$5)+(K406*'Settings'!$C$9)+(N406*'Settings'!$C$6)+(J406*'Settings'!$C$8)+(O406*'Settings'!$C$7)+(P406*'Settings'!$C$14)+(Q406*'Settings'!$C$15)+(R406*'Settings'!$C$16)+(S406*'Settings'!$C$17)+(T406*'Settings'!$C$18)+(U406*'Settings'!$C$19)+(L406*'Settings'!$C$10)+('Settings'!$C$11*M406)</f>
        <v>-4.19724045344968</v>
      </c>
      <c r="D406" s="48">
        <f>IF('Settings'!$E$12="YES",VLOOKUP(A406,'Player Data'!A1:E734,5,FALSE),82)</f>
        <v>77</v>
      </c>
      <c r="E406" s="46">
        <f>(VLOOKUP($A406,'The List'!$B1:$AH730,17,FALSE)-AVERAGE('The List'!R2:R730))/STDEV('The List'!R2:R730)</f>
        <v>-0.9237367374259829</v>
      </c>
      <c r="F406" s="46">
        <f>(VLOOKUP($A406,'The List'!$B1:$AH730,18,FALSE)-AVERAGE('The List'!S2:S730))/STDEV('The List'!S2:S730)</f>
        <v>-0.151175998936655</v>
      </c>
      <c r="G406" s="46">
        <f>(VLOOKUP($A406,'The List'!$B1:$AH730,19,FALSE)-AVERAGE('The List'!T2:T730))/STDEV('The List'!T2:T730)</f>
        <v>-0.693935013804288</v>
      </c>
      <c r="H406" s="46">
        <f>(VLOOKUP($A406,'The List'!$B1:$AH730,20,FALSE)-AVERAGE('The List'!U2:U730))/STDEV('The List'!U2:U730)</f>
        <v>-0.496589926608348</v>
      </c>
      <c r="I406" s="46">
        <f>(VLOOKUP($A406,'The List'!$B1:$AH730,21,FALSE)-AVERAGE('The List'!V2:V730))/STDEV('The List'!V2:V730)</f>
        <v>-0.931402469715413</v>
      </c>
      <c r="J406" s="46">
        <f>(VLOOKUP($A406,'The List'!$B1:$AH730,22,FALSE)-AVERAGE('The List'!W2:W730))/STDEV('The List'!W2:W730)</f>
        <v>-0.684769998367205</v>
      </c>
      <c r="K406" s="46">
        <f>(VLOOKUP($A406,'The List'!$B1:$AH730,23,FALSE)-AVERAGE('The List'!X2:X730))/STDEV('The List'!X2:X730)</f>
        <v>-0.763090181733268</v>
      </c>
      <c r="L406" s="46">
        <f>(VLOOKUP($A406,'The List'!$B1:$AH730,24,FALSE)-AVERAGE('The List'!Y2:Y730))/STDEV('The List'!Y2:Y730)</f>
        <v>-0.18832205210206</v>
      </c>
      <c r="M406" s="46">
        <f>(VLOOKUP($A406,'The List'!$B1:$AH730,25,FALSE)-AVERAGE('The List'!Z2:Z730))/STDEV('The List'!Z2:Z730)</f>
        <v>-0.348119801356361</v>
      </c>
      <c r="N406" s="46">
        <f>(VLOOKUP($A406,'The List'!$B1:$AH730,26,FALSE)-AVERAGE('The List'!AA2:AA730))/STDEV('The List'!AA2:AA730)</f>
        <v>-0.406008613300818</v>
      </c>
      <c r="O406" s="46">
        <f>(VLOOKUP($A406,'The List'!$B1:$AH730,27,FALSE)-AVERAGE('The List'!AB2:AB730))/STDEV('The List'!AB2:AB730)</f>
        <v>3.08580279609075</v>
      </c>
      <c r="P406" s="46">
        <f>(VLOOKUP($A406,'The List'!$B1:$AH730,28,FALSE)-AVERAGE('The List'!AC2:AC730))/STDEV('The List'!AC2:AC730)</f>
        <v>-1.25162817595924</v>
      </c>
      <c r="Q406" s="46">
        <f>(VLOOKUP($A406,'The List'!$B1:$AH730,29,FALSE)-AVERAGE('The List'!AD2:AD730))/STDEV('The List'!AD2:AD730)</f>
        <v>1.03732682278202</v>
      </c>
      <c r="R406" s="46">
        <f>(VLOOKUP($A406,'The List'!$B1:$AH730,30,FALSE)-AVERAGE('The List'!AE2:AE730))/STDEV('The List'!AE2:AE730)</f>
        <v>-0.244751754896084</v>
      </c>
      <c r="S406" s="46">
        <f>(VLOOKUP($A406,'The List'!$B1:$AH730,31,FALSE)-AVERAGE('The List'!AF2:AF730))/STDEV('The List'!AF2:AF730)</f>
        <v>1.00800404853773</v>
      </c>
      <c r="T406" s="46">
        <f>(VLOOKUP($A406,'The List'!$B1:$AH730,32,FALSE)-AVERAGE('The List'!AG2:AG730))/STDEV('The List'!AG2:AG730)</f>
        <v>1.57108168517471</v>
      </c>
      <c r="U406" s="46">
        <f>(VLOOKUP($A406,'The List'!$B1:$AH730,33,FALSE)-AVERAGE('The List'!AH2:AH730))/STDEV('The List'!AH2:AH730)</f>
        <v>0.710729170049398</v>
      </c>
      <c r="V406" s="46"/>
      <c r="W406" s="50"/>
      <c r="X406" s="48"/>
      <c r="Y406" s="48"/>
      <c r="Z406" s="48"/>
      <c r="AA406" s="48"/>
      <c r="AB406" s="48"/>
      <c r="AC406" s="51"/>
      <c r="AD406" s="52"/>
      <c r="AE406" s="46"/>
    </row>
    <row r="407" ht="21.25" customHeight="1">
      <c r="A407" t="s" s="8">
        <v>691</v>
      </c>
      <c r="B407" t="s" s="42">
        <f>VLOOKUP(A407,'Player Data'!A1:B734,2,FALSE)</f>
        <v>292</v>
      </c>
      <c r="C407" s="44">
        <f>((E407)*'Settings'!$C$12)+(F407*'Settings'!$C$2)+(G407*'Settings'!$C$3)+(H407*'Settings'!$C$4)+(I407*'Settings'!$C$5)+(K407*'Settings'!$C$9)+(N407*'Settings'!$C$6)+(J407*'Settings'!$C$8)+(O407*'Settings'!$C$7)+(P407*'Settings'!$C$14)+(Q407*'Settings'!$C$15)+(R407*'Settings'!$C$16)+(S407*'Settings'!$C$17)+(T407*'Settings'!$C$18)+(U407*'Settings'!$C$19)+(L407*'Settings'!$C$10)+('Settings'!$C$11*M407)</f>
        <v>-2.6388452699481</v>
      </c>
      <c r="D407" s="48">
        <f>IF('Settings'!$E$12="YES",VLOOKUP(A407,'Player Data'!A1:E734,5,FALSE),82)</f>
        <v>70.675</v>
      </c>
      <c r="E407" s="46">
        <f>(VLOOKUP($A407,'The List'!$B1:$AH730,17,FALSE)-AVERAGE('The List'!R2:R730))/STDEV('The List'!R2:R730)</f>
        <v>-0.823582630556255</v>
      </c>
      <c r="F407" s="46">
        <f>(VLOOKUP($A407,'The List'!$B1:$AH730,18,FALSE)-AVERAGE('The List'!S2:S730))/STDEV('The List'!S2:S730)</f>
        <v>-0.419805729611852</v>
      </c>
      <c r="G407" s="46">
        <f>(VLOOKUP($A407,'The List'!$B1:$AH730,19,FALSE)-AVERAGE('The List'!T2:T730))/STDEV('The List'!T2:T730)</f>
        <v>-0.654573536589803</v>
      </c>
      <c r="H407" s="46">
        <f>(VLOOKUP($A407,'The List'!$B1:$AH730,20,FALSE)-AVERAGE('The List'!U2:U730))/STDEV('The List'!U2:U730)</f>
        <v>-0.594556008274417</v>
      </c>
      <c r="I407" s="46">
        <f>(VLOOKUP($A407,'The List'!$B1:$AH730,21,FALSE)-AVERAGE('The List'!V2:V730))/STDEV('The List'!V2:V730)</f>
        <v>-0.244363246925864</v>
      </c>
      <c r="J407" s="46">
        <f>(VLOOKUP($A407,'The List'!$B1:$AH730,22,FALSE)-AVERAGE('The List'!W2:W730))/STDEV('The List'!W2:W730)</f>
        <v>-0.352283918544885</v>
      </c>
      <c r="K407" s="46">
        <f>(VLOOKUP($A407,'The List'!$B1:$AH730,23,FALSE)-AVERAGE('The List'!X2:X730))/STDEV('The List'!X2:X730)</f>
        <v>-0.5096689344676461</v>
      </c>
      <c r="L407" s="46">
        <f>(VLOOKUP($A407,'The List'!$B1:$AH730,24,FALSE)-AVERAGE('The List'!Y2:Y730))/STDEV('The List'!Y2:Y730)</f>
        <v>-0.496301863463259</v>
      </c>
      <c r="M407" s="46">
        <f>(VLOOKUP($A407,'The List'!$B1:$AH730,25,FALSE)-AVERAGE('The List'!Z2:Z730))/STDEV('The List'!Z2:Z730)</f>
        <v>-0.669907628720941</v>
      </c>
      <c r="N407" s="46">
        <f>(VLOOKUP($A407,'The List'!$B1:$AH730,26,FALSE)-AVERAGE('The List'!AA2:AA730))/STDEV('The List'!AA2:AA730)</f>
        <v>-0.667961171842223</v>
      </c>
      <c r="O407" s="46">
        <f>(VLOOKUP($A407,'The List'!$B1:$AH730,27,FALSE)-AVERAGE('The List'!AB2:AB730))/STDEV('The List'!AB2:AB730)</f>
        <v>-0.649865421425369</v>
      </c>
      <c r="P407" s="46">
        <f>(VLOOKUP($A407,'The List'!$B1:$AH730,28,FALSE)-AVERAGE('The List'!AC2:AC730))/STDEV('The List'!AC2:AC730)</f>
        <v>-0.142472650510708</v>
      </c>
      <c r="Q407" s="46">
        <f>(VLOOKUP($A407,'The List'!$B1:$AH730,29,FALSE)-AVERAGE('The List'!AD2:AD730))/STDEV('The List'!AD2:AD730)</f>
        <v>-1.24486211905776</v>
      </c>
      <c r="R407" s="46">
        <f>(VLOOKUP($A407,'The List'!$B1:$AH730,30,FALSE)-AVERAGE('The List'!AE2:AE730))/STDEV('The List'!AE2:AE730)</f>
        <v>-1.18448477237391</v>
      </c>
      <c r="S407" s="46">
        <f>(VLOOKUP($A407,'The List'!$B1:$AH730,31,FALSE)-AVERAGE('The List'!AF2:AF730))/STDEV('The List'!AF2:AF730)</f>
        <v>-0.529017604911214</v>
      </c>
      <c r="T407" s="46">
        <f>(VLOOKUP($A407,'The List'!$B1:$AH730,32,FALSE)-AVERAGE('The List'!AG2:AG730))/STDEV('The List'!AG2:AG730)</f>
        <v>-0.55973258500277</v>
      </c>
      <c r="U407" s="46">
        <f>(VLOOKUP($A407,'The List'!$B1:$AH730,33,FALSE)-AVERAGE('The List'!AH2:AH730))/STDEV('The List'!AH2:AH730)</f>
        <v>0.643937000173468</v>
      </c>
      <c r="V407" s="46"/>
      <c r="W407" s="50"/>
      <c r="X407" s="48"/>
      <c r="Y407" s="48"/>
      <c r="Z407" s="48"/>
      <c r="AA407" s="48"/>
      <c r="AB407" s="48"/>
      <c r="AC407" s="51"/>
      <c r="AD407" s="52"/>
      <c r="AE407" s="46"/>
    </row>
    <row r="408" ht="21.25" customHeight="1">
      <c r="A408" t="s" s="8">
        <v>380</v>
      </c>
      <c r="B408" t="s" s="42">
        <f>VLOOKUP(A408,'Player Data'!A1:B734,2,FALSE)</f>
        <v>122</v>
      </c>
      <c r="C408" s="44">
        <f>((E408)*'Settings'!$C$12)+(F408*'Settings'!$C$2)+(G408*'Settings'!$C$3)+(H408*'Settings'!$C$4)+(I408*'Settings'!$C$5)+(K408*'Settings'!$C$9)+(N408*'Settings'!$C$6)+(J408*'Settings'!$C$8)+(O408*'Settings'!$C$7)+(P408*'Settings'!$C$14)+(Q408*'Settings'!$C$15)+(R408*'Settings'!$C$16)+(S408*'Settings'!$C$17)+(T408*'Settings'!$C$18)+(U408*'Settings'!$C$19)+(L408*'Settings'!$C$10)+('Settings'!$C$11*M408)</f>
        <v>0.92453833389313</v>
      </c>
      <c r="D408" s="48">
        <f>IF('Settings'!$E$12="YES",VLOOKUP(A408,'Player Data'!A1:E734,5,FALSE),82)</f>
        <v>80.64107142857139</v>
      </c>
      <c r="E408" s="46">
        <f>(VLOOKUP($A408,'The List'!$B1:$AH730,17,FALSE)-AVERAGE('The List'!R2:R730))/STDEV('The List'!R2:R730)</f>
        <v>0.285086593231145</v>
      </c>
      <c r="F408" s="46">
        <f>(VLOOKUP($A408,'The List'!$B1:$AH730,18,FALSE)-AVERAGE('The List'!S2:S730))/STDEV('The List'!S2:S730)</f>
        <v>-0.8539891946179859</v>
      </c>
      <c r="G408" s="46">
        <f>(VLOOKUP($A408,'The List'!$B1:$AH730,19,FALSE)-AVERAGE('The List'!T2:T730))/STDEV('The List'!T2:T730)</f>
        <v>-0.105762072868211</v>
      </c>
      <c r="H408" s="46">
        <f>(VLOOKUP($A408,'The List'!$B1:$AH730,20,FALSE)-AVERAGE('The List'!U2:U730))/STDEV('The List'!U2:U730)</f>
        <v>-0.453783138721938</v>
      </c>
      <c r="I408" s="46">
        <f>(VLOOKUP($A408,'The List'!$B1:$AH730,21,FALSE)-AVERAGE('The List'!V2:V730))/STDEV('The List'!V2:V730)</f>
        <v>0.08664339524187641</v>
      </c>
      <c r="J408" s="46">
        <f>(VLOOKUP($A408,'The List'!$B1:$AH730,22,FALSE)-AVERAGE('The List'!W2:W730))/STDEV('The List'!W2:W730)</f>
        <v>-0.437928137889384</v>
      </c>
      <c r="K408" s="46">
        <f>(VLOOKUP($A408,'The List'!$B1:$AH730,23,FALSE)-AVERAGE('The List'!X2:X730))/STDEV('The List'!X2:X730)</f>
        <v>0.188657503200739</v>
      </c>
      <c r="L408" s="46">
        <f>(VLOOKUP($A408,'The List'!$B1:$AH730,24,FALSE)-AVERAGE('The List'!Y2:Y730))/STDEV('The List'!Y2:Y730)</f>
        <v>-0.526286904329488</v>
      </c>
      <c r="M408" s="46">
        <f>(VLOOKUP($A408,'The List'!$B1:$AH730,25,FALSE)-AVERAGE('The List'!Z2:Z730))/STDEV('The List'!Z2:Z730)</f>
        <v>-0.681812849093441</v>
      </c>
      <c r="N408" s="46">
        <f>(VLOOKUP($A408,'The List'!$B1:$AH730,26,FALSE)-AVERAGE('The List'!AA2:AA730))/STDEV('The List'!AA2:AA730)</f>
        <v>1.12199830426029</v>
      </c>
      <c r="O408" s="46">
        <f>(VLOOKUP($A408,'The List'!$B1:$AH730,27,FALSE)-AVERAGE('The List'!AB2:AB730))/STDEV('The List'!AB2:AB730)</f>
        <v>-0.216627135402764</v>
      </c>
      <c r="P408" s="46">
        <f>(VLOOKUP($A408,'The List'!$B1:$AH730,28,FALSE)-AVERAGE('The List'!AC2:AC730))/STDEV('The List'!AC2:AC730)</f>
        <v>0.486990398676422</v>
      </c>
      <c r="Q408" s="46">
        <f>(VLOOKUP($A408,'The List'!$B1:$AH730,29,FALSE)-AVERAGE('The List'!AD2:AD730))/STDEV('The List'!AD2:AD730)</f>
        <v>0.388331487424302</v>
      </c>
      <c r="R408" s="46">
        <f>(VLOOKUP($A408,'The List'!$B1:$AH730,30,FALSE)-AVERAGE('The List'!AE2:AE730))/STDEV('The List'!AE2:AE730)</f>
        <v>-0.702115548815902</v>
      </c>
      <c r="S408" s="46">
        <f>(VLOOKUP($A408,'The List'!$B1:$AH730,31,FALSE)-AVERAGE('The List'!AF2:AF730))/STDEV('The List'!AF2:AF730)</f>
        <v>-0.5569063253591</v>
      </c>
      <c r="T408" s="46">
        <f>(VLOOKUP($A408,'The List'!$B1:$AH730,32,FALSE)-AVERAGE('The List'!AG2:AG730))/STDEV('The List'!AG2:AG730)</f>
        <v>-0.600118039777444</v>
      </c>
      <c r="U408" s="46">
        <f>(VLOOKUP($A408,'The List'!$B1:$AH730,33,FALSE)-AVERAGE('The List'!AH2:AH730))/STDEV('The List'!AH2:AH730)</f>
        <v>-1.2363238714826</v>
      </c>
      <c r="V408" s="46"/>
      <c r="W408" s="48"/>
      <c r="X408" s="46"/>
      <c r="Y408" s="46"/>
      <c r="Z408" s="46"/>
      <c r="AA408" s="46"/>
      <c r="AB408" s="46"/>
      <c r="AC408" s="46"/>
      <c r="AD408" s="46"/>
      <c r="AE408" s="46"/>
    </row>
    <row r="409" ht="21.25" customHeight="1">
      <c r="A409" t="s" s="8">
        <v>462</v>
      </c>
      <c r="B409" t="s" s="42">
        <f>VLOOKUP(A409,'Player Data'!A1:B734,2,FALSE)</f>
        <v>122</v>
      </c>
      <c r="C409" s="44">
        <f>((E409)*'Settings'!$C$12)+(F409*'Settings'!$C$2)+(G409*'Settings'!$C$3)+(H409*'Settings'!$C$4)+(I409*'Settings'!$C$5)+(K409*'Settings'!$C$9)+(N409*'Settings'!$C$6)+(J409*'Settings'!$C$8)+(O409*'Settings'!$C$7)+(P409*'Settings'!$C$14)+(Q409*'Settings'!$C$15)+(R409*'Settings'!$C$16)+(S409*'Settings'!$C$17)+(T409*'Settings'!$C$18)+(U409*'Settings'!$C$19)+(L409*'Settings'!$C$10)+('Settings'!$C$11*M409)</f>
        <v>0.220087159637437</v>
      </c>
      <c r="D409" s="48">
        <f>IF('Settings'!$E$12="YES",VLOOKUP(A409,'Player Data'!A1:E734,5,FALSE),82)</f>
        <v>76.7678571428571</v>
      </c>
      <c r="E409" s="46">
        <f>(VLOOKUP($A409,'The List'!$B1:$AH730,17,FALSE)-AVERAGE('The List'!R2:R730))/STDEV('The List'!R2:R730)</f>
        <v>0.222683001615793</v>
      </c>
      <c r="F409" s="46">
        <f>(VLOOKUP($A409,'The List'!$B1:$AH730,18,FALSE)-AVERAGE('The List'!S2:S730))/STDEV('The List'!S2:S730)</f>
        <v>-0.844020358424954</v>
      </c>
      <c r="G409" s="46">
        <f>(VLOOKUP($A409,'The List'!$B1:$AH730,19,FALSE)-AVERAGE('The List'!T2:T730))/STDEV('The List'!T2:T730)</f>
        <v>-0.210202975734366</v>
      </c>
      <c r="H409" s="46">
        <f>(VLOOKUP($A409,'The List'!$B1:$AH730,20,FALSE)-AVERAGE('The List'!U2:U730))/STDEV('The List'!U2:U730)</f>
        <v>-0.513633562201503</v>
      </c>
      <c r="I409" s="46">
        <f>(VLOOKUP($A409,'The List'!$B1:$AH730,21,FALSE)-AVERAGE('The List'!V2:V730))/STDEV('The List'!V2:V730)</f>
        <v>-0.386399266680594</v>
      </c>
      <c r="J409" s="46">
        <f>(VLOOKUP($A409,'The List'!$B1:$AH730,22,FALSE)-AVERAGE('The List'!W2:W730))/STDEV('The List'!W2:W730)</f>
        <v>-0.671855681131339</v>
      </c>
      <c r="K409" s="46">
        <f>(VLOOKUP($A409,'The List'!$B1:$AH730,23,FALSE)-AVERAGE('The List'!X2:X730))/STDEV('The List'!X2:X730)</f>
        <v>-0.618995144985415</v>
      </c>
      <c r="L409" s="46">
        <f>(VLOOKUP($A409,'The List'!$B1:$AH730,24,FALSE)-AVERAGE('The List'!Y2:Y730))/STDEV('The List'!Y2:Y730)</f>
        <v>-0.524619364652175</v>
      </c>
      <c r="M409" s="46">
        <f>(VLOOKUP($A409,'The List'!$B1:$AH730,25,FALSE)-AVERAGE('The List'!Z2:Z730))/STDEV('The List'!Z2:Z730)</f>
        <v>-0.679593136877515</v>
      </c>
      <c r="N409" s="46">
        <f>(VLOOKUP($A409,'The List'!$B1:$AH730,26,FALSE)-AVERAGE('The List'!AA2:AA730))/STDEV('The List'!AA2:AA730)</f>
        <v>0.646265805535716</v>
      </c>
      <c r="O409" s="46">
        <f>(VLOOKUP($A409,'The List'!$B1:$AH730,27,FALSE)-AVERAGE('The List'!AB2:AB730))/STDEV('The List'!AB2:AB730)</f>
        <v>-0.632287880167331</v>
      </c>
      <c r="P409" s="46">
        <f>(VLOOKUP($A409,'The List'!$B1:$AH730,28,FALSE)-AVERAGE('The List'!AC2:AC730))/STDEV('The List'!AC2:AC730)</f>
        <v>1.63343909992705</v>
      </c>
      <c r="Q409" s="46">
        <f>(VLOOKUP($A409,'The List'!$B1:$AH730,29,FALSE)-AVERAGE('The List'!AD2:AD730))/STDEV('The List'!AD2:AD730)</f>
        <v>-0.126009093527885</v>
      </c>
      <c r="R409" s="46">
        <f>(VLOOKUP($A409,'The List'!$B1:$AH730,30,FALSE)-AVERAGE('The List'!AE2:AE730))/STDEV('The List'!AE2:AE730)</f>
        <v>-0.69122542449816</v>
      </c>
      <c r="S409" s="46">
        <f>(VLOOKUP($A409,'The List'!$B1:$AH730,31,FALSE)-AVERAGE('The List'!AF2:AF730))/STDEV('The List'!AF2:AF730)</f>
        <v>-0.5569063253591</v>
      </c>
      <c r="T409" s="46">
        <f>(VLOOKUP($A409,'The List'!$B1:$AH730,32,FALSE)-AVERAGE('The List'!AG2:AG730))/STDEV('The List'!AG2:AG730)</f>
        <v>-0.600856269042678</v>
      </c>
      <c r="U409" s="46">
        <f>(VLOOKUP($A409,'The List'!$B1:$AH730,33,FALSE)-AVERAGE('The List'!AH2:AH730))/STDEV('The List'!AH2:AH730)</f>
        <v>-1.2363238714826</v>
      </c>
      <c r="V409" s="46"/>
      <c r="W409" s="50"/>
      <c r="X409" s="48"/>
      <c r="Y409" s="48"/>
      <c r="Z409" s="48"/>
      <c r="AA409" s="48"/>
      <c r="AB409" s="48"/>
      <c r="AC409" s="51"/>
      <c r="AD409" s="52"/>
      <c r="AE409" s="46"/>
    </row>
    <row r="410" ht="21.25" customHeight="1">
      <c r="A410" t="s" s="8">
        <v>769</v>
      </c>
      <c r="B410" t="s" s="42">
        <f>VLOOKUP(A410,'Player Data'!A1:B734,2,FALSE)</f>
        <v>234</v>
      </c>
      <c r="C410" s="44">
        <f>((E410)*'Settings'!$C$12)+(F410*'Settings'!$C$2)+(G410*'Settings'!$C$3)+(H410*'Settings'!$C$4)+(I410*'Settings'!$C$5)+(K410*'Settings'!$C$9)+(N410*'Settings'!$C$6)+(J410*'Settings'!$C$8)+(O410*'Settings'!$C$7)+(P410*'Settings'!$C$14)+(Q410*'Settings'!$C$15)+(R410*'Settings'!$C$16)+(S410*'Settings'!$C$17)+(T410*'Settings'!$C$18)+(U410*'Settings'!$C$19)+(L410*'Settings'!$C$10)+('Settings'!$C$11*M410)</f>
        <v>-5.08462244377256</v>
      </c>
      <c r="D410" s="48">
        <f>IF('Settings'!$E$12="YES",VLOOKUP(A410,'Player Data'!A1:E734,5,FALSE),82)</f>
        <v>73.8</v>
      </c>
      <c r="E410" s="46">
        <f>(VLOOKUP($A410,'The List'!$B1:$AH730,17,FALSE)-AVERAGE('The List'!R2:R730))/STDEV('The List'!R2:R730)</f>
        <v>-0.582004441677989</v>
      </c>
      <c r="F410" s="46">
        <f>(VLOOKUP($A410,'The List'!$B1:$AH730,18,FALSE)-AVERAGE('The List'!S2:S730))/STDEV('The List'!S2:S730)</f>
        <v>-0.265205675048783</v>
      </c>
      <c r="G410" s="46">
        <f>(VLOOKUP($A410,'The List'!$B1:$AH730,19,FALSE)-AVERAGE('The List'!T2:T730))/STDEV('The List'!T2:T730)</f>
        <v>-0.706512730898175</v>
      </c>
      <c r="H410" s="46">
        <f>(VLOOKUP($A410,'The List'!$B1:$AH730,20,FALSE)-AVERAGE('The List'!U2:U730))/STDEV('The List'!U2:U730)</f>
        <v>-0.5562297134551319</v>
      </c>
      <c r="I410" s="46">
        <f>(VLOOKUP($A410,'The List'!$B1:$AH730,21,FALSE)-AVERAGE('The List'!V2:V730))/STDEV('The List'!V2:V730)</f>
        <v>-0.883569450935842</v>
      </c>
      <c r="J410" s="46">
        <f>(VLOOKUP($A410,'The List'!$B1:$AH730,22,FALSE)-AVERAGE('The List'!W2:W730))/STDEV('The List'!W2:W730)</f>
        <v>-0.671240922746645</v>
      </c>
      <c r="K410" s="46">
        <f>(VLOOKUP($A410,'The List'!$B1:$AH730,23,FALSE)-AVERAGE('The List'!X2:X730))/STDEV('The List'!X2:X730)</f>
        <v>-0.762040302167856</v>
      </c>
      <c r="L410" s="46">
        <f>(VLOOKUP($A410,'The List'!$B1:$AH730,24,FALSE)-AVERAGE('The List'!Y2:Y730))/STDEV('The List'!Y2:Y730)</f>
        <v>1.56176905787456</v>
      </c>
      <c r="M410" s="46">
        <f>(VLOOKUP($A410,'The List'!$B1:$AH730,25,FALSE)-AVERAGE('The List'!Z2:Z730))/STDEV('The List'!Z2:Z730)</f>
        <v>0.695087099957147</v>
      </c>
      <c r="N410" s="46">
        <f>(VLOOKUP($A410,'The List'!$B1:$AH730,26,FALSE)-AVERAGE('The List'!AA2:AA730))/STDEV('The List'!AA2:AA730)</f>
        <v>-0.27281655619403</v>
      </c>
      <c r="O410" s="46">
        <f>(VLOOKUP($A410,'The List'!$B1:$AH730,27,FALSE)-AVERAGE('The List'!AB2:AB730))/STDEV('The List'!AB2:AB730)</f>
        <v>-1.11926679871622</v>
      </c>
      <c r="P410" s="46">
        <f>(VLOOKUP($A410,'The List'!$B1:$AH730,28,FALSE)-AVERAGE('The List'!AC2:AC730))/STDEV('The List'!AC2:AC730)</f>
        <v>-2.19447772852787</v>
      </c>
      <c r="Q410" s="46">
        <f>(VLOOKUP($A410,'The List'!$B1:$AH730,29,FALSE)-AVERAGE('The List'!AD2:AD730))/STDEV('The List'!AD2:AD730)</f>
        <v>-1.370509855798</v>
      </c>
      <c r="R410" s="46">
        <f>(VLOOKUP($A410,'The List'!$B1:$AH730,30,FALSE)-AVERAGE('The List'!AE2:AE730))/STDEV('The List'!AE2:AE730)</f>
        <v>-0.541763902987466</v>
      </c>
      <c r="S410" s="46">
        <f>(VLOOKUP($A410,'The List'!$B1:$AH730,31,FALSE)-AVERAGE('The List'!AF2:AF730))/STDEV('The List'!AF2:AF730)</f>
        <v>1.09618213780396</v>
      </c>
      <c r="T410" s="46">
        <f>(VLOOKUP($A410,'The List'!$B1:$AH730,32,FALSE)-AVERAGE('The List'!AG2:AG730))/STDEV('The List'!AG2:AG730)</f>
        <v>1.42914349916352</v>
      </c>
      <c r="U410" s="46">
        <f>(VLOOKUP($A410,'The List'!$B1:$AH730,33,FALSE)-AVERAGE('The List'!AH2:AH730))/STDEV('The List'!AH2:AH730)</f>
        <v>0.84728807813536</v>
      </c>
      <c r="V410" s="46"/>
      <c r="W410" s="48"/>
      <c r="X410" s="46"/>
      <c r="Y410" s="46"/>
      <c r="Z410" s="46"/>
      <c r="AA410" s="46"/>
      <c r="AB410" s="46"/>
      <c r="AC410" s="46"/>
      <c r="AD410" s="46"/>
      <c r="AE410" s="46"/>
    </row>
    <row r="411" ht="21.25" customHeight="1">
      <c r="A411" t="s" s="8">
        <v>723</v>
      </c>
      <c r="B411" t="s" s="42">
        <f>VLOOKUP(A411,'Player Data'!A1:B734,2,FALSE)</f>
        <v>236</v>
      </c>
      <c r="C411" s="44">
        <f>((E411)*'Settings'!$C$12)+(F411*'Settings'!$C$2)+(G411*'Settings'!$C$3)+(H411*'Settings'!$C$4)+(I411*'Settings'!$C$5)+(K411*'Settings'!$C$9)+(N411*'Settings'!$C$6)+(J411*'Settings'!$C$8)+(O411*'Settings'!$C$7)+(P411*'Settings'!$C$14)+(Q411*'Settings'!$C$15)+(R411*'Settings'!$C$16)+(S411*'Settings'!$C$17)+(T411*'Settings'!$C$18)+(U411*'Settings'!$C$19)+(L411*'Settings'!$C$10)+('Settings'!$C$11*M411)</f>
        <v>-3.58549118060516</v>
      </c>
      <c r="D411" s="48">
        <f>IF('Settings'!$E$12="YES",VLOOKUP(A411,'Player Data'!A1:E734,5,FALSE),82)</f>
        <v>66.2</v>
      </c>
      <c r="E411" s="46">
        <f>(VLOOKUP($A411,'The List'!$B1:$AH730,17,FALSE)-AVERAGE('The List'!R2:R730))/STDEV('The List'!R2:R730)</f>
        <v>-0.955628355682638</v>
      </c>
      <c r="F411" s="46">
        <f>(VLOOKUP($A411,'The List'!$B1:$AH730,18,FALSE)-AVERAGE('The List'!S2:S730))/STDEV('The List'!S2:S730)</f>
        <v>-0.232241701424362</v>
      </c>
      <c r="G411" s="46">
        <f>(VLOOKUP($A411,'The List'!$B1:$AH730,19,FALSE)-AVERAGE('The List'!T2:T730))/STDEV('The List'!T2:T730)</f>
        <v>-0.908334015874936</v>
      </c>
      <c r="H411" s="46">
        <f>(VLOOKUP($A411,'The List'!$B1:$AH730,20,FALSE)-AVERAGE('The List'!U2:U730))/STDEV('The List'!U2:U730)</f>
        <v>-0.665650613854647</v>
      </c>
      <c r="I411" s="46">
        <f>(VLOOKUP($A411,'The List'!$B1:$AH730,21,FALSE)-AVERAGE('The List'!V2:V730))/STDEV('The List'!V2:V730)</f>
        <v>-0.526043468358792</v>
      </c>
      <c r="J411" s="46">
        <f>(VLOOKUP($A411,'The List'!$B1:$AH730,22,FALSE)-AVERAGE('The List'!W2:W730))/STDEV('The List'!W2:W730)</f>
        <v>-0.629622039771967</v>
      </c>
      <c r="K411" s="46">
        <f>(VLOOKUP($A411,'The List'!$B1:$AH730,23,FALSE)-AVERAGE('The List'!X2:X730))/STDEV('The List'!X2:X730)</f>
        <v>-0.733979500346711</v>
      </c>
      <c r="L411" s="46">
        <f>(VLOOKUP($A411,'The List'!$B1:$AH730,24,FALSE)-AVERAGE('The List'!Y2:Y730))/STDEV('The List'!Y2:Y730)</f>
        <v>-0.532861934036916</v>
      </c>
      <c r="M411" s="46">
        <f>(VLOOKUP($A411,'The List'!$B1:$AH730,25,FALSE)-AVERAGE('The List'!Z2:Z730))/STDEV('The List'!Z2:Z730)</f>
        <v>-0.7104747100451539</v>
      </c>
      <c r="N411" s="46">
        <f>(VLOOKUP($A411,'The List'!$B1:$AH730,26,FALSE)-AVERAGE('The List'!AA2:AA730))/STDEV('The List'!AA2:AA730)</f>
        <v>0.0119296705407631</v>
      </c>
      <c r="O411" s="46">
        <f>(VLOOKUP($A411,'The List'!$B1:$AH730,27,FALSE)-AVERAGE('The List'!AB2:AB730))/STDEV('The List'!AB2:AB730)</f>
        <v>1.85473339744574</v>
      </c>
      <c r="P411" s="46">
        <f>(VLOOKUP($A411,'The List'!$B1:$AH730,28,FALSE)-AVERAGE('The List'!AC2:AC730))/STDEV('The List'!AC2:AC730)</f>
        <v>-1.19682216514112</v>
      </c>
      <c r="Q411" s="46">
        <f>(VLOOKUP($A411,'The List'!$B1:$AH730,29,FALSE)-AVERAGE('The List'!AD2:AD730))/STDEV('The List'!AD2:AD730)</f>
        <v>-0.425318029160385</v>
      </c>
      <c r="R411" s="46">
        <f>(VLOOKUP($A411,'The List'!$B1:$AH730,30,FALSE)-AVERAGE('The List'!AE2:AE730))/STDEV('The List'!AE2:AE730)</f>
        <v>-0.371177577849435</v>
      </c>
      <c r="S411" s="46">
        <f>(VLOOKUP($A411,'The List'!$B1:$AH730,31,FALSE)-AVERAGE('The List'!AF2:AF730))/STDEV('The List'!AF2:AF730)</f>
        <v>-0.552221914976418</v>
      </c>
      <c r="T411" s="46">
        <f>(VLOOKUP($A411,'The List'!$B1:$AH730,32,FALSE)-AVERAGE('The List'!AG2:AG730))/STDEV('The List'!AG2:AG730)</f>
        <v>-0.571892397541976</v>
      </c>
      <c r="U411" s="46">
        <f>(VLOOKUP($A411,'The List'!$B1:$AH730,33,FALSE)-AVERAGE('The List'!AH2:AH730))/STDEV('The List'!AH2:AH730)</f>
        <v>-0.579751928984539</v>
      </c>
      <c r="V411" s="46"/>
      <c r="W411" s="50"/>
      <c r="X411" s="48"/>
      <c r="Y411" s="48"/>
      <c r="Z411" s="48"/>
      <c r="AA411" s="48"/>
      <c r="AB411" s="48"/>
      <c r="AC411" s="51"/>
      <c r="AD411" s="52"/>
      <c r="AE411" s="46"/>
    </row>
    <row r="412" ht="21.25" customHeight="1">
      <c r="A412" t="s" s="8">
        <v>452</v>
      </c>
      <c r="B412" t="s" s="42">
        <f>VLOOKUP(A412,'Player Data'!A1:B734,2,FALSE)</f>
        <v>170</v>
      </c>
      <c r="C412" s="44">
        <f>((E412)*'Settings'!$C$12)+(F412*'Settings'!$C$2)+(G412*'Settings'!$C$3)+(H412*'Settings'!$C$4)+(I412*'Settings'!$C$5)+(K412*'Settings'!$C$9)+(N412*'Settings'!$C$6)+(J412*'Settings'!$C$8)+(O412*'Settings'!$C$7)+(P412*'Settings'!$C$14)+(Q412*'Settings'!$C$15)+(R412*'Settings'!$C$16)+(S412*'Settings'!$C$17)+(T412*'Settings'!$C$18)+(U412*'Settings'!$C$19)+(L412*'Settings'!$C$10)+('Settings'!$C$11*M412)</f>
        <v>0.183333637301884</v>
      </c>
      <c r="D412" s="48">
        <f>IF('Settings'!$E$12="YES",VLOOKUP(A412,'Player Data'!A1:E734,5,FALSE),82)</f>
        <v>76.85214285714289</v>
      </c>
      <c r="E412" s="46">
        <f>(VLOOKUP($A412,'The List'!$B1:$AH730,17,FALSE)-AVERAGE('The List'!R2:R730))/STDEV('The List'!R2:R730)</f>
        <v>0.920374260243466</v>
      </c>
      <c r="F412" s="46">
        <f>(VLOOKUP($A412,'The List'!$B1:$AH730,18,FALSE)-AVERAGE('The List'!S2:S730))/STDEV('The List'!S2:S730)</f>
        <v>-1.02293713111097</v>
      </c>
      <c r="G412" s="46">
        <f>(VLOOKUP($A412,'The List'!$B1:$AH730,19,FALSE)-AVERAGE('The List'!T2:T730))/STDEV('The List'!T2:T730)</f>
        <v>-0.0826886604645282</v>
      </c>
      <c r="H412" s="46">
        <f>(VLOOKUP($A412,'The List'!$B1:$AH730,20,FALSE)-AVERAGE('The List'!U2:U730))/STDEV('The List'!U2:U730)</f>
        <v>-0.516433382717825</v>
      </c>
      <c r="I412" s="46">
        <f>(VLOOKUP($A412,'The List'!$B1:$AH730,21,FALSE)-AVERAGE('The List'!V2:V730))/STDEV('The List'!V2:V730)</f>
        <v>-0.444228920954295</v>
      </c>
      <c r="J412" s="46">
        <f>(VLOOKUP($A412,'The List'!$B1:$AH730,22,FALSE)-AVERAGE('The List'!W2:W730))/STDEV('The List'!W2:W730)</f>
        <v>-0.705036078118873</v>
      </c>
      <c r="K412" s="46">
        <f>(VLOOKUP($A412,'The List'!$B1:$AH730,23,FALSE)-AVERAGE('The List'!X2:X730))/STDEV('The List'!X2:X730)</f>
        <v>-0.780266457786104</v>
      </c>
      <c r="L412" s="46">
        <f>(VLOOKUP($A412,'The List'!$B1:$AH730,24,FALSE)-AVERAGE('The List'!Y2:Y730))/STDEV('The List'!Y2:Y730)</f>
        <v>-0.471891447044777</v>
      </c>
      <c r="M412" s="46">
        <f>(VLOOKUP($A412,'The List'!$B1:$AH730,25,FALSE)-AVERAGE('The List'!Z2:Z730))/STDEV('The List'!Z2:Z730)</f>
        <v>-0.491747508867623</v>
      </c>
      <c r="N412" s="46">
        <f>(VLOOKUP($A412,'The List'!$B1:$AH730,26,FALSE)-AVERAGE('The List'!AA2:AA730))/STDEV('The List'!AA2:AA730)</f>
        <v>1.88922380010299</v>
      </c>
      <c r="O412" s="46">
        <f>(VLOOKUP($A412,'The List'!$B1:$AH730,27,FALSE)-AVERAGE('The List'!AB2:AB730))/STDEV('The List'!AB2:AB730)</f>
        <v>1.09492228944535</v>
      </c>
      <c r="P412" s="46">
        <f>(VLOOKUP($A412,'The List'!$B1:$AH730,28,FALSE)-AVERAGE('The List'!AC2:AC730))/STDEV('The List'!AC2:AC730)</f>
        <v>0.624231007514791</v>
      </c>
      <c r="Q412" s="46">
        <f>(VLOOKUP($A412,'The List'!$B1:$AH730,29,FALSE)-AVERAGE('The List'!AD2:AD730))/STDEV('The List'!AD2:AD730)</f>
        <v>1.23091922485244</v>
      </c>
      <c r="R412" s="46">
        <f>(VLOOKUP($A412,'The List'!$B1:$AH730,30,FALSE)-AVERAGE('The List'!AE2:AE730))/STDEV('The List'!AE2:AE730)</f>
        <v>-0.89973375576574</v>
      </c>
      <c r="S412" s="46">
        <f>(VLOOKUP($A412,'The List'!$B1:$AH730,31,FALSE)-AVERAGE('The List'!AF2:AF730))/STDEV('The List'!AF2:AF730)</f>
        <v>-0.5569063253591</v>
      </c>
      <c r="T412" s="46">
        <f>(VLOOKUP($A412,'The List'!$B1:$AH730,32,FALSE)-AVERAGE('The List'!AG2:AG730))/STDEV('The List'!AG2:AG730)</f>
        <v>-0.600856269042678</v>
      </c>
      <c r="U412" s="46">
        <f>(VLOOKUP($A412,'The List'!$B1:$AH730,33,FALSE)-AVERAGE('The List'!AH2:AH730))/STDEV('The List'!AH2:AH730)</f>
        <v>-1.2363238714826</v>
      </c>
      <c r="V412" s="46"/>
      <c r="W412" s="48"/>
      <c r="X412" s="46"/>
      <c r="Y412" s="46"/>
      <c r="Z412" s="46"/>
      <c r="AA412" s="46"/>
      <c r="AB412" s="46"/>
      <c r="AC412" s="46"/>
      <c r="AD412" s="46"/>
      <c r="AE412" s="46"/>
    </row>
    <row r="413" ht="21.25" customHeight="1">
      <c r="A413" t="s" s="8">
        <v>437</v>
      </c>
      <c r="B413" t="s" s="42">
        <f>VLOOKUP(A413,'Player Data'!A1:B734,2,FALSE)</f>
        <v>292</v>
      </c>
      <c r="C413" s="44">
        <f>((E413)*'Settings'!$C$12)+(F413*'Settings'!$C$2)+(G413*'Settings'!$C$3)+(H413*'Settings'!$C$4)+(I413*'Settings'!$C$5)+(K413*'Settings'!$C$9)+(N413*'Settings'!$C$6)+(J413*'Settings'!$C$8)+(O413*'Settings'!$C$7)+(P413*'Settings'!$C$14)+(Q413*'Settings'!$C$15)+(R413*'Settings'!$C$16)+(S413*'Settings'!$C$17)+(T413*'Settings'!$C$18)+(U413*'Settings'!$C$19)+(L413*'Settings'!$C$10)+('Settings'!$C$11*M413)</f>
        <v>-1.34604495581984</v>
      </c>
      <c r="D413" s="48">
        <f>IF('Settings'!$E$12="YES",VLOOKUP(A413,'Player Data'!A1:E734,5,FALSE),82)</f>
        <v>77.3278571428571</v>
      </c>
      <c r="E413" s="46">
        <f>(VLOOKUP($A413,'The List'!$B1:$AH730,17,FALSE)-AVERAGE('The List'!R2:R730))/STDEV('The List'!R2:R730)</f>
        <v>1.40179860693295</v>
      </c>
      <c r="F413" s="46">
        <f>(VLOOKUP($A413,'The List'!$B1:$AH730,18,FALSE)-AVERAGE('The List'!S2:S730))/STDEV('The List'!S2:S730)</f>
        <v>-0.662321887020912</v>
      </c>
      <c r="G413" s="46">
        <f>(VLOOKUP($A413,'The List'!$B1:$AH730,19,FALSE)-AVERAGE('The List'!T2:T730))/STDEV('The List'!T2:T730)</f>
        <v>-0.341423872384506</v>
      </c>
      <c r="H413" s="46">
        <f>(VLOOKUP($A413,'The List'!$B1:$AH730,20,FALSE)-AVERAGE('The List'!U2:U730))/STDEV('The List'!U2:U730)</f>
        <v>-0.511853071682408</v>
      </c>
      <c r="I413" s="46">
        <f>(VLOOKUP($A413,'The List'!$B1:$AH730,21,FALSE)-AVERAGE('The List'!V2:V730))/STDEV('The List'!V2:V730)</f>
        <v>-0.271958618605829</v>
      </c>
      <c r="J413" s="46">
        <f>(VLOOKUP($A413,'The List'!$B1:$AH730,22,FALSE)-AVERAGE('The List'!W2:W730))/STDEV('The List'!W2:W730)</f>
        <v>-0.626558065719652</v>
      </c>
      <c r="K413" s="46">
        <f>(VLOOKUP($A413,'The List'!$B1:$AH730,23,FALSE)-AVERAGE('The List'!X2:X730))/STDEV('The List'!X2:X730)</f>
        <v>-0.6207011819762061</v>
      </c>
      <c r="L413" s="46">
        <f>(VLOOKUP($A413,'The List'!$B1:$AH730,24,FALSE)-AVERAGE('The List'!Y2:Y730))/STDEV('The List'!Y2:Y730)</f>
        <v>-0.489194803544646</v>
      </c>
      <c r="M413" s="46">
        <f>(VLOOKUP($A413,'The List'!$B1:$AH730,25,FALSE)-AVERAGE('The List'!Z2:Z730))/STDEV('The List'!Z2:Z730)</f>
        <v>-0.594291931266424</v>
      </c>
      <c r="N413" s="46">
        <f>(VLOOKUP($A413,'The List'!$B1:$AH730,26,FALSE)-AVERAGE('The List'!AA2:AA730))/STDEV('The List'!AA2:AA730)</f>
        <v>1.44058415904069</v>
      </c>
      <c r="O413" s="46">
        <f>(VLOOKUP($A413,'The List'!$B1:$AH730,27,FALSE)-AVERAGE('The List'!AB2:AB730))/STDEV('The List'!AB2:AB730)</f>
        <v>0.38283455902236</v>
      </c>
      <c r="P413" s="46">
        <f>(VLOOKUP($A413,'The List'!$B1:$AH730,28,FALSE)-AVERAGE('The List'!AC2:AC730))/STDEV('The List'!AC2:AC730)</f>
        <v>-0.890223554873072</v>
      </c>
      <c r="Q413" s="46">
        <f>(VLOOKUP($A413,'The List'!$B1:$AH730,29,FALSE)-AVERAGE('The List'!AD2:AD730))/STDEV('The List'!AD2:AD730)</f>
        <v>1.92800552451499</v>
      </c>
      <c r="R413" s="46">
        <f>(VLOOKUP($A413,'The List'!$B1:$AH730,30,FALSE)-AVERAGE('The List'!AE2:AE730))/STDEV('The List'!AE2:AE730)</f>
        <v>-1.18448477237391</v>
      </c>
      <c r="S413" s="46">
        <f>(VLOOKUP($A413,'The List'!$B1:$AH730,31,FALSE)-AVERAGE('The List'!AF2:AF730))/STDEV('The List'!AF2:AF730)</f>
        <v>-0.5569063253591</v>
      </c>
      <c r="T413" s="46">
        <f>(VLOOKUP($A413,'The List'!$B1:$AH730,32,FALSE)-AVERAGE('The List'!AG2:AG730))/STDEV('The List'!AG2:AG730)</f>
        <v>-0.600856269042678</v>
      </c>
      <c r="U413" s="46">
        <f>(VLOOKUP($A413,'The List'!$B1:$AH730,33,FALSE)-AVERAGE('The List'!AH2:AH730))/STDEV('The List'!AH2:AH730)</f>
        <v>-1.2363238714826</v>
      </c>
      <c r="V413" s="46"/>
      <c r="W413" s="50"/>
      <c r="X413" s="48"/>
      <c r="Y413" s="48"/>
      <c r="Z413" s="48"/>
      <c r="AA413" s="48"/>
      <c r="AB413" s="48"/>
      <c r="AC413" s="51"/>
      <c r="AD413" s="52"/>
      <c r="AE413" s="46"/>
    </row>
    <row r="414" ht="21.25" customHeight="1">
      <c r="A414" t="s" s="8">
        <v>731</v>
      </c>
      <c r="B414" t="s" s="42">
        <f>VLOOKUP(A414,'Player Data'!A1:B734,2,FALSE)</f>
        <v>189</v>
      </c>
      <c r="C414" s="44">
        <f>((E414)*'Settings'!$C$12)+(F414*'Settings'!$C$2)+(G414*'Settings'!$C$3)+(H414*'Settings'!$C$4)+(I414*'Settings'!$C$5)+(K414*'Settings'!$C$9)+(N414*'Settings'!$C$6)+(J414*'Settings'!$C$8)+(O414*'Settings'!$C$7)+(P414*'Settings'!$C$14)+(Q414*'Settings'!$C$15)+(R414*'Settings'!$C$16)+(S414*'Settings'!$C$17)+(T414*'Settings'!$C$18)+(U414*'Settings'!$C$19)+(L414*'Settings'!$C$10)+('Settings'!$C$11*M414)</f>
        <v>-4.40573775672075</v>
      </c>
      <c r="D414" s="48">
        <f>IF('Settings'!$E$12="YES",VLOOKUP(A414,'Player Data'!A1:E734,5,FALSE),82)</f>
        <v>68.31</v>
      </c>
      <c r="E414" s="46">
        <f>(VLOOKUP($A414,'The List'!$B1:$AH730,17,FALSE)-AVERAGE('The List'!R2:R730))/STDEV('The List'!R2:R730)</f>
        <v>-1.39913595062542</v>
      </c>
      <c r="F414" s="46">
        <f>(VLOOKUP($A414,'The List'!$B1:$AH730,18,FALSE)-AVERAGE('The List'!S2:S730))/STDEV('The List'!S2:S730)</f>
        <v>-0.486906247627622</v>
      </c>
      <c r="G414" s="46">
        <f>(VLOOKUP($A414,'The List'!$B1:$AH730,19,FALSE)-AVERAGE('The List'!T2:T730))/STDEV('The List'!T2:T730)</f>
        <v>-0.679891756526521</v>
      </c>
      <c r="H414" s="46">
        <f>(VLOOKUP($A414,'The List'!$B1:$AH730,20,FALSE)-AVERAGE('The List'!U2:U730))/STDEV('The List'!U2:U730)</f>
        <v>-0.640696439535829</v>
      </c>
      <c r="I414" s="46">
        <f>(VLOOKUP($A414,'The List'!$B1:$AH730,21,FALSE)-AVERAGE('The List'!V2:V730))/STDEV('The List'!V2:V730)</f>
        <v>-0.594101224204193</v>
      </c>
      <c r="J414" s="46">
        <f>(VLOOKUP($A414,'The List'!$B1:$AH730,22,FALSE)-AVERAGE('The List'!W2:W730))/STDEV('The List'!W2:W730)</f>
        <v>-0.466910305475378</v>
      </c>
      <c r="K414" s="46">
        <f>(VLOOKUP($A414,'The List'!$B1:$AH730,23,FALSE)-AVERAGE('The List'!X2:X730))/STDEV('The List'!X2:X730)</f>
        <v>-0.61046261712146</v>
      </c>
      <c r="L414" s="46">
        <f>(VLOOKUP($A414,'The List'!$B1:$AH730,24,FALSE)-AVERAGE('The List'!Y2:Y730))/STDEV('The List'!Y2:Y730)</f>
        <v>-0.542843480388394</v>
      </c>
      <c r="M414" s="46">
        <f>(VLOOKUP($A414,'The List'!$B1:$AH730,25,FALSE)-AVERAGE('The List'!Z2:Z730))/STDEV('The List'!Z2:Z730)</f>
        <v>-0.72177514995105</v>
      </c>
      <c r="N414" s="46">
        <f>(VLOOKUP($A414,'The List'!$B1:$AH730,26,FALSE)-AVERAGE('The List'!AA2:AA730))/STDEV('The List'!AA2:AA730)</f>
        <v>-0.902740269968874</v>
      </c>
      <c r="O414" s="46">
        <f>(VLOOKUP($A414,'The List'!$B1:$AH730,27,FALSE)-AVERAGE('The List'!AB2:AB730))/STDEV('The List'!AB2:AB730)</f>
        <v>-0.9112005379142299</v>
      </c>
      <c r="P414" s="46">
        <f>(VLOOKUP($A414,'The List'!$B1:$AH730,28,FALSE)-AVERAGE('The List'!AC2:AC730))/STDEV('The List'!AC2:AC730)</f>
        <v>-1.13163564127208</v>
      </c>
      <c r="Q414" s="46">
        <f>(VLOOKUP($A414,'The List'!$B1:$AH730,29,FALSE)-AVERAGE('The List'!AD2:AD730))/STDEV('The List'!AD2:AD730)</f>
        <v>-1.4614546100756</v>
      </c>
      <c r="R414" s="46">
        <f>(VLOOKUP($A414,'The List'!$B1:$AH730,30,FALSE)-AVERAGE('The List'!AE2:AE730))/STDEV('The List'!AE2:AE730)</f>
        <v>-0.620631267037255</v>
      </c>
      <c r="S414" s="46">
        <f>(VLOOKUP($A414,'The List'!$B1:$AH730,31,FALSE)-AVERAGE('The List'!AF2:AF730))/STDEV('The List'!AF2:AF730)</f>
        <v>-0.524567655752242</v>
      </c>
      <c r="T414" s="46">
        <f>(VLOOKUP($A414,'The List'!$B1:$AH730,32,FALSE)-AVERAGE('The List'!AG2:AG730))/STDEV('The List'!AG2:AG730)</f>
        <v>-0.546667971733732</v>
      </c>
      <c r="U414" s="46">
        <f>(VLOOKUP($A414,'The List'!$B1:$AH730,33,FALSE)-AVERAGE('The List'!AH2:AH730))/STDEV('The List'!AH2:AH730)</f>
        <v>0.505309553158022</v>
      </c>
      <c r="V414" s="46"/>
      <c r="W414" s="50"/>
      <c r="X414" s="48"/>
      <c r="Y414" s="48"/>
      <c r="Z414" s="48"/>
      <c r="AA414" s="48"/>
      <c r="AB414" s="48"/>
      <c r="AC414" s="51"/>
      <c r="AD414" s="52"/>
      <c r="AE414" s="46"/>
    </row>
    <row r="415" ht="21.25" customHeight="1">
      <c r="A415" t="s" s="8">
        <v>407</v>
      </c>
      <c r="B415" t="s" s="42">
        <f>VLOOKUP(A415,'Player Data'!A1:B734,2,FALSE)</f>
        <v>149</v>
      </c>
      <c r="C415" s="44">
        <f>((E415)*'Settings'!$C$12)+(F415*'Settings'!$C$2)+(G415*'Settings'!$C$3)+(H415*'Settings'!$C$4)+(I415*'Settings'!$C$5)+(K415*'Settings'!$C$9)+(N415*'Settings'!$C$6)+(J415*'Settings'!$C$8)+(O415*'Settings'!$C$7)+(P415*'Settings'!$C$14)+(Q415*'Settings'!$C$15)+(R415*'Settings'!$C$16)+(S415*'Settings'!$C$17)+(T415*'Settings'!$C$18)+(U415*'Settings'!$C$19)+(L415*'Settings'!$C$10)+('Settings'!$C$11*M415)</f>
        <v>0.599221211269255</v>
      </c>
      <c r="D415" s="48">
        <f>IF('Settings'!$E$12="YES",VLOOKUP(A415,'Player Data'!A1:E734,5,FALSE),82)</f>
        <v>78.455</v>
      </c>
      <c r="E415" s="46">
        <f>(VLOOKUP($A415,'The List'!$B1:$AH730,17,FALSE)-AVERAGE('The List'!R2:R730))/STDEV('The List'!R2:R730)</f>
        <v>1.15596904829155</v>
      </c>
      <c r="F415" s="46">
        <f>(VLOOKUP($A415,'The List'!$B1:$AH730,18,FALSE)-AVERAGE('The List'!S2:S730))/STDEV('The List'!S2:S730)</f>
        <v>-0.834471787304682</v>
      </c>
      <c r="G415" s="46">
        <f>(VLOOKUP($A415,'The List'!$B1:$AH730,19,FALSE)-AVERAGE('The List'!T2:T730))/STDEV('The List'!T2:T730)</f>
        <v>-0.194425492645582</v>
      </c>
      <c r="H415" s="46">
        <f>(VLOOKUP($A415,'The List'!$B1:$AH730,20,FALSE)-AVERAGE('The List'!U2:U730))/STDEV('The List'!U2:U730)</f>
        <v>-0.499562159888435</v>
      </c>
      <c r="I415" s="46">
        <f>(VLOOKUP($A415,'The List'!$B1:$AH730,21,FALSE)-AVERAGE('The List'!V2:V730))/STDEV('The List'!V2:V730)</f>
        <v>-0.0234053119926381</v>
      </c>
      <c r="J415" s="46">
        <f>(VLOOKUP($A415,'The List'!$B1:$AH730,22,FALSE)-AVERAGE('The List'!W2:W730))/STDEV('The List'!W2:W730)</f>
        <v>-0.518684119267479</v>
      </c>
      <c r="K415" s="46">
        <f>(VLOOKUP($A415,'The List'!$B1:$AH730,23,FALSE)-AVERAGE('The List'!X2:X730))/STDEV('The List'!X2:X730)</f>
        <v>-0.471215639584647</v>
      </c>
      <c r="L415" s="46">
        <f>(VLOOKUP($A415,'The List'!$B1:$AH730,24,FALSE)-AVERAGE('The List'!Y2:Y730))/STDEV('The List'!Y2:Y730)</f>
        <v>-0.485535632825378</v>
      </c>
      <c r="M415" s="46">
        <f>(VLOOKUP($A415,'The List'!$B1:$AH730,25,FALSE)-AVERAGE('The List'!Z2:Z730))/STDEV('The List'!Z2:Z730)</f>
        <v>-0.275401226301611</v>
      </c>
      <c r="N415" s="46">
        <f>(VLOOKUP($A415,'The List'!$B1:$AH730,26,FALSE)-AVERAGE('The List'!AA2:AA730))/STDEV('The List'!AA2:AA730)</f>
        <v>1.9463951551899</v>
      </c>
      <c r="O415" s="46">
        <f>(VLOOKUP($A415,'The List'!$B1:$AH730,27,FALSE)-AVERAGE('The List'!AB2:AB730))/STDEV('The List'!AB2:AB730)</f>
        <v>0.845751278753746</v>
      </c>
      <c r="P415" s="46">
        <f>(VLOOKUP($A415,'The List'!$B1:$AH730,28,FALSE)-AVERAGE('The List'!AC2:AC730))/STDEV('The List'!AC2:AC730)</f>
        <v>0.176344287606904</v>
      </c>
      <c r="Q415" s="46">
        <f>(VLOOKUP($A415,'The List'!$B1:$AH730,29,FALSE)-AVERAGE('The List'!AD2:AD730))/STDEV('The List'!AD2:AD730)</f>
        <v>-1.18292398331082</v>
      </c>
      <c r="R415" s="46">
        <f>(VLOOKUP($A415,'The List'!$B1:$AH730,30,FALSE)-AVERAGE('The List'!AE2:AE730))/STDEV('The List'!AE2:AE730)</f>
        <v>-0.720873725923327</v>
      </c>
      <c r="S415" s="46">
        <f>(VLOOKUP($A415,'The List'!$B1:$AH730,31,FALSE)-AVERAGE('The List'!AF2:AF730))/STDEV('The List'!AF2:AF730)</f>
        <v>-0.5569063253591</v>
      </c>
      <c r="T415" s="46">
        <f>(VLOOKUP($A415,'The List'!$B1:$AH730,32,FALSE)-AVERAGE('The List'!AG2:AG730))/STDEV('The List'!AG2:AG730)</f>
        <v>-0.600856269042678</v>
      </c>
      <c r="U415" s="46">
        <f>(VLOOKUP($A415,'The List'!$B1:$AH730,33,FALSE)-AVERAGE('The List'!AH2:AH730))/STDEV('The List'!AH2:AH730)</f>
        <v>-1.2363238714826</v>
      </c>
      <c r="V415" s="46"/>
      <c r="W415" s="50"/>
      <c r="X415" s="48"/>
      <c r="Y415" s="48"/>
      <c r="Z415" s="48"/>
      <c r="AA415" s="48"/>
      <c r="AB415" s="48"/>
      <c r="AC415" s="51"/>
      <c r="AD415" s="52"/>
      <c r="AE415" s="46"/>
    </row>
    <row r="416" ht="21.25" customHeight="1">
      <c r="A416" t="s" s="8">
        <v>754</v>
      </c>
      <c r="B416" t="s" s="42">
        <f>VLOOKUP(A416,'Player Data'!A1:B734,2,FALSE)</f>
        <v>156</v>
      </c>
      <c r="C416" s="44">
        <f>((E416)*'Settings'!$C$12)+(F416*'Settings'!$C$2)+(G416*'Settings'!$C$3)+(H416*'Settings'!$C$4)+(I416*'Settings'!$C$5)+(K416*'Settings'!$C$9)+(N416*'Settings'!$C$6)+(J416*'Settings'!$C$8)+(O416*'Settings'!$C$7)+(P416*'Settings'!$C$14)+(Q416*'Settings'!$C$15)+(R416*'Settings'!$C$16)+(S416*'Settings'!$C$17)+(T416*'Settings'!$C$18)+(U416*'Settings'!$C$19)+(L416*'Settings'!$C$10)+('Settings'!$C$11*M416)</f>
        <v>-3.44687954442535</v>
      </c>
      <c r="D416" s="48">
        <f>IF('Settings'!$E$12="YES",VLOOKUP(A416,'Player Data'!A1:E734,5,FALSE),82)</f>
        <v>65.785</v>
      </c>
      <c r="E416" s="46">
        <f>(VLOOKUP($A416,'The List'!$B1:$AH730,17,FALSE)-AVERAGE('The List'!R2:R730))/STDEV('The List'!R2:R730)</f>
        <v>-1.05792445430182</v>
      </c>
      <c r="F416" s="46">
        <f>(VLOOKUP($A416,'The List'!$B1:$AH730,18,FALSE)-AVERAGE('The List'!S2:S730))/STDEV('The List'!S2:S730)</f>
        <v>-0.28532620565793</v>
      </c>
      <c r="G416" s="46">
        <f>(VLOOKUP($A416,'The List'!$B1:$AH730,19,FALSE)-AVERAGE('The List'!T2:T730))/STDEV('The List'!T2:T730)</f>
        <v>-0.8906811056502</v>
      </c>
      <c r="H416" s="46">
        <f>(VLOOKUP($A416,'The List'!$B1:$AH730,20,FALSE)-AVERAGE('The List'!U2:U730))/STDEV('The List'!U2:U730)</f>
        <v>-0.678922340798374</v>
      </c>
      <c r="I416" s="46">
        <f>(VLOOKUP($A416,'The List'!$B1:$AH730,21,FALSE)-AVERAGE('The List'!V2:V730))/STDEV('The List'!V2:V730)</f>
        <v>-0.777070350425737</v>
      </c>
      <c r="J416" s="46">
        <f>(VLOOKUP($A416,'The List'!$B1:$AH730,22,FALSE)-AVERAGE('The List'!W2:W730))/STDEV('The List'!W2:W730)</f>
        <v>-0.505831425414626</v>
      </c>
      <c r="K416" s="46">
        <f>(VLOOKUP($A416,'The List'!$B1:$AH730,23,FALSE)-AVERAGE('The List'!X2:X730))/STDEV('The List'!X2:X730)</f>
        <v>-0.644266193927602</v>
      </c>
      <c r="L416" s="46">
        <f>(VLOOKUP($A416,'The List'!$B1:$AH730,24,FALSE)-AVERAGE('The List'!Y2:Y730))/STDEV('The List'!Y2:Y730)</f>
        <v>-0.530374457489647</v>
      </c>
      <c r="M416" s="46">
        <f>(VLOOKUP($A416,'The List'!$B1:$AH730,25,FALSE)-AVERAGE('The List'!Z2:Z730))/STDEV('The List'!Z2:Z730)</f>
        <v>-0.707684706030143</v>
      </c>
      <c r="N416" s="46">
        <f>(VLOOKUP($A416,'The List'!$B1:$AH730,26,FALSE)-AVERAGE('The List'!AA2:AA730))/STDEV('The List'!AA2:AA730)</f>
        <v>-0.819688986277101</v>
      </c>
      <c r="O416" s="46">
        <f>(VLOOKUP($A416,'The List'!$B1:$AH730,27,FALSE)-AVERAGE('The List'!AB2:AB730))/STDEV('The List'!AB2:AB730)</f>
        <v>-0.161333217677194</v>
      </c>
      <c r="P416" s="46">
        <f>(VLOOKUP($A416,'The List'!$B1:$AH730,28,FALSE)-AVERAGE('The List'!AC2:AC730))/STDEV('The List'!AC2:AC730)</f>
        <v>-0.0298467024867764</v>
      </c>
      <c r="Q416" s="46">
        <f>(VLOOKUP($A416,'The List'!$B1:$AH730,29,FALSE)-AVERAGE('The List'!AD2:AD730))/STDEV('The List'!AD2:AD730)</f>
        <v>-0.807082089416471</v>
      </c>
      <c r="R416" s="46">
        <f>(VLOOKUP($A416,'The List'!$B1:$AH730,30,FALSE)-AVERAGE('The List'!AE2:AE730))/STDEV('The List'!AE2:AE730)</f>
        <v>-0.253921382419065</v>
      </c>
      <c r="S416" s="46">
        <f>(VLOOKUP($A416,'The List'!$B1:$AH730,31,FALSE)-AVERAGE('The List'!AF2:AF730))/STDEV('The List'!AF2:AF730)</f>
        <v>-0.505230378510985</v>
      </c>
      <c r="T416" s="46">
        <f>(VLOOKUP($A416,'The List'!$B1:$AH730,32,FALSE)-AVERAGE('The List'!AG2:AG730))/STDEV('The List'!AG2:AG730)</f>
        <v>-0.527889471204483</v>
      </c>
      <c r="U416" s="46">
        <f>(VLOOKUP($A416,'The List'!$B1:$AH730,33,FALSE)-AVERAGE('The List'!AH2:AH730))/STDEV('The List'!AH2:AH730)</f>
        <v>0.691677547742686</v>
      </c>
      <c r="V416" s="46"/>
      <c r="W416" s="50"/>
      <c r="X416" s="48"/>
      <c r="Y416" s="48"/>
      <c r="Z416" s="48"/>
      <c r="AA416" s="48"/>
      <c r="AB416" s="48"/>
      <c r="AC416" s="51"/>
      <c r="AD416" s="52"/>
      <c r="AE416" s="46"/>
    </row>
    <row r="417" ht="21.25" customHeight="1">
      <c r="A417" t="s" s="8">
        <v>782</v>
      </c>
      <c r="B417" t="s" s="42">
        <f>VLOOKUP(A417,'Player Data'!A1:B734,2,FALSE)</f>
        <v>196</v>
      </c>
      <c r="C417" s="44">
        <f>((E417)*'Settings'!$C$12)+(F417*'Settings'!$C$2)+(G417*'Settings'!$C$3)+(H417*'Settings'!$C$4)+(I417*'Settings'!$C$5)+(K417*'Settings'!$C$9)+(N417*'Settings'!$C$6)+(J417*'Settings'!$C$8)+(O417*'Settings'!$C$7)+(P417*'Settings'!$C$14)+(Q417*'Settings'!$C$15)+(R417*'Settings'!$C$16)+(S417*'Settings'!$C$17)+(T417*'Settings'!$C$18)+(U417*'Settings'!$C$19)+(L417*'Settings'!$C$10)+('Settings'!$C$11*M417)</f>
        <v>-4.21081796276633</v>
      </c>
      <c r="D417" s="48">
        <f>IF('Settings'!$E$12="YES",VLOOKUP(A417,'Player Data'!A1:E734,5,FALSE),82)</f>
        <v>61.64</v>
      </c>
      <c r="E417" s="46">
        <f>(VLOOKUP($A417,'The List'!$B1:$AH730,17,FALSE)-AVERAGE('The List'!R2:R730))/STDEV('The List'!R2:R730)</f>
        <v>-1.20556942109635</v>
      </c>
      <c r="F417" s="46">
        <f>(VLOOKUP($A417,'The List'!$B1:$AH730,18,FALSE)-AVERAGE('The List'!S2:S730))/STDEV('The List'!S2:S730)</f>
        <v>-0.30787078858434</v>
      </c>
      <c r="G417" s="46">
        <f>(VLOOKUP($A417,'The List'!$B1:$AH730,19,FALSE)-AVERAGE('The List'!T2:T730))/STDEV('The List'!T2:T730)</f>
        <v>-0.969616750874279</v>
      </c>
      <c r="H417" s="46">
        <f>(VLOOKUP($A417,'The List'!$B1:$AH730,20,FALSE)-AVERAGE('The List'!U2:U730))/STDEV('The List'!U2:U730)</f>
        <v>-0.737843365953186</v>
      </c>
      <c r="I417" s="46">
        <f>(VLOOKUP($A417,'The List'!$B1:$AH730,21,FALSE)-AVERAGE('The List'!V2:V730))/STDEV('The List'!V2:V730)</f>
        <v>-0.668503223933761</v>
      </c>
      <c r="J417" s="46">
        <f>(VLOOKUP($A417,'The List'!$B1:$AH730,22,FALSE)-AVERAGE('The List'!W2:W730))/STDEV('The List'!W2:W730)</f>
        <v>-0.651645301739322</v>
      </c>
      <c r="K417" s="46">
        <f>(VLOOKUP($A417,'The List'!$B1:$AH730,23,FALSE)-AVERAGE('The List'!X2:X730))/STDEV('The List'!X2:X730)</f>
        <v>-0.742980116942542</v>
      </c>
      <c r="L417" s="46">
        <f>(VLOOKUP($A417,'The List'!$B1:$AH730,24,FALSE)-AVERAGE('The List'!Y2:Y730))/STDEV('The List'!Y2:Y730)</f>
        <v>-0.540600366643355</v>
      </c>
      <c r="M417" s="46">
        <f>(VLOOKUP($A417,'The List'!$B1:$AH730,25,FALSE)-AVERAGE('The List'!Z2:Z730))/STDEV('The List'!Z2:Z730)</f>
        <v>-0.719256483014717</v>
      </c>
      <c r="N417" s="46">
        <f>(VLOOKUP($A417,'The List'!$B1:$AH730,26,FALSE)-AVERAGE('The List'!AA2:AA730))/STDEV('The List'!AA2:AA730)</f>
        <v>-1.01096162944571</v>
      </c>
      <c r="O417" s="46">
        <f>(VLOOKUP($A417,'The List'!$B1:$AH730,27,FALSE)-AVERAGE('The List'!AB2:AB730))/STDEV('The List'!AB2:AB730)</f>
        <v>-0.0531160226526754</v>
      </c>
      <c r="P417" s="46">
        <f>(VLOOKUP($A417,'The List'!$B1:$AH730,28,FALSE)-AVERAGE('The List'!AC2:AC730))/STDEV('The List'!AC2:AC730)</f>
        <v>-0.510885452985699</v>
      </c>
      <c r="Q417" s="46">
        <f>(VLOOKUP($A417,'The List'!$B1:$AH730,29,FALSE)-AVERAGE('The List'!AD2:AD730))/STDEV('The List'!AD2:AD730)</f>
        <v>-0.607483005358304</v>
      </c>
      <c r="R417" s="46">
        <f>(VLOOKUP($A417,'The List'!$B1:$AH730,30,FALSE)-AVERAGE('The List'!AE2:AE730))/STDEV('The List'!AE2:AE730)</f>
        <v>-0.373425751566733</v>
      </c>
      <c r="S417" s="46">
        <f>(VLOOKUP($A417,'The List'!$B1:$AH730,31,FALSE)-AVERAGE('The List'!AF2:AF730))/STDEV('The List'!AF2:AF730)</f>
        <v>-0.5569063253591</v>
      </c>
      <c r="T417" s="46">
        <f>(VLOOKUP($A417,'The List'!$B1:$AH730,32,FALSE)-AVERAGE('The List'!AG2:AG730))/STDEV('The List'!AG2:AG730)</f>
        <v>-0.567746099627002</v>
      </c>
      <c r="U417" s="46">
        <f>(VLOOKUP($A417,'The List'!$B1:$AH730,33,FALSE)-AVERAGE('The List'!AH2:AH730))/STDEV('The List'!AH2:AH730)</f>
        <v>-1.2363238714826</v>
      </c>
      <c r="V417" s="46"/>
      <c r="W417" s="50"/>
      <c r="X417" s="48"/>
      <c r="Y417" s="48"/>
      <c r="Z417" s="48"/>
      <c r="AA417" s="48"/>
      <c r="AB417" s="48"/>
      <c r="AC417" s="51"/>
      <c r="AD417" s="52"/>
      <c r="AE417" s="46"/>
    </row>
    <row r="418" ht="21.25" customHeight="1">
      <c r="A418" t="s" s="8">
        <v>480</v>
      </c>
      <c r="B418" t="s" s="42">
        <f>VLOOKUP(A418,'Player Data'!A1:B734,2,FALSE)</f>
        <v>189</v>
      </c>
      <c r="C418" s="44">
        <f>((E418)*'Settings'!$C$12)+(F418*'Settings'!$C$2)+(G418*'Settings'!$C$3)+(H418*'Settings'!$C$4)+(I418*'Settings'!$C$5)+(K418*'Settings'!$C$9)+(N418*'Settings'!$C$6)+(J418*'Settings'!$C$8)+(O418*'Settings'!$C$7)+(P418*'Settings'!$C$14)+(Q418*'Settings'!$C$15)+(R418*'Settings'!$C$16)+(S418*'Settings'!$C$17)+(T418*'Settings'!$C$18)+(U418*'Settings'!$C$19)+(L418*'Settings'!$C$10)+('Settings'!$C$11*M418)</f>
        <v>-1.76670971225581</v>
      </c>
      <c r="D418" s="48">
        <f>IF('Settings'!$E$12="YES",VLOOKUP(A418,'Player Data'!A1:E734,5,FALSE),82)</f>
        <v>72</v>
      </c>
      <c r="E418" s="46">
        <f>(VLOOKUP($A418,'The List'!$B1:$AH730,17,FALSE)-AVERAGE('The List'!R2:R730))/STDEV('The List'!R2:R730)</f>
        <v>-0.127918934493708</v>
      </c>
      <c r="F418" s="46">
        <f>(VLOOKUP($A418,'The List'!$B1:$AH730,18,FALSE)-AVERAGE('The List'!S2:S730))/STDEV('The List'!S2:S730)</f>
        <v>-0.885020492229536</v>
      </c>
      <c r="G418" s="46">
        <f>(VLOOKUP($A418,'The List'!$B1:$AH730,19,FALSE)-AVERAGE('The List'!T2:T730))/STDEV('The List'!T2:T730)</f>
        <v>-0.310754115703057</v>
      </c>
      <c r="H418" s="46">
        <f>(VLOOKUP($A418,'The List'!$B1:$AH730,20,FALSE)-AVERAGE('The List'!U2:U730))/STDEV('The List'!U2:U730)</f>
        <v>-0.594277901547801</v>
      </c>
      <c r="I418" s="46">
        <f>(VLOOKUP($A418,'The List'!$B1:$AH730,21,FALSE)-AVERAGE('The List'!V2:V730))/STDEV('The List'!V2:V730)</f>
        <v>-0.534973841435199</v>
      </c>
      <c r="J418" s="46">
        <f>(VLOOKUP($A418,'The List'!$B1:$AH730,22,FALSE)-AVERAGE('The List'!W2:W730))/STDEV('The List'!W2:W730)</f>
        <v>-0.570427480951868</v>
      </c>
      <c r="K418" s="46">
        <f>(VLOOKUP($A418,'The List'!$B1:$AH730,23,FALSE)-AVERAGE('The List'!X2:X730))/STDEV('The List'!X2:X730)</f>
        <v>-0.507720386770494</v>
      </c>
      <c r="L418" s="46">
        <f>(VLOOKUP($A418,'The List'!$B1:$AH730,24,FALSE)-AVERAGE('The List'!Y2:Y730))/STDEV('The List'!Y2:Y730)</f>
        <v>-0.542843480388394</v>
      </c>
      <c r="M418" s="46">
        <f>(VLOOKUP($A418,'The List'!$B1:$AH730,25,FALSE)-AVERAGE('The List'!Z2:Z730))/STDEV('The List'!Z2:Z730)</f>
        <v>-0.72177514995105</v>
      </c>
      <c r="N418" s="46">
        <f>(VLOOKUP($A418,'The List'!$B1:$AH730,26,FALSE)-AVERAGE('The List'!AA2:AA730))/STDEV('The List'!AA2:AA730)</f>
        <v>0.5259938967168321</v>
      </c>
      <c r="O418" s="46">
        <f>(VLOOKUP($A418,'The List'!$B1:$AH730,27,FALSE)-AVERAGE('The List'!AB2:AB730))/STDEV('The List'!AB2:AB730)</f>
        <v>-0.0447653723341431</v>
      </c>
      <c r="P418" s="46">
        <f>(VLOOKUP($A418,'The List'!$B1:$AH730,28,FALSE)-AVERAGE('The List'!AC2:AC730))/STDEV('The List'!AC2:AC730)</f>
        <v>-0.0542347728343599</v>
      </c>
      <c r="Q418" s="46">
        <f>(VLOOKUP($A418,'The List'!$B1:$AH730,29,FALSE)-AVERAGE('The List'!AD2:AD730))/STDEV('The List'!AD2:AD730)</f>
        <v>-0.123679635931219</v>
      </c>
      <c r="R418" s="46">
        <f>(VLOOKUP($A418,'The List'!$B1:$AH730,30,FALSE)-AVERAGE('The List'!AE2:AE730))/STDEV('The List'!AE2:AE730)</f>
        <v>-0.898229300975858</v>
      </c>
      <c r="S418" s="46">
        <f>(VLOOKUP($A418,'The List'!$B1:$AH730,31,FALSE)-AVERAGE('The List'!AF2:AF730))/STDEV('The List'!AF2:AF730)</f>
        <v>-0.5569063253591</v>
      </c>
      <c r="T418" s="46">
        <f>(VLOOKUP($A418,'The List'!$B1:$AH730,32,FALSE)-AVERAGE('The List'!AG2:AG730))/STDEV('The List'!AG2:AG730)</f>
        <v>-0.600856269042678</v>
      </c>
      <c r="U418" s="46">
        <f>(VLOOKUP($A418,'The List'!$B1:$AH730,33,FALSE)-AVERAGE('The List'!AH2:AH730))/STDEV('The List'!AH2:AH730)</f>
        <v>-1.2363238714826</v>
      </c>
      <c r="V418" s="46"/>
      <c r="W418" s="50"/>
      <c r="X418" s="48"/>
      <c r="Y418" s="48"/>
      <c r="Z418" s="48"/>
      <c r="AA418" s="48"/>
      <c r="AB418" s="48"/>
      <c r="AC418" s="51"/>
      <c r="AD418" s="52"/>
      <c r="AE418" s="46"/>
    </row>
    <row r="419" ht="21.25" customHeight="1">
      <c r="A419" t="s" s="8">
        <v>701</v>
      </c>
      <c r="B419" t="s" s="42">
        <f>VLOOKUP(A419,'Player Data'!A1:B734,2,FALSE)</f>
        <v>113</v>
      </c>
      <c r="C419" s="44">
        <f>((E419)*'Settings'!$C$12)+(F419*'Settings'!$C$2)+(G419*'Settings'!$C$3)+(H419*'Settings'!$C$4)+(I419*'Settings'!$C$5)+(K419*'Settings'!$C$9)+(N419*'Settings'!$C$6)+(J419*'Settings'!$C$8)+(O419*'Settings'!$C$7)+(P419*'Settings'!$C$14)+(Q419*'Settings'!$C$15)+(R419*'Settings'!$C$16)+(S419*'Settings'!$C$17)+(T419*'Settings'!$C$18)+(U419*'Settings'!$C$19)+(L419*'Settings'!$C$10)+('Settings'!$C$11*M419)</f>
        <v>-1.56606951236804</v>
      </c>
      <c r="D419" s="48">
        <f>IF('Settings'!$E$12="YES",VLOOKUP(A419,'Player Data'!A1:E734,5,FALSE),82)</f>
        <v>76.9139285714286</v>
      </c>
      <c r="E419" s="46">
        <f>(VLOOKUP($A419,'The List'!$B1:$AH730,17,FALSE)-AVERAGE('The List'!R2:R730))/STDEV('The List'!R2:R730)</f>
        <v>-0.70976040488276</v>
      </c>
      <c r="F419" s="46">
        <f>(VLOOKUP($A419,'The List'!$B1:$AH730,18,FALSE)-AVERAGE('The List'!S2:S730))/STDEV('The List'!S2:S730)</f>
        <v>-0.438693221885658</v>
      </c>
      <c r="G419" s="46">
        <f>(VLOOKUP($A419,'The List'!$B1:$AH730,19,FALSE)-AVERAGE('The List'!T2:T730))/STDEV('The List'!T2:T730)</f>
        <v>-0.529536476594751</v>
      </c>
      <c r="H419" s="46">
        <f>(VLOOKUP($A419,'The List'!$B1:$AH730,20,FALSE)-AVERAGE('The List'!U2:U730))/STDEV('The List'!U2:U730)</f>
        <v>-0.526066492020779</v>
      </c>
      <c r="I419" s="46">
        <f>(VLOOKUP($A419,'The List'!$B1:$AH730,21,FALSE)-AVERAGE('The List'!V2:V730))/STDEV('The List'!V2:V730)</f>
        <v>-0.448440741937529</v>
      </c>
      <c r="J419" s="46">
        <f>(VLOOKUP($A419,'The List'!$B1:$AH730,22,FALSE)-AVERAGE('The List'!W2:W730))/STDEV('The List'!W2:W730)</f>
        <v>-0.697852816066493</v>
      </c>
      <c r="K419" s="46">
        <f>(VLOOKUP($A419,'The List'!$B1:$AH730,23,FALSE)-AVERAGE('The List'!X2:X730))/STDEV('The List'!X2:X730)</f>
        <v>-0.787771371804452</v>
      </c>
      <c r="L419" s="46">
        <f>(VLOOKUP($A419,'The List'!$B1:$AH730,24,FALSE)-AVERAGE('The List'!Y2:Y730))/STDEV('The List'!Y2:Y730)</f>
        <v>1.88053285202125</v>
      </c>
      <c r="M419" s="46">
        <f>(VLOOKUP($A419,'The List'!$B1:$AH730,25,FALSE)-AVERAGE('The List'!Z2:Z730))/STDEV('The List'!Z2:Z730)</f>
        <v>2.33451234159412</v>
      </c>
      <c r="N419" s="46">
        <f>(VLOOKUP($A419,'The List'!$B1:$AH730,26,FALSE)-AVERAGE('The List'!AA2:AA730))/STDEV('The List'!AA2:AA730)</f>
        <v>-0.287910678696453</v>
      </c>
      <c r="O419" s="46">
        <f>(VLOOKUP($A419,'The List'!$B1:$AH730,27,FALSE)-AVERAGE('The List'!AB2:AB730))/STDEV('The List'!AB2:AB730)</f>
        <v>0.27107651487615</v>
      </c>
      <c r="P419" s="46">
        <f>(VLOOKUP($A419,'The List'!$B1:$AH730,28,FALSE)-AVERAGE('The List'!AC2:AC730))/STDEV('The List'!AC2:AC730)</f>
        <v>0.926282978550799</v>
      </c>
      <c r="Q419" s="46">
        <f>(VLOOKUP($A419,'The List'!$B1:$AH730,29,FALSE)-AVERAGE('The List'!AD2:AD730))/STDEV('The List'!AD2:AD730)</f>
        <v>0.105261750338451</v>
      </c>
      <c r="R419" s="46">
        <f>(VLOOKUP($A419,'The List'!$B1:$AH730,30,FALSE)-AVERAGE('The List'!AE2:AE730))/STDEV('The List'!AE2:AE730)</f>
        <v>-0.302329524721384</v>
      </c>
      <c r="S419" s="46">
        <f>(VLOOKUP($A419,'The List'!$B1:$AH730,31,FALSE)-AVERAGE('The List'!AF2:AF730))/STDEV('The List'!AF2:AF730)</f>
        <v>-0.5434796088321669</v>
      </c>
      <c r="T419" s="46">
        <f>(VLOOKUP($A419,'The List'!$B1:$AH730,32,FALSE)-AVERAGE('The List'!AG2:AG730))/STDEV('The List'!AG2:AG730)</f>
        <v>-0.548674068927564</v>
      </c>
      <c r="U419" s="46">
        <f>(VLOOKUP($A419,'The List'!$B1:$AH730,33,FALSE)-AVERAGE('The List'!AH2:AH730))/STDEV('The List'!AH2:AH730)</f>
        <v>-0.274403752095665</v>
      </c>
      <c r="V419" s="46"/>
      <c r="W419" s="50"/>
      <c r="X419" s="48"/>
      <c r="Y419" s="48"/>
      <c r="Z419" s="48"/>
      <c r="AA419" s="48"/>
      <c r="AB419" s="48"/>
      <c r="AC419" s="51"/>
      <c r="AD419" s="52"/>
      <c r="AE419" s="46"/>
    </row>
    <row r="420" ht="21.25" customHeight="1">
      <c r="A420" t="s" s="8">
        <v>583</v>
      </c>
      <c r="B420" t="s" s="42">
        <f>VLOOKUP(A420,'Player Data'!A1:B734,2,FALSE)</f>
        <v>194</v>
      </c>
      <c r="C420" s="44">
        <f>((E420)*'Settings'!$C$12)+(F420*'Settings'!$C$2)+(G420*'Settings'!$C$3)+(H420*'Settings'!$C$4)+(I420*'Settings'!$C$5)+(K420*'Settings'!$C$9)+(N420*'Settings'!$C$6)+(J420*'Settings'!$C$8)+(O420*'Settings'!$C$7)+(P420*'Settings'!$C$14)+(Q420*'Settings'!$C$15)+(R420*'Settings'!$C$16)+(S420*'Settings'!$C$17)+(T420*'Settings'!$C$18)+(U420*'Settings'!$C$19)+(L420*'Settings'!$C$10)+('Settings'!$C$11*M420)</f>
        <v>-3.35688173221665</v>
      </c>
      <c r="D420" s="48">
        <f>IF('Settings'!$E$12="YES",VLOOKUP(A420,'Player Data'!A1:E734,5,FALSE),82)</f>
        <v>62.17</v>
      </c>
      <c r="E420" s="46">
        <f>(VLOOKUP($A420,'The List'!$B1:$AH730,17,FALSE)-AVERAGE('The List'!R2:R730))/STDEV('The List'!R2:R730)</f>
        <v>-0.263672021441553</v>
      </c>
      <c r="F420" s="46">
        <f>(VLOOKUP($A420,'The List'!$B1:$AH730,18,FALSE)-AVERAGE('The List'!S2:S730))/STDEV('The List'!S2:S730)</f>
        <v>-0.634364768194337</v>
      </c>
      <c r="G420" s="46">
        <f>(VLOOKUP($A420,'The List'!$B1:$AH730,19,FALSE)-AVERAGE('The List'!T2:T730))/STDEV('The List'!T2:T730)</f>
        <v>-0.720989524210775</v>
      </c>
      <c r="H420" s="46">
        <f>(VLOOKUP($A420,'The List'!$B1:$AH730,20,FALSE)-AVERAGE('The List'!U2:U730))/STDEV('The List'!U2:U730)</f>
        <v>-0.733129257378882</v>
      </c>
      <c r="I420" s="46">
        <f>(VLOOKUP($A420,'The List'!$B1:$AH730,21,FALSE)-AVERAGE('The List'!V2:V730))/STDEV('The List'!V2:V730)</f>
        <v>-0.954936186327012</v>
      </c>
      <c r="J420" s="46">
        <f>(VLOOKUP($A420,'The List'!$B1:$AH730,22,FALSE)-AVERAGE('The List'!W2:W730))/STDEV('The List'!W2:W730)</f>
        <v>-0.709616704682607</v>
      </c>
      <c r="K420" s="46">
        <f>(VLOOKUP($A420,'The List'!$B1:$AH730,23,FALSE)-AVERAGE('The List'!X2:X730))/STDEV('The List'!X2:X730)</f>
        <v>-0.792156919113159</v>
      </c>
      <c r="L420" s="46">
        <f>(VLOOKUP($A420,'The List'!$B1:$AH730,24,FALSE)-AVERAGE('The List'!Y2:Y730))/STDEV('The List'!Y2:Y730)</f>
        <v>-0.480373960275405</v>
      </c>
      <c r="M420" s="46">
        <f>(VLOOKUP($A420,'The List'!$B1:$AH730,25,FALSE)-AVERAGE('The List'!Z2:Z730))/STDEV('The List'!Z2:Z730)</f>
        <v>-0.5793944627395869</v>
      </c>
      <c r="N420" s="46">
        <f>(VLOOKUP($A420,'The List'!$B1:$AH730,26,FALSE)-AVERAGE('The List'!AA2:AA730))/STDEV('The List'!AA2:AA730)</f>
        <v>0.235152277313409</v>
      </c>
      <c r="O420" s="46">
        <f>(VLOOKUP($A420,'The List'!$B1:$AH730,27,FALSE)-AVERAGE('The List'!AB2:AB730))/STDEV('The List'!AB2:AB730)</f>
        <v>-1.01313694414424</v>
      </c>
      <c r="P420" s="46">
        <f>(VLOOKUP($A420,'The List'!$B1:$AH730,28,FALSE)-AVERAGE('The List'!AC2:AC730))/STDEV('The List'!AC2:AC730)</f>
        <v>-0.489586611684778</v>
      </c>
      <c r="Q420" s="46">
        <f>(VLOOKUP($A420,'The List'!$B1:$AH730,29,FALSE)-AVERAGE('The List'!AD2:AD730))/STDEV('The List'!AD2:AD730)</f>
        <v>-1.07602637985898</v>
      </c>
      <c r="R420" s="46">
        <f>(VLOOKUP($A420,'The List'!$B1:$AH730,30,FALSE)-AVERAGE('The List'!AE2:AE730))/STDEV('The List'!AE2:AE730)</f>
        <v>-0.689394241350489</v>
      </c>
      <c r="S420" s="46">
        <f>(VLOOKUP($A420,'The List'!$B1:$AH730,31,FALSE)-AVERAGE('The List'!AF2:AF730))/STDEV('The List'!AF2:AF730)</f>
        <v>-0.5569063253591</v>
      </c>
      <c r="T420" s="46">
        <f>(VLOOKUP($A420,'The List'!$B1:$AH730,32,FALSE)-AVERAGE('The List'!AG2:AG730))/STDEV('The List'!AG2:AG730)</f>
        <v>-0.600856269042678</v>
      </c>
      <c r="U420" s="46">
        <f>(VLOOKUP($A420,'The List'!$B1:$AH730,33,FALSE)-AVERAGE('The List'!AH2:AH730))/STDEV('The List'!AH2:AH730)</f>
        <v>-1.2363238714826</v>
      </c>
      <c r="V420" s="46"/>
      <c r="W420" s="50"/>
      <c r="X420" s="48"/>
      <c r="Y420" s="48"/>
      <c r="Z420" s="48"/>
      <c r="AA420" s="48"/>
      <c r="AB420" s="48"/>
      <c r="AC420" s="51"/>
      <c r="AD420" s="52"/>
      <c r="AE420" s="46"/>
    </row>
    <row r="421" ht="21.25" customHeight="1">
      <c r="A421" t="s" s="8">
        <v>775</v>
      </c>
      <c r="B421" t="s" s="42">
        <f>VLOOKUP(A421,'Player Data'!A1:B734,2,FALSE)</f>
        <v>164</v>
      </c>
      <c r="C421" s="44">
        <f>((E421)*'Settings'!$C$12)+(F421*'Settings'!$C$2)+(G421*'Settings'!$C$3)+(H421*'Settings'!$C$4)+(I421*'Settings'!$C$5)+(K421*'Settings'!$C$9)+(N421*'Settings'!$C$6)+(J421*'Settings'!$C$8)+(O421*'Settings'!$C$7)+(P421*'Settings'!$C$14)+(Q421*'Settings'!$C$15)+(R421*'Settings'!$C$16)+(S421*'Settings'!$C$17)+(T421*'Settings'!$C$18)+(U421*'Settings'!$C$19)+(L421*'Settings'!$C$10)+('Settings'!$C$11*M421)</f>
        <v>-3.01702741628758</v>
      </c>
      <c r="D421" s="48">
        <f>IF('Settings'!$E$12="YES",VLOOKUP(A421,'Player Data'!A1:E734,5,FALSE),82)</f>
        <v>64.86964285714291</v>
      </c>
      <c r="E421" s="46">
        <f>(VLOOKUP($A421,'The List'!$B1:$AH730,17,FALSE)-AVERAGE('The List'!R2:R730))/STDEV('The List'!R2:R730)</f>
        <v>-0.966357171568477</v>
      </c>
      <c r="F421" s="46">
        <f>(VLOOKUP($A421,'The List'!$B1:$AH730,18,FALSE)-AVERAGE('The List'!S2:S730))/STDEV('The List'!S2:S730)</f>
        <v>-0.501315756434926</v>
      </c>
      <c r="G421" s="46">
        <f>(VLOOKUP($A421,'The List'!$B1:$AH730,19,FALSE)-AVERAGE('The List'!T2:T730))/STDEV('The List'!T2:T730)</f>
        <v>-0.758967430399049</v>
      </c>
      <c r="H421" s="46">
        <f>(VLOOKUP($A421,'The List'!$B1:$AH730,20,FALSE)-AVERAGE('The List'!U2:U730))/STDEV('The List'!U2:U730)</f>
        <v>-0.696002168633128</v>
      </c>
      <c r="I421" s="46">
        <f>(VLOOKUP($A421,'The List'!$B1:$AH730,21,FALSE)-AVERAGE('The List'!V2:V730))/STDEV('The List'!V2:V730)</f>
        <v>-0.543423234094696</v>
      </c>
      <c r="J421" s="46">
        <f>(VLOOKUP($A421,'The List'!$B1:$AH730,22,FALSE)-AVERAGE('The List'!W2:W730))/STDEV('The List'!W2:W730)</f>
        <v>-0.699790258328463</v>
      </c>
      <c r="K421" s="46">
        <f>(VLOOKUP($A421,'The List'!$B1:$AH730,23,FALSE)-AVERAGE('The List'!X2:X730))/STDEV('The List'!X2:X730)</f>
        <v>-0.789876984241849</v>
      </c>
      <c r="L421" s="46">
        <f>(VLOOKUP($A421,'The List'!$B1:$AH730,24,FALSE)-AVERAGE('The List'!Y2:Y730))/STDEV('The List'!Y2:Y730)</f>
        <v>-0.311782454017108</v>
      </c>
      <c r="M421" s="46">
        <f>(VLOOKUP($A421,'The List'!$B1:$AH730,25,FALSE)-AVERAGE('The List'!Z2:Z730))/STDEV('The List'!Z2:Z730)</f>
        <v>0.872804211577503</v>
      </c>
      <c r="N421" s="46">
        <f>(VLOOKUP($A421,'The List'!$B1:$AH730,26,FALSE)-AVERAGE('The List'!AA2:AA730))/STDEV('The List'!AA2:AA730)</f>
        <v>-0.583592303761132</v>
      </c>
      <c r="O421" s="46">
        <f>(VLOOKUP($A421,'The List'!$B1:$AH730,27,FALSE)-AVERAGE('The List'!AB2:AB730))/STDEV('The List'!AB2:AB730)</f>
        <v>0.367770285493887</v>
      </c>
      <c r="P421" s="46">
        <f>(VLOOKUP($A421,'The List'!$B1:$AH730,28,FALSE)-AVERAGE('The List'!AC2:AC730))/STDEV('The List'!AC2:AC730)</f>
        <v>0.16014829264407</v>
      </c>
      <c r="Q421" s="46">
        <f>(VLOOKUP($A421,'The List'!$B1:$AH730,29,FALSE)-AVERAGE('The List'!AD2:AD730))/STDEV('The List'!AD2:AD730)</f>
        <v>-0.410342657664662</v>
      </c>
      <c r="R421" s="46">
        <f>(VLOOKUP($A421,'The List'!$B1:$AH730,30,FALSE)-AVERAGE('The List'!AE2:AE730))/STDEV('The List'!AE2:AE730)</f>
        <v>-0.378231483269478</v>
      </c>
      <c r="S421" s="46">
        <f>(VLOOKUP($A421,'The List'!$B1:$AH730,31,FALSE)-AVERAGE('The List'!AF2:AF730))/STDEV('The List'!AF2:AF730)</f>
        <v>-0.471547066984416</v>
      </c>
      <c r="T421" s="46">
        <f>(VLOOKUP($A421,'The List'!$B1:$AH730,32,FALSE)-AVERAGE('The List'!AG2:AG730))/STDEV('The List'!AG2:AG730)</f>
        <v>-0.499568483110005</v>
      </c>
      <c r="U421" s="46">
        <f>(VLOOKUP($A421,'The List'!$B1:$AH730,33,FALSE)-AVERAGE('The List'!AH2:AH730))/STDEV('The List'!AH2:AH730)</f>
        <v>0.885824254332424</v>
      </c>
      <c r="V421" s="46"/>
      <c r="W421" s="50"/>
      <c r="X421" s="48"/>
      <c r="Y421" s="48"/>
      <c r="Z421" s="48"/>
      <c r="AA421" s="48"/>
      <c r="AB421" s="48"/>
      <c r="AC421" s="51"/>
      <c r="AD421" s="52"/>
      <c r="AE421" s="46"/>
    </row>
    <row r="422" ht="21.25" customHeight="1">
      <c r="A422" t="s" s="8">
        <v>711</v>
      </c>
      <c r="B422" t="s" s="42">
        <f>VLOOKUP(A422,'Player Data'!A1:B734,2,FALSE)</f>
        <v>196</v>
      </c>
      <c r="C422" s="44">
        <f>((E422)*'Settings'!$C$12)+(F422*'Settings'!$C$2)+(G422*'Settings'!$C$3)+(H422*'Settings'!$C$4)+(I422*'Settings'!$C$5)+(K422*'Settings'!$C$9)+(N422*'Settings'!$C$6)+(J422*'Settings'!$C$8)+(O422*'Settings'!$C$7)+(P422*'Settings'!$C$14)+(Q422*'Settings'!$C$15)+(R422*'Settings'!$C$16)+(S422*'Settings'!$C$17)+(T422*'Settings'!$C$18)+(U422*'Settings'!$C$19)+(L422*'Settings'!$C$10)+('Settings'!$C$11*M422)</f>
        <v>-2.76577458634584</v>
      </c>
      <c r="D422" s="48">
        <f>IF('Settings'!$E$12="YES",VLOOKUP(A422,'Player Data'!A1:E734,5,FALSE),82)</f>
        <v>76.1253571428571</v>
      </c>
      <c r="E422" s="46">
        <f>(VLOOKUP($A422,'The List'!$B1:$AH730,17,FALSE)-AVERAGE('The List'!R2:R730))/STDEV('The List'!R2:R730)</f>
        <v>-0.5510503349824269</v>
      </c>
      <c r="F422" s="46">
        <f>(VLOOKUP($A422,'The List'!$B1:$AH730,18,FALSE)-AVERAGE('The List'!S2:S730))/STDEV('The List'!S2:S730)</f>
        <v>-0.0967897615709483</v>
      </c>
      <c r="G422" s="46">
        <f>(VLOOKUP($A422,'The List'!$B1:$AH730,19,FALSE)-AVERAGE('The List'!T2:T730))/STDEV('The List'!T2:T730)</f>
        <v>-0.8041504919464429</v>
      </c>
      <c r="H422" s="46">
        <f>(VLOOKUP($A422,'The List'!$B1:$AH730,20,FALSE)-AVERAGE('The List'!U2:U730))/STDEV('The List'!U2:U730)</f>
        <v>-0.539789491490815</v>
      </c>
      <c r="I422" s="46">
        <f>(VLOOKUP($A422,'The List'!$B1:$AH730,21,FALSE)-AVERAGE('The List'!V2:V730))/STDEV('The List'!V2:V730)</f>
        <v>-0.0500786487753423</v>
      </c>
      <c r="J422" s="46">
        <f>(VLOOKUP($A422,'The List'!$B1:$AH730,22,FALSE)-AVERAGE('The List'!W2:W730))/STDEV('The List'!W2:W730)</f>
        <v>-0.617169761489732</v>
      </c>
      <c r="K422" s="46">
        <f>(VLOOKUP($A422,'The List'!$B1:$AH730,23,FALSE)-AVERAGE('The List'!X2:X730))/STDEV('The List'!X2:X730)</f>
        <v>-0.739323251310948</v>
      </c>
      <c r="L422" s="46">
        <f>(VLOOKUP($A422,'The List'!$B1:$AH730,24,FALSE)-AVERAGE('The List'!Y2:Y730))/STDEV('The List'!Y2:Y730)</f>
        <v>1.05847598959548</v>
      </c>
      <c r="M422" s="46">
        <f>(VLOOKUP($A422,'The List'!$B1:$AH730,25,FALSE)-AVERAGE('The List'!Z2:Z730))/STDEV('The List'!Z2:Z730)</f>
        <v>0.406969793851165</v>
      </c>
      <c r="N422" s="46">
        <f>(VLOOKUP($A422,'The List'!$B1:$AH730,26,FALSE)-AVERAGE('The List'!AA2:AA730))/STDEV('The List'!AA2:AA730)</f>
        <v>-0.53233924264928</v>
      </c>
      <c r="O422" s="46">
        <f>(VLOOKUP($A422,'The List'!$B1:$AH730,27,FALSE)-AVERAGE('The List'!AB2:AB730))/STDEV('The List'!AB2:AB730)</f>
        <v>1.12862334089754</v>
      </c>
      <c r="P422" s="46">
        <f>(VLOOKUP($A422,'The List'!$B1:$AH730,28,FALSE)-AVERAGE('The List'!AC2:AC730))/STDEV('The List'!AC2:AC730)</f>
        <v>-0.543093190092875</v>
      </c>
      <c r="Q422" s="46">
        <f>(VLOOKUP($A422,'The List'!$B1:$AH730,29,FALSE)-AVERAGE('The List'!AD2:AD730))/STDEV('The List'!AD2:AD730)</f>
        <v>0.00607659997249452</v>
      </c>
      <c r="R422" s="46">
        <f>(VLOOKUP($A422,'The List'!$B1:$AH730,30,FALSE)-AVERAGE('The List'!AE2:AE730))/STDEV('The List'!AE2:AE730)</f>
        <v>-0.200091083399229</v>
      </c>
      <c r="S422" s="46">
        <f>(VLOOKUP($A422,'The List'!$B1:$AH730,31,FALSE)-AVERAGE('The List'!AF2:AF730))/STDEV('The List'!AF2:AF730)</f>
        <v>1.62529404954455</v>
      </c>
      <c r="T422" s="46">
        <f>(VLOOKUP($A422,'The List'!$B1:$AH730,32,FALSE)-AVERAGE('The List'!AG2:AG730))/STDEV('The List'!AG2:AG730)</f>
        <v>1.75319710579052</v>
      </c>
      <c r="U422" s="46">
        <f>(VLOOKUP($A422,'The List'!$B1:$AH730,33,FALSE)-AVERAGE('The List'!AH2:AH730))/STDEV('The List'!AH2:AH730)</f>
        <v>0.993253745249903</v>
      </c>
      <c r="V422" s="46"/>
      <c r="W422" s="50"/>
      <c r="X422" s="48"/>
      <c r="Y422" s="48"/>
      <c r="Z422" s="48"/>
      <c r="AA422" s="48"/>
      <c r="AB422" s="48"/>
      <c r="AC422" s="51"/>
      <c r="AD422" s="52"/>
      <c r="AE422" s="46"/>
    </row>
    <row r="423" ht="21.25" customHeight="1">
      <c r="A423" t="s" s="8">
        <v>727</v>
      </c>
      <c r="B423" t="s" s="42">
        <f>VLOOKUP(A423,'Player Data'!A1:B734,2,FALSE)</f>
        <v>115</v>
      </c>
      <c r="C423" s="44">
        <f>((E423)*'Settings'!$C$12)+(F423*'Settings'!$C$2)+(G423*'Settings'!$C$3)+(H423*'Settings'!$C$4)+(I423*'Settings'!$C$5)+(K423*'Settings'!$C$9)+(N423*'Settings'!$C$6)+(J423*'Settings'!$C$8)+(O423*'Settings'!$C$7)+(P423*'Settings'!$C$14)+(Q423*'Settings'!$C$15)+(R423*'Settings'!$C$16)+(S423*'Settings'!$C$17)+(T423*'Settings'!$C$18)+(U423*'Settings'!$C$19)+(L423*'Settings'!$C$10)+('Settings'!$C$11*M423)</f>
        <v>-2.1360830669771</v>
      </c>
      <c r="D423" s="48">
        <f>IF('Settings'!$E$12="YES",VLOOKUP(A423,'Player Data'!A1:E734,5,FALSE),82)</f>
        <v>82.03</v>
      </c>
      <c r="E423" s="46">
        <f>(VLOOKUP($A423,'The List'!$B1:$AH730,17,FALSE)-AVERAGE('The List'!R2:R730))/STDEV('The List'!R2:R730)</f>
        <v>-0.428834873146862</v>
      </c>
      <c r="F423" s="46">
        <f>(VLOOKUP($A423,'The List'!$B1:$AH730,18,FALSE)-AVERAGE('The List'!S2:S730))/STDEV('The List'!S2:S730)</f>
        <v>-0.520502601077367</v>
      </c>
      <c r="G423" s="46">
        <f>(VLOOKUP($A423,'The List'!$B1:$AH730,19,FALSE)-AVERAGE('The List'!T2:T730))/STDEV('The List'!T2:T730)</f>
        <v>-0.362639260050283</v>
      </c>
      <c r="H423" s="46">
        <f>(VLOOKUP($A423,'The List'!$B1:$AH730,20,FALSE)-AVERAGE('The List'!U2:U730))/STDEV('The List'!U2:U730)</f>
        <v>-0.46040145994092</v>
      </c>
      <c r="I423" s="46">
        <f>(VLOOKUP($A423,'The List'!$B1:$AH730,21,FALSE)-AVERAGE('The List'!V2:V730))/STDEV('The List'!V2:V730)</f>
        <v>-0.45780040455519</v>
      </c>
      <c r="J423" s="46">
        <f>(VLOOKUP($A423,'The List'!$B1:$AH730,22,FALSE)-AVERAGE('The List'!W2:W730))/STDEV('The List'!W2:W730)</f>
        <v>-0.698935287760618</v>
      </c>
      <c r="K423" s="46">
        <f>(VLOOKUP($A423,'The List'!$B1:$AH730,23,FALSE)-AVERAGE('The List'!X2:X730))/STDEV('The List'!X2:X730)</f>
        <v>-0.788519427744131</v>
      </c>
      <c r="L423" s="46">
        <f>(VLOOKUP($A423,'The List'!$B1:$AH730,24,FALSE)-AVERAGE('The List'!Y2:Y730))/STDEV('The List'!Y2:Y730)</f>
        <v>0.596018061048604</v>
      </c>
      <c r="M423" s="46">
        <f>(VLOOKUP($A423,'The List'!$B1:$AH730,25,FALSE)-AVERAGE('The List'!Z2:Z730))/STDEV('The List'!Z2:Z730)</f>
        <v>1.85319211816696</v>
      </c>
      <c r="N423" s="46">
        <f>(VLOOKUP($A423,'The List'!$B1:$AH730,26,FALSE)-AVERAGE('The List'!AA2:AA730))/STDEV('The List'!AA2:AA730)</f>
        <v>-0.765237216869601</v>
      </c>
      <c r="O423" s="46">
        <f>(VLOOKUP($A423,'The List'!$B1:$AH730,27,FALSE)-AVERAGE('The List'!AB2:AB730))/STDEV('The List'!AB2:AB730)</f>
        <v>-0.331921246914139</v>
      </c>
      <c r="P423" s="46">
        <f>(VLOOKUP($A423,'The List'!$B1:$AH730,28,FALSE)-AVERAGE('The List'!AC2:AC730))/STDEV('The List'!AC2:AC730)</f>
        <v>0.758615843319475</v>
      </c>
      <c r="Q423" s="46">
        <f>(VLOOKUP($A423,'The List'!$B1:$AH730,29,FALSE)-AVERAGE('The List'!AD2:AD730))/STDEV('The List'!AD2:AD730)</f>
        <v>-0.901988617284579</v>
      </c>
      <c r="R423" s="46">
        <f>(VLOOKUP($A423,'The List'!$B1:$AH730,30,FALSE)-AVERAGE('The List'!AE2:AE730))/STDEV('The List'!AE2:AE730)</f>
        <v>-0.374275407045874</v>
      </c>
      <c r="S423" s="46">
        <f>(VLOOKUP($A423,'The List'!$B1:$AH730,31,FALSE)-AVERAGE('The List'!AF2:AF730))/STDEV('The List'!AF2:AF730)</f>
        <v>2.33728698156026</v>
      </c>
      <c r="T423" s="46">
        <f>(VLOOKUP($A423,'The List'!$B1:$AH730,32,FALSE)-AVERAGE('The List'!AG2:AG730))/STDEV('The List'!AG2:AG730)</f>
        <v>2.18140797623381</v>
      </c>
      <c r="U423" s="46">
        <f>(VLOOKUP($A423,'The List'!$B1:$AH730,33,FALSE)-AVERAGE('The List'!AH2:AH730))/STDEV('The List'!AH2:AH730)</f>
        <v>1.12330691960075</v>
      </c>
      <c r="V423" s="46"/>
      <c r="W423" s="50"/>
      <c r="X423" s="48"/>
      <c r="Y423" s="48"/>
      <c r="Z423" s="48"/>
      <c r="AA423" s="48"/>
      <c r="AB423" s="48"/>
      <c r="AC423" s="51"/>
      <c r="AD423" s="52"/>
      <c r="AE423" s="46"/>
    </row>
    <row r="424" ht="21.25" customHeight="1">
      <c r="A424" t="s" s="8">
        <v>801</v>
      </c>
      <c r="B424" t="s" s="42">
        <f>VLOOKUP(A424,'Player Data'!A1:B734,2,FALSE)</f>
        <v>151</v>
      </c>
      <c r="C424" s="44">
        <f>((E424)*'Settings'!$C$12)+(F424*'Settings'!$C$2)+(G424*'Settings'!$C$3)+(H424*'Settings'!$C$4)+(I424*'Settings'!$C$5)+(K424*'Settings'!$C$9)+(N424*'Settings'!$C$6)+(J424*'Settings'!$C$8)+(O424*'Settings'!$C$7)+(P424*'Settings'!$C$14)+(Q424*'Settings'!$C$15)+(R424*'Settings'!$C$16)+(S424*'Settings'!$C$17)+(T424*'Settings'!$C$18)+(U424*'Settings'!$C$19)+(L424*'Settings'!$C$10)+('Settings'!$C$11*M424)</f>
        <v>-4.13087948554163</v>
      </c>
      <c r="D424" s="48">
        <f>IF('Settings'!$E$12="YES",VLOOKUP(A424,'Player Data'!A1:E734,5,FALSE),82)</f>
        <v>53</v>
      </c>
      <c r="E424" s="46">
        <f>(VLOOKUP($A424,'The List'!$B1:$AH730,17,FALSE)-AVERAGE('The List'!R2:R730))/STDEV('The List'!R2:R730)</f>
        <v>-1.14527662619673</v>
      </c>
      <c r="F424" s="46">
        <f>(VLOOKUP($A424,'The List'!$B1:$AH730,18,FALSE)-AVERAGE('The List'!S2:S730))/STDEV('The List'!S2:S730)</f>
        <v>-0.625738442304497</v>
      </c>
      <c r="G424" s="46">
        <f>(VLOOKUP($A424,'The List'!$B1:$AH730,19,FALSE)-AVERAGE('The List'!T2:T730))/STDEV('The List'!T2:T730)</f>
        <v>-0.944310044385997</v>
      </c>
      <c r="H424" s="46">
        <f>(VLOOKUP($A424,'The List'!$B1:$AH730,20,FALSE)-AVERAGE('The List'!U2:U730))/STDEV('The List'!U2:U730)</f>
        <v>-0.866878271526989</v>
      </c>
      <c r="I424" s="46">
        <f>(VLOOKUP($A424,'The List'!$B1:$AH730,21,FALSE)-AVERAGE('The List'!V2:V730))/STDEV('The List'!V2:V730)</f>
        <v>-1.03476374307704</v>
      </c>
      <c r="J424" s="46">
        <f>(VLOOKUP($A424,'The List'!$B1:$AH730,22,FALSE)-AVERAGE('The List'!W2:W730))/STDEV('The List'!W2:W730)</f>
        <v>-0.668285775988512</v>
      </c>
      <c r="K424" s="46">
        <f>(VLOOKUP($A424,'The List'!$B1:$AH730,23,FALSE)-AVERAGE('The List'!X2:X730))/STDEV('The List'!X2:X730)</f>
        <v>-0.7581239923963879</v>
      </c>
      <c r="L424" s="46">
        <f>(VLOOKUP($A424,'The List'!$B1:$AH730,24,FALSE)-AVERAGE('The List'!Y2:Y730))/STDEV('The List'!Y2:Y730)</f>
        <v>-0.235558426848556</v>
      </c>
      <c r="M424" s="46">
        <f>(VLOOKUP($A424,'The List'!$B1:$AH730,25,FALSE)-AVERAGE('The List'!Z2:Z730))/STDEV('The List'!Z2:Z730)</f>
        <v>-0.36872860220798</v>
      </c>
      <c r="N424" s="46">
        <f>(VLOOKUP($A424,'The List'!$B1:$AH730,26,FALSE)-AVERAGE('The List'!AA2:AA730))/STDEV('The List'!AA2:AA730)</f>
        <v>-0.670138673934321</v>
      </c>
      <c r="O424" s="46">
        <f>(VLOOKUP($A424,'The List'!$B1:$AH730,27,FALSE)-AVERAGE('The List'!AB2:AB730))/STDEV('The List'!AB2:AB730)</f>
        <v>-0.552206651764048</v>
      </c>
      <c r="P424" s="46">
        <f>(VLOOKUP($A424,'The List'!$B1:$AH730,28,FALSE)-AVERAGE('The List'!AC2:AC730))/STDEV('The List'!AC2:AC730)</f>
        <v>-0.0978045894433856</v>
      </c>
      <c r="Q424" s="46">
        <f>(VLOOKUP($A424,'The List'!$B1:$AH730,29,FALSE)-AVERAGE('The List'!AD2:AD730))/STDEV('The List'!AD2:AD730)</f>
        <v>-0.869218521234471</v>
      </c>
      <c r="R424" s="46">
        <f>(VLOOKUP($A424,'The List'!$B1:$AH730,30,FALSE)-AVERAGE('The List'!AE2:AE730))/STDEV('The List'!AE2:AE730)</f>
        <v>-0.441796587446684</v>
      </c>
      <c r="S424" s="46">
        <f>(VLOOKUP($A424,'The List'!$B1:$AH730,31,FALSE)-AVERAGE('The List'!AF2:AF730))/STDEV('The List'!AF2:AF730)</f>
        <v>0.227975209198987</v>
      </c>
      <c r="T424" s="46">
        <f>(VLOOKUP($A424,'The List'!$B1:$AH730,32,FALSE)-AVERAGE('The List'!AG2:AG730))/STDEV('The List'!AG2:AG730)</f>
        <v>0.309525722127163</v>
      </c>
      <c r="U424" s="46">
        <f>(VLOOKUP($A424,'The List'!$B1:$AH730,33,FALSE)-AVERAGE('The List'!AH2:AH730))/STDEV('The List'!AH2:AH730)</f>
        <v>0.911451585613677</v>
      </c>
      <c r="V424" s="46"/>
      <c r="W424" s="48"/>
      <c r="X424" s="46"/>
      <c r="Y424" s="46"/>
      <c r="Z424" s="46"/>
      <c r="AA424" s="46"/>
      <c r="AB424" s="46"/>
      <c r="AC424" s="46"/>
      <c r="AD424" s="46"/>
      <c r="AE424" s="46"/>
    </row>
    <row r="425" ht="21.25" customHeight="1">
      <c r="A425" t="s" s="8">
        <v>785</v>
      </c>
      <c r="B425" t="s" s="42">
        <f>VLOOKUP(A425,'Player Data'!A1:B734,2,FALSE)</f>
        <v>196</v>
      </c>
      <c r="C425" s="44">
        <f>((E425)*'Settings'!$C$12)+(F425*'Settings'!$C$2)+(G425*'Settings'!$C$3)+(H425*'Settings'!$C$4)+(I425*'Settings'!$C$5)+(K425*'Settings'!$C$9)+(N425*'Settings'!$C$6)+(J425*'Settings'!$C$8)+(O425*'Settings'!$C$7)+(P425*'Settings'!$C$14)+(Q425*'Settings'!$C$15)+(R425*'Settings'!$C$16)+(S425*'Settings'!$C$17)+(T425*'Settings'!$C$18)+(U425*'Settings'!$C$19)+(L425*'Settings'!$C$10)+('Settings'!$C$11*M425)</f>
        <v>-4.37827966061787</v>
      </c>
      <c r="D425" s="48">
        <f>IF('Settings'!$E$12="YES",VLOOKUP(A425,'Player Data'!A1:E734,5,FALSE),82)</f>
        <v>72.40000000000001</v>
      </c>
      <c r="E425" s="46">
        <f>(VLOOKUP($A425,'The List'!$B1:$AH730,17,FALSE)-AVERAGE('The List'!R2:R730))/STDEV('The List'!R2:R730)</f>
        <v>-0.958268546174497</v>
      </c>
      <c r="F425" s="46">
        <f>(VLOOKUP($A425,'The List'!$B1:$AH730,18,FALSE)-AVERAGE('The List'!S2:S730))/STDEV('The List'!S2:S730)</f>
        <v>-0.269210086179157</v>
      </c>
      <c r="G425" s="46">
        <f>(VLOOKUP($A425,'The List'!$B1:$AH730,19,FALSE)-AVERAGE('The List'!T2:T730))/STDEV('The List'!T2:T730)</f>
        <v>-0.780014561843253</v>
      </c>
      <c r="H425" s="46">
        <f>(VLOOKUP($A425,'The List'!$B1:$AH730,20,FALSE)-AVERAGE('The List'!U2:U730))/STDEV('The List'!U2:U730)</f>
        <v>-0.6033647135239461</v>
      </c>
      <c r="I425" s="46">
        <f>(VLOOKUP($A425,'The List'!$B1:$AH730,21,FALSE)-AVERAGE('The List'!V2:V730))/STDEV('The List'!V2:V730)</f>
        <v>-1.08407321302222</v>
      </c>
      <c r="J425" s="46">
        <f>(VLOOKUP($A425,'The List'!$B1:$AH730,22,FALSE)-AVERAGE('The List'!W2:W730))/STDEV('The List'!W2:W730)</f>
        <v>-0.527501643734186</v>
      </c>
      <c r="K425" s="46">
        <f>(VLOOKUP($A425,'The List'!$B1:$AH730,23,FALSE)-AVERAGE('The List'!X2:X730))/STDEV('The List'!X2:X730)</f>
        <v>-0.558433059646178</v>
      </c>
      <c r="L425" s="46">
        <f>(VLOOKUP($A425,'The List'!$B1:$AH730,24,FALSE)-AVERAGE('The List'!Y2:Y730))/STDEV('The List'!Y2:Y730)</f>
        <v>-0.374214593811628</v>
      </c>
      <c r="M425" s="46">
        <f>(VLOOKUP($A425,'The List'!$B1:$AH730,25,FALSE)-AVERAGE('The List'!Z2:Z730))/STDEV('The List'!Z2:Z730)</f>
        <v>-0.531370396380589</v>
      </c>
      <c r="N425" s="46">
        <f>(VLOOKUP($A425,'The List'!$B1:$AH730,26,FALSE)-AVERAGE('The List'!AA2:AA730))/STDEV('The List'!AA2:AA730)</f>
        <v>-0.429880105846496</v>
      </c>
      <c r="O425" s="46">
        <f>(VLOOKUP($A425,'The List'!$B1:$AH730,27,FALSE)-AVERAGE('The List'!AB2:AB730))/STDEV('The List'!AB2:AB730)</f>
        <v>-1.01514778229608</v>
      </c>
      <c r="P425" s="46">
        <f>(VLOOKUP($A425,'The List'!$B1:$AH730,28,FALSE)-AVERAGE('The List'!AC2:AC730))/STDEV('The List'!AC2:AC730)</f>
        <v>-1.25666863408057</v>
      </c>
      <c r="Q425" s="46">
        <f>(VLOOKUP($A425,'The List'!$B1:$AH730,29,FALSE)-AVERAGE('The List'!AD2:AD730))/STDEV('The List'!AD2:AD730)</f>
        <v>-0.772220197631928</v>
      </c>
      <c r="R425" s="46">
        <f>(VLOOKUP($A425,'The List'!$B1:$AH730,30,FALSE)-AVERAGE('The List'!AE2:AE730))/STDEV('The List'!AE2:AE730)</f>
        <v>-0.34167851157391</v>
      </c>
      <c r="S425" s="46">
        <f>(VLOOKUP($A425,'The List'!$B1:$AH730,31,FALSE)-AVERAGE('The List'!AF2:AF730))/STDEV('The List'!AF2:AF730)</f>
        <v>1.11529236485585</v>
      </c>
      <c r="T425" s="46">
        <f>(VLOOKUP($A425,'The List'!$B1:$AH730,32,FALSE)-AVERAGE('The List'!AG2:AG730))/STDEV('The List'!AG2:AG730)</f>
        <v>1.59448610891226</v>
      </c>
      <c r="U425" s="46">
        <f>(VLOOKUP($A425,'The List'!$B1:$AH730,33,FALSE)-AVERAGE('The List'!AH2:AH730))/STDEV('The List'!AH2:AH730)</f>
        <v>0.772527303966266</v>
      </c>
      <c r="V425" s="46"/>
      <c r="W425" s="50"/>
      <c r="X425" s="48"/>
      <c r="Y425" s="48"/>
      <c r="Z425" s="48"/>
      <c r="AA425" s="48"/>
      <c r="AB425" s="48"/>
      <c r="AC425" s="51"/>
      <c r="AD425" s="52"/>
      <c r="AE425" s="46"/>
    </row>
    <row r="426" ht="21.25" customHeight="1">
      <c r="A426" t="s" s="8">
        <v>710</v>
      </c>
      <c r="B426" t="s" s="42">
        <f>VLOOKUP(A426,'Player Data'!A1:B734,2,FALSE)</f>
        <v>292</v>
      </c>
      <c r="C426" s="44">
        <f>((E426)*'Settings'!$C$12)+(F426*'Settings'!$C$2)+(G426*'Settings'!$C$3)+(H426*'Settings'!$C$4)+(I426*'Settings'!$C$5)+(K426*'Settings'!$C$9)+(N426*'Settings'!$C$6)+(J426*'Settings'!$C$8)+(O426*'Settings'!$C$7)+(P426*'Settings'!$C$14)+(Q426*'Settings'!$C$15)+(R426*'Settings'!$C$16)+(S426*'Settings'!$C$17)+(T426*'Settings'!$C$18)+(U426*'Settings'!$C$19)+(L426*'Settings'!$C$10)+('Settings'!$C$11*M426)</f>
        <v>-2.81038208121215</v>
      </c>
      <c r="D426" s="48">
        <f>IF('Settings'!$E$12="YES",VLOOKUP(A426,'Player Data'!A1:E734,5,FALSE),82)</f>
        <v>77.1725</v>
      </c>
      <c r="E426" s="46">
        <f>(VLOOKUP($A426,'The List'!$B1:$AH730,17,FALSE)-AVERAGE('The List'!R2:R730))/STDEV('The List'!R2:R730)</f>
        <v>-1.20096945260982</v>
      </c>
      <c r="F426" s="46">
        <f>(VLOOKUP($A426,'The List'!$B1:$AH730,18,FALSE)-AVERAGE('The List'!S2:S730))/STDEV('The List'!S2:S730)</f>
        <v>-0.09218104126073499</v>
      </c>
      <c r="G426" s="46">
        <f>(VLOOKUP($A426,'The List'!$B1:$AH730,19,FALSE)-AVERAGE('The List'!T2:T730))/STDEV('The List'!T2:T730)</f>
        <v>-0.805599632548321</v>
      </c>
      <c r="H426" s="46">
        <f>(VLOOKUP($A426,'The List'!$B1:$AH730,20,FALSE)-AVERAGE('The List'!U2:U730))/STDEV('The List'!U2:U730)</f>
        <v>-0.538585807452581</v>
      </c>
      <c r="I426" s="46">
        <f>(VLOOKUP($A426,'The List'!$B1:$AH730,21,FALSE)-AVERAGE('The List'!V2:V730))/STDEV('The List'!V2:V730)</f>
        <v>-0.351051005755837</v>
      </c>
      <c r="J426" s="46">
        <f>(VLOOKUP($A426,'The List'!$B1:$AH730,22,FALSE)-AVERAGE('The List'!W2:W730))/STDEV('The List'!W2:W730)</f>
        <v>-0.36863931616661</v>
      </c>
      <c r="K426" s="46">
        <f>(VLOOKUP($A426,'The List'!$B1:$AH730,23,FALSE)-AVERAGE('The List'!X2:X730))/STDEV('The List'!X2:X730)</f>
        <v>-0.481609110578634</v>
      </c>
      <c r="L426" s="46">
        <f>(VLOOKUP($A426,'The List'!$B1:$AH730,24,FALSE)-AVERAGE('The List'!Y2:Y730))/STDEV('The List'!Y2:Y730)</f>
        <v>-0.542843480388394</v>
      </c>
      <c r="M426" s="46">
        <f>(VLOOKUP($A426,'The List'!$B1:$AH730,25,FALSE)-AVERAGE('The List'!Z2:Z730))/STDEV('The List'!Z2:Z730)</f>
        <v>-0.72177514995105</v>
      </c>
      <c r="N426" s="46">
        <f>(VLOOKUP($A426,'The List'!$B1:$AH730,26,FALSE)-AVERAGE('The List'!AA2:AA730))/STDEV('The List'!AA2:AA730)</f>
        <v>-0.698263130568384</v>
      </c>
      <c r="O426" s="46">
        <f>(VLOOKUP($A426,'The List'!$B1:$AH730,27,FALSE)-AVERAGE('The List'!AB2:AB730))/STDEV('The List'!AB2:AB730)</f>
        <v>2.21611432462069</v>
      </c>
      <c r="P426" s="46">
        <f>(VLOOKUP($A426,'The List'!$B1:$AH730,28,FALSE)-AVERAGE('The List'!AC2:AC730))/STDEV('The List'!AC2:AC730)</f>
        <v>-0.38167816050024</v>
      </c>
      <c r="Q426" s="46">
        <f>(VLOOKUP($A426,'The List'!$B1:$AH730,29,FALSE)-AVERAGE('The List'!AD2:AD730))/STDEV('The List'!AD2:AD730)</f>
        <v>0.833386980846748</v>
      </c>
      <c r="R426" s="46">
        <f>(VLOOKUP($A426,'The List'!$B1:$AH730,30,FALSE)-AVERAGE('The List'!AE2:AE730))/STDEV('The List'!AE2:AE730)</f>
        <v>-1.18448477237391</v>
      </c>
      <c r="S426" s="46">
        <f>(VLOOKUP($A426,'The List'!$B1:$AH730,31,FALSE)-AVERAGE('The List'!AF2:AF730))/STDEV('The List'!AF2:AF730)</f>
        <v>-0.553184090207828</v>
      </c>
      <c r="T426" s="46">
        <f>(VLOOKUP($A426,'The List'!$B1:$AH730,32,FALSE)-AVERAGE('The List'!AG2:AG730))/STDEV('The List'!AG2:AG730)</f>
        <v>-0.5553598999837011</v>
      </c>
      <c r="U426" s="46">
        <f>(VLOOKUP($A426,'The List'!$B1:$AH730,33,FALSE)-AVERAGE('The List'!AH2:AH730))/STDEV('The List'!AH2:AH730)</f>
        <v>-0.878485668484969</v>
      </c>
      <c r="V426" s="46"/>
      <c r="W426" s="48"/>
      <c r="X426" s="46"/>
      <c r="Y426" s="46"/>
      <c r="Z426" s="46"/>
      <c r="AA426" s="46"/>
      <c r="AB426" s="46"/>
      <c r="AC426" s="46"/>
      <c r="AD426" s="46"/>
      <c r="AE426" s="46"/>
    </row>
    <row r="427" ht="21.25" customHeight="1">
      <c r="A427" t="s" s="8">
        <v>825</v>
      </c>
      <c r="B427" t="s" s="42">
        <f>VLOOKUP(A427,'Player Data'!A1:B734,2,FALSE)</f>
        <v>170</v>
      </c>
      <c r="C427" s="44">
        <f>((E427)*'Settings'!$C$12)+(F427*'Settings'!$C$2)+(G427*'Settings'!$C$3)+(H427*'Settings'!$C$4)+(I427*'Settings'!$C$5)+(K427*'Settings'!$C$9)+(N427*'Settings'!$C$6)+(J427*'Settings'!$C$8)+(O427*'Settings'!$C$7)+(P427*'Settings'!$C$14)+(Q427*'Settings'!$C$15)+(R427*'Settings'!$C$16)+(S427*'Settings'!$C$17)+(T427*'Settings'!$C$18)+(U427*'Settings'!$C$19)+(L427*'Settings'!$C$10)+('Settings'!$C$11*M427)</f>
        <v>-4.37088978441304</v>
      </c>
      <c r="D427" s="48">
        <f>IF('Settings'!$E$12="YES",VLOOKUP(A427,'Player Data'!A1:E734,5,FALSE),82)</f>
        <v>50</v>
      </c>
      <c r="E427" s="46">
        <f>(VLOOKUP($A427,'The List'!$B1:$AH730,17,FALSE)-AVERAGE('The List'!R2:R730))/STDEV('The List'!R2:R730)</f>
        <v>-1.26962688468529</v>
      </c>
      <c r="F427" s="46">
        <f>(VLOOKUP($A427,'The List'!$B1:$AH730,18,FALSE)-AVERAGE('The List'!S2:S730))/STDEV('The List'!S2:S730)</f>
        <v>-0.757681054337358</v>
      </c>
      <c r="G427" s="46">
        <f>(VLOOKUP($A427,'The List'!$B1:$AH730,19,FALSE)-AVERAGE('The List'!T2:T730))/STDEV('The List'!T2:T730)</f>
        <v>-0.919973245301278</v>
      </c>
      <c r="H427" s="46">
        <f>(VLOOKUP($A427,'The List'!$B1:$AH730,20,FALSE)-AVERAGE('The List'!U2:U730))/STDEV('The List'!U2:U730)</f>
        <v>-0.9119114894425639</v>
      </c>
      <c r="I427" s="46">
        <f>(VLOOKUP($A427,'The List'!$B1:$AH730,21,FALSE)-AVERAGE('The List'!V2:V730))/STDEV('The List'!V2:V730)</f>
        <v>-1.14429724944573</v>
      </c>
      <c r="J427" s="46">
        <f>(VLOOKUP($A427,'The List'!$B1:$AH730,22,FALSE)-AVERAGE('The List'!W2:W730))/STDEV('The List'!W2:W730)</f>
        <v>-0.526812197045771</v>
      </c>
      <c r="K427" s="46">
        <f>(VLOOKUP($A427,'The List'!$B1:$AH730,23,FALSE)-AVERAGE('The List'!X2:X730))/STDEV('The List'!X2:X730)</f>
        <v>-0.673065307083102</v>
      </c>
      <c r="L427" s="46">
        <f>(VLOOKUP($A427,'The List'!$B1:$AH730,24,FALSE)-AVERAGE('The List'!Y2:Y730))/STDEV('The List'!Y2:Y730)</f>
        <v>-0.539098167841884</v>
      </c>
      <c r="M427" s="46">
        <f>(VLOOKUP($A427,'The List'!$B1:$AH730,25,FALSE)-AVERAGE('The List'!Z2:Z730))/STDEV('The List'!Z2:Z730)</f>
        <v>-0.717512454698801</v>
      </c>
      <c r="N427" s="46">
        <f>(VLOOKUP($A427,'The List'!$B1:$AH730,26,FALSE)-AVERAGE('The List'!AA2:AA730))/STDEV('The List'!AA2:AA730)</f>
        <v>-1.11075487549708</v>
      </c>
      <c r="O427" s="46">
        <f>(VLOOKUP($A427,'The List'!$B1:$AH730,27,FALSE)-AVERAGE('The List'!AB2:AB730))/STDEV('The List'!AB2:AB730)</f>
        <v>-0.966445468612646</v>
      </c>
      <c r="P427" s="46">
        <f>(VLOOKUP($A427,'The List'!$B1:$AH730,28,FALSE)-AVERAGE('The List'!AC2:AC730))/STDEV('The List'!AC2:AC730)</f>
        <v>0.234881947251507</v>
      </c>
      <c r="Q427" s="46">
        <f>(VLOOKUP($A427,'The List'!$B1:$AH730,29,FALSE)-AVERAGE('The List'!AD2:AD730))/STDEV('The List'!AD2:AD730)</f>
        <v>-1.09710377763894</v>
      </c>
      <c r="R427" s="46">
        <f>(VLOOKUP($A427,'The List'!$B1:$AH730,30,FALSE)-AVERAGE('The List'!AE2:AE730))/STDEV('The List'!AE2:AE730)</f>
        <v>-0.6226678135768871</v>
      </c>
      <c r="S427" s="46">
        <f>(VLOOKUP($A427,'The List'!$B1:$AH730,31,FALSE)-AVERAGE('The List'!AF2:AF730))/STDEV('The List'!AF2:AF730)</f>
        <v>-0.516754388425379</v>
      </c>
      <c r="T427" s="46">
        <f>(VLOOKUP($A427,'The List'!$B1:$AH730,32,FALSE)-AVERAGE('The List'!AG2:AG730))/STDEV('The List'!AG2:AG730)</f>
        <v>-0.518115402059641</v>
      </c>
      <c r="U427" s="46">
        <f>(VLOOKUP($A427,'The List'!$B1:$AH730,33,FALSE)-AVERAGE('The List'!AH2:AH730))/STDEV('The List'!AH2:AH730)</f>
        <v>0.289851663600995</v>
      </c>
      <c r="V427" s="46"/>
      <c r="W427" s="48"/>
      <c r="X427" s="46"/>
      <c r="Y427" s="46"/>
      <c r="Z427" s="46"/>
      <c r="AA427" s="46"/>
      <c r="AB427" s="46"/>
      <c r="AC427" s="46"/>
      <c r="AD427" s="46"/>
      <c r="AE427" s="46"/>
    </row>
    <row r="428" ht="21.25" customHeight="1">
      <c r="A428" t="s" s="8">
        <v>553</v>
      </c>
      <c r="B428" t="s" s="42">
        <f>VLOOKUP(A428,'Player Data'!A1:B734,2,FALSE)</f>
        <v>149</v>
      </c>
      <c r="C428" s="44">
        <f>((E428)*'Settings'!$C$12)+(F428*'Settings'!$C$2)+(G428*'Settings'!$C$3)+(H428*'Settings'!$C$4)+(I428*'Settings'!$C$5)+(K428*'Settings'!$C$9)+(N428*'Settings'!$C$6)+(J428*'Settings'!$C$8)+(O428*'Settings'!$C$7)+(P428*'Settings'!$C$14)+(Q428*'Settings'!$C$15)+(R428*'Settings'!$C$16)+(S428*'Settings'!$C$17)+(T428*'Settings'!$C$18)+(U428*'Settings'!$C$19)+(L428*'Settings'!$C$10)+('Settings'!$C$11*M428)</f>
        <v>-2.43374123144618</v>
      </c>
      <c r="D428" s="48">
        <f>IF('Settings'!$E$12="YES",VLOOKUP(A428,'Player Data'!A1:E734,5,FALSE),82)</f>
        <v>65.9917857142857</v>
      </c>
      <c r="E428" s="46">
        <f>(VLOOKUP($A428,'The List'!$B1:$AH730,17,FALSE)-AVERAGE('The List'!R2:R730))/STDEV('The List'!R2:R730)</f>
        <v>0.0456569402655919</v>
      </c>
      <c r="F428" s="46">
        <f>(VLOOKUP($A428,'The List'!$B1:$AH730,18,FALSE)-AVERAGE('The List'!S2:S730))/STDEV('The List'!S2:S730)</f>
        <v>-0.863672826844059</v>
      </c>
      <c r="G428" s="46">
        <f>(VLOOKUP($A428,'The List'!$B1:$AH730,19,FALSE)-AVERAGE('The List'!T2:T730))/STDEV('The List'!T2:T730)</f>
        <v>-0.48602184838677</v>
      </c>
      <c r="H428" s="46">
        <f>(VLOOKUP($A428,'The List'!$B1:$AH730,20,FALSE)-AVERAGE('The List'!U2:U730))/STDEV('The List'!U2:U730)</f>
        <v>-0.692614539191896</v>
      </c>
      <c r="I428" s="46">
        <f>(VLOOKUP($A428,'The List'!$B1:$AH730,21,FALSE)-AVERAGE('The List'!V2:V730))/STDEV('The List'!V2:V730)</f>
        <v>-0.880165418286333</v>
      </c>
      <c r="J428" s="46">
        <f>(VLOOKUP($A428,'The List'!$B1:$AH730,22,FALSE)-AVERAGE('The List'!W2:W730))/STDEV('The List'!W2:W730)</f>
        <v>-0.689516199764321</v>
      </c>
      <c r="K428" s="46">
        <f>(VLOOKUP($A428,'The List'!$B1:$AH730,23,FALSE)-AVERAGE('The List'!X2:X730))/STDEV('The List'!X2:X730)</f>
        <v>-0.632745201541221</v>
      </c>
      <c r="L428" s="46">
        <f>(VLOOKUP($A428,'The List'!$B1:$AH730,24,FALSE)-AVERAGE('The List'!Y2:Y730))/STDEV('The List'!Y2:Y730)</f>
        <v>-0.499115078356858</v>
      </c>
      <c r="M428" s="46">
        <f>(VLOOKUP($A428,'The List'!$B1:$AH730,25,FALSE)-AVERAGE('The List'!Z2:Z730))/STDEV('The List'!Z2:Z730)</f>
        <v>-0.6216275265243471</v>
      </c>
      <c r="N428" s="46">
        <f>(VLOOKUP($A428,'The List'!$B1:$AH730,26,FALSE)-AVERAGE('The List'!AA2:AA730))/STDEV('The List'!AA2:AA730)</f>
        <v>0.285158845484298</v>
      </c>
      <c r="O428" s="46">
        <f>(VLOOKUP($A428,'The List'!$B1:$AH730,27,FALSE)-AVERAGE('The List'!AB2:AB730))/STDEV('The List'!AB2:AB730)</f>
        <v>-0.801562542730934</v>
      </c>
      <c r="P428" s="46">
        <f>(VLOOKUP($A428,'The List'!$B1:$AH730,28,FALSE)-AVERAGE('The List'!AC2:AC730))/STDEV('The List'!AC2:AC730)</f>
        <v>0.143705218127904</v>
      </c>
      <c r="Q428" s="46">
        <f>(VLOOKUP($A428,'The List'!$B1:$AH730,29,FALSE)-AVERAGE('The List'!AD2:AD730))/STDEV('The List'!AD2:AD730)</f>
        <v>-0.632999003774446</v>
      </c>
      <c r="R428" s="46">
        <f>(VLOOKUP($A428,'The List'!$B1:$AH730,30,FALSE)-AVERAGE('The List'!AE2:AE730))/STDEV('The List'!AE2:AE730)</f>
        <v>-0.750235129995092</v>
      </c>
      <c r="S428" s="46">
        <f>(VLOOKUP($A428,'The List'!$B1:$AH730,31,FALSE)-AVERAGE('The List'!AF2:AF730))/STDEV('The List'!AF2:AF730)</f>
        <v>-0.5569063253591</v>
      </c>
      <c r="T428" s="46">
        <f>(VLOOKUP($A428,'The List'!$B1:$AH730,32,FALSE)-AVERAGE('The List'!AG2:AG730))/STDEV('The List'!AG2:AG730)</f>
        <v>-0.600856269042678</v>
      </c>
      <c r="U428" s="46">
        <f>(VLOOKUP($A428,'The List'!$B1:$AH730,33,FALSE)-AVERAGE('The List'!AH2:AH730))/STDEV('The List'!AH2:AH730)</f>
        <v>-1.2363238714826</v>
      </c>
      <c r="V428" s="46"/>
      <c r="W428" s="50"/>
      <c r="X428" s="48"/>
      <c r="Y428" s="48"/>
      <c r="Z428" s="48"/>
      <c r="AA428" s="48"/>
      <c r="AB428" s="48"/>
      <c r="AC428" s="51"/>
      <c r="AD428" s="52"/>
      <c r="AE428" s="46"/>
    </row>
    <row r="429" ht="21.25" customHeight="1">
      <c r="A429" t="s" s="8">
        <v>736</v>
      </c>
      <c r="B429" t="s" s="42">
        <f>VLOOKUP(A429,'Player Data'!A1:B734,2,FALSE)</f>
        <v>119</v>
      </c>
      <c r="C429" s="44">
        <f>((E429)*'Settings'!$C$12)+(F429*'Settings'!$C$2)+(G429*'Settings'!$C$3)+(H429*'Settings'!$C$4)+(I429*'Settings'!$C$5)+(K429*'Settings'!$C$9)+(N429*'Settings'!$C$6)+(J429*'Settings'!$C$8)+(O429*'Settings'!$C$7)+(P429*'Settings'!$C$14)+(Q429*'Settings'!$C$15)+(R429*'Settings'!$C$16)+(S429*'Settings'!$C$17)+(T429*'Settings'!$C$18)+(U429*'Settings'!$C$19)+(L429*'Settings'!$C$10)+('Settings'!$C$11*M429)</f>
        <v>-2.4158090755457</v>
      </c>
      <c r="D429" s="48">
        <f>IF('Settings'!$E$12="YES",VLOOKUP(A429,'Player Data'!A1:E734,5,FALSE),82)</f>
        <v>78.9867857142857</v>
      </c>
      <c r="E429" s="46">
        <f>(VLOOKUP($A429,'The List'!$B1:$AH730,17,FALSE)-AVERAGE('The List'!R2:R730))/STDEV('The List'!R2:R730)</f>
        <v>-1.36907303240542</v>
      </c>
      <c r="F429" s="46">
        <f>(VLOOKUP($A429,'The List'!$B1:$AH730,18,FALSE)-AVERAGE('The List'!S2:S730))/STDEV('The List'!S2:S730)</f>
        <v>-0.496711909405107</v>
      </c>
      <c r="G429" s="46">
        <f>(VLOOKUP($A429,'The List'!$B1:$AH730,19,FALSE)-AVERAGE('The List'!T2:T730))/STDEV('The List'!T2:T730)</f>
        <v>-0.48329760257231</v>
      </c>
      <c r="H429" s="46">
        <f>(VLOOKUP($A429,'The List'!$B1:$AH730,20,FALSE)-AVERAGE('The List'!U2:U730))/STDEV('The List'!U2:U730)</f>
        <v>-0.523960500361501</v>
      </c>
      <c r="I429" s="46">
        <f>(VLOOKUP($A429,'The List'!$B1:$AH730,21,FALSE)-AVERAGE('The List'!V2:V730))/STDEV('The List'!V2:V730)</f>
        <v>-0.461771212859618</v>
      </c>
      <c r="J429" s="46">
        <f>(VLOOKUP($A429,'The List'!$B1:$AH730,22,FALSE)-AVERAGE('The List'!W2:W730))/STDEV('The List'!W2:W730)</f>
        <v>-0.697207933151917</v>
      </c>
      <c r="K429" s="46">
        <f>(VLOOKUP($A429,'The List'!$B1:$AH730,23,FALSE)-AVERAGE('The List'!X2:X730))/STDEV('The List'!X2:X730)</f>
        <v>-0.789267294631241</v>
      </c>
      <c r="L429" s="46">
        <f>(VLOOKUP($A429,'The List'!$B1:$AH730,24,FALSE)-AVERAGE('The List'!Y2:Y730))/STDEV('The List'!Y2:Y730)</f>
        <v>-0.5217038742642091</v>
      </c>
      <c r="M429" s="46">
        <f>(VLOOKUP($A429,'The List'!$B1:$AH730,25,FALSE)-AVERAGE('The List'!Z2:Z730))/STDEV('The List'!Z2:Z730)</f>
        <v>-0.697401719115076</v>
      </c>
      <c r="N429" s="46">
        <f>(VLOOKUP($A429,'The List'!$B1:$AH730,26,FALSE)-AVERAGE('The List'!AA2:AA730))/STDEV('The List'!AA2:AA730)</f>
        <v>-0.598867836446458</v>
      </c>
      <c r="O429" s="46">
        <f>(VLOOKUP($A429,'The List'!$B1:$AH730,27,FALSE)-AVERAGE('The List'!AB2:AB730))/STDEV('The List'!AB2:AB730)</f>
        <v>-0.0412276144667499</v>
      </c>
      <c r="P429" s="46">
        <f>(VLOOKUP($A429,'The List'!$B1:$AH730,28,FALSE)-AVERAGE('The List'!AC2:AC730))/STDEV('The List'!AC2:AC730)</f>
        <v>0.414106780369038</v>
      </c>
      <c r="Q429" s="46">
        <f>(VLOOKUP($A429,'The List'!$B1:$AH730,29,FALSE)-AVERAGE('The List'!AD2:AD730))/STDEV('The List'!AD2:AD730)</f>
        <v>0.203259601401811</v>
      </c>
      <c r="R429" s="46">
        <f>(VLOOKUP($A429,'The List'!$B1:$AH730,30,FALSE)-AVERAGE('The List'!AE2:AE730))/STDEV('The List'!AE2:AE730)</f>
        <v>-0.438800135011995</v>
      </c>
      <c r="S429" s="46">
        <f>(VLOOKUP($A429,'The List'!$B1:$AH730,31,FALSE)-AVERAGE('The List'!AF2:AF730))/STDEV('The List'!AF2:AF730)</f>
        <v>-0.260352651472381</v>
      </c>
      <c r="T429" s="46">
        <f>(VLOOKUP($A429,'The List'!$B1:$AH730,32,FALSE)-AVERAGE('The List'!AG2:AG730))/STDEV('The List'!AG2:AG730)</f>
        <v>-0.278571378239271</v>
      </c>
      <c r="U429" s="46">
        <f>(VLOOKUP($A429,'The List'!$B1:$AH730,33,FALSE)-AVERAGE('The List'!AH2:AH730))/STDEV('The List'!AH2:AH730)</f>
        <v>0.984897212678939</v>
      </c>
      <c r="V429" s="46"/>
      <c r="W429" s="50"/>
      <c r="X429" s="48"/>
      <c r="Y429" s="48"/>
      <c r="Z429" s="48"/>
      <c r="AA429" s="48"/>
      <c r="AB429" s="48"/>
      <c r="AC429" s="51"/>
      <c r="AD429" s="52"/>
      <c r="AE429" s="46"/>
    </row>
    <row r="430" ht="21.25" customHeight="1">
      <c r="A430" t="s" s="8">
        <v>831</v>
      </c>
      <c r="B430" t="s" s="42">
        <f>VLOOKUP(A430,'Player Data'!A1:B734,2,FALSE)</f>
        <v>170</v>
      </c>
      <c r="C430" s="44">
        <f>((E430)*'Settings'!$C$12)+(F430*'Settings'!$C$2)+(G430*'Settings'!$C$3)+(H430*'Settings'!$C$4)+(I430*'Settings'!$C$5)+(K430*'Settings'!$C$9)+(N430*'Settings'!$C$6)+(J430*'Settings'!$C$8)+(O430*'Settings'!$C$7)+(P430*'Settings'!$C$14)+(Q430*'Settings'!$C$15)+(R430*'Settings'!$C$16)+(S430*'Settings'!$C$17)+(T430*'Settings'!$C$18)+(U430*'Settings'!$C$19)+(L430*'Settings'!$C$10)+('Settings'!$C$11*M430)</f>
        <v>-4.55442920728083</v>
      </c>
      <c r="D430" s="48">
        <f>IF('Settings'!$E$12="YES",VLOOKUP(A430,'Player Data'!A1:E734,5,FALSE),82)</f>
        <v>55</v>
      </c>
      <c r="E430" s="46">
        <f>(VLOOKUP($A430,'The List'!$B1:$AH730,17,FALSE)-AVERAGE('The List'!R2:R730))/STDEV('The List'!R2:R730)</f>
        <v>-1.47047711927334</v>
      </c>
      <c r="F430" s="46">
        <f>(VLOOKUP($A430,'The List'!$B1:$AH730,18,FALSE)-AVERAGE('The List'!S2:S730))/STDEV('The List'!S2:S730)</f>
        <v>-0.682815824286867</v>
      </c>
      <c r="G430" s="46">
        <f>(VLOOKUP($A430,'The List'!$B1:$AH730,19,FALSE)-AVERAGE('The List'!T2:T730))/STDEV('The List'!T2:T730)</f>
        <v>-0.877391489168598</v>
      </c>
      <c r="H430" s="46">
        <f>(VLOOKUP($A430,'The List'!$B1:$AH730,20,FALSE)-AVERAGE('The List'!U2:U730))/STDEV('The List'!U2:U730)</f>
        <v>-0.851595215320182</v>
      </c>
      <c r="I430" s="46">
        <f>(VLOOKUP($A430,'The List'!$B1:$AH730,21,FALSE)-AVERAGE('The List'!V2:V730))/STDEV('The List'!V2:V730)</f>
        <v>-1.07663439722476</v>
      </c>
      <c r="J430" s="46">
        <f>(VLOOKUP($A430,'The List'!$B1:$AH730,22,FALSE)-AVERAGE('The List'!W2:W730))/STDEV('The List'!W2:W730)</f>
        <v>-0.698934004713141</v>
      </c>
      <c r="K430" s="46">
        <f>(VLOOKUP($A430,'The List'!$B1:$AH730,23,FALSE)-AVERAGE('The List'!X2:X730))/STDEV('The List'!X2:X730)</f>
        <v>-0.792034724123707</v>
      </c>
      <c r="L430" s="46">
        <f>(VLOOKUP($A430,'The List'!$B1:$AH730,24,FALSE)-AVERAGE('The List'!Y2:Y730))/STDEV('The List'!Y2:Y730)</f>
        <v>-0.430257520699253</v>
      </c>
      <c r="M430" s="46">
        <f>(VLOOKUP($A430,'The List'!$B1:$AH730,25,FALSE)-AVERAGE('The List'!Z2:Z730))/STDEV('The List'!Z2:Z730)</f>
        <v>-0.260306863411798</v>
      </c>
      <c r="N430" s="46">
        <f>(VLOOKUP($A430,'The List'!$B1:$AH730,26,FALSE)-AVERAGE('The List'!AA2:AA730))/STDEV('The List'!AA2:AA730)</f>
        <v>-1.15421014161123</v>
      </c>
      <c r="O430" s="46">
        <f>(VLOOKUP($A430,'The List'!$B1:$AH730,27,FALSE)-AVERAGE('The List'!AB2:AB730))/STDEV('The List'!AB2:AB730)</f>
        <v>-1.27781634863904</v>
      </c>
      <c r="P430" s="46">
        <f>(VLOOKUP($A430,'The List'!$B1:$AH730,28,FALSE)-AVERAGE('The List'!AC2:AC730))/STDEV('The List'!AC2:AC730)</f>
        <v>0.0286573691343325</v>
      </c>
      <c r="Q430" s="46">
        <f>(VLOOKUP($A430,'The List'!$B1:$AH730,29,FALSE)-AVERAGE('The List'!AD2:AD730))/STDEV('The List'!AD2:AD730)</f>
        <v>-1.1393488699976</v>
      </c>
      <c r="R430" s="46">
        <f>(VLOOKUP($A430,'The List'!$B1:$AH730,30,FALSE)-AVERAGE('The List'!AE2:AE730))/STDEV('The List'!AE2:AE730)</f>
        <v>-0.544469395831205</v>
      </c>
      <c r="S430" s="46">
        <f>(VLOOKUP($A430,'The List'!$B1:$AH730,31,FALSE)-AVERAGE('The List'!AF2:AF730))/STDEV('The List'!AF2:AF730)</f>
        <v>-0.5323013625369289</v>
      </c>
      <c r="T430" s="46">
        <f>(VLOOKUP($A430,'The List'!$B1:$AH730,32,FALSE)-AVERAGE('The List'!AG2:AG730))/STDEV('The List'!AG2:AG730)</f>
        <v>-0.550278362024979</v>
      </c>
      <c r="U430" s="46">
        <f>(VLOOKUP($A430,'The List'!$B1:$AH730,33,FALSE)-AVERAGE('The List'!AH2:AH730))/STDEV('The List'!AH2:AH730)</f>
        <v>0.292354794886995</v>
      </c>
      <c r="V430" s="46"/>
      <c r="W430" s="48"/>
      <c r="X430" s="46"/>
      <c r="Y430" s="46"/>
      <c r="Z430" s="46"/>
      <c r="AA430" s="46"/>
      <c r="AB430" s="46"/>
      <c r="AC430" s="46"/>
      <c r="AD430" s="46"/>
      <c r="AE430" s="46"/>
    </row>
    <row r="431" ht="21.25" customHeight="1">
      <c r="A431" t="s" s="8">
        <v>755</v>
      </c>
      <c r="B431" t="s" s="42">
        <f>VLOOKUP(A431,'Player Data'!A1:B734,2,FALSE)</f>
        <v>156</v>
      </c>
      <c r="C431" s="44">
        <f>((E431)*'Settings'!$C$12)+(F431*'Settings'!$C$2)+(G431*'Settings'!$C$3)+(H431*'Settings'!$C$4)+(I431*'Settings'!$C$5)+(K431*'Settings'!$C$9)+(N431*'Settings'!$C$6)+(J431*'Settings'!$C$8)+(O431*'Settings'!$C$7)+(P431*'Settings'!$C$14)+(Q431*'Settings'!$C$15)+(R431*'Settings'!$C$16)+(S431*'Settings'!$C$17)+(T431*'Settings'!$C$18)+(U431*'Settings'!$C$19)+(L431*'Settings'!$C$10)+('Settings'!$C$11*M431)</f>
        <v>-3.04692009393662</v>
      </c>
      <c r="D431" s="48">
        <f>IF('Settings'!$E$12="YES",VLOOKUP(A431,'Player Data'!A1:E734,5,FALSE),82)</f>
        <v>74.4164285714286</v>
      </c>
      <c r="E431" s="46">
        <f>(VLOOKUP($A431,'The List'!$B1:$AH730,17,FALSE)-AVERAGE('The List'!R2:R730))/STDEV('The List'!R2:R730)</f>
        <v>-0.94333609506869</v>
      </c>
      <c r="F431" s="46">
        <f>(VLOOKUP($A431,'The List'!$B1:$AH730,18,FALSE)-AVERAGE('The List'!S2:S730))/STDEV('The List'!S2:S730)</f>
        <v>-0.623192946883116</v>
      </c>
      <c r="G431" s="46">
        <f>(VLOOKUP($A431,'The List'!$B1:$AH730,19,FALSE)-AVERAGE('The List'!T2:T730))/STDEV('The List'!T2:T730)</f>
        <v>-0.510612126254516</v>
      </c>
      <c r="H431" s="46">
        <f>(VLOOKUP($A431,'The List'!$B1:$AH730,20,FALSE)-AVERAGE('The List'!U2:U730))/STDEV('The List'!U2:U730)</f>
        <v>-0.5983509539163711</v>
      </c>
      <c r="I431" s="46">
        <f>(VLOOKUP($A431,'The List'!$B1:$AH730,21,FALSE)-AVERAGE('The List'!V2:V730))/STDEV('The List'!V2:V730)</f>
        <v>-0.600232401500008</v>
      </c>
      <c r="J431" s="46">
        <f>(VLOOKUP($A431,'The List'!$B1:$AH730,22,FALSE)-AVERAGE('The List'!W2:W730))/STDEV('The List'!W2:W730)</f>
        <v>-0.699773779402875</v>
      </c>
      <c r="K431" s="46">
        <f>(VLOOKUP($A431,'The List'!$B1:$AH730,23,FALSE)-AVERAGE('The List'!X2:X730))/STDEV('The List'!X2:X730)</f>
        <v>-0.789291235770588</v>
      </c>
      <c r="L431" s="46">
        <f>(VLOOKUP($A431,'The List'!$B1:$AH730,24,FALSE)-AVERAGE('The List'!Y2:Y730))/STDEV('The List'!Y2:Y730)</f>
        <v>1.15895450957807</v>
      </c>
      <c r="M431" s="46">
        <f>(VLOOKUP($A431,'The List'!$B1:$AH730,25,FALSE)-AVERAGE('The List'!Z2:Z730))/STDEV('The List'!Z2:Z730)</f>
        <v>1.43449338006082</v>
      </c>
      <c r="N431" s="46">
        <f>(VLOOKUP($A431,'The List'!$B1:$AH730,26,FALSE)-AVERAGE('The List'!AA2:AA730))/STDEV('The List'!AA2:AA730)</f>
        <v>-0.31195657789369</v>
      </c>
      <c r="O431" s="46">
        <f>(VLOOKUP($A431,'The List'!$B1:$AH730,27,FALSE)-AVERAGE('The List'!AB2:AB730))/STDEV('The List'!AB2:AB730)</f>
        <v>-0.0227883060919251</v>
      </c>
      <c r="P431" s="46">
        <f>(VLOOKUP($A431,'The List'!$B1:$AH730,28,FALSE)-AVERAGE('The List'!AC2:AC730))/STDEV('The List'!AC2:AC730)</f>
        <v>-0.211634805634697</v>
      </c>
      <c r="Q431" s="46">
        <f>(VLOOKUP($A431,'The List'!$B1:$AH730,29,FALSE)-AVERAGE('The List'!AD2:AD730))/STDEV('The List'!AD2:AD730)</f>
        <v>-1.07090595209415</v>
      </c>
      <c r="R431" s="46">
        <f>(VLOOKUP($A431,'The List'!$B1:$AH730,30,FALSE)-AVERAGE('The List'!AE2:AE730))/STDEV('The List'!AE2:AE730)</f>
        <v>-0.565145688849428</v>
      </c>
      <c r="S431" s="46">
        <f>(VLOOKUP($A431,'The List'!$B1:$AH730,31,FALSE)-AVERAGE('The List'!AF2:AF730))/STDEV('The List'!AF2:AF730)</f>
        <v>1.16401316541354</v>
      </c>
      <c r="T431" s="46">
        <f>(VLOOKUP($A431,'The List'!$B1:$AH730,32,FALSE)-AVERAGE('The List'!AG2:AG730))/STDEV('The List'!AG2:AG730)</f>
        <v>1.08383938966867</v>
      </c>
      <c r="U431" s="46">
        <f>(VLOOKUP($A431,'The List'!$B1:$AH730,33,FALSE)-AVERAGE('The List'!AH2:AH730))/STDEV('The List'!AH2:AH730)</f>
        <v>1.10282780634095</v>
      </c>
      <c r="V431" s="46"/>
      <c r="W431" s="50"/>
      <c r="X431" s="48"/>
      <c r="Y431" s="48"/>
      <c r="Z431" s="48"/>
      <c r="AA431" s="48"/>
      <c r="AB431" s="48"/>
      <c r="AC431" s="51"/>
      <c r="AD431" s="52"/>
      <c r="AE431" s="46"/>
    </row>
    <row r="432" ht="21.25" customHeight="1">
      <c r="A432" t="s" s="8">
        <v>753</v>
      </c>
      <c r="B432" t="s" s="42">
        <f>VLOOKUP(A432,'Player Data'!A1:B734,2,FALSE)</f>
        <v>194</v>
      </c>
      <c r="C432" s="44">
        <f>((E432)*'Settings'!$C$12)+(F432*'Settings'!$C$2)+(G432*'Settings'!$C$3)+(H432*'Settings'!$C$4)+(I432*'Settings'!$C$5)+(K432*'Settings'!$C$9)+(N432*'Settings'!$C$6)+(J432*'Settings'!$C$8)+(O432*'Settings'!$C$7)+(P432*'Settings'!$C$14)+(Q432*'Settings'!$C$15)+(R432*'Settings'!$C$16)+(S432*'Settings'!$C$17)+(T432*'Settings'!$C$18)+(U432*'Settings'!$C$19)+(L432*'Settings'!$C$10)+('Settings'!$C$11*M432)</f>
        <v>-4.47497832473681</v>
      </c>
      <c r="D432" s="48">
        <f>IF('Settings'!$E$12="YES",VLOOKUP(A432,'Player Data'!A1:E734,5,FALSE),82)</f>
        <v>70.77</v>
      </c>
      <c r="E432" s="46">
        <f>(VLOOKUP($A432,'The List'!$B1:$AH730,17,FALSE)-AVERAGE('The List'!R2:R730))/STDEV('The List'!R2:R730)</f>
        <v>-1.15415934547666</v>
      </c>
      <c r="F432" s="46">
        <f>(VLOOKUP($A432,'The List'!$B1:$AH730,18,FALSE)-AVERAGE('The List'!S2:S730))/STDEV('The List'!S2:S730)</f>
        <v>-0.24882647365773</v>
      </c>
      <c r="G432" s="46">
        <f>(VLOOKUP($A432,'The List'!$B1:$AH730,19,FALSE)-AVERAGE('The List'!T2:T730))/STDEV('The List'!T2:T730)</f>
        <v>-0.87280944354658</v>
      </c>
      <c r="H432" s="46">
        <f>(VLOOKUP($A432,'The List'!$B1:$AH730,20,FALSE)-AVERAGE('The List'!U2:U730))/STDEV('The List'!U2:U730)</f>
        <v>-0.651296585923142</v>
      </c>
      <c r="I432" s="46">
        <f>(VLOOKUP($A432,'The List'!$B1:$AH730,21,FALSE)-AVERAGE('The List'!V2:V730))/STDEV('The List'!V2:V730)</f>
        <v>-0.70536785994852</v>
      </c>
      <c r="J432" s="46">
        <f>(VLOOKUP($A432,'The List'!$B1:$AH730,22,FALSE)-AVERAGE('The List'!W2:W730))/STDEV('The List'!W2:W730)</f>
        <v>-0.406686874164475</v>
      </c>
      <c r="K432" s="46">
        <f>(VLOOKUP($A432,'The List'!$B1:$AH730,23,FALSE)-AVERAGE('The List'!X2:X730))/STDEV('The List'!X2:X730)</f>
        <v>-0.533502913551671</v>
      </c>
      <c r="L432" s="46">
        <f>(VLOOKUP($A432,'The List'!$B1:$AH730,24,FALSE)-AVERAGE('The List'!Y2:Y730))/STDEV('The List'!Y2:Y730)</f>
        <v>-0.43203135266886</v>
      </c>
      <c r="M432" s="46">
        <f>(VLOOKUP($A432,'The List'!$B1:$AH730,25,FALSE)-AVERAGE('The List'!Z2:Z730))/STDEV('The List'!Z2:Z730)</f>
        <v>-0.596313293993595</v>
      </c>
      <c r="N432" s="46">
        <f>(VLOOKUP($A432,'The List'!$B1:$AH730,26,FALSE)-AVERAGE('The List'!AA2:AA730))/STDEV('The List'!AA2:AA730)</f>
        <v>-0.6847420330766389</v>
      </c>
      <c r="O432" s="46">
        <f>(VLOOKUP($A432,'The List'!$B1:$AH730,27,FALSE)-AVERAGE('The List'!AB2:AB730))/STDEV('The List'!AB2:AB730)</f>
        <v>0.185740975756472</v>
      </c>
      <c r="P432" s="46">
        <f>(VLOOKUP($A432,'The List'!$B1:$AH730,28,FALSE)-AVERAGE('The List'!AC2:AC730))/STDEV('The List'!AC2:AC730)</f>
        <v>-1.42972960095567</v>
      </c>
      <c r="Q432" s="46">
        <f>(VLOOKUP($A432,'The List'!$B1:$AH730,29,FALSE)-AVERAGE('The List'!AD2:AD730))/STDEV('The List'!AD2:AD730)</f>
        <v>-0.111677760209846</v>
      </c>
      <c r="R432" s="46">
        <f>(VLOOKUP($A432,'The List'!$B1:$AH730,30,FALSE)-AVERAGE('The List'!AE2:AE730))/STDEV('The List'!AE2:AE730)</f>
        <v>-0.400706373849826</v>
      </c>
      <c r="S432" s="46">
        <f>(VLOOKUP($A432,'The List'!$B1:$AH730,31,FALSE)-AVERAGE('The List'!AF2:AF730))/STDEV('The List'!AF2:AF730)</f>
        <v>-0.5017667644020219</v>
      </c>
      <c r="T432" s="46">
        <f>(VLOOKUP($A432,'The List'!$B1:$AH730,32,FALSE)-AVERAGE('The List'!AG2:AG730))/STDEV('The List'!AG2:AG730)</f>
        <v>-0.499691470185073</v>
      </c>
      <c r="U432" s="46">
        <f>(VLOOKUP($A432,'The List'!$B1:$AH730,33,FALSE)-AVERAGE('The List'!AH2:AH730))/STDEV('The List'!AH2:AH730)</f>
        <v>0.409339897438978</v>
      </c>
      <c r="V432" s="46"/>
      <c r="W432" s="48"/>
      <c r="X432" s="46"/>
      <c r="Y432" s="46"/>
      <c r="Z432" s="46"/>
      <c r="AA432" s="46"/>
      <c r="AB432" s="46"/>
      <c r="AC432" s="46"/>
      <c r="AD432" s="46"/>
      <c r="AE432" s="46"/>
    </row>
    <row r="433" ht="21.25" customHeight="1">
      <c r="A433" t="s" s="8">
        <v>718</v>
      </c>
      <c r="B433" t="s" s="42">
        <f>VLOOKUP(A433,'Player Data'!A1:B734,2,FALSE)</f>
        <v>292</v>
      </c>
      <c r="C433" s="44">
        <f>((E433)*'Settings'!$C$12)+(F433*'Settings'!$C$2)+(G433*'Settings'!$C$3)+(H433*'Settings'!$C$4)+(I433*'Settings'!$C$5)+(K433*'Settings'!$C$9)+(N433*'Settings'!$C$6)+(J433*'Settings'!$C$8)+(O433*'Settings'!$C$7)+(P433*'Settings'!$C$14)+(Q433*'Settings'!$C$15)+(R433*'Settings'!$C$16)+(S433*'Settings'!$C$17)+(T433*'Settings'!$C$18)+(U433*'Settings'!$C$19)+(L433*'Settings'!$C$10)+('Settings'!$C$11*M433)</f>
        <v>-2.55741449896559</v>
      </c>
      <c r="D433" s="48">
        <f>IF('Settings'!$E$12="YES",VLOOKUP(A433,'Player Data'!A1:E734,5,FALSE),82)</f>
        <v>71.1728571428571</v>
      </c>
      <c r="E433" s="46">
        <f>(VLOOKUP($A433,'The List'!$B1:$AH730,17,FALSE)-AVERAGE('The List'!R2:R730))/STDEV('The List'!R2:R730)</f>
        <v>-1.15198318761071</v>
      </c>
      <c r="F433" s="46">
        <f>(VLOOKUP($A433,'The List'!$B1:$AH730,18,FALSE)-AVERAGE('The List'!S2:S730))/STDEV('The List'!S2:S730)</f>
        <v>-0.254587607882336</v>
      </c>
      <c r="G433" s="46">
        <f>(VLOOKUP($A433,'The List'!$B1:$AH730,19,FALSE)-AVERAGE('The List'!T2:T730))/STDEV('The List'!T2:T730)</f>
        <v>-0.867126420426941</v>
      </c>
      <c r="H433" s="46">
        <f>(VLOOKUP($A433,'The List'!$B1:$AH730,20,FALSE)-AVERAGE('The List'!U2:U730))/STDEV('The List'!U2:U730)</f>
        <v>-0.65041450848148</v>
      </c>
      <c r="I433" s="46">
        <f>(VLOOKUP($A433,'The List'!$B1:$AH730,21,FALSE)-AVERAGE('The List'!V2:V730))/STDEV('The List'!V2:V730)</f>
        <v>0.09380516464511821</v>
      </c>
      <c r="J433" s="46">
        <f>(VLOOKUP($A433,'The List'!$B1:$AH730,22,FALSE)-AVERAGE('The List'!W2:W730))/STDEV('The List'!W2:W730)</f>
        <v>-0.691255681007293</v>
      </c>
      <c r="K433" s="46">
        <f>(VLOOKUP($A433,'The List'!$B1:$AH730,23,FALSE)-AVERAGE('The List'!X2:X730))/STDEV('The List'!X2:X730)</f>
        <v>-0.765840628014854</v>
      </c>
      <c r="L433" s="46">
        <f>(VLOOKUP($A433,'The List'!$B1:$AH730,24,FALSE)-AVERAGE('The List'!Y2:Y730))/STDEV('The List'!Y2:Y730)</f>
        <v>-0.542843480388394</v>
      </c>
      <c r="M433" s="46">
        <f>(VLOOKUP($A433,'The List'!$B1:$AH730,25,FALSE)-AVERAGE('The List'!Z2:Z730))/STDEV('The List'!Z2:Z730)</f>
        <v>-0.72177514995105</v>
      </c>
      <c r="N433" s="46">
        <f>(VLOOKUP($A433,'The List'!$B1:$AH730,26,FALSE)-AVERAGE('The List'!AA2:AA730))/STDEV('The List'!AA2:AA730)</f>
        <v>-0.445182353589629</v>
      </c>
      <c r="O433" s="46">
        <f>(VLOOKUP($A433,'The List'!$B1:$AH730,27,FALSE)-AVERAGE('The List'!AB2:AB730))/STDEV('The List'!AB2:AB730)</f>
        <v>0.474516872535294</v>
      </c>
      <c r="P433" s="46">
        <f>(VLOOKUP($A433,'The List'!$B1:$AH730,28,FALSE)-AVERAGE('The List'!AC2:AC730))/STDEV('The List'!AC2:AC730)</f>
        <v>-0.318482653696948</v>
      </c>
      <c r="Q433" s="46">
        <f>(VLOOKUP($A433,'The List'!$B1:$AH730,29,FALSE)-AVERAGE('The List'!AD2:AD730))/STDEV('The List'!AD2:AD730)</f>
        <v>-0.300806461634294</v>
      </c>
      <c r="R433" s="46">
        <f>(VLOOKUP($A433,'The List'!$B1:$AH730,30,FALSE)-AVERAGE('The List'!AE2:AE730))/STDEV('The List'!AE2:AE730)</f>
        <v>-1.18448477237391</v>
      </c>
      <c r="S433" s="46">
        <f>(VLOOKUP($A433,'The List'!$B1:$AH730,31,FALSE)-AVERAGE('The List'!AF2:AF730))/STDEV('The List'!AF2:AF730)</f>
        <v>-0.496387193172097</v>
      </c>
      <c r="T433" s="46">
        <f>(VLOOKUP($A433,'The List'!$B1:$AH730,32,FALSE)-AVERAGE('The List'!AG2:AG730))/STDEV('The List'!AG2:AG730)</f>
        <v>-0.465604636550232</v>
      </c>
      <c r="U433" s="46">
        <f>(VLOOKUP($A433,'The List'!$B1:$AH730,33,FALSE)-AVERAGE('The List'!AH2:AH730))/STDEV('The List'!AH2:AH730)</f>
        <v>0.20897749214418</v>
      </c>
      <c r="V433" s="46"/>
      <c r="W433" s="50"/>
      <c r="X433" s="48"/>
      <c r="Y433" s="48"/>
      <c r="Z433" s="48"/>
      <c r="AA433" s="48"/>
      <c r="AB433" s="48"/>
      <c r="AC433" s="51"/>
      <c r="AD433" s="52"/>
      <c r="AE433" s="46"/>
    </row>
    <row r="434" ht="21.25" customHeight="1">
      <c r="A434" t="s" s="8">
        <v>786</v>
      </c>
      <c r="B434" t="s" s="42">
        <f>VLOOKUP(A434,'Player Data'!A1:B734,2,FALSE)</f>
        <v>166</v>
      </c>
      <c r="C434" s="44">
        <f>((E434)*'Settings'!$C$12)+(F434*'Settings'!$C$2)+(G434*'Settings'!$C$3)+(H434*'Settings'!$C$4)+(I434*'Settings'!$C$5)+(K434*'Settings'!$C$9)+(N434*'Settings'!$C$6)+(J434*'Settings'!$C$8)+(O434*'Settings'!$C$7)+(P434*'Settings'!$C$14)+(Q434*'Settings'!$C$15)+(R434*'Settings'!$C$16)+(S434*'Settings'!$C$17)+(T434*'Settings'!$C$18)+(U434*'Settings'!$C$19)+(L434*'Settings'!$C$10)+('Settings'!$C$11*M434)</f>
        <v>-4.28134091820602</v>
      </c>
      <c r="D434" s="48">
        <f>IF('Settings'!$E$12="YES",VLOOKUP(A434,'Player Data'!A1:E734,5,FALSE),82)</f>
        <v>67.4325</v>
      </c>
      <c r="E434" s="46">
        <f>(VLOOKUP($A434,'The List'!$B1:$AH730,17,FALSE)-AVERAGE('The List'!R2:R730))/STDEV('The List'!R2:R730)</f>
        <v>-1.27523210292898</v>
      </c>
      <c r="F434" s="46">
        <f>(VLOOKUP($A434,'The List'!$B1:$AH730,18,FALSE)-AVERAGE('The List'!S2:S730))/STDEV('The List'!S2:S730)</f>
        <v>-0.613598709296818</v>
      </c>
      <c r="G434" s="46">
        <f>(VLOOKUP($A434,'The List'!$B1:$AH730,19,FALSE)-AVERAGE('The List'!T2:T730))/STDEV('The List'!T2:T730)</f>
        <v>-0.686541696351504</v>
      </c>
      <c r="H434" s="46">
        <f>(VLOOKUP($A434,'The List'!$B1:$AH730,20,FALSE)-AVERAGE('The List'!U2:U730))/STDEV('The List'!U2:U730)</f>
        <v>-0.7024436509986079</v>
      </c>
      <c r="I434" s="46">
        <f>(VLOOKUP($A434,'The List'!$B1:$AH730,21,FALSE)-AVERAGE('The List'!V2:V730))/STDEV('The List'!V2:V730)</f>
        <v>-0.662792588989996</v>
      </c>
      <c r="J434" s="46">
        <f>(VLOOKUP($A434,'The List'!$B1:$AH730,22,FALSE)-AVERAGE('The List'!W2:W730))/STDEV('The List'!W2:W730)</f>
        <v>-0.7019340683387481</v>
      </c>
      <c r="K434" s="46">
        <f>(VLOOKUP($A434,'The List'!$B1:$AH730,23,FALSE)-AVERAGE('The List'!X2:X730))/STDEV('The List'!X2:X730)</f>
        <v>-0.789535190118089</v>
      </c>
      <c r="L434" s="46">
        <f>(VLOOKUP($A434,'The List'!$B1:$AH730,24,FALSE)-AVERAGE('The List'!Y2:Y730))/STDEV('The List'!Y2:Y730)</f>
        <v>-0.214700758232542</v>
      </c>
      <c r="M434" s="46">
        <f>(VLOOKUP($A434,'The List'!$B1:$AH730,25,FALSE)-AVERAGE('The List'!Z2:Z730))/STDEV('The List'!Z2:Z730)</f>
        <v>-0.363829648632875</v>
      </c>
      <c r="N434" s="46">
        <f>(VLOOKUP($A434,'The List'!$B1:$AH730,26,FALSE)-AVERAGE('The List'!AA2:AA730))/STDEV('The List'!AA2:AA730)</f>
        <v>-0.943711112580315</v>
      </c>
      <c r="O434" s="46">
        <f>(VLOOKUP($A434,'The List'!$B1:$AH730,27,FALSE)-AVERAGE('The List'!AB2:AB730))/STDEV('The List'!AB2:AB730)</f>
        <v>-0.801514884618533</v>
      </c>
      <c r="P434" s="46">
        <f>(VLOOKUP($A434,'The List'!$B1:$AH730,28,FALSE)-AVERAGE('The List'!AC2:AC730))/STDEV('The List'!AC2:AC730)</f>
        <v>-0.585161620869298</v>
      </c>
      <c r="Q434" s="46">
        <f>(VLOOKUP($A434,'The List'!$B1:$AH730,29,FALSE)-AVERAGE('The List'!AD2:AD730))/STDEV('The List'!AD2:AD730)</f>
        <v>-1.23570047888073</v>
      </c>
      <c r="R434" s="46">
        <f>(VLOOKUP($A434,'The List'!$B1:$AH730,30,FALSE)-AVERAGE('The List'!AE2:AE730))/STDEV('The List'!AE2:AE730)</f>
        <v>-0.6386410872414729</v>
      </c>
      <c r="S434" s="46">
        <f>(VLOOKUP($A434,'The List'!$B1:$AH730,31,FALSE)-AVERAGE('The List'!AF2:AF730))/STDEV('The List'!AF2:AF730)</f>
        <v>-0.384945112111047</v>
      </c>
      <c r="T434" s="46">
        <f>(VLOOKUP($A434,'The List'!$B1:$AH730,32,FALSE)-AVERAGE('The List'!AG2:AG730))/STDEV('The List'!AG2:AG730)</f>
        <v>-0.2892638015286</v>
      </c>
      <c r="U434" s="46">
        <f>(VLOOKUP($A434,'The List'!$B1:$AH730,33,FALSE)-AVERAGE('The List'!AH2:AH730))/STDEV('The List'!AH2:AH730)</f>
        <v>0.422391205143131</v>
      </c>
      <c r="V434" s="46"/>
      <c r="W434" s="48"/>
      <c r="X434" s="46"/>
      <c r="Y434" s="46"/>
      <c r="Z434" s="46"/>
      <c r="AA434" s="46"/>
      <c r="AB434" s="46"/>
      <c r="AC434" s="46"/>
      <c r="AD434" s="46"/>
      <c r="AE434" s="46"/>
    </row>
    <row r="435" ht="21.25" customHeight="1">
      <c r="A435" t="s" s="8">
        <v>690</v>
      </c>
      <c r="B435" t="s" s="42">
        <f>VLOOKUP(A435,'Player Data'!A1:B734,2,FALSE)</f>
        <v>139</v>
      </c>
      <c r="C435" s="44">
        <f>((E435)*'Settings'!$C$12)+(F435*'Settings'!$C$2)+(G435*'Settings'!$C$3)+(H435*'Settings'!$C$4)+(I435*'Settings'!$C$5)+(K435*'Settings'!$C$9)+(N435*'Settings'!$C$6)+(J435*'Settings'!$C$8)+(O435*'Settings'!$C$7)+(P435*'Settings'!$C$14)+(Q435*'Settings'!$C$15)+(R435*'Settings'!$C$16)+(S435*'Settings'!$C$17)+(T435*'Settings'!$C$18)+(U435*'Settings'!$C$19)+(L435*'Settings'!$C$10)+('Settings'!$C$11*M435)</f>
        <v>-3.36358286016258</v>
      </c>
      <c r="D435" s="48">
        <f>IF('Settings'!$E$12="YES",VLOOKUP(A435,'Player Data'!A1:E734,5,FALSE),82)</f>
        <v>76.6125</v>
      </c>
      <c r="E435" s="46">
        <f>(VLOOKUP($A435,'The List'!$B1:$AH730,17,FALSE)-AVERAGE('The List'!R2:R730))/STDEV('The List'!R2:R730)</f>
        <v>-1.02292417490284</v>
      </c>
      <c r="F435" s="46">
        <f>(VLOOKUP($A435,'The List'!$B1:$AH730,18,FALSE)-AVERAGE('The List'!S2:S730))/STDEV('The List'!S2:S730)</f>
        <v>-0.392942505106089</v>
      </c>
      <c r="G435" s="46">
        <f>(VLOOKUP($A435,'The List'!$B1:$AH730,19,FALSE)-AVERAGE('The List'!T2:T730))/STDEV('The List'!T2:T730)</f>
        <v>-0.653429044961109</v>
      </c>
      <c r="H435" s="46">
        <f>(VLOOKUP($A435,'The List'!$B1:$AH730,20,FALSE)-AVERAGE('The List'!U2:U730))/STDEV('The List'!U2:U730)</f>
        <v>-0.581627138317288</v>
      </c>
      <c r="I435" s="46">
        <f>(VLOOKUP($A435,'The List'!$B1:$AH730,21,FALSE)-AVERAGE('The List'!V2:V730))/STDEV('The List'!V2:V730)</f>
        <v>-0.0884543417796856</v>
      </c>
      <c r="J435" s="46">
        <f>(VLOOKUP($A435,'The List'!$B1:$AH730,22,FALSE)-AVERAGE('The List'!W2:W730))/STDEV('The List'!W2:W730)</f>
        <v>-0.5861555667942639</v>
      </c>
      <c r="K435" s="46">
        <f>(VLOOKUP($A435,'The List'!$B1:$AH730,23,FALSE)-AVERAGE('The List'!X2:X730))/STDEV('The List'!X2:X730)</f>
        <v>-0.680347674450279</v>
      </c>
      <c r="L435" s="46">
        <f>(VLOOKUP($A435,'The List'!$B1:$AH730,24,FALSE)-AVERAGE('The List'!Y2:Y730))/STDEV('The List'!Y2:Y730)</f>
        <v>1.44336065820427</v>
      </c>
      <c r="M435" s="46">
        <f>(VLOOKUP($A435,'The List'!$B1:$AH730,25,FALSE)-AVERAGE('The List'!Z2:Z730))/STDEV('The List'!Z2:Z730)</f>
        <v>0.783840222531287</v>
      </c>
      <c r="N435" s="46">
        <f>(VLOOKUP($A435,'The List'!$B1:$AH730,26,FALSE)-AVERAGE('The List'!AA2:AA730))/STDEV('The List'!AA2:AA730)</f>
        <v>-0.917036408741017</v>
      </c>
      <c r="O435" s="46">
        <f>(VLOOKUP($A435,'The List'!$B1:$AH730,27,FALSE)-AVERAGE('The List'!AB2:AB730))/STDEV('The List'!AB2:AB730)</f>
        <v>-0.46624454752905</v>
      </c>
      <c r="P435" s="46">
        <f>(VLOOKUP($A435,'The List'!$B1:$AH730,28,FALSE)-AVERAGE('The List'!AC2:AC730))/STDEV('The List'!AC2:AC730)</f>
        <v>-0.631372885124404</v>
      </c>
      <c r="Q435" s="46">
        <f>(VLOOKUP($A435,'The List'!$B1:$AH730,29,FALSE)-AVERAGE('The List'!AD2:AD730))/STDEV('The List'!AD2:AD730)</f>
        <v>-0.240497193413662</v>
      </c>
      <c r="R435" s="46">
        <f>(VLOOKUP($A435,'The List'!$B1:$AH730,30,FALSE)-AVERAGE('The List'!AE2:AE730))/STDEV('The List'!AE2:AE730)</f>
        <v>-0.432580615184435</v>
      </c>
      <c r="S435" s="46">
        <f>(VLOOKUP($A435,'The List'!$B1:$AH730,31,FALSE)-AVERAGE('The List'!AF2:AF730))/STDEV('The List'!AF2:AF730)</f>
        <v>0.0841224937744412</v>
      </c>
      <c r="T435" s="46">
        <f>(VLOOKUP($A435,'The List'!$B1:$AH730,32,FALSE)-AVERAGE('The List'!AG2:AG730))/STDEV('The List'!AG2:AG730)</f>
        <v>0.102378855214507</v>
      </c>
      <c r="U435" s="46">
        <f>(VLOOKUP($A435,'The List'!$B1:$AH730,33,FALSE)-AVERAGE('The List'!AH2:AH730))/STDEV('The List'!AH2:AH730)</f>
        <v>0.974277156233094</v>
      </c>
      <c r="V435" s="46"/>
      <c r="W435" s="48"/>
      <c r="X435" s="46"/>
      <c r="Y435" s="46"/>
      <c r="Z435" s="46"/>
      <c r="AA435" s="46"/>
      <c r="AB435" s="46"/>
      <c r="AC435" s="46"/>
      <c r="AD435" s="46"/>
      <c r="AE435" s="46"/>
    </row>
    <row r="436" ht="21.25" customHeight="1">
      <c r="A436" t="s" s="8">
        <v>559</v>
      </c>
      <c r="B436" t="s" s="42">
        <f>VLOOKUP(A436,'Player Data'!A1:B734,2,FALSE)</f>
        <v>225</v>
      </c>
      <c r="C436" s="44">
        <f>((E436)*'Settings'!$C$12)+(F436*'Settings'!$C$2)+(G436*'Settings'!$C$3)+(H436*'Settings'!$C$4)+(I436*'Settings'!$C$5)+(K436*'Settings'!$C$9)+(N436*'Settings'!$C$6)+(J436*'Settings'!$C$8)+(O436*'Settings'!$C$7)+(P436*'Settings'!$C$14)+(Q436*'Settings'!$C$15)+(R436*'Settings'!$C$16)+(S436*'Settings'!$C$17)+(T436*'Settings'!$C$18)+(U436*'Settings'!$C$19)+(L436*'Settings'!$C$10)+('Settings'!$C$11*M436)</f>
        <v>-3.14775825397814</v>
      </c>
      <c r="D436" s="48">
        <f>IF('Settings'!$E$12="YES",VLOOKUP(A436,'Player Data'!A1:E734,5,FALSE),82)</f>
        <v>61.64</v>
      </c>
      <c r="E436" s="46">
        <f>(VLOOKUP($A436,'The List'!$B1:$AH730,17,FALSE)-AVERAGE('The List'!R2:R730))/STDEV('The List'!R2:R730)</f>
        <v>1.16316608788116</v>
      </c>
      <c r="F436" s="46">
        <f>(VLOOKUP($A436,'The List'!$B1:$AH730,18,FALSE)-AVERAGE('The List'!S2:S730))/STDEV('The List'!S2:S730)</f>
        <v>-0.861941542966803</v>
      </c>
      <c r="G436" s="46">
        <f>(VLOOKUP($A436,'The List'!$B1:$AH730,19,FALSE)-AVERAGE('The List'!T2:T730))/STDEV('The List'!T2:T730)</f>
        <v>-0.629549465629431</v>
      </c>
      <c r="H436" s="46">
        <f>(VLOOKUP($A436,'The List'!$B1:$AH730,20,FALSE)-AVERAGE('The List'!U2:U730))/STDEV('The List'!U2:U730)</f>
        <v>-0.780309659854927</v>
      </c>
      <c r="I436" s="46">
        <f>(VLOOKUP($A436,'The List'!$B1:$AH730,21,FALSE)-AVERAGE('The List'!V2:V730))/STDEV('The List'!V2:V730)</f>
        <v>-0.895826954221053</v>
      </c>
      <c r="J436" s="46">
        <f>(VLOOKUP($A436,'The List'!$B1:$AH730,22,FALSE)-AVERAGE('The List'!W2:W730))/STDEV('The List'!W2:W730)</f>
        <v>-0.7076795772207209</v>
      </c>
      <c r="K436" s="46">
        <f>(VLOOKUP($A436,'The List'!$B1:$AH730,23,FALSE)-AVERAGE('The List'!X2:X730))/STDEV('The List'!X2:X730)</f>
        <v>-0.787282042748521</v>
      </c>
      <c r="L436" s="46">
        <f>(VLOOKUP($A436,'The List'!$B1:$AH730,24,FALSE)-AVERAGE('The List'!Y2:Y730))/STDEV('The List'!Y2:Y730)</f>
        <v>-0.361247130437028</v>
      </c>
      <c r="M436" s="46">
        <f>(VLOOKUP($A436,'The List'!$B1:$AH730,25,FALSE)-AVERAGE('The List'!Z2:Z730))/STDEV('The List'!Z2:Z730)</f>
        <v>-0.13796907174936</v>
      </c>
      <c r="N436" s="46">
        <f>(VLOOKUP($A436,'The List'!$B1:$AH730,26,FALSE)-AVERAGE('The List'!AA2:AA730))/STDEV('The List'!AA2:AA730)</f>
        <v>1.20789929370805</v>
      </c>
      <c r="O436" s="46">
        <f>(VLOOKUP($A436,'The List'!$B1:$AH730,27,FALSE)-AVERAGE('The List'!AB2:AB730))/STDEV('The List'!AB2:AB730)</f>
        <v>0.0162803864349378</v>
      </c>
      <c r="P436" s="46">
        <f>(VLOOKUP($A436,'The List'!$B1:$AH730,28,FALSE)-AVERAGE('The List'!AC2:AC730))/STDEV('The List'!AC2:AC730)</f>
        <v>-1.18105754212038</v>
      </c>
      <c r="Q436" s="46">
        <f>(VLOOKUP($A436,'The List'!$B1:$AH730,29,FALSE)-AVERAGE('The List'!AD2:AD730))/STDEV('The List'!AD2:AD730)</f>
        <v>-0.5091933674046289</v>
      </c>
      <c r="R436" s="46">
        <f>(VLOOKUP($A436,'The List'!$B1:$AH730,30,FALSE)-AVERAGE('The List'!AE2:AE730))/STDEV('The List'!AE2:AE730)</f>
        <v>-0.853851704838558</v>
      </c>
      <c r="S436" s="46">
        <f>(VLOOKUP($A436,'The List'!$B1:$AH730,31,FALSE)-AVERAGE('The List'!AF2:AF730))/STDEV('The List'!AF2:AF730)</f>
        <v>-0.5569063253591</v>
      </c>
      <c r="T436" s="46">
        <f>(VLOOKUP($A436,'The List'!$B1:$AH730,32,FALSE)-AVERAGE('The List'!AG2:AG730))/STDEV('The List'!AG2:AG730)</f>
        <v>-0.600856269042678</v>
      </c>
      <c r="U436" s="46">
        <f>(VLOOKUP($A436,'The List'!$B1:$AH730,33,FALSE)-AVERAGE('The List'!AH2:AH730))/STDEV('The List'!AH2:AH730)</f>
        <v>-1.2363238714826</v>
      </c>
      <c r="V436" s="46"/>
      <c r="W436" s="50"/>
      <c r="X436" s="48"/>
      <c r="Y436" s="48"/>
      <c r="Z436" s="48"/>
      <c r="AA436" s="48"/>
      <c r="AB436" s="48"/>
      <c r="AC436" s="51"/>
      <c r="AD436" s="52"/>
      <c r="AE436" s="46"/>
    </row>
    <row r="437" ht="21.25" customHeight="1">
      <c r="A437" t="s" s="8">
        <v>760</v>
      </c>
      <c r="B437" t="s" s="42">
        <f>VLOOKUP(A437,'Player Data'!A1:B734,2,FALSE)</f>
        <v>166</v>
      </c>
      <c r="C437" s="44">
        <f>((E437)*'Settings'!$C$12)+(F437*'Settings'!$C$2)+(G437*'Settings'!$C$3)+(H437*'Settings'!$C$4)+(I437*'Settings'!$C$5)+(K437*'Settings'!$C$9)+(N437*'Settings'!$C$6)+(J437*'Settings'!$C$8)+(O437*'Settings'!$C$7)+(P437*'Settings'!$C$14)+(Q437*'Settings'!$C$15)+(R437*'Settings'!$C$16)+(S437*'Settings'!$C$17)+(T437*'Settings'!$C$18)+(U437*'Settings'!$C$19)+(L437*'Settings'!$C$10)+('Settings'!$C$11*M437)</f>
        <v>-3.09040988333295</v>
      </c>
      <c r="D437" s="48">
        <f>IF('Settings'!$E$12="YES",VLOOKUP(A437,'Player Data'!A1:E734,5,FALSE),82)</f>
        <v>76.53749999999999</v>
      </c>
      <c r="E437" s="46">
        <f>(VLOOKUP($A437,'The List'!$B1:$AH730,17,FALSE)-AVERAGE('The List'!R2:R730))/STDEV('The List'!R2:R730)</f>
        <v>-0.833406056207649</v>
      </c>
      <c r="F437" s="46">
        <f>(VLOOKUP($A437,'The List'!$B1:$AH730,18,FALSE)-AVERAGE('The List'!S2:S730))/STDEV('The List'!S2:S730)</f>
        <v>-0.208212839742292</v>
      </c>
      <c r="G437" s="46">
        <f>(VLOOKUP($A437,'The List'!$B1:$AH730,19,FALSE)-AVERAGE('The List'!T2:T730))/STDEV('The List'!T2:T730)</f>
        <v>-0.792254423168528</v>
      </c>
      <c r="H437" s="46">
        <f>(VLOOKUP($A437,'The List'!$B1:$AH730,20,FALSE)-AVERAGE('The List'!U2:U730))/STDEV('The List'!U2:U730)</f>
        <v>-0.583155456682998</v>
      </c>
      <c r="I437" s="46">
        <f>(VLOOKUP($A437,'The List'!$B1:$AH730,21,FALSE)-AVERAGE('The List'!V2:V730))/STDEV('The List'!V2:V730)</f>
        <v>-0.809073851293319</v>
      </c>
      <c r="J437" s="46">
        <f>(VLOOKUP($A437,'The List'!$B1:$AH730,22,FALSE)-AVERAGE('The List'!W2:W730))/STDEV('The List'!W2:W730)</f>
        <v>-0.707414878023812</v>
      </c>
      <c r="K437" s="46">
        <f>(VLOOKUP($A437,'The List'!$B1:$AH730,23,FALSE)-AVERAGE('The List'!X2:X730))/STDEV('The List'!X2:X730)</f>
        <v>-0.795657141260523</v>
      </c>
      <c r="L437" s="46">
        <f>(VLOOKUP($A437,'The List'!$B1:$AH730,24,FALSE)-AVERAGE('The List'!Y2:Y730))/STDEV('The List'!Y2:Y730)</f>
        <v>0.163511401531754</v>
      </c>
      <c r="M437" s="46">
        <f>(VLOOKUP($A437,'The List'!$B1:$AH730,25,FALSE)-AVERAGE('The List'!Z2:Z730))/STDEV('The List'!Z2:Z730)</f>
        <v>0.420467672268927</v>
      </c>
      <c r="N437" s="46">
        <f>(VLOOKUP($A437,'The List'!$B1:$AH730,26,FALSE)-AVERAGE('The List'!AA2:AA730))/STDEV('The List'!AA2:AA730)</f>
        <v>0.152535577753109</v>
      </c>
      <c r="O437" s="46">
        <f>(VLOOKUP($A437,'The List'!$B1:$AH730,27,FALSE)-AVERAGE('The List'!AB2:AB730))/STDEV('The List'!AB2:AB730)</f>
        <v>1.32113070630204</v>
      </c>
      <c r="P437" s="46">
        <f>(VLOOKUP($A437,'The List'!$B1:$AH730,28,FALSE)-AVERAGE('The List'!AC2:AC730))/STDEV('The List'!AC2:AC730)</f>
        <v>-0.6377472056214</v>
      </c>
      <c r="Q437" s="46">
        <f>(VLOOKUP($A437,'The List'!$B1:$AH730,29,FALSE)-AVERAGE('The List'!AD2:AD730))/STDEV('The List'!AD2:AD730)</f>
        <v>0.34661575677713</v>
      </c>
      <c r="R437" s="46">
        <f>(VLOOKUP($A437,'The List'!$B1:$AH730,30,FALSE)-AVERAGE('The List'!AE2:AE730))/STDEV('The List'!AE2:AE730)</f>
        <v>-0.314164705659703</v>
      </c>
      <c r="S437" s="46">
        <f>(VLOOKUP($A437,'The List'!$B1:$AH730,31,FALSE)-AVERAGE('The List'!AF2:AF730))/STDEV('The List'!AF2:AF730)</f>
        <v>2.08652376046173</v>
      </c>
      <c r="T437" s="46">
        <f>(VLOOKUP($A437,'The List'!$B1:$AH730,32,FALSE)-AVERAGE('The List'!AG2:AG730))/STDEV('The List'!AG2:AG730)</f>
        <v>1.85778611274713</v>
      </c>
      <c r="U437" s="46">
        <f>(VLOOKUP($A437,'The List'!$B1:$AH730,33,FALSE)-AVERAGE('The List'!AH2:AH730))/STDEV('The List'!AH2:AH730)</f>
        <v>1.16049065344049</v>
      </c>
      <c r="V437" s="46"/>
      <c r="W437" s="50"/>
      <c r="X437" s="48"/>
      <c r="Y437" s="48"/>
      <c r="Z437" s="48"/>
      <c r="AA437" s="48"/>
      <c r="AB437" s="48"/>
      <c r="AC437" s="51"/>
      <c r="AD437" s="52"/>
      <c r="AE437" s="46"/>
    </row>
    <row r="438" ht="21.25" customHeight="1">
      <c r="A438" t="s" s="8">
        <v>768</v>
      </c>
      <c r="B438" t="s" s="42">
        <f>VLOOKUP(A438,'Player Data'!A1:B734,2,FALSE)</f>
        <v>127</v>
      </c>
      <c r="C438" s="44">
        <f>((E438)*'Settings'!$C$12)+(F438*'Settings'!$C$2)+(G438*'Settings'!$C$3)+(H438*'Settings'!$C$4)+(I438*'Settings'!$C$5)+(K438*'Settings'!$C$9)+(N438*'Settings'!$C$6)+(J438*'Settings'!$C$8)+(O438*'Settings'!$C$7)+(P438*'Settings'!$C$14)+(Q438*'Settings'!$C$15)+(R438*'Settings'!$C$16)+(S438*'Settings'!$C$17)+(T438*'Settings'!$C$18)+(U438*'Settings'!$C$19)+(L438*'Settings'!$C$10)+('Settings'!$C$11*M438)</f>
        <v>-3.32969175792333</v>
      </c>
      <c r="D438" s="48">
        <f>IF('Settings'!$E$12="YES",VLOOKUP(A438,'Player Data'!A1:E734,5,FALSE),82)</f>
        <v>78</v>
      </c>
      <c r="E438" s="46">
        <f>(VLOOKUP($A438,'The List'!$B1:$AH730,17,FALSE)-AVERAGE('The List'!R2:R730))/STDEV('The List'!R2:R730)</f>
        <v>-1.13900462746914</v>
      </c>
      <c r="F438" s="46">
        <f>(VLOOKUP($A438,'The List'!$B1:$AH730,18,FALSE)-AVERAGE('The List'!S2:S730))/STDEV('The List'!S2:S730)</f>
        <v>-0.672789338174183</v>
      </c>
      <c r="G438" s="46">
        <f>(VLOOKUP($A438,'The List'!$B1:$AH730,19,FALSE)-AVERAGE('The List'!T2:T730))/STDEV('The List'!T2:T730)</f>
        <v>-0.424936592710594</v>
      </c>
      <c r="H438" s="46">
        <f>(VLOOKUP($A438,'The List'!$B1:$AH730,20,FALSE)-AVERAGE('The List'!U2:U730))/STDEV('The List'!U2:U730)</f>
        <v>-0.568100466305907</v>
      </c>
      <c r="I438" s="46">
        <f>(VLOOKUP($A438,'The List'!$B1:$AH730,21,FALSE)-AVERAGE('The List'!V2:V730))/STDEV('The List'!V2:V730)</f>
        <v>-0.782337992788815</v>
      </c>
      <c r="J438" s="46">
        <f>(VLOOKUP($A438,'The List'!$B1:$AH730,22,FALSE)-AVERAGE('The List'!W2:W730))/STDEV('The List'!W2:W730)</f>
        <v>-0.70032687126461</v>
      </c>
      <c r="K438" s="46">
        <f>(VLOOKUP($A438,'The List'!$B1:$AH730,23,FALSE)-AVERAGE('The List'!X2:X730))/STDEV('The List'!X2:X730)</f>
        <v>-0.790497825218755</v>
      </c>
      <c r="L438" s="46">
        <f>(VLOOKUP($A438,'The List'!$B1:$AH730,24,FALSE)-AVERAGE('The List'!Y2:Y730))/STDEV('The List'!Y2:Y730)</f>
        <v>-0.387922753659335</v>
      </c>
      <c r="M438" s="46">
        <f>(VLOOKUP($A438,'The List'!$B1:$AH730,25,FALSE)-AVERAGE('The List'!Z2:Z730))/STDEV('The List'!Z2:Z730)</f>
        <v>0.148440087869623</v>
      </c>
      <c r="N438" s="46">
        <f>(VLOOKUP($A438,'The List'!$B1:$AH730,26,FALSE)-AVERAGE('The List'!AA2:AA730))/STDEV('The List'!AA2:AA730)</f>
        <v>-0.416034249410281</v>
      </c>
      <c r="O438" s="46">
        <f>(VLOOKUP($A438,'The List'!$B1:$AH730,27,FALSE)-AVERAGE('The List'!AB2:AB730))/STDEV('The List'!AB2:AB730)</f>
        <v>0.822464013684083</v>
      </c>
      <c r="P438" s="46">
        <f>(VLOOKUP($A438,'The List'!$B1:$AH730,28,FALSE)-AVERAGE('The List'!AC2:AC730))/STDEV('The List'!AC2:AC730)</f>
        <v>-0.243095759620703</v>
      </c>
      <c r="Q438" s="46">
        <f>(VLOOKUP($A438,'The List'!$B1:$AH730,29,FALSE)-AVERAGE('The List'!AD2:AD730))/STDEV('The List'!AD2:AD730)</f>
        <v>0.528621683088718</v>
      </c>
      <c r="R438" s="46">
        <f>(VLOOKUP($A438,'The List'!$B1:$AH730,30,FALSE)-AVERAGE('The List'!AE2:AE730))/STDEV('The List'!AE2:AE730)</f>
        <v>-0.588874018678965</v>
      </c>
      <c r="S438" s="46">
        <f>(VLOOKUP($A438,'The List'!$B1:$AH730,31,FALSE)-AVERAGE('The List'!AF2:AF730))/STDEV('The List'!AF2:AF730)</f>
        <v>2.11108503153398</v>
      </c>
      <c r="T438" s="46">
        <f>(VLOOKUP($A438,'The List'!$B1:$AH730,32,FALSE)-AVERAGE('The List'!AG2:AG730))/STDEV('The List'!AG2:AG730)</f>
        <v>1.46077969508077</v>
      </c>
      <c r="U438" s="46">
        <f>(VLOOKUP($A438,'The List'!$B1:$AH730,33,FALSE)-AVERAGE('The List'!AH2:AH730))/STDEV('The List'!AH2:AH730)</f>
        <v>1.3672191632713</v>
      </c>
      <c r="V438" s="46"/>
      <c r="W438" s="50"/>
      <c r="X438" s="48"/>
      <c r="Y438" s="48"/>
      <c r="Z438" s="48"/>
      <c r="AA438" s="48"/>
      <c r="AB438" s="48"/>
      <c r="AC438" s="51"/>
      <c r="AD438" s="52"/>
      <c r="AE438" s="46"/>
    </row>
    <row r="439" ht="21.25" customHeight="1">
      <c r="A439" t="s" s="8">
        <v>435</v>
      </c>
      <c r="B439" t="s" s="42">
        <f>VLOOKUP(A439,'Player Data'!A1:B734,2,FALSE)</f>
        <v>236</v>
      </c>
      <c r="C439" s="44">
        <f>((E439)*'Settings'!$C$12)+(F439*'Settings'!$C$2)+(G439*'Settings'!$C$3)+(H439*'Settings'!$C$4)+(I439*'Settings'!$C$5)+(K439*'Settings'!$C$9)+(N439*'Settings'!$C$6)+(J439*'Settings'!$C$8)+(O439*'Settings'!$C$7)+(P439*'Settings'!$C$14)+(Q439*'Settings'!$C$15)+(R439*'Settings'!$C$16)+(S439*'Settings'!$C$17)+(T439*'Settings'!$C$18)+(U439*'Settings'!$C$19)+(L439*'Settings'!$C$10)+('Settings'!$C$11*M439)</f>
        <v>-1.3056278990959</v>
      </c>
      <c r="D439" s="48">
        <f>IF('Settings'!$E$12="YES",VLOOKUP(A439,'Player Data'!A1:E734,5,FALSE),82)</f>
        <v>77.38500000000001</v>
      </c>
      <c r="E439" s="46">
        <f>(VLOOKUP($A439,'The List'!$B1:$AH730,17,FALSE)-AVERAGE('The List'!R2:R730))/STDEV('The List'!R2:R730)</f>
        <v>1.14906210849897</v>
      </c>
      <c r="F439" s="46">
        <f>(VLOOKUP($A439,'The List'!$B1:$AH730,18,FALSE)-AVERAGE('The List'!S2:S730))/STDEV('The List'!S2:S730)</f>
        <v>-0.909006567691832</v>
      </c>
      <c r="G439" s="46">
        <f>(VLOOKUP($A439,'The List'!$B1:$AH730,19,FALSE)-AVERAGE('The List'!T2:T730))/STDEV('The List'!T2:T730)</f>
        <v>-0.269247932279078</v>
      </c>
      <c r="H439" s="46">
        <f>(VLOOKUP($A439,'The List'!$B1:$AH730,20,FALSE)-AVERAGE('The List'!U2:U730))/STDEV('The List'!U2:U730)</f>
        <v>-0.579604030403684</v>
      </c>
      <c r="I439" s="46">
        <f>(VLOOKUP($A439,'The List'!$B1:$AH730,21,FALSE)-AVERAGE('The List'!V2:V730))/STDEV('The List'!V2:V730)</f>
        <v>-0.449459038359567</v>
      </c>
      <c r="J439" s="46">
        <f>(VLOOKUP($A439,'The List'!$B1:$AH730,22,FALSE)-AVERAGE('The List'!W2:W730))/STDEV('The List'!W2:W730)</f>
        <v>-0.537344718375099</v>
      </c>
      <c r="K439" s="46">
        <f>(VLOOKUP($A439,'The List'!$B1:$AH730,23,FALSE)-AVERAGE('The List'!X2:X730))/STDEV('The List'!X2:X730)</f>
        <v>-0.372598109238762</v>
      </c>
      <c r="L439" s="46">
        <f>(VLOOKUP($A439,'The List'!$B1:$AH730,24,FALSE)-AVERAGE('The List'!Y2:Y730))/STDEV('The List'!Y2:Y730)</f>
        <v>0.313177305958481</v>
      </c>
      <c r="M439" s="46">
        <f>(VLOOKUP($A439,'The List'!$B1:$AH730,25,FALSE)-AVERAGE('The List'!Z2:Z730))/STDEV('The List'!Z2:Z730)</f>
        <v>0.912065421969835</v>
      </c>
      <c r="N439" s="46">
        <f>(VLOOKUP($A439,'The List'!$B1:$AH730,26,FALSE)-AVERAGE('The List'!AA2:AA730))/STDEV('The List'!AA2:AA730)</f>
        <v>2.216306487564</v>
      </c>
      <c r="O439" s="46">
        <f>(VLOOKUP($A439,'The List'!$B1:$AH730,27,FALSE)-AVERAGE('The List'!AB2:AB730))/STDEV('The List'!AB2:AB730)</f>
        <v>2.15058336269313</v>
      </c>
      <c r="P439" s="46">
        <f>(VLOOKUP($A439,'The List'!$B1:$AH730,28,FALSE)-AVERAGE('The List'!AC2:AC730))/STDEV('The List'!AC2:AC730)</f>
        <v>-1.52162273909066</v>
      </c>
      <c r="Q439" s="46">
        <f>(VLOOKUP($A439,'The List'!$B1:$AH730,29,FALSE)-AVERAGE('The List'!AD2:AD730))/STDEV('The List'!AD2:AD730)</f>
        <v>0.75850779827669</v>
      </c>
      <c r="R439" s="46">
        <f>(VLOOKUP($A439,'The List'!$B1:$AH730,30,FALSE)-AVERAGE('The List'!AE2:AE730))/STDEV('The List'!AE2:AE730)</f>
        <v>-0.888823653782459</v>
      </c>
      <c r="S439" s="46">
        <f>(VLOOKUP($A439,'The List'!$B1:$AH730,31,FALSE)-AVERAGE('The List'!AF2:AF730))/STDEV('The List'!AF2:AF730)</f>
        <v>-0.5569063253591</v>
      </c>
      <c r="T439" s="46">
        <f>(VLOOKUP($A439,'The List'!$B1:$AH730,32,FALSE)-AVERAGE('The List'!AG2:AG730))/STDEV('The List'!AG2:AG730)</f>
        <v>-0.600856269042678</v>
      </c>
      <c r="U439" s="46">
        <f>(VLOOKUP($A439,'The List'!$B1:$AH730,33,FALSE)-AVERAGE('The List'!AH2:AH730))/STDEV('The List'!AH2:AH730)</f>
        <v>-1.2363238714826</v>
      </c>
      <c r="V439" s="46"/>
      <c r="W439" s="48"/>
      <c r="X439" s="46"/>
      <c r="Y439" s="46"/>
      <c r="Z439" s="46"/>
      <c r="AA439" s="46"/>
      <c r="AB439" s="46"/>
      <c r="AC439" s="46"/>
      <c r="AD439" s="46"/>
      <c r="AE439" s="46"/>
    </row>
    <row r="440" ht="21.25" customHeight="1">
      <c r="A440" t="s" s="8">
        <v>502</v>
      </c>
      <c r="B440" t="s" s="42">
        <f>VLOOKUP(A440,'Player Data'!A1:B734,2,FALSE)</f>
        <v>189</v>
      </c>
      <c r="C440" s="44">
        <f>((E440)*'Settings'!$C$12)+(F440*'Settings'!$C$2)+(G440*'Settings'!$C$3)+(H440*'Settings'!$C$4)+(I440*'Settings'!$C$5)+(K440*'Settings'!$C$9)+(N440*'Settings'!$C$6)+(J440*'Settings'!$C$8)+(O440*'Settings'!$C$7)+(P440*'Settings'!$C$14)+(Q440*'Settings'!$C$15)+(R440*'Settings'!$C$16)+(S440*'Settings'!$C$17)+(T440*'Settings'!$C$18)+(U440*'Settings'!$C$19)+(L440*'Settings'!$C$10)+('Settings'!$C$11*M440)</f>
        <v>-3.17504661644423</v>
      </c>
      <c r="D440" s="48">
        <f>IF('Settings'!$E$12="YES",VLOOKUP(A440,'Player Data'!A1:E734,5,FALSE),82)</f>
        <v>74.3</v>
      </c>
      <c r="E440" s="46">
        <f>(VLOOKUP($A440,'The List'!$B1:$AH730,17,FALSE)-AVERAGE('The List'!R2:R730))/STDEV('The List'!R2:R730)</f>
        <v>0.33036653426417</v>
      </c>
      <c r="F440" s="46">
        <f>(VLOOKUP($A440,'The List'!$B1:$AH730,18,FALSE)-AVERAGE('The List'!S2:S730))/STDEV('The List'!S2:S730)</f>
        <v>-0.824293848943046</v>
      </c>
      <c r="G440" s="46">
        <f>(VLOOKUP($A440,'The List'!$B1:$AH730,19,FALSE)-AVERAGE('The List'!T2:T730))/STDEV('The List'!T2:T730)</f>
        <v>-0.39855751495543</v>
      </c>
      <c r="H440" s="46">
        <f>(VLOOKUP($A440,'The List'!$B1:$AH730,20,FALSE)-AVERAGE('The List'!U2:U730))/STDEV('The List'!U2:U730)</f>
        <v>-0.62077570251664</v>
      </c>
      <c r="I440" s="46">
        <f>(VLOOKUP($A440,'The List'!$B1:$AH730,21,FALSE)-AVERAGE('The List'!V2:V730))/STDEV('The List'!V2:V730)</f>
        <v>-0.688540238912249</v>
      </c>
      <c r="J440" s="46">
        <f>(VLOOKUP($A440,'The List'!$B1:$AH730,22,FALSE)-AVERAGE('The List'!W2:W730))/STDEV('The List'!W2:W730)</f>
        <v>-0.645190333306419</v>
      </c>
      <c r="K440" s="46">
        <f>(VLOOKUP($A440,'The List'!$B1:$AH730,23,FALSE)-AVERAGE('The List'!X2:X730))/STDEV('The List'!X2:X730)</f>
        <v>-0.666140995419396</v>
      </c>
      <c r="L440" s="46">
        <f>(VLOOKUP($A440,'The List'!$B1:$AH730,24,FALSE)-AVERAGE('The List'!Y2:Y730))/STDEV('The List'!Y2:Y730)</f>
        <v>-0.49020031326015</v>
      </c>
      <c r="M440" s="46">
        <f>(VLOOKUP($A440,'The List'!$B1:$AH730,25,FALSE)-AVERAGE('The List'!Z2:Z730))/STDEV('The List'!Z2:Z730)</f>
        <v>-0.323458151571053</v>
      </c>
      <c r="N440" s="46">
        <f>(VLOOKUP($A440,'The List'!$B1:$AH730,26,FALSE)-AVERAGE('The List'!AA2:AA730))/STDEV('The List'!AA2:AA730)</f>
        <v>0.784641155123511</v>
      </c>
      <c r="O440" s="46">
        <f>(VLOOKUP($A440,'The List'!$B1:$AH730,27,FALSE)-AVERAGE('The List'!AB2:AB730))/STDEV('The List'!AB2:AB730)</f>
        <v>-0.359721111515871</v>
      </c>
      <c r="P440" s="46">
        <f>(VLOOKUP($A440,'The List'!$B1:$AH730,28,FALSE)-AVERAGE('The List'!AC2:AC730))/STDEV('The List'!AC2:AC730)</f>
        <v>-1.38215517333762</v>
      </c>
      <c r="Q440" s="46">
        <f>(VLOOKUP($A440,'The List'!$B1:$AH730,29,FALSE)-AVERAGE('The List'!AD2:AD730))/STDEV('The List'!AD2:AD730)</f>
        <v>-0.250778194605686</v>
      </c>
      <c r="R440" s="46">
        <f>(VLOOKUP($A440,'The List'!$B1:$AH730,30,FALSE)-AVERAGE('The List'!AE2:AE730))/STDEV('The List'!AE2:AE730)</f>
        <v>-0.855885684758667</v>
      </c>
      <c r="S440" s="46">
        <f>(VLOOKUP($A440,'The List'!$B1:$AH730,31,FALSE)-AVERAGE('The List'!AF2:AF730))/STDEV('The List'!AF2:AF730)</f>
        <v>-0.5569063253591</v>
      </c>
      <c r="T440" s="46">
        <f>(VLOOKUP($A440,'The List'!$B1:$AH730,32,FALSE)-AVERAGE('The List'!AG2:AG730))/STDEV('The List'!AG2:AG730)</f>
        <v>-0.600856269042678</v>
      </c>
      <c r="U440" s="46">
        <f>(VLOOKUP($A440,'The List'!$B1:$AH730,33,FALSE)-AVERAGE('The List'!AH2:AH730))/STDEV('The List'!AH2:AH730)</f>
        <v>-1.2363238714826</v>
      </c>
      <c r="V440" s="46"/>
      <c r="W440" s="50"/>
      <c r="X440" s="48"/>
      <c r="Y440" s="48"/>
      <c r="Z440" s="48"/>
      <c r="AA440" s="48"/>
      <c r="AB440" s="48"/>
      <c r="AC440" s="51"/>
      <c r="AD440" s="52"/>
      <c r="AE440" s="46"/>
    </row>
    <row r="441" ht="21.25" customHeight="1">
      <c r="A441" t="s" s="8">
        <v>471</v>
      </c>
      <c r="B441" t="s" s="42">
        <f>VLOOKUP(A441,'Player Data'!A1:B734,2,FALSE)</f>
        <v>124</v>
      </c>
      <c r="C441" s="44">
        <f>((E441)*'Settings'!$C$12)+(F441*'Settings'!$C$2)+(G441*'Settings'!$C$3)+(H441*'Settings'!$C$4)+(I441*'Settings'!$C$5)+(K441*'Settings'!$C$9)+(N441*'Settings'!$C$6)+(J441*'Settings'!$C$8)+(O441*'Settings'!$C$7)+(P441*'Settings'!$C$14)+(Q441*'Settings'!$C$15)+(R441*'Settings'!$C$16)+(S441*'Settings'!$C$17)+(T441*'Settings'!$C$18)+(U441*'Settings'!$C$19)+(L441*'Settings'!$C$10)+('Settings'!$C$11*M441)</f>
        <v>-1.06872740330088</v>
      </c>
      <c r="D441" s="48">
        <f>IF('Settings'!$E$12="YES",VLOOKUP(A441,'Player Data'!A1:E734,5,FALSE),82)</f>
        <v>75.3</v>
      </c>
      <c r="E441" s="46">
        <f>(VLOOKUP($A441,'The List'!$B1:$AH730,17,FALSE)-AVERAGE('The List'!R2:R730))/STDEV('The List'!R2:R730)</f>
        <v>0.975057682856081</v>
      </c>
      <c r="F441" s="46">
        <f>(VLOOKUP($A441,'The List'!$B1:$AH730,18,FALSE)-AVERAGE('The List'!S2:S730))/STDEV('The List'!S2:S730)</f>
        <v>-0.924673126591427</v>
      </c>
      <c r="G441" s="46">
        <f>(VLOOKUP($A441,'The List'!$B1:$AH730,19,FALSE)-AVERAGE('The List'!T2:T730))/STDEV('The List'!T2:T730)</f>
        <v>-0.304768573666278</v>
      </c>
      <c r="H441" s="46">
        <f>(VLOOKUP($A441,'The List'!$B1:$AH730,20,FALSE)-AVERAGE('The List'!U2:U730))/STDEV('The List'!U2:U730)</f>
        <v>-0.608630637450121</v>
      </c>
      <c r="I441" s="46">
        <f>(VLOOKUP($A441,'The List'!$B1:$AH730,21,FALSE)-AVERAGE('The List'!V2:V730))/STDEV('The List'!V2:V730)</f>
        <v>-0.384934056480659</v>
      </c>
      <c r="J441" s="46">
        <f>(VLOOKUP($A441,'The List'!$B1:$AH730,22,FALSE)-AVERAGE('The List'!W2:W730))/STDEV('The List'!W2:W730)</f>
        <v>-0.708269807850323</v>
      </c>
      <c r="K441" s="46">
        <f>(VLOOKUP($A441,'The List'!$B1:$AH730,23,FALSE)-AVERAGE('The List'!X2:X730))/STDEV('The List'!X2:X730)</f>
        <v>-0.7887393251428521</v>
      </c>
      <c r="L441" s="46">
        <f>(VLOOKUP($A441,'The List'!$B1:$AH730,24,FALSE)-AVERAGE('The List'!Y2:Y730))/STDEV('The List'!Y2:Y730)</f>
        <v>-0.492868052145915</v>
      </c>
      <c r="M441" s="46">
        <f>(VLOOKUP($A441,'The List'!$B1:$AH730,25,FALSE)-AVERAGE('The List'!Z2:Z730))/STDEV('The List'!Z2:Z730)</f>
        <v>0.0467234622812049</v>
      </c>
      <c r="N441" s="46">
        <f>(VLOOKUP($A441,'The List'!$B1:$AH730,26,FALSE)-AVERAGE('The List'!AA2:AA730))/STDEV('The List'!AA2:AA730)</f>
        <v>1.40947690364089</v>
      </c>
      <c r="O441" s="46">
        <f>(VLOOKUP($A441,'The List'!$B1:$AH730,27,FALSE)-AVERAGE('The List'!AB2:AB730))/STDEV('The List'!AB2:AB730)</f>
        <v>2.44666853769511</v>
      </c>
      <c r="P441" s="46">
        <f>(VLOOKUP($A441,'The List'!$B1:$AH730,28,FALSE)-AVERAGE('The List'!AC2:AC730))/STDEV('The List'!AC2:AC730)</f>
        <v>-0.07508922506055481</v>
      </c>
      <c r="Q441" s="46">
        <f>(VLOOKUP($A441,'The List'!$B1:$AH730,29,FALSE)-AVERAGE('The List'!AD2:AD730))/STDEV('The List'!AD2:AD730)</f>
        <v>1.56328973752751</v>
      </c>
      <c r="R441" s="46">
        <f>(VLOOKUP($A441,'The List'!$B1:$AH730,30,FALSE)-AVERAGE('The List'!AE2:AE730))/STDEV('The List'!AE2:AE730)</f>
        <v>-0.806795612870744</v>
      </c>
      <c r="S441" s="46">
        <f>(VLOOKUP($A441,'The List'!$B1:$AH730,31,FALSE)-AVERAGE('The List'!AF2:AF730))/STDEV('The List'!AF2:AF730)</f>
        <v>-0.5569063253591</v>
      </c>
      <c r="T441" s="46">
        <f>(VLOOKUP($A441,'The List'!$B1:$AH730,32,FALSE)-AVERAGE('The List'!AG2:AG730))/STDEV('The List'!AG2:AG730)</f>
        <v>-0.600856269042678</v>
      </c>
      <c r="U441" s="46">
        <f>(VLOOKUP($A441,'The List'!$B1:$AH730,33,FALSE)-AVERAGE('The List'!AH2:AH730))/STDEV('The List'!AH2:AH730)</f>
        <v>-1.2363238714826</v>
      </c>
      <c r="V441" s="46"/>
      <c r="W441" s="48"/>
      <c r="X441" s="46"/>
      <c r="Y441" s="46"/>
      <c r="Z441" s="46"/>
      <c r="AA441" s="46"/>
      <c r="AB441" s="46"/>
      <c r="AC441" s="46"/>
      <c r="AD441" s="46"/>
      <c r="AE441" s="46"/>
    </row>
    <row r="442" ht="21.25" customHeight="1">
      <c r="A442" t="s" s="8">
        <v>523</v>
      </c>
      <c r="B442" t="s" s="42">
        <f>VLOOKUP(A442,'Player Data'!A1:B734,2,FALSE)</f>
        <v>170</v>
      </c>
      <c r="C442" s="44">
        <f>((E442)*'Settings'!$C$12)+(F442*'Settings'!$C$2)+(G442*'Settings'!$C$3)+(H442*'Settings'!$C$4)+(I442*'Settings'!$C$5)+(K442*'Settings'!$C$9)+(N442*'Settings'!$C$6)+(J442*'Settings'!$C$8)+(O442*'Settings'!$C$7)+(P442*'Settings'!$C$14)+(Q442*'Settings'!$C$15)+(R442*'Settings'!$C$16)+(S442*'Settings'!$C$17)+(T442*'Settings'!$C$18)+(U442*'Settings'!$C$19)+(L442*'Settings'!$C$10)+('Settings'!$C$11*M442)</f>
        <v>-2.00436114153853</v>
      </c>
      <c r="D442" s="48">
        <f>IF('Settings'!$E$12="YES",VLOOKUP(A442,'Player Data'!A1:E734,5,FALSE),82)</f>
        <v>68.3303571428571</v>
      </c>
      <c r="E442" s="46">
        <f>(VLOOKUP($A442,'The List'!$B1:$AH730,17,FALSE)-AVERAGE('The List'!R2:R730))/STDEV('The List'!R2:R730)</f>
        <v>0.114585586076571</v>
      </c>
      <c r="F442" s="46">
        <f>(VLOOKUP($A442,'The List'!$B1:$AH730,18,FALSE)-AVERAGE('The List'!S2:S730))/STDEV('The List'!S2:S730)</f>
        <v>-0.857824697693059</v>
      </c>
      <c r="G442" s="46">
        <f>(VLOOKUP($A442,'The List'!$B1:$AH730,19,FALSE)-AVERAGE('The List'!T2:T730))/STDEV('The List'!T2:T730)</f>
        <v>-0.503528882630785</v>
      </c>
      <c r="H442" s="46">
        <f>(VLOOKUP($A442,'The List'!$B1:$AH730,20,FALSE)-AVERAGE('The List'!U2:U730))/STDEV('The List'!U2:U730)</f>
        <v>-0.7007463796444851</v>
      </c>
      <c r="I442" s="46">
        <f>(VLOOKUP($A442,'The List'!$B1:$AH730,21,FALSE)-AVERAGE('The List'!V2:V730))/STDEV('The List'!V2:V730)</f>
        <v>-0.484464775435514</v>
      </c>
      <c r="J442" s="46">
        <f>(VLOOKUP($A442,'The List'!$B1:$AH730,22,FALSE)-AVERAGE('The List'!W2:W730))/STDEV('The List'!W2:W730)</f>
        <v>-0.595181647651824</v>
      </c>
      <c r="K442" s="46">
        <f>(VLOOKUP($A442,'The List'!$B1:$AH730,23,FALSE)-AVERAGE('The List'!X2:X730))/STDEV('The List'!X2:X730)</f>
        <v>-0.625913989214541</v>
      </c>
      <c r="L442" s="46">
        <f>(VLOOKUP($A442,'The List'!$B1:$AH730,24,FALSE)-AVERAGE('The List'!Y2:Y730))/STDEV('The List'!Y2:Y730)</f>
        <v>-0.523651506632412</v>
      </c>
      <c r="M442" s="46">
        <f>(VLOOKUP($A442,'The List'!$B1:$AH730,25,FALSE)-AVERAGE('The List'!Z2:Z730))/STDEV('The List'!Z2:Z730)</f>
        <v>-0.678068369486141</v>
      </c>
      <c r="N442" s="46">
        <f>(VLOOKUP($A442,'The List'!$B1:$AH730,26,FALSE)-AVERAGE('The List'!AA2:AA730))/STDEV('The List'!AA2:AA730)</f>
        <v>-0.182536891085711</v>
      </c>
      <c r="O442" s="46">
        <f>(VLOOKUP($A442,'The List'!$B1:$AH730,27,FALSE)-AVERAGE('The List'!AB2:AB730))/STDEV('The List'!AB2:AB730)</f>
        <v>-0.0180825522149457</v>
      </c>
      <c r="P442" s="46">
        <f>(VLOOKUP($A442,'The List'!$B1:$AH730,28,FALSE)-AVERAGE('The List'!AC2:AC730))/STDEV('The List'!AC2:AC730)</f>
        <v>0.649908094521083</v>
      </c>
      <c r="Q442" s="46">
        <f>(VLOOKUP($A442,'The List'!$B1:$AH730,29,FALSE)-AVERAGE('The List'!AD2:AD730))/STDEV('The List'!AD2:AD730)</f>
        <v>0.491044189966123</v>
      </c>
      <c r="R442" s="46">
        <f>(VLOOKUP($A442,'The List'!$B1:$AH730,30,FALSE)-AVERAGE('The List'!AE2:AE730))/STDEV('The List'!AE2:AE730)</f>
        <v>-0.727270102949707</v>
      </c>
      <c r="S442" s="46">
        <f>(VLOOKUP($A442,'The List'!$B1:$AH730,31,FALSE)-AVERAGE('The List'!AF2:AF730))/STDEV('The List'!AF2:AF730)</f>
        <v>-0.5569063253591</v>
      </c>
      <c r="T442" s="46">
        <f>(VLOOKUP($A442,'The List'!$B1:$AH730,32,FALSE)-AVERAGE('The List'!AG2:AG730))/STDEV('The List'!AG2:AG730)</f>
        <v>-0.600856269042678</v>
      </c>
      <c r="U442" s="46">
        <f>(VLOOKUP($A442,'The List'!$B1:$AH730,33,FALSE)-AVERAGE('The List'!AH2:AH730))/STDEV('The List'!AH2:AH730)</f>
        <v>-1.2363238714826</v>
      </c>
      <c r="V442" s="46"/>
      <c r="W442" s="50"/>
      <c r="X442" s="48"/>
      <c r="Y442" s="48"/>
      <c r="Z442" s="48"/>
      <c r="AA442" s="48"/>
      <c r="AB442" s="48"/>
      <c r="AC442" s="51"/>
      <c r="AD442" s="52"/>
      <c r="AE442" s="46"/>
    </row>
    <row r="443" ht="21.25" customHeight="1">
      <c r="A443" t="s" s="8">
        <v>735</v>
      </c>
      <c r="B443" t="s" s="42">
        <f>VLOOKUP(A443,'Player Data'!A1:B734,2,FALSE)</f>
        <v>292</v>
      </c>
      <c r="C443" s="44">
        <f>((E443)*'Settings'!$C$12)+(F443*'Settings'!$C$2)+(G443*'Settings'!$C$3)+(H443*'Settings'!$C$4)+(I443*'Settings'!$C$5)+(K443*'Settings'!$C$9)+(N443*'Settings'!$C$6)+(J443*'Settings'!$C$8)+(O443*'Settings'!$C$7)+(P443*'Settings'!$C$14)+(Q443*'Settings'!$C$15)+(R443*'Settings'!$C$16)+(S443*'Settings'!$C$17)+(T443*'Settings'!$C$18)+(U443*'Settings'!$C$19)+(L443*'Settings'!$C$10)+('Settings'!$C$11*M443)</f>
        <v>-2.98899330112868</v>
      </c>
      <c r="D443" s="48">
        <f>IF('Settings'!$E$12="YES",VLOOKUP(A443,'Player Data'!A1:E734,5,FALSE),82)</f>
        <v>76.2839285714286</v>
      </c>
      <c r="E443" s="46">
        <f>(VLOOKUP($A443,'The List'!$B1:$AH730,17,FALSE)-AVERAGE('The List'!R2:R730))/STDEV('The List'!R2:R730)</f>
        <v>-1.68316881870105</v>
      </c>
      <c r="F443" s="46">
        <f>(VLOOKUP($A443,'The List'!$B1:$AH730,18,FALSE)-AVERAGE('The List'!S2:S730))/STDEV('The List'!S2:S730)</f>
        <v>-0.34208609394831</v>
      </c>
      <c r="G443" s="46">
        <f>(VLOOKUP($A443,'The List'!$B1:$AH730,19,FALSE)-AVERAGE('The List'!T2:T730))/STDEV('The List'!T2:T730)</f>
        <v>-0.716967024353431</v>
      </c>
      <c r="H443" s="46">
        <f>(VLOOKUP($A443,'The List'!$B1:$AH730,20,FALSE)-AVERAGE('The List'!U2:U730))/STDEV('The List'!U2:U730)</f>
        <v>-0.597656780452243</v>
      </c>
      <c r="I443" s="46">
        <f>(VLOOKUP($A443,'The List'!$B1:$AH730,21,FALSE)-AVERAGE('The List'!V2:V730))/STDEV('The List'!V2:V730)</f>
        <v>-0.481358007839549</v>
      </c>
      <c r="J443" s="46">
        <f>(VLOOKUP($A443,'The List'!$B1:$AH730,22,FALSE)-AVERAGE('The List'!W2:W730))/STDEV('The List'!W2:W730)</f>
        <v>-0.595681034595923</v>
      </c>
      <c r="K443" s="46">
        <f>(VLOOKUP($A443,'The List'!$B1:$AH730,23,FALSE)-AVERAGE('The List'!X2:X730))/STDEV('The List'!X2:X730)</f>
        <v>-0.722852841757155</v>
      </c>
      <c r="L443" s="46">
        <f>(VLOOKUP($A443,'The List'!$B1:$AH730,24,FALSE)-AVERAGE('The List'!Y2:Y730))/STDEV('The List'!Y2:Y730)</f>
        <v>-0.542843480388394</v>
      </c>
      <c r="M443" s="46">
        <f>(VLOOKUP($A443,'The List'!$B1:$AH730,25,FALSE)-AVERAGE('The List'!Z2:Z730))/STDEV('The List'!Z2:Z730)</f>
        <v>-0.72177514995105</v>
      </c>
      <c r="N443" s="46">
        <f>(VLOOKUP($A443,'The List'!$B1:$AH730,26,FALSE)-AVERAGE('The List'!AA2:AA730))/STDEV('The List'!AA2:AA730)</f>
        <v>-0.740001871679265</v>
      </c>
      <c r="O443" s="46">
        <f>(VLOOKUP($A443,'The List'!$B1:$AH730,27,FALSE)-AVERAGE('The List'!AB2:AB730))/STDEV('The List'!AB2:AB730)</f>
        <v>-0.177374064876309</v>
      </c>
      <c r="P443" s="46">
        <f>(VLOOKUP($A443,'The List'!$B1:$AH730,28,FALSE)-AVERAGE('The List'!AC2:AC730))/STDEV('The List'!AC2:AC730)</f>
        <v>0.0142725384490314</v>
      </c>
      <c r="Q443" s="46">
        <f>(VLOOKUP($A443,'The List'!$B1:$AH730,29,FALSE)-AVERAGE('The List'!AD2:AD730))/STDEV('The List'!AD2:AD730)</f>
        <v>-1.31131837849172</v>
      </c>
      <c r="R443" s="46">
        <f>(VLOOKUP($A443,'The List'!$B1:$AH730,30,FALSE)-AVERAGE('The List'!AE2:AE730))/STDEV('The List'!AE2:AE730)</f>
        <v>-1.18448477237391</v>
      </c>
      <c r="S443" s="46">
        <f>(VLOOKUP($A443,'The List'!$B1:$AH730,31,FALSE)-AVERAGE('The List'!AF2:AF730))/STDEV('The List'!AF2:AF730)</f>
        <v>-0.552079825775857</v>
      </c>
      <c r="T443" s="46">
        <f>(VLOOKUP($A443,'The List'!$B1:$AH730,32,FALSE)-AVERAGE('The List'!AG2:AG730))/STDEV('The List'!AG2:AG730)</f>
        <v>-0.577367209259354</v>
      </c>
      <c r="U443" s="46">
        <f>(VLOOKUP($A443,'The List'!$B1:$AH730,33,FALSE)-AVERAGE('The List'!AH2:AH730))/STDEV('The List'!AH2:AH730)</f>
        <v>-0.433721144188563</v>
      </c>
      <c r="V443" s="46"/>
      <c r="W443" s="50"/>
      <c r="X443" s="48"/>
      <c r="Y443" s="48"/>
      <c r="Z443" s="48"/>
      <c r="AA443" s="48"/>
      <c r="AB443" s="48"/>
      <c r="AC443" s="51"/>
      <c r="AD443" s="52"/>
      <c r="AE443" s="46"/>
    </row>
    <row r="444" ht="21.25" customHeight="1">
      <c r="A444" t="s" s="8">
        <v>821</v>
      </c>
      <c r="B444" t="s" s="42">
        <f>VLOOKUP(A444,'Player Data'!A1:B734,2,FALSE)</f>
        <v>122</v>
      </c>
      <c r="C444" s="44">
        <f>((E444)*'Settings'!$C$12)+(F444*'Settings'!$C$2)+(G444*'Settings'!$C$3)+(H444*'Settings'!$C$4)+(I444*'Settings'!$C$5)+(K444*'Settings'!$C$9)+(N444*'Settings'!$C$6)+(J444*'Settings'!$C$8)+(O444*'Settings'!$C$7)+(P444*'Settings'!$C$14)+(Q444*'Settings'!$C$15)+(R444*'Settings'!$C$16)+(S444*'Settings'!$C$17)+(T444*'Settings'!$C$18)+(U444*'Settings'!$C$19)+(L444*'Settings'!$C$10)+('Settings'!$C$11*M444)</f>
        <v>-3.79912243454551</v>
      </c>
      <c r="D444" s="48">
        <f>IF('Settings'!$E$12="YES",VLOOKUP(A444,'Player Data'!A1:E734,5,FALSE),82)</f>
        <v>61</v>
      </c>
      <c r="E444" s="46">
        <f>(VLOOKUP($A444,'The List'!$B1:$AH730,17,FALSE)-AVERAGE('The List'!R2:R730))/STDEV('The List'!R2:R730)</f>
        <v>-1.61056902805612</v>
      </c>
      <c r="F444" s="46">
        <f>(VLOOKUP($A444,'The List'!$B1:$AH730,18,FALSE)-AVERAGE('The List'!S2:S730))/STDEV('The List'!S2:S730)</f>
        <v>-0.417811646815799</v>
      </c>
      <c r="G444" s="46">
        <f>(VLOOKUP($A444,'The List'!$B1:$AH730,19,FALSE)-AVERAGE('The List'!T2:T730))/STDEV('The List'!T2:T730)</f>
        <v>-0.988073772569079</v>
      </c>
      <c r="H444" s="46">
        <f>(VLOOKUP($A444,'The List'!$B1:$AH730,20,FALSE)-AVERAGE('The List'!U2:U730))/STDEV('The List'!U2:U730)</f>
        <v>-0.79924717267094</v>
      </c>
      <c r="I444" s="46">
        <f>(VLOOKUP($A444,'The List'!$B1:$AH730,21,FALSE)-AVERAGE('The List'!V2:V730))/STDEV('The List'!V2:V730)</f>
        <v>-1.15284745041073</v>
      </c>
      <c r="J444" s="46">
        <f>(VLOOKUP($A444,'The List'!$B1:$AH730,22,FALSE)-AVERAGE('The List'!W2:W730))/STDEV('The List'!W2:W730)</f>
        <v>-0.710844791510526</v>
      </c>
      <c r="K444" s="46">
        <f>(VLOOKUP($A444,'The List'!$B1:$AH730,23,FALSE)-AVERAGE('The List'!X2:X730))/STDEV('The List'!X2:X730)</f>
        <v>-0.80051422188661</v>
      </c>
      <c r="L444" s="46">
        <f>(VLOOKUP($A444,'The List'!$B1:$AH730,24,FALSE)-AVERAGE('The List'!Y2:Y730))/STDEV('The List'!Y2:Y730)</f>
        <v>-0.356753843531004</v>
      </c>
      <c r="M444" s="46">
        <f>(VLOOKUP($A444,'The List'!$B1:$AH730,25,FALSE)-AVERAGE('The List'!Z2:Z730))/STDEV('The List'!Z2:Z730)</f>
        <v>-0.51193335524169</v>
      </c>
      <c r="N444" s="46">
        <f>(VLOOKUP($A444,'The List'!$B1:$AH730,26,FALSE)-AVERAGE('The List'!AA2:AA730))/STDEV('The List'!AA2:AA730)</f>
        <v>-0.910056563578213</v>
      </c>
      <c r="O444" s="46">
        <f>(VLOOKUP($A444,'The List'!$B1:$AH730,27,FALSE)-AVERAGE('The List'!AB2:AB730))/STDEV('The List'!AB2:AB730)</f>
        <v>0.688257576290374</v>
      </c>
      <c r="P444" s="46">
        <f>(VLOOKUP($A444,'The List'!$B1:$AH730,28,FALSE)-AVERAGE('The List'!AC2:AC730))/STDEV('The List'!AC2:AC730)</f>
        <v>0.47018122071492</v>
      </c>
      <c r="Q444" s="46">
        <f>(VLOOKUP($A444,'The List'!$B1:$AH730,29,FALSE)-AVERAGE('The List'!AD2:AD730))/STDEV('The List'!AD2:AD730)</f>
        <v>-0.7127741013521141</v>
      </c>
      <c r="R444" s="46">
        <f>(VLOOKUP($A444,'The List'!$B1:$AH730,30,FALSE)-AVERAGE('The List'!AE2:AE730))/STDEV('The List'!AE2:AE730)</f>
        <v>-0.225627859762166</v>
      </c>
      <c r="S444" s="46">
        <f>(VLOOKUP($A444,'The List'!$B1:$AH730,31,FALSE)-AVERAGE('The List'!AF2:AF730))/STDEV('The List'!AF2:AF730)</f>
        <v>-0.5569063253591</v>
      </c>
      <c r="T444" s="46">
        <f>(VLOOKUP($A444,'The List'!$B1:$AH730,32,FALSE)-AVERAGE('The List'!AG2:AG730))/STDEV('The List'!AG2:AG730)</f>
        <v>-0.535693951167468</v>
      </c>
      <c r="U444" s="46">
        <f>(VLOOKUP($A444,'The List'!$B1:$AH730,33,FALSE)-AVERAGE('The List'!AH2:AH730))/STDEV('The List'!AH2:AH730)</f>
        <v>-1.2363238714826</v>
      </c>
      <c r="V444" s="46"/>
      <c r="W444" s="50"/>
      <c r="X444" s="48"/>
      <c r="Y444" s="48"/>
      <c r="Z444" s="48"/>
      <c r="AA444" s="48"/>
      <c r="AB444" s="48"/>
      <c r="AC444" s="51"/>
      <c r="AD444" s="52"/>
      <c r="AE444" s="46"/>
    </row>
    <row r="445" ht="21.25" customHeight="1">
      <c r="A445" t="s" s="8">
        <v>481</v>
      </c>
      <c r="B445" t="s" s="42">
        <f>VLOOKUP(A445,'Player Data'!A1:B734,2,FALSE)</f>
        <v>127</v>
      </c>
      <c r="C445" s="44">
        <f>((E445)*'Settings'!$C$12)+(F445*'Settings'!$C$2)+(G445*'Settings'!$C$3)+(H445*'Settings'!$C$4)+(I445*'Settings'!$C$5)+(K445*'Settings'!$C$9)+(N445*'Settings'!$C$6)+(J445*'Settings'!$C$8)+(O445*'Settings'!$C$7)+(P445*'Settings'!$C$14)+(Q445*'Settings'!$C$15)+(R445*'Settings'!$C$16)+(S445*'Settings'!$C$17)+(T445*'Settings'!$C$18)+(U445*'Settings'!$C$19)+(L445*'Settings'!$C$10)+('Settings'!$C$11*M445)</f>
        <v>-1.48806818786354</v>
      </c>
      <c r="D445" s="48">
        <f>IF('Settings'!$E$12="YES",VLOOKUP(A445,'Player Data'!A1:E734,5,FALSE),82)</f>
        <v>78.1117857142857</v>
      </c>
      <c r="E445" s="46">
        <f>(VLOOKUP($A445,'The List'!$B1:$AH730,17,FALSE)-AVERAGE('The List'!R2:R730))/STDEV('The List'!R2:R730)</f>
        <v>1.24405140149355</v>
      </c>
      <c r="F445" s="46">
        <f>(VLOOKUP($A445,'The List'!$B1:$AH730,18,FALSE)-AVERAGE('The List'!S2:S730))/STDEV('The List'!S2:S730)</f>
        <v>-0.950141761021247</v>
      </c>
      <c r="G445" s="46">
        <f>(VLOOKUP($A445,'The List'!$B1:$AH730,19,FALSE)-AVERAGE('The List'!T2:T730))/STDEV('The List'!T2:T730)</f>
        <v>-0.235549258378402</v>
      </c>
      <c r="H445" s="46">
        <f>(VLOOKUP($A445,'The List'!$B1:$AH730,20,FALSE)-AVERAGE('The List'!U2:U730))/STDEV('The List'!U2:U730)</f>
        <v>-0.577546578828378</v>
      </c>
      <c r="I445" s="46">
        <f>(VLOOKUP($A445,'The List'!$B1:$AH730,21,FALSE)-AVERAGE('The List'!V2:V730))/STDEV('The List'!V2:V730)</f>
        <v>-0.645822290401575</v>
      </c>
      <c r="J445" s="46">
        <f>(VLOOKUP($A445,'The List'!$B1:$AH730,22,FALSE)-AVERAGE('The List'!W2:W730))/STDEV('The List'!W2:W730)</f>
        <v>-0.689025091139936</v>
      </c>
      <c r="K445" s="46">
        <f>(VLOOKUP($A445,'The List'!$B1:$AH730,23,FALSE)-AVERAGE('The List'!X2:X730))/STDEV('The List'!X2:X730)</f>
        <v>-0.736807391951156</v>
      </c>
      <c r="L445" s="46">
        <f>(VLOOKUP($A445,'The List'!$B1:$AH730,24,FALSE)-AVERAGE('The List'!Y2:Y730))/STDEV('The List'!Y2:Y730)</f>
        <v>-0.492997756798074</v>
      </c>
      <c r="M445" s="46">
        <f>(VLOOKUP($A445,'The List'!$B1:$AH730,25,FALSE)-AVERAGE('The List'!Z2:Z730))/STDEV('The List'!Z2:Z730)</f>
        <v>1.0066183725155</v>
      </c>
      <c r="N445" s="46">
        <f>(VLOOKUP($A445,'The List'!$B1:$AH730,26,FALSE)-AVERAGE('The List'!AA2:AA730))/STDEV('The List'!AA2:AA730)</f>
        <v>1.2396056162354</v>
      </c>
      <c r="O445" s="46">
        <f>(VLOOKUP($A445,'The List'!$B1:$AH730,27,FALSE)-AVERAGE('The List'!AB2:AB730))/STDEV('The List'!AB2:AB730)</f>
        <v>-0.448024092159318</v>
      </c>
      <c r="P445" s="46">
        <f>(VLOOKUP($A445,'The List'!$B1:$AH730,28,FALSE)-AVERAGE('The List'!AC2:AC730))/STDEV('The List'!AC2:AC730)</f>
        <v>-0.159353102346557</v>
      </c>
      <c r="Q445" s="46">
        <f>(VLOOKUP($A445,'The List'!$B1:$AH730,29,FALSE)-AVERAGE('The List'!AD2:AD730))/STDEV('The List'!AD2:AD730)</f>
        <v>-0.479537779479947</v>
      </c>
      <c r="R445" s="46">
        <f>(VLOOKUP($A445,'The List'!$B1:$AH730,30,FALSE)-AVERAGE('The List'!AE2:AE730))/STDEV('The List'!AE2:AE730)</f>
        <v>-0.854134668465616</v>
      </c>
      <c r="S445" s="46">
        <f>(VLOOKUP($A445,'The List'!$B1:$AH730,31,FALSE)-AVERAGE('The List'!AF2:AF730))/STDEV('The List'!AF2:AF730)</f>
        <v>-0.5569063253591</v>
      </c>
      <c r="T445" s="46">
        <f>(VLOOKUP($A445,'The List'!$B1:$AH730,32,FALSE)-AVERAGE('The List'!AG2:AG730))/STDEV('The List'!AG2:AG730)</f>
        <v>-0.600856269042678</v>
      </c>
      <c r="U445" s="46">
        <f>(VLOOKUP($A445,'The List'!$B1:$AH730,33,FALSE)-AVERAGE('The List'!AH2:AH730))/STDEV('The List'!AH2:AH730)</f>
        <v>-1.2363238714826</v>
      </c>
      <c r="V445" s="46"/>
      <c r="W445" s="48"/>
      <c r="X445" s="46"/>
      <c r="Y445" s="46"/>
      <c r="Z445" s="46"/>
      <c r="AA445" s="46"/>
      <c r="AB445" s="46"/>
      <c r="AC445" s="46"/>
      <c r="AD445" s="46"/>
      <c r="AE445" s="46"/>
    </row>
    <row r="446" ht="21.25" customHeight="1">
      <c r="A446" t="s" s="8">
        <v>756</v>
      </c>
      <c r="B446" t="s" s="42">
        <f>VLOOKUP(A446,'Player Data'!A1:B734,2,FALSE)</f>
        <v>139</v>
      </c>
      <c r="C446" s="44">
        <f>((E446)*'Settings'!$C$12)+(F446*'Settings'!$C$2)+(G446*'Settings'!$C$3)+(H446*'Settings'!$C$4)+(I446*'Settings'!$C$5)+(K446*'Settings'!$C$9)+(N446*'Settings'!$C$6)+(J446*'Settings'!$C$8)+(O446*'Settings'!$C$7)+(P446*'Settings'!$C$14)+(Q446*'Settings'!$C$15)+(R446*'Settings'!$C$16)+(S446*'Settings'!$C$17)+(T446*'Settings'!$C$18)+(U446*'Settings'!$C$19)+(L446*'Settings'!$C$10)+('Settings'!$C$11*M446)</f>
        <v>-3.79461537964471</v>
      </c>
      <c r="D446" s="48">
        <f>IF('Settings'!$E$12="YES",VLOOKUP(A446,'Player Data'!A1:E734,5,FALSE),82)</f>
        <v>78.2</v>
      </c>
      <c r="E446" s="46">
        <f>(VLOOKUP($A446,'The List'!$B1:$AH730,17,FALSE)-AVERAGE('The List'!R2:R730))/STDEV('The List'!R2:R730)</f>
        <v>-1.2578466365999</v>
      </c>
      <c r="F446" s="46">
        <f>(VLOOKUP($A446,'The List'!$B1:$AH730,18,FALSE)-AVERAGE('The List'!S2:S730))/STDEV('The List'!S2:S730)</f>
        <v>-0.509057369929837</v>
      </c>
      <c r="G446" s="46">
        <f>(VLOOKUP($A446,'The List'!$B1:$AH730,19,FALSE)-AVERAGE('The List'!T2:T730))/STDEV('The List'!T2:T730)</f>
        <v>-0.56167407622276</v>
      </c>
      <c r="H446" s="46">
        <f>(VLOOKUP($A446,'The List'!$B1:$AH730,20,FALSE)-AVERAGE('The List'!U2:U730))/STDEV('The List'!U2:U730)</f>
        <v>-0.57789599834745</v>
      </c>
      <c r="I446" s="46">
        <f>(VLOOKUP($A446,'The List'!$B1:$AH730,21,FALSE)-AVERAGE('The List'!V2:V730))/STDEV('The List'!V2:V730)</f>
        <v>-0.550387632441095</v>
      </c>
      <c r="J446" s="46">
        <f>(VLOOKUP($A446,'The List'!$B1:$AH730,22,FALSE)-AVERAGE('The List'!W2:W730))/STDEV('The List'!W2:W730)</f>
        <v>-0.70187397118773</v>
      </c>
      <c r="K446" s="46">
        <f>(VLOOKUP($A446,'The List'!$B1:$AH730,23,FALSE)-AVERAGE('The List'!X2:X730))/STDEV('The List'!X2:X730)</f>
        <v>-0.791871003226478</v>
      </c>
      <c r="L446" s="46">
        <f>(VLOOKUP($A446,'The List'!$B1:$AH730,24,FALSE)-AVERAGE('The List'!Y2:Y730))/STDEV('The List'!Y2:Y730)</f>
        <v>-0.418508420944637</v>
      </c>
      <c r="M446" s="46">
        <f>(VLOOKUP($A446,'The List'!$B1:$AH730,25,FALSE)-AVERAGE('The List'!Z2:Z730))/STDEV('The List'!Z2:Z730)</f>
        <v>-0.37707266310199</v>
      </c>
      <c r="N446" s="46">
        <f>(VLOOKUP($A446,'The List'!$B1:$AH730,26,FALSE)-AVERAGE('The List'!AA2:AA730))/STDEV('The List'!AA2:AA730)</f>
        <v>-0.686283072730087</v>
      </c>
      <c r="O446" s="46">
        <f>(VLOOKUP($A446,'The List'!$B1:$AH730,27,FALSE)-AVERAGE('The List'!AB2:AB730))/STDEV('The List'!AB2:AB730)</f>
        <v>-0.463410477478677</v>
      </c>
      <c r="P446" s="46">
        <f>(VLOOKUP($A446,'The List'!$B1:$AH730,28,FALSE)-AVERAGE('The List'!AC2:AC730))/STDEV('The List'!AC2:AC730)</f>
        <v>-0.695342225094453</v>
      </c>
      <c r="Q446" s="46">
        <f>(VLOOKUP($A446,'The List'!$B1:$AH730,29,FALSE)-AVERAGE('The List'!AD2:AD730))/STDEV('The List'!AD2:AD730)</f>
        <v>-0.0962329233198929</v>
      </c>
      <c r="R446" s="46">
        <f>(VLOOKUP($A446,'The List'!$B1:$AH730,30,FALSE)-AVERAGE('The List'!AE2:AE730))/STDEV('The List'!AE2:AE730)</f>
        <v>-0.529308352974264</v>
      </c>
      <c r="S446" s="46">
        <f>(VLOOKUP($A446,'The List'!$B1:$AH730,31,FALSE)-AVERAGE('The List'!AF2:AF730))/STDEV('The List'!AF2:AF730)</f>
        <v>0.31350594605897</v>
      </c>
      <c r="T446" s="46">
        <f>(VLOOKUP($A446,'The List'!$B1:$AH730,32,FALSE)-AVERAGE('The List'!AG2:AG730))/STDEV('The List'!AG2:AG730)</f>
        <v>0.71624637911449</v>
      </c>
      <c r="U446" s="46">
        <f>(VLOOKUP($A446,'The List'!$B1:$AH730,33,FALSE)-AVERAGE('The List'!AH2:AH730))/STDEV('The List'!AH2:AH730)</f>
        <v>0.615618583142543</v>
      </c>
      <c r="V446" s="46"/>
      <c r="W446" s="50"/>
      <c r="X446" s="48"/>
      <c r="Y446" s="48"/>
      <c r="Z446" s="48"/>
      <c r="AA446" s="48"/>
      <c r="AB446" s="48"/>
      <c r="AC446" s="51"/>
      <c r="AD446" s="52"/>
      <c r="AE446" s="46"/>
    </row>
    <row r="447" ht="21.25" customHeight="1">
      <c r="A447" t="s" s="8">
        <v>792</v>
      </c>
      <c r="B447" t="s" s="42">
        <f>VLOOKUP(A447,'Player Data'!A1:B734,2,FALSE)</f>
        <v>136</v>
      </c>
      <c r="C447" s="44">
        <f>((E447)*'Settings'!$C$12)+(F447*'Settings'!$C$2)+(G447*'Settings'!$C$3)+(H447*'Settings'!$C$4)+(I447*'Settings'!$C$5)+(K447*'Settings'!$C$9)+(N447*'Settings'!$C$6)+(J447*'Settings'!$C$8)+(O447*'Settings'!$C$7)+(P447*'Settings'!$C$14)+(Q447*'Settings'!$C$15)+(R447*'Settings'!$C$16)+(S447*'Settings'!$C$17)+(T447*'Settings'!$C$18)+(U447*'Settings'!$C$19)+(L447*'Settings'!$C$10)+('Settings'!$C$11*M447)</f>
        <v>-2.92307389962673</v>
      </c>
      <c r="D447" s="48">
        <f>IF('Settings'!$E$12="YES",VLOOKUP(A447,'Player Data'!A1:E734,5,FALSE),82)</f>
        <v>75.03749999999999</v>
      </c>
      <c r="E447" s="46">
        <f>(VLOOKUP($A447,'The List'!$B1:$AH730,17,FALSE)-AVERAGE('The List'!R2:R730))/STDEV('The List'!R2:R730)</f>
        <v>-1.26367733624676</v>
      </c>
      <c r="F447" s="46">
        <f>(VLOOKUP($A447,'The List'!$B1:$AH730,18,FALSE)-AVERAGE('The List'!S2:S730))/STDEV('The List'!S2:S730)</f>
        <v>-0.435625743814492</v>
      </c>
      <c r="G447" s="46">
        <f>(VLOOKUP($A447,'The List'!$B1:$AH730,19,FALSE)-AVERAGE('The List'!T2:T730))/STDEV('The List'!T2:T730)</f>
        <v>-0.683665843517874</v>
      </c>
      <c r="H447" s="46">
        <f>(VLOOKUP($A447,'The List'!$B1:$AH730,20,FALSE)-AVERAGE('The List'!U2:U730))/STDEV('The List'!U2:U730)</f>
        <v>-0.619689456859293</v>
      </c>
      <c r="I447" s="46">
        <f>(VLOOKUP($A447,'The List'!$B1:$AH730,21,FALSE)-AVERAGE('The List'!V2:V730))/STDEV('The List'!V2:V730)</f>
        <v>-0.930193584200146</v>
      </c>
      <c r="J447" s="46">
        <f>(VLOOKUP($A447,'The List'!$B1:$AH730,22,FALSE)-AVERAGE('The List'!W2:W730))/STDEV('The List'!W2:W730)</f>
        <v>-0.700742138203982</v>
      </c>
      <c r="K447" s="46">
        <f>(VLOOKUP($A447,'The List'!$B1:$AH730,23,FALSE)-AVERAGE('The List'!X2:X730))/STDEV('The List'!X2:X730)</f>
        <v>-0.765895389571015</v>
      </c>
      <c r="L447" s="46">
        <f>(VLOOKUP($A447,'The List'!$B1:$AH730,24,FALSE)-AVERAGE('The List'!Y2:Y730))/STDEV('The List'!Y2:Y730)</f>
        <v>0.800883539033764</v>
      </c>
      <c r="M447" s="46">
        <f>(VLOOKUP($A447,'The List'!$B1:$AH730,25,FALSE)-AVERAGE('The List'!Z2:Z730))/STDEV('The List'!Z2:Z730)</f>
        <v>0.226936189885252</v>
      </c>
      <c r="N447" s="46">
        <f>(VLOOKUP($A447,'The List'!$B1:$AH730,26,FALSE)-AVERAGE('The List'!AA2:AA730))/STDEV('The List'!AA2:AA730)</f>
        <v>-0.9696852530104541</v>
      </c>
      <c r="O447" s="46">
        <f>(VLOOKUP($A447,'The List'!$B1:$AH730,27,FALSE)-AVERAGE('The List'!AB2:AB730))/STDEV('The List'!AB2:AB730)</f>
        <v>-0.754105154319034</v>
      </c>
      <c r="P447" s="46">
        <f>(VLOOKUP($A447,'The List'!$B1:$AH730,28,FALSE)-AVERAGE('The List'!AC2:AC730))/STDEV('The List'!AC2:AC730)</f>
        <v>0.861991914487248</v>
      </c>
      <c r="Q447" s="46">
        <f>(VLOOKUP($A447,'The List'!$B1:$AH730,29,FALSE)-AVERAGE('The List'!AD2:AD730))/STDEV('The List'!AD2:AD730)</f>
        <v>-0.991314970766247</v>
      </c>
      <c r="R447" s="46">
        <f>(VLOOKUP($A447,'The List'!$B1:$AH730,30,FALSE)-AVERAGE('The List'!AE2:AE730))/STDEV('The List'!AE2:AE730)</f>
        <v>-0.2892233208616</v>
      </c>
      <c r="S447" s="46">
        <f>(VLOOKUP($A447,'The List'!$B1:$AH730,31,FALSE)-AVERAGE('The List'!AF2:AF730))/STDEV('The List'!AF2:AF730)</f>
        <v>0.822817571973862</v>
      </c>
      <c r="T447" s="46">
        <f>(VLOOKUP($A447,'The List'!$B1:$AH730,32,FALSE)-AVERAGE('The List'!AG2:AG730))/STDEV('The List'!AG2:AG730)</f>
        <v>0.8737844041248199</v>
      </c>
      <c r="U447" s="46">
        <f>(VLOOKUP($A447,'The List'!$B1:$AH730,33,FALSE)-AVERAGE('The List'!AH2:AH730))/STDEV('The List'!AH2:AH730)</f>
        <v>1.00372378146517</v>
      </c>
      <c r="V447" s="46"/>
      <c r="W447" s="50"/>
      <c r="X447" s="48"/>
      <c r="Y447" s="48"/>
      <c r="Z447" s="48"/>
      <c r="AA447" s="48"/>
      <c r="AB447" s="48"/>
      <c r="AC447" s="51"/>
      <c r="AD447" s="52"/>
      <c r="AE447" s="46"/>
    </row>
    <row r="448" ht="21.25" customHeight="1">
      <c r="A448" t="s" s="8">
        <v>742</v>
      </c>
      <c r="B448" t="s" s="42">
        <f>VLOOKUP(A448,'Player Data'!A1:B734,2,FALSE)</f>
        <v>164</v>
      </c>
      <c r="C448" s="44">
        <f>((E448)*'Settings'!$C$12)+(F448*'Settings'!$C$2)+(G448*'Settings'!$C$3)+(H448*'Settings'!$C$4)+(I448*'Settings'!$C$5)+(K448*'Settings'!$C$9)+(N448*'Settings'!$C$6)+(J448*'Settings'!$C$8)+(O448*'Settings'!$C$7)+(P448*'Settings'!$C$14)+(Q448*'Settings'!$C$15)+(R448*'Settings'!$C$16)+(S448*'Settings'!$C$17)+(T448*'Settings'!$C$18)+(U448*'Settings'!$C$19)+(L448*'Settings'!$C$10)+('Settings'!$C$11*M448)</f>
        <v>-2.28337024697334</v>
      </c>
      <c r="D448" s="48">
        <f>IF('Settings'!$E$12="YES",VLOOKUP(A448,'Player Data'!A1:E734,5,FALSE),82)</f>
        <v>79.7407142857143</v>
      </c>
      <c r="E448" s="46">
        <f>(VLOOKUP($A448,'The List'!$B1:$AH730,17,FALSE)-AVERAGE('The List'!R2:R730))/STDEV('The List'!R2:R730)</f>
        <v>-1.22116249666619</v>
      </c>
      <c r="F448" s="46">
        <f>(VLOOKUP($A448,'The List'!$B1:$AH730,18,FALSE)-AVERAGE('The List'!S2:S730))/STDEV('The List'!S2:S730)</f>
        <v>-0.345897666577685</v>
      </c>
      <c r="G448" s="46">
        <f>(VLOOKUP($A448,'The List'!$B1:$AH730,19,FALSE)-AVERAGE('The List'!T2:T730))/STDEV('The List'!T2:T730)</f>
        <v>-0.661642658243759</v>
      </c>
      <c r="H448" s="46">
        <f>(VLOOKUP($A448,'The List'!$B1:$AH730,20,FALSE)-AVERAGE('The List'!U2:U730))/STDEV('The List'!U2:U730)</f>
        <v>-0.5652843779014159</v>
      </c>
      <c r="I448" s="46">
        <f>(VLOOKUP($A448,'The List'!$B1:$AH730,21,FALSE)-AVERAGE('The List'!V2:V730))/STDEV('The List'!V2:V730)</f>
        <v>-0.491715696753157</v>
      </c>
      <c r="J448" s="46">
        <f>(VLOOKUP($A448,'The List'!$B1:$AH730,22,FALSE)-AVERAGE('The List'!W2:W730))/STDEV('The List'!W2:W730)</f>
        <v>-0.646430569860011</v>
      </c>
      <c r="K448" s="46">
        <f>(VLOOKUP($A448,'The List'!$B1:$AH730,23,FALSE)-AVERAGE('The List'!X2:X730))/STDEV('The List'!X2:X730)</f>
        <v>-0.666810516453006</v>
      </c>
      <c r="L448" s="46">
        <f>(VLOOKUP($A448,'The List'!$B1:$AH730,24,FALSE)-AVERAGE('The List'!Y2:Y730))/STDEV('The List'!Y2:Y730)</f>
        <v>-0.291982325448812</v>
      </c>
      <c r="M448" s="46">
        <f>(VLOOKUP($A448,'The List'!$B1:$AH730,25,FALSE)-AVERAGE('The List'!Z2:Z730))/STDEV('The List'!Z2:Z730)</f>
        <v>-0.414664245207526</v>
      </c>
      <c r="N448" s="46">
        <f>(VLOOKUP($A448,'The List'!$B1:$AH730,26,FALSE)-AVERAGE('The List'!AA2:AA730))/STDEV('The List'!AA2:AA730)</f>
        <v>-0.564546714679697</v>
      </c>
      <c r="O448" s="46">
        <f>(VLOOKUP($A448,'The List'!$B1:$AH730,27,FALSE)-AVERAGE('The List'!AB2:AB730))/STDEV('The List'!AB2:AB730)</f>
        <v>0.179767283366843</v>
      </c>
      <c r="P448" s="46">
        <f>(VLOOKUP($A448,'The List'!$B1:$AH730,28,FALSE)-AVERAGE('The List'!AC2:AC730))/STDEV('The List'!AC2:AC730)</f>
        <v>0.447243005733968</v>
      </c>
      <c r="Q448" s="46">
        <f>(VLOOKUP($A448,'The List'!$B1:$AH730,29,FALSE)-AVERAGE('The List'!AD2:AD730))/STDEV('The List'!AD2:AD730)</f>
        <v>0.123887727485474</v>
      </c>
      <c r="R448" s="46">
        <f>(VLOOKUP($A448,'The List'!$B1:$AH730,30,FALSE)-AVERAGE('The List'!AE2:AE730))/STDEV('The List'!AE2:AE730)</f>
        <v>-0.220461611906696</v>
      </c>
      <c r="S448" s="46">
        <f>(VLOOKUP($A448,'The List'!$B1:$AH730,31,FALSE)-AVERAGE('The List'!AF2:AF730))/STDEV('The List'!AF2:AF730)</f>
        <v>-0.154049699490194</v>
      </c>
      <c r="T448" s="46">
        <f>(VLOOKUP($A448,'The List'!$B1:$AH730,32,FALSE)-AVERAGE('The List'!AG2:AG730))/STDEV('The List'!AG2:AG730)</f>
        <v>0.00971588733434378</v>
      </c>
      <c r="U448" s="46">
        <f>(VLOOKUP($A448,'The List'!$B1:$AH730,33,FALSE)-AVERAGE('The List'!AH2:AH730))/STDEV('The List'!AH2:AH730)</f>
        <v>0.613878315075861</v>
      </c>
      <c r="V448" s="46"/>
      <c r="W448" s="50"/>
      <c r="X448" s="48"/>
      <c r="Y448" s="48"/>
      <c r="Z448" s="48"/>
      <c r="AA448" s="48"/>
      <c r="AB448" s="48"/>
      <c r="AC448" s="51"/>
      <c r="AD448" s="52"/>
      <c r="AE448" s="46"/>
    </row>
    <row r="449" ht="21.25" customHeight="1">
      <c r="A449" t="s" s="8">
        <v>534</v>
      </c>
      <c r="B449" t="s" s="42">
        <f>VLOOKUP(A449,'Player Data'!A1:B734,2,FALSE)</f>
        <v>131</v>
      </c>
      <c r="C449" s="44">
        <f>((E449)*'Settings'!$C$12)+(F449*'Settings'!$C$2)+(G449*'Settings'!$C$3)+(H449*'Settings'!$C$4)+(I449*'Settings'!$C$5)+(K449*'Settings'!$C$9)+(N449*'Settings'!$C$6)+(J449*'Settings'!$C$8)+(O449*'Settings'!$C$7)+(P449*'Settings'!$C$14)+(Q449*'Settings'!$C$15)+(R449*'Settings'!$C$16)+(S449*'Settings'!$C$17)+(T449*'Settings'!$C$18)+(U449*'Settings'!$C$19)+(L449*'Settings'!$C$10)+('Settings'!$C$11*M449)</f>
        <v>-2.14677212882376</v>
      </c>
      <c r="D449" s="48">
        <f>IF('Settings'!$E$12="YES",VLOOKUP(A449,'Player Data'!A1:E734,5,FALSE),82)</f>
        <v>69.0021428571429</v>
      </c>
      <c r="E449" s="46">
        <f>(VLOOKUP($A449,'The List'!$B1:$AH730,17,FALSE)-AVERAGE('The List'!R2:R730))/STDEV('The List'!R2:R730)</f>
        <v>0.49428399753058</v>
      </c>
      <c r="F449" s="46">
        <f>(VLOOKUP($A449,'The List'!$B1:$AH730,18,FALSE)-AVERAGE('The List'!S2:S730))/STDEV('The List'!S2:S730)</f>
        <v>-0.998091257696911</v>
      </c>
      <c r="G449" s="46">
        <f>(VLOOKUP($A449,'The List'!$B1:$AH730,19,FALSE)-AVERAGE('The List'!T2:T730))/STDEV('The List'!T2:T730)</f>
        <v>-0.415572583209668</v>
      </c>
      <c r="H449" s="46">
        <f>(VLOOKUP($A449,'The List'!$B1:$AH730,20,FALSE)-AVERAGE('The List'!U2:U730))/STDEV('The List'!U2:U730)</f>
        <v>-0.7103465750663071</v>
      </c>
      <c r="I449" s="46">
        <f>(VLOOKUP($A449,'The List'!$B1:$AH730,21,FALSE)-AVERAGE('The List'!V2:V730))/STDEV('The List'!V2:V730)</f>
        <v>-0.831237386374441</v>
      </c>
      <c r="J449" s="46">
        <f>(VLOOKUP($A449,'The List'!$B1:$AH730,22,FALSE)-AVERAGE('The List'!W2:W730))/STDEV('The List'!W2:W730)</f>
        <v>-0.637508573111554</v>
      </c>
      <c r="K449" s="46">
        <f>(VLOOKUP($A449,'The List'!$B1:$AH730,23,FALSE)-AVERAGE('The List'!X2:X730))/STDEV('The List'!X2:X730)</f>
        <v>-0.660671153028798</v>
      </c>
      <c r="L449" s="46">
        <f>(VLOOKUP($A449,'The List'!$B1:$AH730,24,FALSE)-AVERAGE('The List'!Y2:Y730))/STDEV('The List'!Y2:Y730)</f>
        <v>-0.497602726461765</v>
      </c>
      <c r="M449" s="46">
        <f>(VLOOKUP($A449,'The List'!$B1:$AH730,25,FALSE)-AVERAGE('The List'!Z2:Z730))/STDEV('The List'!Z2:Z730)</f>
        <v>-0.372934019471893</v>
      </c>
      <c r="N449" s="46">
        <f>(VLOOKUP($A449,'The List'!$B1:$AH730,26,FALSE)-AVERAGE('The List'!AA2:AA730))/STDEV('The List'!AA2:AA730)</f>
        <v>1.02859910786663</v>
      </c>
      <c r="O449" s="46">
        <f>(VLOOKUP($A449,'The List'!$B1:$AH730,27,FALSE)-AVERAGE('The List'!AB2:AB730))/STDEV('The List'!AB2:AB730)</f>
        <v>-0.000756195999476196</v>
      </c>
      <c r="P449" s="46">
        <f>(VLOOKUP($A449,'The List'!$B1:$AH730,28,FALSE)-AVERAGE('The List'!AC2:AC730))/STDEV('The List'!AC2:AC730)</f>
        <v>-0.269798856380568</v>
      </c>
      <c r="Q449" s="46">
        <f>(VLOOKUP($A449,'The List'!$B1:$AH730,29,FALSE)-AVERAGE('The List'!AD2:AD730))/STDEV('The List'!AD2:AD730)</f>
        <v>0.537954153481227</v>
      </c>
      <c r="R449" s="46">
        <f>(VLOOKUP($A449,'The List'!$B1:$AH730,30,FALSE)-AVERAGE('The List'!AE2:AE730))/STDEV('The List'!AE2:AE730)</f>
        <v>-0.9018360634550791</v>
      </c>
      <c r="S449" s="46">
        <f>(VLOOKUP($A449,'The List'!$B1:$AH730,31,FALSE)-AVERAGE('The List'!AF2:AF730))/STDEV('The List'!AF2:AF730)</f>
        <v>-0.5569063253591</v>
      </c>
      <c r="T449" s="46">
        <f>(VLOOKUP($A449,'The List'!$B1:$AH730,32,FALSE)-AVERAGE('The List'!AG2:AG730))/STDEV('The List'!AG2:AG730)</f>
        <v>-0.599712010771973</v>
      </c>
      <c r="U449" s="46">
        <f>(VLOOKUP($A449,'The List'!$B1:$AH730,33,FALSE)-AVERAGE('The List'!AH2:AH730))/STDEV('The List'!AH2:AH730)</f>
        <v>-1.2363238714826</v>
      </c>
      <c r="V449" s="46"/>
      <c r="W449" s="48"/>
      <c r="X449" s="46"/>
      <c r="Y449" s="46"/>
      <c r="Z449" s="46"/>
      <c r="AA449" s="46"/>
      <c r="AB449" s="46"/>
      <c r="AC449" s="46"/>
      <c r="AD449" s="46"/>
      <c r="AE449" s="46"/>
    </row>
    <row r="450" ht="21.25" customHeight="1">
      <c r="A450" t="s" s="8">
        <v>828</v>
      </c>
      <c r="B450" t="s" s="42">
        <f>VLOOKUP(A450,'Player Data'!A1:B734,2,FALSE)</f>
        <v>115</v>
      </c>
      <c r="C450" s="44">
        <f>((E450)*'Settings'!$C$12)+(F450*'Settings'!$C$2)+(G450*'Settings'!$C$3)+(H450*'Settings'!$C$4)+(I450*'Settings'!$C$5)+(K450*'Settings'!$C$9)+(N450*'Settings'!$C$6)+(J450*'Settings'!$C$8)+(O450*'Settings'!$C$7)+(P450*'Settings'!$C$14)+(Q450*'Settings'!$C$15)+(R450*'Settings'!$C$16)+(S450*'Settings'!$C$17)+(T450*'Settings'!$C$18)+(U450*'Settings'!$C$19)+(L450*'Settings'!$C$10)+('Settings'!$C$11*M450)</f>
        <v>-4.1358272269703</v>
      </c>
      <c r="D450" s="48">
        <f>IF('Settings'!$E$12="YES",VLOOKUP(A450,'Player Data'!A1:E734,5,FALSE),82)</f>
        <v>54.5675</v>
      </c>
      <c r="E450" s="46">
        <f>(VLOOKUP($A450,'The List'!$B1:$AH730,17,FALSE)-AVERAGE('The List'!R2:R730))/STDEV('The List'!R2:R730)</f>
        <v>-1.70872094506456</v>
      </c>
      <c r="F450" s="46">
        <f>(VLOOKUP($A450,'The List'!$B1:$AH730,18,FALSE)-AVERAGE('The List'!S2:S730))/STDEV('The List'!S2:S730)</f>
        <v>-0.714015996180045</v>
      </c>
      <c r="G450" s="46">
        <f>(VLOOKUP($A450,'The List'!$B1:$AH730,19,FALSE)-AVERAGE('The List'!T2:T730))/STDEV('The List'!T2:T730)</f>
        <v>-0.927821915426426</v>
      </c>
      <c r="H450" s="46">
        <f>(VLOOKUP($A450,'The List'!$B1:$AH730,20,FALSE)-AVERAGE('The List'!U2:U730))/STDEV('The List'!U2:U730)</f>
        <v>-0.896881614219488</v>
      </c>
      <c r="I450" s="46">
        <f>(VLOOKUP($A450,'The List'!$B1:$AH730,21,FALSE)-AVERAGE('The List'!V2:V730))/STDEV('The List'!V2:V730)</f>
        <v>-1.43721834221275</v>
      </c>
      <c r="J450" s="46">
        <f>(VLOOKUP($A450,'The List'!$B1:$AH730,22,FALSE)-AVERAGE('The List'!W2:W730))/STDEV('The List'!W2:W730)</f>
        <v>-0.693889077683646</v>
      </c>
      <c r="K450" s="46">
        <f>(VLOOKUP($A450,'The List'!$B1:$AH730,23,FALSE)-AVERAGE('The List'!X2:X730))/STDEV('The List'!X2:X730)</f>
        <v>-0.790121965483858</v>
      </c>
      <c r="L450" s="46">
        <f>(VLOOKUP($A450,'The List'!$B1:$AH730,24,FALSE)-AVERAGE('The List'!Y2:Y730))/STDEV('The List'!Y2:Y730)</f>
        <v>-0.378459570327504</v>
      </c>
      <c r="M450" s="46">
        <f>(VLOOKUP($A450,'The List'!$B1:$AH730,25,FALSE)-AVERAGE('The List'!Z2:Z730))/STDEV('The List'!Z2:Z730)</f>
        <v>-0.538708238572806</v>
      </c>
      <c r="N450" s="46">
        <f>(VLOOKUP($A450,'The List'!$B1:$AH730,26,FALSE)-AVERAGE('The List'!AA2:AA730))/STDEV('The List'!AA2:AA730)</f>
        <v>-0.871864558948546</v>
      </c>
      <c r="O450" s="46">
        <f>(VLOOKUP($A450,'The List'!$B1:$AH730,27,FALSE)-AVERAGE('The List'!AB2:AB730))/STDEV('The List'!AB2:AB730)</f>
        <v>-0.815317638078262</v>
      </c>
      <c r="P450" s="46">
        <f>(VLOOKUP($A450,'The List'!$B1:$AH730,28,FALSE)-AVERAGE('The List'!AC2:AC730))/STDEV('The List'!AC2:AC730)</f>
        <v>0.605215551281323</v>
      </c>
      <c r="Q450" s="46">
        <f>(VLOOKUP($A450,'The List'!$B1:$AH730,29,FALSE)-AVERAGE('The List'!AD2:AD730))/STDEV('The List'!AD2:AD730)</f>
        <v>-0.874325948951433</v>
      </c>
      <c r="R450" s="46">
        <f>(VLOOKUP($A450,'The List'!$B1:$AH730,30,FALSE)-AVERAGE('The List'!AE2:AE730))/STDEV('The List'!AE2:AE730)</f>
        <v>-0.576567837201601</v>
      </c>
      <c r="S450" s="46">
        <f>(VLOOKUP($A450,'The List'!$B1:$AH730,31,FALSE)-AVERAGE('The List'!AF2:AF730))/STDEV('The List'!AF2:AF730)</f>
        <v>0.100650428492108</v>
      </c>
      <c r="T450" s="46">
        <f>(VLOOKUP($A450,'The List'!$B1:$AH730,32,FALSE)-AVERAGE('The List'!AG2:AG730))/STDEV('The List'!AG2:AG730)</f>
        <v>0.336151042891593</v>
      </c>
      <c r="U450" s="46">
        <f>(VLOOKUP($A450,'The List'!$B1:$AH730,33,FALSE)-AVERAGE('The List'!AH2:AH730))/STDEV('The List'!AH2:AH730)</f>
        <v>0.681576385708986</v>
      </c>
      <c r="V450" s="46"/>
      <c r="W450" s="50"/>
      <c r="X450" s="48"/>
      <c r="Y450" s="48"/>
      <c r="Z450" s="48"/>
      <c r="AA450" s="48"/>
      <c r="AB450" s="48"/>
      <c r="AC450" s="51"/>
      <c r="AD450" s="52"/>
      <c r="AE450" s="46"/>
    </row>
    <row r="451" ht="21.25" customHeight="1">
      <c r="A451" t="s" s="8">
        <v>780</v>
      </c>
      <c r="B451" t="s" s="42">
        <f>VLOOKUP(A451,'Player Data'!A1:B734,2,FALSE)</f>
        <v>196</v>
      </c>
      <c r="C451" s="44">
        <f>((E451)*'Settings'!$C$12)+(F451*'Settings'!$C$2)+(G451*'Settings'!$C$3)+(H451*'Settings'!$C$4)+(I451*'Settings'!$C$5)+(K451*'Settings'!$C$9)+(N451*'Settings'!$C$6)+(J451*'Settings'!$C$8)+(O451*'Settings'!$C$7)+(P451*'Settings'!$C$14)+(Q451*'Settings'!$C$15)+(R451*'Settings'!$C$16)+(S451*'Settings'!$C$17)+(T451*'Settings'!$C$18)+(U451*'Settings'!$C$19)+(L451*'Settings'!$C$10)+('Settings'!$C$11*M451)</f>
        <v>-3.12126034058748</v>
      </c>
      <c r="D451" s="48">
        <f>IF('Settings'!$E$12="YES",VLOOKUP(A451,'Player Data'!A1:E734,5,FALSE),82)</f>
        <v>62</v>
      </c>
      <c r="E451" s="46">
        <f>(VLOOKUP($A451,'The List'!$B1:$AH730,17,FALSE)-AVERAGE('The List'!R2:R730))/STDEV('The List'!R2:R730)</f>
        <v>-0.798779316480648</v>
      </c>
      <c r="F451" s="46">
        <f>(VLOOKUP($A451,'The List'!$B1:$AH730,18,FALSE)-AVERAGE('The List'!S2:S730))/STDEV('The List'!S2:S730)</f>
        <v>-0.463720634496721</v>
      </c>
      <c r="G451" s="46">
        <f>(VLOOKUP($A451,'The List'!$B1:$AH730,19,FALSE)-AVERAGE('The List'!T2:T730))/STDEV('The List'!T2:T730)</f>
        <v>-0.963165277835317</v>
      </c>
      <c r="H451" s="46">
        <f>(VLOOKUP($A451,'The List'!$B1:$AH730,20,FALSE)-AVERAGE('The List'!U2:U730))/STDEV('The List'!U2:U730)</f>
        <v>-0.8047809231884659</v>
      </c>
      <c r="I451" s="46">
        <f>(VLOOKUP($A451,'The List'!$B1:$AH730,21,FALSE)-AVERAGE('The List'!V2:V730))/STDEV('The List'!V2:V730)</f>
        <v>-0.822158244130289</v>
      </c>
      <c r="J451" s="46">
        <f>(VLOOKUP($A451,'The List'!$B1:$AH730,22,FALSE)-AVERAGE('The List'!W2:W730))/STDEV('The List'!W2:W730)</f>
        <v>-0.283050719646752</v>
      </c>
      <c r="K451" s="46">
        <f>(VLOOKUP($A451,'The List'!$B1:$AH730,23,FALSE)-AVERAGE('The List'!X2:X730))/STDEV('The List'!X2:X730)</f>
        <v>-0.457487685145137</v>
      </c>
      <c r="L451" s="46">
        <f>(VLOOKUP($A451,'The List'!$B1:$AH730,24,FALSE)-AVERAGE('The List'!Y2:Y730))/STDEV('The List'!Y2:Y730)</f>
        <v>-0.467795698972765</v>
      </c>
      <c r="M451" s="46">
        <f>(VLOOKUP($A451,'The List'!$B1:$AH730,25,FALSE)-AVERAGE('The List'!Z2:Z730))/STDEV('The List'!Z2:Z730)</f>
        <v>-0.560789044999021</v>
      </c>
      <c r="N451" s="46">
        <f>(VLOOKUP($A451,'The List'!$B1:$AH730,26,FALSE)-AVERAGE('The List'!AA2:AA730))/STDEV('The List'!AA2:AA730)</f>
        <v>-0.22192385804115</v>
      </c>
      <c r="O451" s="46">
        <f>(VLOOKUP($A451,'The List'!$B1:$AH730,27,FALSE)-AVERAGE('The List'!AB2:AB730))/STDEV('The List'!AB2:AB730)</f>
        <v>0.229550880777779</v>
      </c>
      <c r="P451" s="46">
        <f>(VLOOKUP($A451,'The List'!$B1:$AH730,28,FALSE)-AVERAGE('The List'!AC2:AC730))/STDEV('The List'!AC2:AC730)</f>
        <v>-0.192804640938866</v>
      </c>
      <c r="Q451" s="46">
        <f>(VLOOKUP($A451,'The List'!$B1:$AH730,29,FALSE)-AVERAGE('The List'!AD2:AD730))/STDEV('The List'!AD2:AD730)</f>
        <v>-0.217598270963623</v>
      </c>
      <c r="R451" s="46">
        <f>(VLOOKUP($A451,'The List'!$B1:$AH730,30,FALSE)-AVERAGE('The List'!AE2:AE730))/STDEV('The List'!AE2:AE730)</f>
        <v>-0.501405900741699</v>
      </c>
      <c r="S451" s="46">
        <f>(VLOOKUP($A451,'The List'!$B1:$AH730,31,FALSE)-AVERAGE('The List'!AF2:AF730))/STDEV('The List'!AF2:AF730)</f>
        <v>-0.49945000719717</v>
      </c>
      <c r="T451" s="46">
        <f>(VLOOKUP($A451,'The List'!$B1:$AH730,32,FALSE)-AVERAGE('The List'!AG2:AG730))/STDEV('The List'!AG2:AG730)</f>
        <v>-0.436927960506913</v>
      </c>
      <c r="U451" s="46">
        <f>(VLOOKUP($A451,'The List'!$B1:$AH730,33,FALSE)-AVERAGE('The List'!AH2:AH730))/STDEV('The List'!AH2:AH730)</f>
        <v>-0.0198494459435683</v>
      </c>
      <c r="V451" s="46"/>
      <c r="W451" s="50"/>
      <c r="X451" s="48"/>
      <c r="Y451" s="48"/>
      <c r="Z451" s="48"/>
      <c r="AA451" s="48"/>
      <c r="AB451" s="48"/>
      <c r="AC451" s="51"/>
      <c r="AD451" s="52"/>
      <c r="AE451" s="46"/>
    </row>
    <row r="452" ht="21.25" customHeight="1">
      <c r="A452" t="s" s="8">
        <v>743</v>
      </c>
      <c r="B452" t="s" s="42">
        <f>VLOOKUP(A452,'Player Data'!A1:B734,2,FALSE)</f>
        <v>139</v>
      </c>
      <c r="C452" s="44">
        <f>((E452)*'Settings'!$C$12)+(F452*'Settings'!$C$2)+(G452*'Settings'!$C$3)+(H452*'Settings'!$C$4)+(I452*'Settings'!$C$5)+(K452*'Settings'!$C$9)+(N452*'Settings'!$C$6)+(J452*'Settings'!$C$8)+(O452*'Settings'!$C$7)+(P452*'Settings'!$C$14)+(Q452*'Settings'!$C$15)+(R452*'Settings'!$C$16)+(S452*'Settings'!$C$17)+(T452*'Settings'!$C$18)+(U452*'Settings'!$C$19)+(L452*'Settings'!$C$10)+('Settings'!$C$11*M452)</f>
        <v>-3.34341268443929</v>
      </c>
      <c r="D452" s="48">
        <f>IF('Settings'!$E$12="YES",VLOOKUP(A452,'Player Data'!A1:E734,5,FALSE),82)</f>
        <v>75.73</v>
      </c>
      <c r="E452" s="46">
        <f>(VLOOKUP($A452,'The List'!$B1:$AH730,17,FALSE)-AVERAGE('The List'!R2:R730))/STDEV('The List'!R2:R730)</f>
        <v>-1.33440026768136</v>
      </c>
      <c r="F452" s="46">
        <f>(VLOOKUP($A452,'The List'!$B1:$AH730,18,FALSE)-AVERAGE('The List'!S2:S730))/STDEV('The List'!S2:S730)</f>
        <v>-0.505684545682715</v>
      </c>
      <c r="G452" s="46">
        <f>(VLOOKUP($A452,'The List'!$B1:$AH730,19,FALSE)-AVERAGE('The List'!T2:T730))/STDEV('The List'!T2:T730)</f>
        <v>-0.650660136166195</v>
      </c>
      <c r="H452" s="46">
        <f>(VLOOKUP($A452,'The List'!$B1:$AH730,20,FALSE)-AVERAGE('The List'!U2:U730))/STDEV('The List'!U2:U730)</f>
        <v>-0.631220032021658</v>
      </c>
      <c r="I452" s="46">
        <f>(VLOOKUP($A452,'The List'!$B1:$AH730,21,FALSE)-AVERAGE('The List'!V2:V730))/STDEV('The List'!V2:V730)</f>
        <v>-0.463085463043099</v>
      </c>
      <c r="J452" s="46">
        <f>(VLOOKUP($A452,'The List'!$B1:$AH730,22,FALSE)-AVERAGE('The List'!W2:W730))/STDEV('The List'!W2:W730)</f>
        <v>-0.6877981877055021</v>
      </c>
      <c r="K452" s="46">
        <f>(VLOOKUP($A452,'The List'!$B1:$AH730,23,FALSE)-AVERAGE('The List'!X2:X730))/STDEV('The List'!X2:X730)</f>
        <v>-0.777763043248626</v>
      </c>
      <c r="L452" s="46">
        <f>(VLOOKUP($A452,'The List'!$B1:$AH730,24,FALSE)-AVERAGE('The List'!Y2:Y730))/STDEV('The List'!Y2:Y730)</f>
        <v>-0.496151180074348</v>
      </c>
      <c r="M452" s="46">
        <f>(VLOOKUP($A452,'The List'!$B1:$AH730,25,FALSE)-AVERAGE('The List'!Z2:Z730))/STDEV('The List'!Z2:Z730)</f>
        <v>-0.669336662970172</v>
      </c>
      <c r="N452" s="46">
        <f>(VLOOKUP($A452,'The List'!$B1:$AH730,26,FALSE)-AVERAGE('The List'!AA2:AA730))/STDEV('The List'!AA2:AA730)</f>
        <v>-0.571192497637844</v>
      </c>
      <c r="O452" s="46">
        <f>(VLOOKUP($A452,'The List'!$B1:$AH730,27,FALSE)-AVERAGE('The List'!AB2:AB730))/STDEV('The List'!AB2:AB730)</f>
        <v>0.769688804396842</v>
      </c>
      <c r="P452" s="46">
        <f>(VLOOKUP($A452,'The List'!$B1:$AH730,28,FALSE)-AVERAGE('The List'!AC2:AC730))/STDEV('The List'!AC2:AC730)</f>
        <v>-0.375026998660812</v>
      </c>
      <c r="Q452" s="46">
        <f>(VLOOKUP($A452,'The List'!$B1:$AH730,29,FALSE)-AVERAGE('The List'!AD2:AD730))/STDEV('The List'!AD2:AD730)</f>
        <v>0.6965445942434551</v>
      </c>
      <c r="R452" s="46">
        <f>(VLOOKUP($A452,'The List'!$B1:$AH730,30,FALSE)-AVERAGE('The List'!AE2:AE730))/STDEV('The List'!AE2:AE730)</f>
        <v>-0.5264986725781911</v>
      </c>
      <c r="S452" s="46">
        <f>(VLOOKUP($A452,'The List'!$B1:$AH730,31,FALSE)-AVERAGE('The List'!AF2:AF730))/STDEV('The List'!AF2:AF730)</f>
        <v>-0.52304164509194</v>
      </c>
      <c r="T452" s="46">
        <f>(VLOOKUP($A452,'The List'!$B1:$AH730,32,FALSE)-AVERAGE('The List'!AG2:AG730))/STDEV('The List'!AG2:AG730)</f>
        <v>-0.520506646838637</v>
      </c>
      <c r="U452" s="46">
        <f>(VLOOKUP($A452,'The List'!$B1:$AH730,33,FALSE)-AVERAGE('The List'!AH2:AH730))/STDEV('The List'!AH2:AH730)</f>
        <v>0.150814153643034</v>
      </c>
      <c r="V452" s="46"/>
      <c r="W452" s="50"/>
      <c r="X452" s="48"/>
      <c r="Y452" s="48"/>
      <c r="Z452" s="48"/>
      <c r="AA452" s="48"/>
      <c r="AB452" s="48"/>
      <c r="AC452" s="51"/>
      <c r="AD452" s="52"/>
      <c r="AE452" s="46"/>
    </row>
    <row r="453" ht="21.25" customHeight="1">
      <c r="A453" t="s" s="8">
        <v>661</v>
      </c>
      <c r="B453" t="s" s="42">
        <f>VLOOKUP(A453,'Player Data'!A1:B734,2,FALSE)</f>
        <v>234</v>
      </c>
      <c r="C453" s="44">
        <f>((E453)*'Settings'!$C$12)+(F453*'Settings'!$C$2)+(G453*'Settings'!$C$3)+(H453*'Settings'!$C$4)+(I453*'Settings'!$C$5)+(K453*'Settings'!$C$9)+(N453*'Settings'!$C$6)+(J453*'Settings'!$C$8)+(O453*'Settings'!$C$7)+(P453*'Settings'!$C$14)+(Q453*'Settings'!$C$15)+(R453*'Settings'!$C$16)+(S453*'Settings'!$C$17)+(T453*'Settings'!$C$18)+(U453*'Settings'!$C$19)+(L453*'Settings'!$C$10)+('Settings'!$C$11*M453)</f>
        <v>-4.19616417330058</v>
      </c>
      <c r="D453" s="48">
        <f>IF('Settings'!$E$12="YES",VLOOKUP(A453,'Player Data'!A1:E734,5,FALSE),82)</f>
        <v>75.59999999999999</v>
      </c>
      <c r="E453" s="46">
        <f>(VLOOKUP($A453,'The List'!$B1:$AH730,17,FALSE)-AVERAGE('The List'!R2:R730))/STDEV('The List'!R2:R730)</f>
        <v>-0.43409195951637</v>
      </c>
      <c r="F453" s="46">
        <f>(VLOOKUP($A453,'The List'!$B1:$AH730,18,FALSE)-AVERAGE('The List'!S2:S730))/STDEV('The List'!S2:S730)</f>
        <v>-0.560997551366395</v>
      </c>
      <c r="G453" s="46">
        <f>(VLOOKUP($A453,'The List'!$B1:$AH730,19,FALSE)-AVERAGE('The List'!T2:T730))/STDEV('The List'!T2:T730)</f>
        <v>-0.614210654968406</v>
      </c>
      <c r="H453" s="46">
        <f>(VLOOKUP($A453,'The List'!$B1:$AH730,20,FALSE)-AVERAGE('The List'!U2:U730))/STDEV('The List'!U2:U730)</f>
        <v>-0.633917932870529</v>
      </c>
      <c r="I453" s="46">
        <f>(VLOOKUP($A453,'The List'!$B1:$AH730,21,FALSE)-AVERAGE('The List'!V2:V730))/STDEV('The List'!V2:V730)</f>
        <v>-0.0510841145084797</v>
      </c>
      <c r="J453" s="46">
        <f>(VLOOKUP($A453,'The List'!$B1:$AH730,22,FALSE)-AVERAGE('The List'!W2:W730))/STDEV('The List'!W2:W730)</f>
        <v>-0.198579721860152</v>
      </c>
      <c r="K453" s="46">
        <f>(VLOOKUP($A453,'The List'!$B1:$AH730,23,FALSE)-AVERAGE('The List'!X2:X730))/STDEV('The List'!X2:X730)</f>
        <v>-0.321257688768036</v>
      </c>
      <c r="L453" s="46">
        <f>(VLOOKUP($A453,'The List'!$B1:$AH730,24,FALSE)-AVERAGE('The List'!Y2:Y730))/STDEV('The List'!Y2:Y730)</f>
        <v>-0.111241615113968</v>
      </c>
      <c r="M453" s="46">
        <f>(VLOOKUP($A453,'The List'!$B1:$AH730,25,FALSE)-AVERAGE('The List'!Z2:Z730))/STDEV('The List'!Z2:Z730)</f>
        <v>-0.35201425852675</v>
      </c>
      <c r="N453" s="46">
        <f>(VLOOKUP($A453,'The List'!$B1:$AH730,26,FALSE)-AVERAGE('The List'!AA2:AA730))/STDEV('The List'!AA2:AA730)</f>
        <v>-0.31708262123133</v>
      </c>
      <c r="O453" s="46">
        <f>(VLOOKUP($A453,'The List'!$B1:$AH730,27,FALSE)-AVERAGE('The List'!AB2:AB730))/STDEV('The List'!AB2:AB730)</f>
        <v>-1.30986092773444</v>
      </c>
      <c r="P453" s="46">
        <f>(VLOOKUP($A453,'The List'!$B1:$AH730,28,FALSE)-AVERAGE('The List'!AC2:AC730))/STDEV('The List'!AC2:AC730)</f>
        <v>-2.33153154245793</v>
      </c>
      <c r="Q453" s="46">
        <f>(VLOOKUP($A453,'The List'!$B1:$AH730,29,FALSE)-AVERAGE('The List'!AD2:AD730))/STDEV('The List'!AD2:AD730)</f>
        <v>-0.030212090599764</v>
      </c>
      <c r="R453" s="46">
        <f>(VLOOKUP($A453,'The List'!$B1:$AH730,30,FALSE)-AVERAGE('The List'!AE2:AE730))/STDEV('The List'!AE2:AE730)</f>
        <v>-0.726276474827011</v>
      </c>
      <c r="S453" s="46">
        <f>(VLOOKUP($A453,'The List'!$B1:$AH730,31,FALSE)-AVERAGE('The List'!AF2:AF730))/STDEV('The List'!AF2:AF730)</f>
        <v>-0.480448392972365</v>
      </c>
      <c r="T453" s="46">
        <f>(VLOOKUP($A453,'The List'!$B1:$AH730,32,FALSE)-AVERAGE('The List'!AG2:AG730))/STDEV('The List'!AG2:AG730)</f>
        <v>-0.454286234934329</v>
      </c>
      <c r="U453" s="46">
        <f>(VLOOKUP($A453,'The List'!$B1:$AH730,33,FALSE)-AVERAGE('The List'!AH2:AH730))/STDEV('The List'!AH2:AH730)</f>
        <v>0.363720215215868</v>
      </c>
      <c r="V453" s="46"/>
      <c r="W453" s="50"/>
      <c r="X453" s="48"/>
      <c r="Y453" s="48"/>
      <c r="Z453" s="48"/>
      <c r="AA453" s="48"/>
      <c r="AB453" s="48"/>
      <c r="AC453" s="51"/>
      <c r="AD453" s="52"/>
      <c r="AE453" s="46"/>
    </row>
    <row r="454" ht="21.25" customHeight="1">
      <c r="A454" t="s" s="8">
        <v>748</v>
      </c>
      <c r="B454" t="s" s="42">
        <f>VLOOKUP(A454,'Player Data'!A1:B734,2,FALSE)</f>
        <v>166</v>
      </c>
      <c r="C454" s="44">
        <f>((E454)*'Settings'!$C$12)+(F454*'Settings'!$C$2)+(G454*'Settings'!$C$3)+(H454*'Settings'!$C$4)+(I454*'Settings'!$C$5)+(K454*'Settings'!$C$9)+(N454*'Settings'!$C$6)+(J454*'Settings'!$C$8)+(O454*'Settings'!$C$7)+(P454*'Settings'!$C$14)+(Q454*'Settings'!$C$15)+(R454*'Settings'!$C$16)+(S454*'Settings'!$C$17)+(T454*'Settings'!$C$18)+(U454*'Settings'!$C$19)+(L454*'Settings'!$C$10)+('Settings'!$C$11*M454)</f>
        <v>-4.19118231145993</v>
      </c>
      <c r="D454" s="48">
        <f>IF('Settings'!$E$12="YES",VLOOKUP(A454,'Player Data'!A1:E734,5,FALSE),82)</f>
        <v>74.90392857142859</v>
      </c>
      <c r="E454" s="46">
        <f>(VLOOKUP($A454,'The List'!$B1:$AH730,17,FALSE)-AVERAGE('The List'!R2:R730))/STDEV('The List'!R2:R730)</f>
        <v>-1.29559477353646</v>
      </c>
      <c r="F454" s="46">
        <f>(VLOOKUP($A454,'The List'!$B1:$AH730,18,FALSE)-AVERAGE('The List'!S2:S730))/STDEV('The List'!S2:S730)</f>
        <v>-0.466267908655684</v>
      </c>
      <c r="G454" s="46">
        <f>(VLOOKUP($A454,'The List'!$B1:$AH730,19,FALSE)-AVERAGE('The List'!T2:T730))/STDEV('The List'!T2:T730)</f>
        <v>-0.69889983072394</v>
      </c>
      <c r="H454" s="46">
        <f>(VLOOKUP($A454,'The List'!$B1:$AH730,20,FALSE)-AVERAGE('The List'!U2:U730))/STDEV('The List'!U2:U730)</f>
        <v>-0.643023809293982</v>
      </c>
      <c r="I454" s="46">
        <f>(VLOOKUP($A454,'The List'!$B1:$AH730,21,FALSE)-AVERAGE('The List'!V2:V730))/STDEV('The List'!V2:V730)</f>
        <v>-0.590733979959602</v>
      </c>
      <c r="J454" s="46">
        <f>(VLOOKUP($A454,'The List'!$B1:$AH730,22,FALSE)-AVERAGE('The List'!W2:W730))/STDEV('The List'!W2:W730)</f>
        <v>-0.7076948099183969</v>
      </c>
      <c r="K454" s="46">
        <f>(VLOOKUP($A454,'The List'!$B1:$AH730,23,FALSE)-AVERAGE('The List'!X2:X730))/STDEV('The List'!X2:X730)</f>
        <v>-0.797434035060621</v>
      </c>
      <c r="L454" s="46">
        <f>(VLOOKUP($A454,'The List'!$B1:$AH730,24,FALSE)-AVERAGE('The List'!Y2:Y730))/STDEV('The List'!Y2:Y730)</f>
        <v>-0.209233473964707</v>
      </c>
      <c r="M454" s="46">
        <f>(VLOOKUP($A454,'The List'!$B1:$AH730,25,FALSE)-AVERAGE('The List'!Z2:Z730))/STDEV('The List'!Z2:Z730)</f>
        <v>-0.345275413717799</v>
      </c>
      <c r="N454" s="46">
        <f>(VLOOKUP($A454,'The List'!$B1:$AH730,26,FALSE)-AVERAGE('The List'!AA2:AA730))/STDEV('The List'!AA2:AA730)</f>
        <v>-1.00291840658518</v>
      </c>
      <c r="O454" s="46">
        <f>(VLOOKUP($A454,'The List'!$B1:$AH730,27,FALSE)-AVERAGE('The List'!AB2:AB730))/STDEV('The List'!AB2:AB730)</f>
        <v>1.33470533477599</v>
      </c>
      <c r="P454" s="46">
        <f>(VLOOKUP($A454,'The List'!$B1:$AH730,28,FALSE)-AVERAGE('The List'!AC2:AC730))/STDEV('The List'!AC2:AC730)</f>
        <v>-0.6349281504749</v>
      </c>
      <c r="Q454" s="46">
        <f>(VLOOKUP($A454,'The List'!$B1:$AH730,29,FALSE)-AVERAGE('The List'!AD2:AD730))/STDEV('The List'!AD2:AD730)</f>
        <v>1.29135895409117</v>
      </c>
      <c r="R454" s="46">
        <f>(VLOOKUP($A454,'The List'!$B1:$AH730,30,FALSE)-AVERAGE('The List'!AE2:AE730))/STDEV('The List'!AE2:AE730)</f>
        <v>-0.520715504043137</v>
      </c>
      <c r="S454" s="46">
        <f>(VLOOKUP($A454,'The List'!$B1:$AH730,31,FALSE)-AVERAGE('The List'!AF2:AF730))/STDEV('The List'!AF2:AF730)</f>
        <v>-0.524754654587443</v>
      </c>
      <c r="T454" s="46">
        <f>(VLOOKUP($A454,'The List'!$B1:$AH730,32,FALSE)-AVERAGE('The List'!AG2:AG730))/STDEV('The List'!AG2:AG730)</f>
        <v>-0.5441804459195489</v>
      </c>
      <c r="U454" s="46">
        <f>(VLOOKUP($A454,'The List'!$B1:$AH730,33,FALSE)-AVERAGE('The List'!AH2:AH730))/STDEV('The List'!AH2:AH730)</f>
        <v>0.451403300332106</v>
      </c>
      <c r="V454" s="46"/>
      <c r="W454" s="50"/>
      <c r="X454" s="48"/>
      <c r="Y454" s="48"/>
      <c r="Z454" s="48"/>
      <c r="AA454" s="48"/>
      <c r="AB454" s="48"/>
      <c r="AC454" s="51"/>
      <c r="AD454" s="52"/>
      <c r="AE454" s="46"/>
    </row>
    <row r="455" ht="21.25" customHeight="1">
      <c r="A455" t="s" s="8">
        <v>456</v>
      </c>
      <c r="B455" t="s" s="42">
        <f>VLOOKUP(A455,'Player Data'!A1:B734,2,FALSE)</f>
        <v>164</v>
      </c>
      <c r="C455" s="44">
        <f>((E455)*'Settings'!$C$12)+(F455*'Settings'!$C$2)+(G455*'Settings'!$C$3)+(H455*'Settings'!$C$4)+(I455*'Settings'!$C$5)+(K455*'Settings'!$C$9)+(N455*'Settings'!$C$6)+(J455*'Settings'!$C$8)+(O455*'Settings'!$C$7)+(P455*'Settings'!$C$14)+(Q455*'Settings'!$C$15)+(R455*'Settings'!$C$16)+(S455*'Settings'!$C$17)+(T455*'Settings'!$C$18)+(U455*'Settings'!$C$19)+(L455*'Settings'!$C$10)+('Settings'!$C$11*M455)</f>
        <v>-0.5785603217367939</v>
      </c>
      <c r="D455" s="48">
        <f>IF('Settings'!$E$12="YES",VLOOKUP(A455,'Player Data'!A1:E734,5,FALSE),82)</f>
        <v>79.0971428571429</v>
      </c>
      <c r="E455" s="46">
        <f>(VLOOKUP($A455,'The List'!$B1:$AH730,17,FALSE)-AVERAGE('The List'!R2:R730))/STDEV('The List'!R2:R730)</f>
        <v>0.354747888236653</v>
      </c>
      <c r="F455" s="46">
        <f>(VLOOKUP($A455,'The List'!$B1:$AH730,18,FALSE)-AVERAGE('The List'!S2:S730))/STDEV('The List'!S2:S730)</f>
        <v>-0.782933096918754</v>
      </c>
      <c r="G455" s="46">
        <f>(VLOOKUP($A455,'The List'!$B1:$AH730,19,FALSE)-AVERAGE('The List'!T2:T730))/STDEV('The List'!T2:T730)</f>
        <v>-0.383583923014317</v>
      </c>
      <c r="H455" s="46">
        <f>(VLOOKUP($A455,'The List'!$B1:$AH730,20,FALSE)-AVERAGE('The List'!U2:U730))/STDEV('The List'!U2:U730)</f>
        <v>-0.592724708203177</v>
      </c>
      <c r="I455" s="46">
        <f>(VLOOKUP($A455,'The List'!$B1:$AH730,21,FALSE)-AVERAGE('The List'!V2:V730))/STDEV('The List'!V2:V730)</f>
        <v>-0.421765517377873</v>
      </c>
      <c r="J455" s="46">
        <f>(VLOOKUP($A455,'The List'!$B1:$AH730,22,FALSE)-AVERAGE('The List'!W2:W730))/STDEV('The List'!W2:W730)</f>
        <v>-0.411689214317197</v>
      </c>
      <c r="K455" s="46">
        <f>(VLOOKUP($A455,'The List'!$B1:$AH730,23,FALSE)-AVERAGE('The List'!X2:X730))/STDEV('The List'!X2:X730)</f>
        <v>-0.266478439333292</v>
      </c>
      <c r="L455" s="46">
        <f>(VLOOKUP($A455,'The List'!$B1:$AH730,24,FALSE)-AVERAGE('The List'!Y2:Y730))/STDEV('The List'!Y2:Y730)</f>
        <v>-0.510518085886393</v>
      </c>
      <c r="M455" s="46">
        <f>(VLOOKUP($A455,'The List'!$B1:$AH730,25,FALSE)-AVERAGE('The List'!Z2:Z730))/STDEV('The List'!Z2:Z730)</f>
        <v>-0.471811980832342</v>
      </c>
      <c r="N455" s="46">
        <f>(VLOOKUP($A455,'The List'!$B1:$AH730,26,FALSE)-AVERAGE('The List'!AA2:AA730))/STDEV('The List'!AA2:AA730)</f>
        <v>0.879237443478994</v>
      </c>
      <c r="O455" s="46">
        <f>(VLOOKUP($A455,'The List'!$B1:$AH730,27,FALSE)-AVERAGE('The List'!AB2:AB730))/STDEV('The List'!AB2:AB730)</f>
        <v>-0.698800415740307</v>
      </c>
      <c r="P455" s="46">
        <f>(VLOOKUP($A455,'The List'!$B1:$AH730,28,FALSE)-AVERAGE('The List'!AC2:AC730))/STDEV('The List'!AC2:AC730)</f>
        <v>0.396963211428448</v>
      </c>
      <c r="Q455" s="46">
        <f>(VLOOKUP($A455,'The List'!$B1:$AH730,29,FALSE)-AVERAGE('The List'!AD2:AD730))/STDEV('The List'!AD2:AD730)</f>
        <v>-1.33543115685831</v>
      </c>
      <c r="R455" s="46">
        <f>(VLOOKUP($A455,'The List'!$B1:$AH730,30,FALSE)-AVERAGE('The List'!AE2:AE730))/STDEV('The List'!AE2:AE730)</f>
        <v>-0.664110248234837</v>
      </c>
      <c r="S455" s="46">
        <f>(VLOOKUP($A455,'The List'!$B1:$AH730,31,FALSE)-AVERAGE('The List'!AF2:AF730))/STDEV('The List'!AF2:AF730)</f>
        <v>-0.5569063253591</v>
      </c>
      <c r="T455" s="46">
        <f>(VLOOKUP($A455,'The List'!$B1:$AH730,32,FALSE)-AVERAGE('The List'!AG2:AG730))/STDEV('The List'!AG2:AG730)</f>
        <v>-0.600856269042678</v>
      </c>
      <c r="U455" s="46">
        <f>(VLOOKUP($A455,'The List'!$B1:$AH730,33,FALSE)-AVERAGE('The List'!AH2:AH730))/STDEV('The List'!AH2:AH730)</f>
        <v>-1.2363238714826</v>
      </c>
      <c r="V455" s="46"/>
      <c r="W455" s="48"/>
      <c r="X455" s="46"/>
      <c r="Y455" s="46"/>
      <c r="Z455" s="46"/>
      <c r="AA455" s="46"/>
      <c r="AB455" s="46"/>
      <c r="AC455" s="46"/>
      <c r="AD455" s="46"/>
      <c r="AE455" s="46"/>
    </row>
    <row r="456" ht="21.25" customHeight="1">
      <c r="A456" t="s" s="8">
        <v>685</v>
      </c>
      <c r="B456" t="s" s="42">
        <f>VLOOKUP(A456,'Player Data'!A1:B734,2,FALSE)</f>
        <v>225</v>
      </c>
      <c r="C456" s="44">
        <f>((E456)*'Settings'!$C$12)+(F456*'Settings'!$C$2)+(G456*'Settings'!$C$3)+(H456*'Settings'!$C$4)+(I456*'Settings'!$C$5)+(K456*'Settings'!$C$9)+(N456*'Settings'!$C$6)+(J456*'Settings'!$C$8)+(O456*'Settings'!$C$7)+(P456*'Settings'!$C$14)+(Q456*'Settings'!$C$15)+(R456*'Settings'!$C$16)+(S456*'Settings'!$C$17)+(T456*'Settings'!$C$18)+(U456*'Settings'!$C$19)+(L456*'Settings'!$C$10)+('Settings'!$C$11*M456)</f>
        <v>-3.92890765677454</v>
      </c>
      <c r="D456" s="48">
        <f>IF('Settings'!$E$12="YES",VLOOKUP(A456,'Player Data'!A1:E734,5,FALSE),82)</f>
        <v>80.8275</v>
      </c>
      <c r="E456" s="46">
        <f>(VLOOKUP($A456,'The List'!$B1:$AH730,17,FALSE)-AVERAGE('The List'!R2:R730))/STDEV('The List'!R2:R730)</f>
        <v>-1.21423450249918</v>
      </c>
      <c r="F456" s="46">
        <f>(VLOOKUP($A456,'The List'!$B1:$AH730,18,FALSE)-AVERAGE('The List'!S2:S730))/STDEV('The List'!S2:S730)</f>
        <v>-0.290701510768791</v>
      </c>
      <c r="G456" s="46">
        <f>(VLOOKUP($A456,'The List'!$B1:$AH730,19,FALSE)-AVERAGE('The List'!T2:T730))/STDEV('The List'!T2:T730)</f>
        <v>-0.719418591417513</v>
      </c>
      <c r="H456" s="46">
        <f>(VLOOKUP($A456,'The List'!$B1:$AH730,20,FALSE)-AVERAGE('The List'!U2:U730))/STDEV('The List'!U2:U730)</f>
        <v>-0.575787123424234</v>
      </c>
      <c r="I456" s="46">
        <f>(VLOOKUP($A456,'The List'!$B1:$AH730,21,FALSE)-AVERAGE('The List'!V2:V730))/STDEV('The List'!V2:V730)</f>
        <v>-0.29930648330515</v>
      </c>
      <c r="J456" s="46">
        <f>(VLOOKUP($A456,'The List'!$B1:$AH730,22,FALSE)-AVERAGE('The List'!W2:W730))/STDEV('The List'!W2:W730)</f>
        <v>-0.127481306927272</v>
      </c>
      <c r="K456" s="46">
        <f>(VLOOKUP($A456,'The List'!$B1:$AH730,23,FALSE)-AVERAGE('The List'!X2:X730))/STDEV('The List'!X2:X730)</f>
        <v>-0.333695526219388</v>
      </c>
      <c r="L456" s="46">
        <f>(VLOOKUP($A456,'The List'!$B1:$AH730,24,FALSE)-AVERAGE('The List'!Y2:Y730))/STDEV('The List'!Y2:Y730)</f>
        <v>-0.540389646649727</v>
      </c>
      <c r="M456" s="46">
        <f>(VLOOKUP($A456,'The List'!$B1:$AH730,25,FALSE)-AVERAGE('The List'!Z2:Z730))/STDEV('The List'!Z2:Z730)</f>
        <v>-0.718993572658481</v>
      </c>
      <c r="N456" s="46">
        <f>(VLOOKUP($A456,'The List'!$B1:$AH730,26,FALSE)-AVERAGE('The List'!AA2:AA730))/STDEV('The List'!AA2:AA730)</f>
        <v>-0.791950250677848</v>
      </c>
      <c r="O456" s="46">
        <f>(VLOOKUP($A456,'The List'!$B1:$AH730,27,FALSE)-AVERAGE('The List'!AB2:AB730))/STDEV('The List'!AB2:AB730)</f>
        <v>-0.443395828837178</v>
      </c>
      <c r="P456" s="46">
        <f>(VLOOKUP($A456,'The List'!$B1:$AH730,28,FALSE)-AVERAGE('The List'!AC2:AC730))/STDEV('The List'!AC2:AC730)</f>
        <v>-1.49383529438585</v>
      </c>
      <c r="Q456" s="46">
        <f>(VLOOKUP($A456,'The List'!$B1:$AH730,29,FALSE)-AVERAGE('The List'!AD2:AD730))/STDEV('The List'!AD2:AD730)</f>
        <v>1.52362957886571</v>
      </c>
      <c r="R456" s="46">
        <f>(VLOOKUP($A456,'The List'!$B1:$AH730,30,FALSE)-AVERAGE('The List'!AE2:AE730))/STDEV('The List'!AE2:AE730)</f>
        <v>-0.418273171464699</v>
      </c>
      <c r="S456" s="46">
        <f>(VLOOKUP($A456,'The List'!$B1:$AH730,31,FALSE)-AVERAGE('The List'!AF2:AF730))/STDEV('The List'!AF2:AF730)</f>
        <v>-0.5553681100261511</v>
      </c>
      <c r="T456" s="46">
        <f>(VLOOKUP($A456,'The List'!$B1:$AH730,32,FALSE)-AVERAGE('The List'!AG2:AG730))/STDEV('The List'!AG2:AG730)</f>
        <v>-0.594546824346014</v>
      </c>
      <c r="U456" s="46">
        <f>(VLOOKUP($A456,'The List'!$B1:$AH730,33,FALSE)-AVERAGE('The List'!AH2:AH730))/STDEV('The List'!AH2:AH730)</f>
        <v>-0.314599123953535</v>
      </c>
      <c r="V456" s="46"/>
      <c r="W456" s="50"/>
      <c r="X456" s="48"/>
      <c r="Y456" s="48"/>
      <c r="Z456" s="48"/>
      <c r="AA456" s="48"/>
      <c r="AB456" s="48"/>
      <c r="AC456" s="51"/>
      <c r="AD456" s="52"/>
      <c r="AE456" s="46"/>
    </row>
    <row r="457" ht="21.25" customHeight="1">
      <c r="A457" t="s" s="8">
        <v>432</v>
      </c>
      <c r="B457" t="s" s="42">
        <f>VLOOKUP(A457,'Player Data'!A1:B734,2,FALSE)</f>
        <v>136</v>
      </c>
      <c r="C457" s="44">
        <f>((E457)*'Settings'!$C$12)+(F457*'Settings'!$C$2)+(G457*'Settings'!$C$3)+(H457*'Settings'!$C$4)+(I457*'Settings'!$C$5)+(K457*'Settings'!$C$9)+(N457*'Settings'!$C$6)+(J457*'Settings'!$C$8)+(O457*'Settings'!$C$7)+(P457*'Settings'!$C$14)+(Q457*'Settings'!$C$15)+(R457*'Settings'!$C$16)+(S457*'Settings'!$C$17)+(T457*'Settings'!$C$18)+(U457*'Settings'!$C$19)+(L457*'Settings'!$C$10)+('Settings'!$C$11*M457)</f>
        <v>1.50407297652822</v>
      </c>
      <c r="D457" s="48">
        <f>IF('Settings'!$E$12="YES",VLOOKUP(A457,'Player Data'!A1:E734,5,FALSE),82)</f>
        <v>81.205</v>
      </c>
      <c r="E457" s="46">
        <f>(VLOOKUP($A457,'The List'!$B1:$AH730,17,FALSE)-AVERAGE('The List'!R2:R730))/STDEV('The List'!R2:R730)</f>
        <v>1.17343174512185</v>
      </c>
      <c r="F457" s="46">
        <f>(VLOOKUP($A457,'The List'!$B1:$AH730,18,FALSE)-AVERAGE('The List'!S2:S730))/STDEV('The List'!S2:S730)</f>
        <v>-0.716165169673787</v>
      </c>
      <c r="G457" s="46">
        <f>(VLOOKUP($A457,'The List'!$B1:$AH730,19,FALSE)-AVERAGE('The List'!T2:T730))/STDEV('The List'!T2:T730)</f>
        <v>-0.409150456750049</v>
      </c>
      <c r="H457" s="46">
        <f>(VLOOKUP($A457,'The List'!$B1:$AH730,20,FALSE)-AVERAGE('The List'!U2:U730))/STDEV('The List'!U2:U730)</f>
        <v>-0.578105394239057</v>
      </c>
      <c r="I457" s="46">
        <f>(VLOOKUP($A457,'The List'!$B1:$AH730,21,FALSE)-AVERAGE('The List'!V2:V730))/STDEV('The List'!V2:V730)</f>
        <v>-0.147195896843506</v>
      </c>
      <c r="J457" s="46">
        <f>(VLOOKUP($A457,'The List'!$B1:$AH730,22,FALSE)-AVERAGE('The List'!W2:W730))/STDEV('The List'!W2:W730)</f>
        <v>-0.711552322199556</v>
      </c>
      <c r="K457" s="46">
        <f>(VLOOKUP($A457,'The List'!$B1:$AH730,23,FALSE)-AVERAGE('The List'!X2:X730))/STDEV('The List'!X2:X730)</f>
        <v>-0.787340750701356</v>
      </c>
      <c r="L457" s="46">
        <f>(VLOOKUP($A457,'The List'!$B1:$AH730,24,FALSE)-AVERAGE('The List'!Y2:Y730))/STDEV('The List'!Y2:Y730)</f>
        <v>0.371511310715038</v>
      </c>
      <c r="M457" s="46">
        <f>(VLOOKUP($A457,'The List'!$B1:$AH730,25,FALSE)-AVERAGE('The List'!Z2:Z730))/STDEV('The List'!Z2:Z730)</f>
        <v>1.82844023297493</v>
      </c>
      <c r="N457" s="46">
        <f>(VLOOKUP($A457,'The List'!$B1:$AH730,26,FALSE)-AVERAGE('The List'!AA2:AA730))/STDEV('The List'!AA2:AA730)</f>
        <v>2.38414492878208</v>
      </c>
      <c r="O457" s="46">
        <f>(VLOOKUP($A457,'The List'!$B1:$AH730,27,FALSE)-AVERAGE('The List'!AB2:AB730))/STDEV('The List'!AB2:AB730)</f>
        <v>0.318079170524783</v>
      </c>
      <c r="P457" s="46">
        <f>(VLOOKUP($A457,'The List'!$B1:$AH730,28,FALSE)-AVERAGE('The List'!AC2:AC730))/STDEV('The List'!AC2:AC730)</f>
        <v>1.17978032171484</v>
      </c>
      <c r="Q457" s="46">
        <f>(VLOOKUP($A457,'The List'!$B1:$AH730,29,FALSE)-AVERAGE('The List'!AD2:AD730))/STDEV('The List'!AD2:AD730)</f>
        <v>-0.942443865316838</v>
      </c>
      <c r="R457" s="46">
        <f>(VLOOKUP($A457,'The List'!$B1:$AH730,30,FALSE)-AVERAGE('The List'!AE2:AE730))/STDEV('The List'!AE2:AE730)</f>
        <v>-0.581290819856908</v>
      </c>
      <c r="S457" s="46">
        <f>(VLOOKUP($A457,'The List'!$B1:$AH730,31,FALSE)-AVERAGE('The List'!AF2:AF730))/STDEV('The List'!AF2:AF730)</f>
        <v>-0.5569063253591</v>
      </c>
      <c r="T457" s="46">
        <f>(VLOOKUP($A457,'The List'!$B1:$AH730,32,FALSE)-AVERAGE('The List'!AG2:AG730))/STDEV('The List'!AG2:AG730)</f>
        <v>-0.600050881914338</v>
      </c>
      <c r="U457" s="46">
        <f>(VLOOKUP($A457,'The List'!$B1:$AH730,33,FALSE)-AVERAGE('The List'!AH2:AH730))/STDEV('The List'!AH2:AH730)</f>
        <v>-1.2363238714826</v>
      </c>
      <c r="V457" s="46"/>
      <c r="W457" s="48"/>
      <c r="X457" s="48"/>
      <c r="Y457" s="48"/>
      <c r="Z457" s="48"/>
      <c r="AA457" s="48"/>
      <c r="AB457" s="48"/>
      <c r="AC457" s="51"/>
      <c r="AD457" s="52"/>
      <c r="AE457" s="46"/>
    </row>
    <row r="458" ht="21.25" customHeight="1">
      <c r="A458" t="s" s="8">
        <v>427</v>
      </c>
      <c r="B458" t="s" s="42">
        <f>VLOOKUP(A458,'Player Data'!A1:B734,2,FALSE)</f>
        <v>184</v>
      </c>
      <c r="C458" s="44">
        <f>((E458)*'Settings'!$C$12)+(F458*'Settings'!$C$2)+(G458*'Settings'!$C$3)+(H458*'Settings'!$C$4)+(I458*'Settings'!$C$5)+(K458*'Settings'!$C$9)+(N458*'Settings'!$C$6)+(J458*'Settings'!$C$8)+(O458*'Settings'!$C$7)+(P458*'Settings'!$C$14)+(Q458*'Settings'!$C$15)+(R458*'Settings'!$C$16)+(S458*'Settings'!$C$17)+(T458*'Settings'!$C$18)+(U458*'Settings'!$C$19)+(L458*'Settings'!$C$10)+('Settings'!$C$11*M458)</f>
        <v>-0.205389617736501</v>
      </c>
      <c r="D458" s="48">
        <f>IF('Settings'!$E$12="YES",VLOOKUP(A458,'Player Data'!A1:E734,5,FALSE),82)</f>
        <v>69.7092857142857</v>
      </c>
      <c r="E458" s="46">
        <f>(VLOOKUP($A458,'The List'!$B1:$AH730,17,FALSE)-AVERAGE('The List'!R2:R730))/STDEV('The List'!R2:R730)</f>
        <v>0.9838591667921029</v>
      </c>
      <c r="F458" s="46">
        <f>(VLOOKUP($A458,'The List'!$B1:$AH730,18,FALSE)-AVERAGE('The List'!S2:S730))/STDEV('The List'!S2:S730)</f>
        <v>-0.563516856664624</v>
      </c>
      <c r="G458" s="46">
        <f>(VLOOKUP($A458,'The List'!$B1:$AH730,19,FALSE)-AVERAGE('The List'!T2:T730))/STDEV('The List'!T2:T730)</f>
        <v>-0.757117988939663</v>
      </c>
      <c r="H458" s="46">
        <f>(VLOOKUP($A458,'The List'!$B1:$AH730,20,FALSE)-AVERAGE('The List'!U2:U730))/STDEV('The List'!U2:U730)</f>
        <v>-0.723164760372929</v>
      </c>
      <c r="I458" s="46">
        <f>(VLOOKUP($A458,'The List'!$B1:$AH730,21,FALSE)-AVERAGE('The List'!V2:V730))/STDEV('The List'!V2:V730)</f>
        <v>0.305954870159828</v>
      </c>
      <c r="J458" s="46">
        <f>(VLOOKUP($A458,'The List'!$B1:$AH730,22,FALSE)-AVERAGE('The List'!W2:W730))/STDEV('The List'!W2:W730)</f>
        <v>-0.693106228395505</v>
      </c>
      <c r="K458" s="46">
        <f>(VLOOKUP($A458,'The List'!$B1:$AH730,23,FALSE)-AVERAGE('The List'!X2:X730))/STDEV('The List'!X2:X730)</f>
        <v>-0.676200806210386</v>
      </c>
      <c r="L458" s="46">
        <f>(VLOOKUP($A458,'The List'!$B1:$AH730,24,FALSE)-AVERAGE('The List'!Y2:Y730))/STDEV('The List'!Y2:Y730)</f>
        <v>-0.468664313459029</v>
      </c>
      <c r="M458" s="46">
        <f>(VLOOKUP($A458,'The List'!$B1:$AH730,25,FALSE)-AVERAGE('The List'!Z2:Z730))/STDEV('The List'!Z2:Z730)</f>
        <v>-0.5461985057612549</v>
      </c>
      <c r="N458" s="46">
        <f>(VLOOKUP($A458,'The List'!$B1:$AH730,26,FALSE)-AVERAGE('The List'!AA2:AA730))/STDEV('The List'!AA2:AA730)</f>
        <v>1.79072636885063</v>
      </c>
      <c r="O458" s="46">
        <f>(VLOOKUP($A458,'The List'!$B1:$AH730,27,FALSE)-AVERAGE('The List'!AB2:AB730))/STDEV('The List'!AB2:AB730)</f>
        <v>-0.317840258017282</v>
      </c>
      <c r="P458" s="46">
        <f>(VLOOKUP($A458,'The List'!$B1:$AH730,28,FALSE)-AVERAGE('The List'!AC2:AC730))/STDEV('The List'!AC2:AC730)</f>
        <v>-0.305235204932286</v>
      </c>
      <c r="Q458" s="46">
        <f>(VLOOKUP($A458,'The List'!$B1:$AH730,29,FALSE)-AVERAGE('The List'!AD2:AD730))/STDEV('The List'!AD2:AD730)</f>
        <v>0.593151273463838</v>
      </c>
      <c r="R458" s="46">
        <f>(VLOOKUP($A458,'The List'!$B1:$AH730,30,FALSE)-AVERAGE('The List'!AE2:AE730))/STDEV('The List'!AE2:AE730)</f>
        <v>-0.554112218876714</v>
      </c>
      <c r="S458" s="46">
        <f>(VLOOKUP($A458,'The List'!$B1:$AH730,31,FALSE)-AVERAGE('The List'!AF2:AF730))/STDEV('The List'!AF2:AF730)</f>
        <v>-0.5569063253591</v>
      </c>
      <c r="T458" s="46">
        <f>(VLOOKUP($A458,'The List'!$B1:$AH730,32,FALSE)-AVERAGE('The List'!AG2:AG730))/STDEV('The List'!AG2:AG730)</f>
        <v>-0.600856269042678</v>
      </c>
      <c r="U458" s="46">
        <f>(VLOOKUP($A458,'The List'!$B1:$AH730,33,FALSE)-AVERAGE('The List'!AH2:AH730))/STDEV('The List'!AH2:AH730)</f>
        <v>-1.2363238714826</v>
      </c>
      <c r="V458" s="46"/>
      <c r="W458" s="48"/>
      <c r="X458" s="46"/>
      <c r="Y458" s="46"/>
      <c r="Z458" s="46"/>
      <c r="AA458" s="46"/>
      <c r="AB458" s="46"/>
      <c r="AC458" s="46"/>
      <c r="AD458" s="46"/>
      <c r="AE458" s="46"/>
    </row>
    <row r="459" ht="21.25" customHeight="1">
      <c r="A459" t="s" s="8">
        <v>757</v>
      </c>
      <c r="B459" t="s" s="42">
        <f>VLOOKUP(A459,'Player Data'!A1:B734,2,FALSE)</f>
        <v>218</v>
      </c>
      <c r="C459" s="44">
        <f>((E459)*'Settings'!$C$12)+(F459*'Settings'!$C$2)+(G459*'Settings'!$C$3)+(H459*'Settings'!$C$4)+(I459*'Settings'!$C$5)+(K459*'Settings'!$C$9)+(N459*'Settings'!$C$6)+(J459*'Settings'!$C$8)+(O459*'Settings'!$C$7)+(P459*'Settings'!$C$14)+(Q459*'Settings'!$C$15)+(R459*'Settings'!$C$16)+(S459*'Settings'!$C$17)+(T459*'Settings'!$C$18)+(U459*'Settings'!$C$19)+(L459*'Settings'!$C$10)+('Settings'!$C$11*M459)</f>
        <v>-2.45841037014272</v>
      </c>
      <c r="D459" s="48">
        <f>IF('Settings'!$E$12="YES",VLOOKUP(A459,'Player Data'!A1:E734,5,FALSE),82)</f>
        <v>78.1653571428571</v>
      </c>
      <c r="E459" s="46">
        <f>(VLOOKUP($A459,'The List'!$B1:$AH730,17,FALSE)-AVERAGE('The List'!R2:R730))/STDEV('The List'!R2:R730)</f>
        <v>-1.34095338043923</v>
      </c>
      <c r="F459" s="46">
        <f>(VLOOKUP($A459,'The List'!$B1:$AH730,18,FALSE)-AVERAGE('The List'!S2:S730))/STDEV('The List'!S2:S730)</f>
        <v>-0.53632779671206</v>
      </c>
      <c r="G459" s="46">
        <f>(VLOOKUP($A459,'The List'!$B1:$AH730,19,FALSE)-AVERAGE('The List'!T2:T730))/STDEV('The List'!T2:T730)</f>
        <v>-0.606497609216411</v>
      </c>
      <c r="H459" s="46">
        <f>(VLOOKUP($A459,'The List'!$B1:$AH730,20,FALSE)-AVERAGE('The List'!U2:U730))/STDEV('The List'!U2:U730)</f>
        <v>-0.617937708405322</v>
      </c>
      <c r="I459" s="46">
        <f>(VLOOKUP($A459,'The List'!$B1:$AH730,21,FALSE)-AVERAGE('The List'!V2:V730))/STDEV('The List'!V2:V730)</f>
        <v>-0.913327871146946</v>
      </c>
      <c r="J459" s="46">
        <f>(VLOOKUP($A459,'The List'!$B1:$AH730,22,FALSE)-AVERAGE('The List'!W2:W730))/STDEV('The List'!W2:W730)</f>
        <v>-0.702753110175243</v>
      </c>
      <c r="K459" s="46">
        <f>(VLOOKUP($A459,'The List'!$B1:$AH730,23,FALSE)-AVERAGE('The List'!X2:X730))/STDEV('The List'!X2:X730)</f>
        <v>-0.795099136205656</v>
      </c>
      <c r="L459" s="46">
        <f>(VLOOKUP($A459,'The List'!$B1:$AH730,24,FALSE)-AVERAGE('The List'!Y2:Y730))/STDEV('The List'!Y2:Y730)</f>
        <v>-0.362554784799792</v>
      </c>
      <c r="M459" s="46">
        <f>(VLOOKUP($A459,'The List'!$B1:$AH730,25,FALSE)-AVERAGE('The List'!Z2:Z730))/STDEV('The List'!Z2:Z730)</f>
        <v>-0.5856293420641649</v>
      </c>
      <c r="N459" s="46">
        <f>(VLOOKUP($A459,'The List'!$B1:$AH730,26,FALSE)-AVERAGE('The List'!AA2:AA730))/STDEV('The List'!AA2:AA730)</f>
        <v>-0.602782713453942</v>
      </c>
      <c r="O459" s="46">
        <f>(VLOOKUP($A459,'The List'!$B1:$AH730,27,FALSE)-AVERAGE('The List'!AB2:AB730))/STDEV('The List'!AB2:AB730)</f>
        <v>3.44746362985279</v>
      </c>
      <c r="P459" s="46">
        <f>(VLOOKUP($A459,'The List'!$B1:$AH730,28,FALSE)-AVERAGE('The List'!AC2:AC730))/STDEV('The List'!AC2:AC730)</f>
        <v>0.995624756592299</v>
      </c>
      <c r="Q459" s="46">
        <f>(VLOOKUP($A459,'The List'!$B1:$AH730,29,FALSE)-AVERAGE('The List'!AD2:AD730))/STDEV('The List'!AD2:AD730)</f>
        <v>1.53796132945847</v>
      </c>
      <c r="R459" s="46">
        <f>(VLOOKUP($A459,'The List'!$B1:$AH730,30,FALSE)-AVERAGE('The List'!AE2:AE730))/STDEV('The List'!AE2:AE730)</f>
        <v>-0.377096459779292</v>
      </c>
      <c r="S459" s="46">
        <f>(VLOOKUP($A459,'The List'!$B1:$AH730,31,FALSE)-AVERAGE('The List'!AF2:AF730))/STDEV('The List'!AF2:AF730)</f>
        <v>-0.42282105541442</v>
      </c>
      <c r="T459" s="46">
        <f>(VLOOKUP($A459,'The List'!$B1:$AH730,32,FALSE)-AVERAGE('The List'!AG2:AG730))/STDEV('The List'!AG2:AG730)</f>
        <v>-0.370531566908242</v>
      </c>
      <c r="U459" s="46">
        <f>(VLOOKUP($A459,'The List'!$B1:$AH730,33,FALSE)-AVERAGE('The List'!AH2:AH730))/STDEV('The List'!AH2:AH730)</f>
        <v>0.478836040949806</v>
      </c>
      <c r="V459" s="46"/>
      <c r="W459" s="48"/>
      <c r="X459" s="46"/>
      <c r="Y459" s="46"/>
      <c r="Z459" s="46"/>
      <c r="AA459" s="46"/>
      <c r="AB459" s="46"/>
      <c r="AC459" s="46"/>
      <c r="AD459" s="46"/>
      <c r="AE459" s="46"/>
    </row>
    <row r="460" ht="21.25" customHeight="1">
      <c r="A460" t="s" s="8">
        <v>478</v>
      </c>
      <c r="B460" t="s" s="42">
        <f>VLOOKUP(A460,'Player Data'!A1:B734,2,FALSE)</f>
        <v>156</v>
      </c>
      <c r="C460" s="44">
        <f>((E460)*'Settings'!$C$12)+(F460*'Settings'!$C$2)+(G460*'Settings'!$C$3)+(H460*'Settings'!$C$4)+(I460*'Settings'!$C$5)+(K460*'Settings'!$C$9)+(N460*'Settings'!$C$6)+(J460*'Settings'!$C$8)+(O460*'Settings'!$C$7)+(P460*'Settings'!$C$14)+(Q460*'Settings'!$C$15)+(R460*'Settings'!$C$16)+(S460*'Settings'!$C$17)+(T460*'Settings'!$C$18)+(U460*'Settings'!$C$19)+(L460*'Settings'!$C$10)+('Settings'!$C$11*M460)</f>
        <v>-0.83784319619859</v>
      </c>
      <c r="D460" s="48">
        <f>IF('Settings'!$E$12="YES",VLOOKUP(A460,'Player Data'!A1:E734,5,FALSE),82)</f>
        <v>77.96642857142859</v>
      </c>
      <c r="E460" s="46">
        <f>(VLOOKUP($A460,'The List'!$B1:$AH730,17,FALSE)-AVERAGE('The List'!R2:R730))/STDEV('The List'!R2:R730)</f>
        <v>0.626403712898462</v>
      </c>
      <c r="F460" s="46">
        <f>(VLOOKUP($A460,'The List'!$B1:$AH730,18,FALSE)-AVERAGE('The List'!S2:S730))/STDEV('The List'!S2:S730)</f>
        <v>-0.708447477356648</v>
      </c>
      <c r="G460" s="46">
        <f>(VLOOKUP($A460,'The List'!$B1:$AH730,19,FALSE)-AVERAGE('The List'!T2:T730))/STDEV('The List'!T2:T730)</f>
        <v>-0.484834907858085</v>
      </c>
      <c r="H460" s="46">
        <f>(VLOOKUP($A460,'The List'!$B1:$AH730,20,FALSE)-AVERAGE('The List'!U2:U730))/STDEV('The List'!U2:U730)</f>
        <v>-0.621252158787085</v>
      </c>
      <c r="I460" s="46">
        <f>(VLOOKUP($A460,'The List'!$B1:$AH730,21,FALSE)-AVERAGE('The List'!V2:V730))/STDEV('The List'!V2:V730)</f>
        <v>-0.514032565593896</v>
      </c>
      <c r="J460" s="46">
        <f>(VLOOKUP($A460,'The List'!$B1:$AH730,22,FALSE)-AVERAGE('The List'!W2:W730))/STDEV('The List'!W2:W730)</f>
        <v>-0.703285524184172</v>
      </c>
      <c r="K460" s="46">
        <f>(VLOOKUP($A460,'The List'!$B1:$AH730,23,FALSE)-AVERAGE('The List'!X2:X730))/STDEV('The List'!X2:X730)</f>
        <v>-0.756290661189301</v>
      </c>
      <c r="L460" s="46">
        <f>(VLOOKUP($A460,'The List'!$B1:$AH730,24,FALSE)-AVERAGE('The List'!Y2:Y730))/STDEV('The List'!Y2:Y730)</f>
        <v>0.204274284337423</v>
      </c>
      <c r="M460" s="46">
        <f>(VLOOKUP($A460,'The List'!$B1:$AH730,25,FALSE)-AVERAGE('The List'!Z2:Z730))/STDEV('The List'!Z2:Z730)</f>
        <v>0.334457867847594</v>
      </c>
      <c r="N460" s="46">
        <f>(VLOOKUP($A460,'The List'!$B1:$AH730,26,FALSE)-AVERAGE('The List'!AA2:AA730))/STDEV('The List'!AA2:AA730)</f>
        <v>1.35358166995671</v>
      </c>
      <c r="O460" s="46">
        <f>(VLOOKUP($A460,'The List'!$B1:$AH730,27,FALSE)-AVERAGE('The List'!AB2:AB730))/STDEV('The List'!AB2:AB730)</f>
        <v>1.26630155251748</v>
      </c>
      <c r="P460" s="46">
        <f>(VLOOKUP($A460,'The List'!$B1:$AH730,28,FALSE)-AVERAGE('The List'!AC2:AC730))/STDEV('The List'!AC2:AC730)</f>
        <v>0.27218074584263</v>
      </c>
      <c r="Q460" s="46">
        <f>(VLOOKUP($A460,'The List'!$B1:$AH730,29,FALSE)-AVERAGE('The List'!AD2:AD730))/STDEV('The List'!AD2:AD730)</f>
        <v>2.3527128987938</v>
      </c>
      <c r="R460" s="46">
        <f>(VLOOKUP($A460,'The List'!$B1:$AH730,30,FALSE)-AVERAGE('The List'!AE2:AE730))/STDEV('The List'!AE2:AE730)</f>
        <v>-0.643677485203384</v>
      </c>
      <c r="S460" s="46">
        <f>(VLOOKUP($A460,'The List'!$B1:$AH730,31,FALSE)-AVERAGE('The List'!AF2:AF730))/STDEV('The List'!AF2:AF730)</f>
        <v>-0.5569063253591</v>
      </c>
      <c r="T460" s="46">
        <f>(VLOOKUP($A460,'The List'!$B1:$AH730,32,FALSE)-AVERAGE('The List'!AG2:AG730))/STDEV('The List'!AG2:AG730)</f>
        <v>-0.600856269042678</v>
      </c>
      <c r="U460" s="46">
        <f>(VLOOKUP($A460,'The List'!$B1:$AH730,33,FALSE)-AVERAGE('The List'!AH2:AH730))/STDEV('The List'!AH2:AH730)</f>
        <v>-1.2363238714826</v>
      </c>
      <c r="V460" s="46"/>
      <c r="W460" s="48"/>
      <c r="X460" s="46"/>
      <c r="Y460" s="46"/>
      <c r="Z460" s="46"/>
      <c r="AA460" s="46"/>
      <c r="AB460" s="46"/>
      <c r="AC460" s="46"/>
      <c r="AD460" s="46"/>
      <c r="AE460" s="46"/>
    </row>
    <row r="461" ht="21.25" customHeight="1">
      <c r="A461" t="s" s="8">
        <v>490</v>
      </c>
      <c r="B461" t="s" s="42">
        <f>VLOOKUP(A461,'Player Data'!A1:B734,2,FALSE)</f>
        <v>115</v>
      </c>
      <c r="C461" s="44">
        <f>((E461)*'Settings'!$C$12)+(F461*'Settings'!$C$2)+(G461*'Settings'!$C$3)+(H461*'Settings'!$C$4)+(I461*'Settings'!$C$5)+(K461*'Settings'!$C$9)+(N461*'Settings'!$C$6)+(J461*'Settings'!$C$8)+(O461*'Settings'!$C$7)+(P461*'Settings'!$C$14)+(Q461*'Settings'!$C$15)+(R461*'Settings'!$C$16)+(S461*'Settings'!$C$17)+(T461*'Settings'!$C$18)+(U461*'Settings'!$C$19)+(L461*'Settings'!$C$10)+('Settings'!$C$11*M461)</f>
        <v>0.573163591003554</v>
      </c>
      <c r="D461" s="48">
        <f>IF('Settings'!$E$12="YES",VLOOKUP(A461,'Player Data'!A1:E734,5,FALSE),82)</f>
        <v>73.70607142857141</v>
      </c>
      <c r="E461" s="46">
        <f>(VLOOKUP($A461,'The List'!$B1:$AH730,17,FALSE)-AVERAGE('The List'!R2:R730))/STDEV('The List'!R2:R730)</f>
        <v>0.76714781183216</v>
      </c>
      <c r="F461" s="46">
        <f>(VLOOKUP($A461,'The List'!$B1:$AH730,18,FALSE)-AVERAGE('The List'!S2:S730))/STDEV('The List'!S2:S730)</f>
        <v>-0.969839383526875</v>
      </c>
      <c r="G461" s="46">
        <f>(VLOOKUP($A461,'The List'!$B1:$AH730,19,FALSE)-AVERAGE('The List'!T2:T730))/STDEV('The List'!T2:T730)</f>
        <v>-0.379211126736922</v>
      </c>
      <c r="H461" s="46">
        <f>(VLOOKUP($A461,'The List'!$B1:$AH730,20,FALSE)-AVERAGE('The List'!U2:U730))/STDEV('The List'!U2:U730)</f>
        <v>-0.675075045715692</v>
      </c>
      <c r="I461" s="46">
        <f>(VLOOKUP($A461,'The List'!$B1:$AH730,21,FALSE)-AVERAGE('The List'!V2:V730))/STDEV('The List'!V2:V730)</f>
        <v>-0.7409186264890401</v>
      </c>
      <c r="J461" s="46">
        <f>(VLOOKUP($A461,'The List'!$B1:$AH730,22,FALSE)-AVERAGE('The List'!W2:W730))/STDEV('The List'!W2:W730)</f>
        <v>-0.70874481998565</v>
      </c>
      <c r="K461" s="46">
        <f>(VLOOKUP($A461,'The List'!$B1:$AH730,23,FALSE)-AVERAGE('The List'!X2:X730))/STDEV('The List'!X2:X730)</f>
        <v>-0.789479490424039</v>
      </c>
      <c r="L461" s="46">
        <f>(VLOOKUP($A461,'The List'!$B1:$AH730,24,FALSE)-AVERAGE('The List'!Y2:Y730))/STDEV('The List'!Y2:Y730)</f>
        <v>-0.488970860264618</v>
      </c>
      <c r="M461" s="46">
        <f>(VLOOKUP($A461,'The List'!$B1:$AH730,25,FALSE)-AVERAGE('The List'!Z2:Z730))/STDEV('The List'!Z2:Z730)</f>
        <v>-0.541551027296261</v>
      </c>
      <c r="N461" s="46">
        <f>(VLOOKUP($A461,'The List'!$B1:$AH730,26,FALSE)-AVERAGE('The List'!AA2:AA730))/STDEV('The List'!AA2:AA730)</f>
        <v>2.22612602174151</v>
      </c>
      <c r="O461" s="46">
        <f>(VLOOKUP($A461,'The List'!$B1:$AH730,27,FALSE)-AVERAGE('The List'!AB2:AB730))/STDEV('The List'!AB2:AB730)</f>
        <v>1.19115436633907</v>
      </c>
      <c r="P461" s="46">
        <f>(VLOOKUP($A461,'The List'!$B1:$AH730,28,FALSE)-AVERAGE('The List'!AC2:AC730))/STDEV('The List'!AC2:AC730)</f>
        <v>1.22648619643892</v>
      </c>
      <c r="Q461" s="46">
        <f>(VLOOKUP($A461,'The List'!$B1:$AH730,29,FALSE)-AVERAGE('The List'!AD2:AD730))/STDEV('The List'!AD2:AD730)</f>
        <v>0.53254676698813</v>
      </c>
      <c r="R461" s="46">
        <f>(VLOOKUP($A461,'The List'!$B1:$AH730,30,FALSE)-AVERAGE('The List'!AE2:AE730))/STDEV('The List'!AE2:AE730)</f>
        <v>-0.843997048960303</v>
      </c>
      <c r="S461" s="46">
        <f>(VLOOKUP($A461,'The List'!$B1:$AH730,31,FALSE)-AVERAGE('The List'!AF2:AF730))/STDEV('The List'!AF2:AF730)</f>
        <v>-0.5569063253591</v>
      </c>
      <c r="T461" s="46">
        <f>(VLOOKUP($A461,'The List'!$B1:$AH730,32,FALSE)-AVERAGE('The List'!AG2:AG730))/STDEV('The List'!AG2:AG730)</f>
        <v>-0.600856269042678</v>
      </c>
      <c r="U461" s="46">
        <f>(VLOOKUP($A461,'The List'!$B1:$AH730,33,FALSE)-AVERAGE('The List'!AH2:AH730))/STDEV('The List'!AH2:AH730)</f>
        <v>-1.2363238714826</v>
      </c>
      <c r="V461" s="46"/>
      <c r="W461" s="48"/>
      <c r="X461" s="48"/>
      <c r="Y461" s="48"/>
      <c r="Z461" s="48"/>
      <c r="AA461" s="48"/>
      <c r="AB461" s="48"/>
      <c r="AC461" s="51"/>
      <c r="AD461" s="52"/>
      <c r="AE461" s="46"/>
    </row>
    <row r="462" ht="21.25" customHeight="1">
      <c r="A462" t="s" s="8">
        <v>744</v>
      </c>
      <c r="B462" t="s" s="42">
        <f>VLOOKUP(A462,'Player Data'!A1:B734,2,FALSE)</f>
        <v>204</v>
      </c>
      <c r="C462" s="44">
        <f>((E462)*'Settings'!$C$12)+(F462*'Settings'!$C$2)+(G462*'Settings'!$C$3)+(H462*'Settings'!$C$4)+(I462*'Settings'!$C$5)+(K462*'Settings'!$C$9)+(N462*'Settings'!$C$6)+(J462*'Settings'!$C$8)+(O462*'Settings'!$C$7)+(P462*'Settings'!$C$14)+(Q462*'Settings'!$C$15)+(R462*'Settings'!$C$16)+(S462*'Settings'!$C$17)+(T462*'Settings'!$C$18)+(U462*'Settings'!$C$19)+(L462*'Settings'!$C$10)+('Settings'!$C$11*M462)</f>
        <v>-3.39215315970796</v>
      </c>
      <c r="D462" s="48">
        <f>IF('Settings'!$E$12="YES",VLOOKUP(A462,'Player Data'!A1:E734,5,FALSE),82)</f>
        <v>72.4246428571429</v>
      </c>
      <c r="E462" s="46">
        <f>(VLOOKUP($A462,'The List'!$B1:$AH730,17,FALSE)-AVERAGE('The List'!R2:R730))/STDEV('The List'!R2:R730)</f>
        <v>-1.55532030697987</v>
      </c>
      <c r="F462" s="46">
        <f>(VLOOKUP($A462,'The List'!$B1:$AH730,18,FALSE)-AVERAGE('The List'!S2:S730))/STDEV('The List'!S2:S730)</f>
        <v>-0.164930045117161</v>
      </c>
      <c r="G462" s="46">
        <f>(VLOOKUP($A462,'The List'!$B1:$AH730,19,FALSE)-AVERAGE('The List'!T2:T730))/STDEV('The List'!T2:T730)</f>
        <v>-1.00662615371743</v>
      </c>
      <c r="H462" s="46">
        <f>(VLOOKUP($A462,'The List'!$B1:$AH730,20,FALSE)-AVERAGE('The List'!U2:U730))/STDEV('The List'!U2:U730)</f>
        <v>-0.695618271312232</v>
      </c>
      <c r="I462" s="46">
        <f>(VLOOKUP($A462,'The List'!$B1:$AH730,21,FALSE)-AVERAGE('The List'!V2:V730))/STDEV('The List'!V2:V730)</f>
        <v>-0.492345219880924</v>
      </c>
      <c r="J462" s="46">
        <f>(VLOOKUP($A462,'The List'!$B1:$AH730,22,FALSE)-AVERAGE('The List'!W2:W730))/STDEV('The List'!W2:W730)</f>
        <v>-0.691426104550797</v>
      </c>
      <c r="K462" s="46">
        <f>(VLOOKUP($A462,'The List'!$B1:$AH730,23,FALSE)-AVERAGE('The List'!X2:X730))/STDEV('The List'!X2:X730)</f>
        <v>-0.785157919946513</v>
      </c>
      <c r="L462" s="46">
        <f>(VLOOKUP($A462,'The List'!$B1:$AH730,24,FALSE)-AVERAGE('The List'!Y2:Y730))/STDEV('The List'!Y2:Y730)</f>
        <v>-0.288479492488595</v>
      </c>
      <c r="M462" s="46">
        <f>(VLOOKUP($A462,'The List'!$B1:$AH730,25,FALSE)-AVERAGE('The List'!Z2:Z730))/STDEV('The List'!Z2:Z730)</f>
        <v>-0.434345790615741</v>
      </c>
      <c r="N462" s="46">
        <f>(VLOOKUP($A462,'The List'!$B1:$AH730,26,FALSE)-AVERAGE('The List'!AA2:AA730))/STDEV('The List'!AA2:AA730)</f>
        <v>-0.871004200788729</v>
      </c>
      <c r="O462" s="46">
        <f>(VLOOKUP($A462,'The List'!$B1:$AH730,27,FALSE)-AVERAGE('The List'!AB2:AB730))/STDEV('The List'!AB2:AB730)</f>
        <v>1.58658201250882</v>
      </c>
      <c r="P462" s="46">
        <f>(VLOOKUP($A462,'The List'!$B1:$AH730,28,FALSE)-AVERAGE('The List'!AC2:AC730))/STDEV('The List'!AC2:AC730)</f>
        <v>-0.0720896202571998</v>
      </c>
      <c r="Q462" s="46">
        <f>(VLOOKUP($A462,'The List'!$B1:$AH730,29,FALSE)-AVERAGE('The List'!AD2:AD730))/STDEV('The List'!AD2:AD730)</f>
        <v>-0.558129651285886</v>
      </c>
      <c r="R462" s="46">
        <f>(VLOOKUP($A462,'The List'!$B1:$AH730,30,FALSE)-AVERAGE('The List'!AE2:AE730))/STDEV('The List'!AE2:AE730)</f>
        <v>-0.0951876717081736</v>
      </c>
      <c r="S462" s="46">
        <f>(VLOOKUP($A462,'The List'!$B1:$AH730,31,FALSE)-AVERAGE('The List'!AF2:AF730))/STDEV('The List'!AF2:AF730)</f>
        <v>-0.5314126280820169</v>
      </c>
      <c r="T462" s="46">
        <f>(VLOOKUP($A462,'The List'!$B1:$AH730,32,FALSE)-AVERAGE('The List'!AG2:AG730))/STDEV('The List'!AG2:AG730)</f>
        <v>-0.5601717501424039</v>
      </c>
      <c r="U462" s="46">
        <f>(VLOOKUP($A462,'The List'!$B1:$AH730,33,FALSE)-AVERAGE('The List'!AH2:AH730))/STDEV('The List'!AH2:AH730)</f>
        <v>0.557792227067593</v>
      </c>
      <c r="V462" s="46"/>
      <c r="W462" s="50"/>
      <c r="X462" s="48"/>
      <c r="Y462" s="48"/>
      <c r="Z462" s="48"/>
      <c r="AA462" s="48"/>
      <c r="AB462" s="48"/>
      <c r="AC462" s="51"/>
      <c r="AD462" s="52"/>
      <c r="AE462" s="46"/>
    </row>
    <row r="463" ht="21.25" customHeight="1">
      <c r="A463" t="s" s="8">
        <v>454</v>
      </c>
      <c r="B463" t="s" s="42">
        <f>VLOOKUP(A463,'Player Data'!A1:B734,2,FALSE)</f>
        <v>149</v>
      </c>
      <c r="C463" s="44">
        <f>((E463)*'Settings'!$C$12)+(F463*'Settings'!$C$2)+(G463*'Settings'!$C$3)+(H463*'Settings'!$C$4)+(I463*'Settings'!$C$5)+(K463*'Settings'!$C$9)+(N463*'Settings'!$C$6)+(J463*'Settings'!$C$8)+(O463*'Settings'!$C$7)+(P463*'Settings'!$C$14)+(Q463*'Settings'!$C$15)+(R463*'Settings'!$C$16)+(S463*'Settings'!$C$17)+(T463*'Settings'!$C$18)+(U463*'Settings'!$C$19)+(L463*'Settings'!$C$10)+('Settings'!$C$11*M463)</f>
        <v>-0.0111630877251457</v>
      </c>
      <c r="D463" s="48">
        <f>IF('Settings'!$E$12="YES",VLOOKUP(A463,'Player Data'!A1:E734,5,FALSE),82)</f>
        <v>79.1425</v>
      </c>
      <c r="E463" s="46">
        <f>(VLOOKUP($A463,'The List'!$B1:$AH730,17,FALSE)-AVERAGE('The List'!R2:R730))/STDEV('The List'!R2:R730)</f>
        <v>0.996083834523809</v>
      </c>
      <c r="F463" s="46">
        <f>(VLOOKUP($A463,'The List'!$B1:$AH730,18,FALSE)-AVERAGE('The List'!S2:S730))/STDEV('The List'!S2:S730)</f>
        <v>-0.866736406985767</v>
      </c>
      <c r="G463" s="46">
        <f>(VLOOKUP($A463,'The List'!$B1:$AH730,19,FALSE)-AVERAGE('The List'!T2:T730))/STDEV('The List'!T2:T730)</f>
        <v>-0.353981902760288</v>
      </c>
      <c r="H463" s="46">
        <f>(VLOOKUP($A463,'The List'!$B1:$AH730,20,FALSE)-AVERAGE('The List'!U2:U730))/STDEV('The List'!U2:U730)</f>
        <v>-0.612607638610441</v>
      </c>
      <c r="I463" s="46">
        <f>(VLOOKUP($A463,'The List'!$B1:$AH730,21,FALSE)-AVERAGE('The List'!V2:V730))/STDEV('The List'!V2:V730)</f>
        <v>-0.384008937119793</v>
      </c>
      <c r="J463" s="46">
        <f>(VLOOKUP($A463,'The List'!$B1:$AH730,22,FALSE)-AVERAGE('The List'!W2:W730))/STDEV('The List'!W2:W730)</f>
        <v>-0.708857918133503</v>
      </c>
      <c r="K463" s="46">
        <f>(VLOOKUP($A463,'The List'!$B1:$AH730,23,FALSE)-AVERAGE('The List'!X2:X730))/STDEV('The List'!X2:X730)</f>
        <v>-0.789864431661825</v>
      </c>
      <c r="L463" s="46">
        <f>(VLOOKUP($A463,'The List'!$B1:$AH730,24,FALSE)-AVERAGE('The List'!Y2:Y730))/STDEV('The List'!Y2:Y730)</f>
        <v>-0.495181393603276</v>
      </c>
      <c r="M463" s="46">
        <f>(VLOOKUP($A463,'The List'!$B1:$AH730,25,FALSE)-AVERAGE('The List'!Z2:Z730))/STDEV('The List'!Z2:Z730)</f>
        <v>-0.222499442703138</v>
      </c>
      <c r="N463" s="46">
        <f>(VLOOKUP($A463,'The List'!$B1:$AH730,26,FALSE)-AVERAGE('The List'!AA2:AA730))/STDEV('The List'!AA2:AA730)</f>
        <v>2.41774608619188</v>
      </c>
      <c r="O463" s="46">
        <f>(VLOOKUP($A463,'The List'!$B1:$AH730,27,FALSE)-AVERAGE('The List'!AB2:AB730))/STDEV('The List'!AB2:AB730)</f>
        <v>0.289211409600112</v>
      </c>
      <c r="P463" s="46">
        <f>(VLOOKUP($A463,'The List'!$B1:$AH730,28,FALSE)-AVERAGE('The List'!AC2:AC730))/STDEV('The List'!AC2:AC730)</f>
        <v>-0.0343174953893527</v>
      </c>
      <c r="Q463" s="46">
        <f>(VLOOKUP($A463,'The List'!$B1:$AH730,29,FALSE)-AVERAGE('The List'!AD2:AD730))/STDEV('The List'!AD2:AD730)</f>
        <v>1.55319228648018</v>
      </c>
      <c r="R463" s="46">
        <f>(VLOOKUP($A463,'The List'!$B1:$AH730,30,FALSE)-AVERAGE('The List'!AE2:AE730))/STDEV('The List'!AE2:AE730)</f>
        <v>-0.753315534524035</v>
      </c>
      <c r="S463" s="46">
        <f>(VLOOKUP($A463,'The List'!$B1:$AH730,31,FALSE)-AVERAGE('The List'!AF2:AF730))/STDEV('The List'!AF2:AF730)</f>
        <v>-0.5569063253591</v>
      </c>
      <c r="T463" s="46">
        <f>(VLOOKUP($A463,'The List'!$B1:$AH730,32,FALSE)-AVERAGE('The List'!AG2:AG730))/STDEV('The List'!AG2:AG730)</f>
        <v>-0.600856269042678</v>
      </c>
      <c r="U463" s="46">
        <f>(VLOOKUP($A463,'The List'!$B1:$AH730,33,FALSE)-AVERAGE('The List'!AH2:AH730))/STDEV('The List'!AH2:AH730)</f>
        <v>-1.2363238714826</v>
      </c>
      <c r="V463" s="46"/>
      <c r="W463" s="50"/>
      <c r="X463" s="48"/>
      <c r="Y463" s="48"/>
      <c r="Z463" s="48"/>
      <c r="AA463" s="48"/>
      <c r="AB463" s="48"/>
      <c r="AC463" s="51"/>
      <c r="AD463" s="52"/>
      <c r="AE463" s="46"/>
    </row>
    <row r="464" ht="21.25" customHeight="1">
      <c r="A464" t="s" s="8">
        <v>470</v>
      </c>
      <c r="B464" t="s" s="42">
        <f>VLOOKUP(A464,'Player Data'!A1:B734,2,FALSE)</f>
        <v>131</v>
      </c>
      <c r="C464" s="44">
        <f>((E464)*'Settings'!$C$12)+(F464*'Settings'!$C$2)+(G464*'Settings'!$C$3)+(H464*'Settings'!$C$4)+(I464*'Settings'!$C$5)+(K464*'Settings'!$C$9)+(N464*'Settings'!$C$6)+(J464*'Settings'!$C$8)+(O464*'Settings'!$C$7)+(P464*'Settings'!$C$14)+(Q464*'Settings'!$C$15)+(R464*'Settings'!$C$16)+(S464*'Settings'!$C$17)+(T464*'Settings'!$C$18)+(U464*'Settings'!$C$19)+(L464*'Settings'!$C$10)+('Settings'!$C$11*M464)</f>
        <v>-0.284357181034932</v>
      </c>
      <c r="D464" s="48">
        <f>IF('Settings'!$E$12="YES",VLOOKUP(A464,'Player Data'!A1:E734,5,FALSE),82)</f>
        <v>77.68642857142861</v>
      </c>
      <c r="E464" s="46">
        <f>(VLOOKUP($A464,'The List'!$B1:$AH730,17,FALSE)-AVERAGE('The List'!R2:R730))/STDEV('The List'!R2:R730)</f>
        <v>1.26908483806024</v>
      </c>
      <c r="F464" s="46">
        <f>(VLOOKUP($A464,'The List'!$B1:$AH730,18,FALSE)-AVERAGE('The List'!S2:S730))/STDEV('The List'!S2:S730)</f>
        <v>-0.960656489141375</v>
      </c>
      <c r="G464" s="46">
        <f>(VLOOKUP($A464,'The List'!$B1:$AH730,19,FALSE)-AVERAGE('The List'!T2:T730))/STDEV('The List'!T2:T730)</f>
        <v>-0.315453679633772</v>
      </c>
      <c r="H464" s="46">
        <f>(VLOOKUP($A464,'The List'!$B1:$AH730,20,FALSE)-AVERAGE('The List'!U2:U730))/STDEV('The List'!U2:U730)</f>
        <v>-0.631591016469198</v>
      </c>
      <c r="I464" s="46">
        <f>(VLOOKUP($A464,'The List'!$B1:$AH730,21,FALSE)-AVERAGE('The List'!V2:V730))/STDEV('The List'!V2:V730)</f>
        <v>-0.634888024264065</v>
      </c>
      <c r="J464" s="46">
        <f>(VLOOKUP($A464,'The List'!$B1:$AH730,22,FALSE)-AVERAGE('The List'!W2:W730))/STDEV('The List'!W2:W730)</f>
        <v>-0.710732763599129</v>
      </c>
      <c r="K464" s="46">
        <f>(VLOOKUP($A464,'The List'!$B1:$AH730,23,FALSE)-AVERAGE('The List'!X2:X730))/STDEV('The List'!X2:X730)</f>
        <v>-0.791089065292618</v>
      </c>
      <c r="L464" s="46">
        <f>(VLOOKUP($A464,'The List'!$B1:$AH730,24,FALSE)-AVERAGE('The List'!Y2:Y730))/STDEV('The List'!Y2:Y730)</f>
        <v>-0.506794528745137</v>
      </c>
      <c r="M464" s="46">
        <f>(VLOOKUP($A464,'The List'!$B1:$AH730,25,FALSE)-AVERAGE('The List'!Z2:Z730))/STDEV('The List'!Z2:Z730)</f>
        <v>-0.59348568717691</v>
      </c>
      <c r="N464" s="46">
        <f>(VLOOKUP($A464,'The List'!$B1:$AH730,26,FALSE)-AVERAGE('The List'!AA2:AA730))/STDEV('The List'!AA2:AA730)</f>
        <v>2.61995717901261</v>
      </c>
      <c r="O464" s="46">
        <f>(VLOOKUP($A464,'The List'!$B1:$AH730,27,FALSE)-AVERAGE('The List'!AB2:AB730))/STDEV('The List'!AB2:AB730)</f>
        <v>-0.0300666964851348</v>
      </c>
      <c r="P464" s="46">
        <f>(VLOOKUP($A464,'The List'!$B1:$AH730,28,FALSE)-AVERAGE('The List'!AC2:AC730))/STDEV('The List'!AC2:AC730)</f>
        <v>-0.202227101715712</v>
      </c>
      <c r="Q464" s="46">
        <f>(VLOOKUP($A464,'The List'!$B1:$AH730,29,FALSE)-AVERAGE('The List'!AD2:AD730))/STDEV('The List'!AD2:AD730)</f>
        <v>-0.52681163378033</v>
      </c>
      <c r="R464" s="46">
        <f>(VLOOKUP($A464,'The List'!$B1:$AH730,30,FALSE)-AVERAGE('The List'!AE2:AE730))/STDEV('The List'!AE2:AE730)</f>
        <v>-0.866265201639842</v>
      </c>
      <c r="S464" s="46">
        <f>(VLOOKUP($A464,'The List'!$B1:$AH730,31,FALSE)-AVERAGE('The List'!AF2:AF730))/STDEV('The List'!AF2:AF730)</f>
        <v>-0.5569063253591</v>
      </c>
      <c r="T464" s="46">
        <f>(VLOOKUP($A464,'The List'!$B1:$AH730,32,FALSE)-AVERAGE('The List'!AG2:AG730))/STDEV('The List'!AG2:AG730)</f>
        <v>-0.600010815979943</v>
      </c>
      <c r="U464" s="46">
        <f>(VLOOKUP($A464,'The List'!$B1:$AH730,33,FALSE)-AVERAGE('The List'!AH2:AH730))/STDEV('The List'!AH2:AH730)</f>
        <v>-1.2363238714826</v>
      </c>
      <c r="V464" s="46"/>
      <c r="W464" s="50"/>
      <c r="X464" s="48"/>
      <c r="Y464" s="48"/>
      <c r="Z464" s="48"/>
      <c r="AA464" s="48"/>
      <c r="AB464" s="48"/>
      <c r="AC464" s="51"/>
      <c r="AD464" s="52"/>
      <c r="AE464" s="46"/>
    </row>
    <row r="465" ht="21.25" customHeight="1">
      <c r="A465" t="s" s="8">
        <v>835</v>
      </c>
      <c r="B465" t="s" s="42">
        <f>VLOOKUP(A465,'Player Data'!A1:B734,2,FALSE)</f>
        <v>156</v>
      </c>
      <c r="C465" s="44">
        <f>((E465)*'Settings'!$C$12)+(F465*'Settings'!$C$2)+(G465*'Settings'!$C$3)+(H465*'Settings'!$C$4)+(I465*'Settings'!$C$5)+(K465*'Settings'!$C$9)+(N465*'Settings'!$C$6)+(J465*'Settings'!$C$8)+(O465*'Settings'!$C$7)+(P465*'Settings'!$C$14)+(Q465*'Settings'!$C$15)+(R465*'Settings'!$C$16)+(S465*'Settings'!$C$17)+(T465*'Settings'!$C$18)+(U465*'Settings'!$C$19)+(L465*'Settings'!$C$10)+('Settings'!$C$11*M465)</f>
        <v>-4.75985727958863</v>
      </c>
      <c r="D465" s="48">
        <f>IF('Settings'!$E$12="YES",VLOOKUP(A465,'Player Data'!A1:E734,5,FALSE),82)</f>
        <v>60.07</v>
      </c>
      <c r="E465" s="46">
        <f>(VLOOKUP($A465,'The List'!$B1:$AH730,17,FALSE)-AVERAGE('The List'!R2:R730))/STDEV('The List'!R2:R730)</f>
        <v>-1.08968715878352</v>
      </c>
      <c r="F465" s="46">
        <f>(VLOOKUP($A465,'The List'!$B1:$AH730,18,FALSE)-AVERAGE('The List'!S2:S730))/STDEV('The List'!S2:S730)</f>
        <v>-0.757176213625474</v>
      </c>
      <c r="G465" s="46">
        <f>(VLOOKUP($A465,'The List'!$B1:$AH730,19,FALSE)-AVERAGE('The List'!T2:T730))/STDEV('The List'!T2:T730)</f>
        <v>-0.823204949078283</v>
      </c>
      <c r="H465" s="46">
        <f>(VLOOKUP($A465,'The List'!$B1:$AH730,20,FALSE)-AVERAGE('The List'!U2:U730))/STDEV('The List'!U2:U730)</f>
        <v>-0.852025394063594</v>
      </c>
      <c r="I465" s="46">
        <f>(VLOOKUP($A465,'The List'!$B1:$AH730,21,FALSE)-AVERAGE('The List'!V2:V730))/STDEV('The List'!V2:V730)</f>
        <v>-1.34796063766705</v>
      </c>
      <c r="J465" s="46">
        <f>(VLOOKUP($A465,'The List'!$B1:$AH730,22,FALSE)-AVERAGE('The List'!W2:W730))/STDEV('The List'!W2:W730)</f>
        <v>-0.699554856308953</v>
      </c>
      <c r="K465" s="46">
        <f>(VLOOKUP($A465,'The List'!$B1:$AH730,23,FALSE)-AVERAGE('The List'!X2:X730))/STDEV('The List'!X2:X730)</f>
        <v>-0.789977942053852</v>
      </c>
      <c r="L465" s="46">
        <f>(VLOOKUP($A465,'The List'!$B1:$AH730,24,FALSE)-AVERAGE('The List'!Y2:Y730))/STDEV('The List'!Y2:Y730)</f>
        <v>-0.325049249507829</v>
      </c>
      <c r="M465" s="46">
        <f>(VLOOKUP($A465,'The List'!$B1:$AH730,25,FALSE)-AVERAGE('The List'!Z2:Z730))/STDEV('The List'!Z2:Z730)</f>
        <v>0.7458823017137139</v>
      </c>
      <c r="N465" s="46">
        <f>(VLOOKUP($A465,'The List'!$B1:$AH730,26,FALSE)-AVERAGE('The List'!AA2:AA730))/STDEV('The List'!AA2:AA730)</f>
        <v>-0.658206797451783</v>
      </c>
      <c r="O465" s="46">
        <f>(VLOOKUP($A465,'The List'!$B1:$AH730,27,FALSE)-AVERAGE('The List'!AB2:AB730))/STDEV('The List'!AB2:AB730)</f>
        <v>-0.9417827872343441</v>
      </c>
      <c r="P465" s="46">
        <f>(VLOOKUP($A465,'The List'!$B1:$AH730,28,FALSE)-AVERAGE('The List'!AC2:AC730))/STDEV('The List'!AC2:AC730)</f>
        <v>-0.383330739712183</v>
      </c>
      <c r="Q465" s="46">
        <f>(VLOOKUP($A465,'The List'!$B1:$AH730,29,FALSE)-AVERAGE('The List'!AD2:AD730))/STDEV('The List'!AD2:AD730)</f>
        <v>-1.01227780050578</v>
      </c>
      <c r="R465" s="46">
        <f>(VLOOKUP($A465,'The List'!$B1:$AH730,30,FALSE)-AVERAGE('The List'!AE2:AE730))/STDEV('The List'!AE2:AE730)</f>
        <v>-0.6885637237644771</v>
      </c>
      <c r="S465" s="46">
        <f>(VLOOKUP($A465,'The List'!$B1:$AH730,31,FALSE)-AVERAGE('The List'!AF2:AF730))/STDEV('The List'!AF2:AF730)</f>
        <v>0.214854337902727</v>
      </c>
      <c r="T465" s="46">
        <f>(VLOOKUP($A465,'The List'!$B1:$AH730,32,FALSE)-AVERAGE('The List'!AG2:AG730))/STDEV('The List'!AG2:AG730)</f>
        <v>0.713139070181645</v>
      </c>
      <c r="U465" s="46">
        <f>(VLOOKUP($A465,'The List'!$B1:$AH730,33,FALSE)-AVERAGE('The List'!AH2:AH730))/STDEV('The List'!AH2:AH730)</f>
        <v>0.488272296903981</v>
      </c>
      <c r="V465" s="46"/>
      <c r="W465" s="50"/>
      <c r="X465" s="48"/>
      <c r="Y465" s="48"/>
      <c r="Z465" s="48"/>
      <c r="AA465" s="48"/>
      <c r="AB465" s="48"/>
      <c r="AC465" s="51"/>
      <c r="AD465" s="52"/>
      <c r="AE465" s="46"/>
    </row>
    <row r="466" ht="21.25" customHeight="1">
      <c r="A466" t="s" s="8">
        <v>741</v>
      </c>
      <c r="B466" t="s" s="42">
        <f>VLOOKUP(A466,'Player Data'!A1:B734,2,FALSE)</f>
        <v>127</v>
      </c>
      <c r="C466" s="44">
        <f>((E466)*'Settings'!$C$12)+(F466*'Settings'!$C$2)+(G466*'Settings'!$C$3)+(H466*'Settings'!$C$4)+(I466*'Settings'!$C$5)+(K466*'Settings'!$C$9)+(N466*'Settings'!$C$6)+(J466*'Settings'!$C$8)+(O466*'Settings'!$C$7)+(P466*'Settings'!$C$14)+(Q466*'Settings'!$C$15)+(R466*'Settings'!$C$16)+(S466*'Settings'!$C$17)+(T466*'Settings'!$C$18)+(U466*'Settings'!$C$19)+(L466*'Settings'!$C$10)+('Settings'!$C$11*M466)</f>
        <v>-2.7379699620691</v>
      </c>
      <c r="D466" s="48">
        <f>IF('Settings'!$E$12="YES",VLOOKUP(A466,'Player Data'!A1:E734,5,FALSE),82)</f>
        <v>72</v>
      </c>
      <c r="E466" s="46">
        <f>(VLOOKUP($A466,'The List'!$B1:$AH730,17,FALSE)-AVERAGE('The List'!R2:R730))/STDEV('The List'!R2:R730)</f>
        <v>-1.21101786689346</v>
      </c>
      <c r="F466" s="46">
        <f>(VLOOKUP($A466,'The List'!$B1:$AH730,18,FALSE)-AVERAGE('The List'!S2:S730))/STDEV('The List'!S2:S730)</f>
        <v>-0.370548189445676</v>
      </c>
      <c r="G466" s="46">
        <f>(VLOOKUP($A466,'The List'!$B1:$AH730,19,FALSE)-AVERAGE('The List'!T2:T730))/STDEV('The List'!T2:T730)</f>
        <v>-0.870733481536796</v>
      </c>
      <c r="H466" s="46">
        <f>(VLOOKUP($A466,'The List'!$B1:$AH730,20,FALSE)-AVERAGE('The List'!U2:U730))/STDEV('The List'!U2:U730)</f>
        <v>-0.705402604527482</v>
      </c>
      <c r="I466" s="46">
        <f>(VLOOKUP($A466,'The List'!$B1:$AH730,21,FALSE)-AVERAGE('The List'!V2:V730))/STDEV('The List'!V2:V730)</f>
        <v>-0.667588380266923</v>
      </c>
      <c r="J466" s="46">
        <f>(VLOOKUP($A466,'The List'!$B1:$AH730,22,FALSE)-AVERAGE('The List'!W2:W730))/STDEV('The List'!W2:W730)</f>
        <v>-0.5917808096435579</v>
      </c>
      <c r="K466" s="46">
        <f>(VLOOKUP($A466,'The List'!$B1:$AH730,23,FALSE)-AVERAGE('The List'!X2:X730))/STDEV('The List'!X2:X730)</f>
        <v>-0.72003666912835</v>
      </c>
      <c r="L466" s="46">
        <f>(VLOOKUP($A466,'The List'!$B1:$AH730,24,FALSE)-AVERAGE('The List'!Y2:Y730))/STDEV('The List'!Y2:Y730)</f>
        <v>-0.199625266532986</v>
      </c>
      <c r="M466" s="46">
        <f>(VLOOKUP($A466,'The List'!$B1:$AH730,25,FALSE)-AVERAGE('The List'!Z2:Z730))/STDEV('The List'!Z2:Z730)</f>
        <v>-0.334918724034282</v>
      </c>
      <c r="N466" s="46">
        <f>(VLOOKUP($A466,'The List'!$B1:$AH730,26,FALSE)-AVERAGE('The List'!AA2:AA730))/STDEV('The List'!AA2:AA730)</f>
        <v>-0.152644899759781</v>
      </c>
      <c r="O466" s="46">
        <f>(VLOOKUP($A466,'The List'!$B1:$AH730,27,FALSE)-AVERAGE('The List'!AB2:AB730))/STDEV('The List'!AB2:AB730)</f>
        <v>1.71952891903135</v>
      </c>
      <c r="P466" s="46">
        <f>(VLOOKUP($A466,'The List'!$B1:$AH730,28,FALSE)-AVERAGE('The List'!AC2:AC730))/STDEV('The List'!AC2:AC730)</f>
        <v>0.0435816580684265</v>
      </c>
      <c r="Q466" s="46">
        <f>(VLOOKUP($A466,'The List'!$B1:$AH730,29,FALSE)-AVERAGE('The List'!AD2:AD730))/STDEV('The List'!AD2:AD730)</f>
        <v>0.517480221820156</v>
      </c>
      <c r="R466" s="46">
        <f>(VLOOKUP($A466,'The List'!$B1:$AH730,30,FALSE)-AVERAGE('The List'!AE2:AE730))/STDEV('The List'!AE2:AE730)</f>
        <v>-0.299809720336078</v>
      </c>
      <c r="S466" s="46">
        <f>(VLOOKUP($A466,'The List'!$B1:$AH730,31,FALSE)-AVERAGE('The List'!AF2:AF730))/STDEV('The List'!AF2:AF730)</f>
        <v>-0.44696506087428</v>
      </c>
      <c r="T466" s="46">
        <f>(VLOOKUP($A466,'The List'!$B1:$AH730,32,FALSE)-AVERAGE('The List'!AG2:AG730))/STDEV('The List'!AG2:AG730)</f>
        <v>-0.42280905622035</v>
      </c>
      <c r="U466" s="46">
        <f>(VLOOKUP($A466,'The List'!$B1:$AH730,33,FALSE)-AVERAGE('The List'!AH2:AH730))/STDEV('The List'!AH2:AH730)</f>
        <v>0.541934829608736</v>
      </c>
      <c r="V466" s="46"/>
      <c r="W466" s="48"/>
      <c r="X466" s="46"/>
      <c r="Y466" s="46"/>
      <c r="Z466" s="46"/>
      <c r="AA466" s="46"/>
      <c r="AB466" s="46"/>
      <c r="AC466" s="46"/>
      <c r="AD466" s="46"/>
      <c r="AE466" s="46"/>
    </row>
    <row r="467" ht="21.25" customHeight="1">
      <c r="A467" t="s" s="8">
        <v>774</v>
      </c>
      <c r="B467" t="s" s="42">
        <f>VLOOKUP(A467,'Player Data'!A1:B734,2,FALSE)</f>
        <v>170</v>
      </c>
      <c r="C467" s="44">
        <f>((E467)*'Settings'!$C$12)+(F467*'Settings'!$C$2)+(G467*'Settings'!$C$3)+(H467*'Settings'!$C$4)+(I467*'Settings'!$C$5)+(K467*'Settings'!$C$9)+(N467*'Settings'!$C$6)+(J467*'Settings'!$C$8)+(O467*'Settings'!$C$7)+(P467*'Settings'!$C$14)+(Q467*'Settings'!$C$15)+(R467*'Settings'!$C$16)+(S467*'Settings'!$C$17)+(T467*'Settings'!$C$18)+(U467*'Settings'!$C$19)+(L467*'Settings'!$C$10)+('Settings'!$C$11*M467)</f>
        <v>-2.34075424228643</v>
      </c>
      <c r="D467" s="48">
        <f>IF('Settings'!$E$12="YES",VLOOKUP(A467,'Player Data'!A1:E734,5,FALSE),82)</f>
        <v>70.42107142857139</v>
      </c>
      <c r="E467" s="46">
        <f>(VLOOKUP($A467,'The List'!$B1:$AH730,17,FALSE)-AVERAGE('The List'!R2:R730))/STDEV('The List'!R2:R730)</f>
        <v>-0.744265162763589</v>
      </c>
      <c r="F467" s="46">
        <f>(VLOOKUP($A467,'The List'!$B1:$AH730,18,FALSE)-AVERAGE('The List'!S2:S730))/STDEV('The List'!S2:S730)</f>
        <v>-0.345661702599601</v>
      </c>
      <c r="G467" s="46">
        <f>(VLOOKUP($A467,'The List'!$B1:$AH730,19,FALSE)-AVERAGE('The List'!T2:T730))/STDEV('The List'!T2:T730)</f>
        <v>-0.92818976032559</v>
      </c>
      <c r="H467" s="46">
        <f>(VLOOKUP($A467,'The List'!$B1:$AH730,20,FALSE)-AVERAGE('The List'!U2:U730))/STDEV('The List'!U2:U730)</f>
        <v>-0.729499794583086</v>
      </c>
      <c r="I467" s="46">
        <f>(VLOOKUP($A467,'The List'!$B1:$AH730,21,FALSE)-AVERAGE('The List'!V2:V730))/STDEV('The List'!V2:V730)</f>
        <v>-0.676141302366001</v>
      </c>
      <c r="J467" s="46">
        <f>(VLOOKUP($A467,'The List'!$B1:$AH730,22,FALSE)-AVERAGE('The List'!W2:W730))/STDEV('The List'!W2:W730)</f>
        <v>-0.69803612226625</v>
      </c>
      <c r="K467" s="46">
        <f>(VLOOKUP($A467,'The List'!$B1:$AH730,23,FALSE)-AVERAGE('The List'!X2:X730))/STDEV('The List'!X2:X730)</f>
        <v>-0.788849598399755</v>
      </c>
      <c r="L467" s="46">
        <f>(VLOOKUP($A467,'The List'!$B1:$AH730,24,FALSE)-AVERAGE('The List'!Y2:Y730))/STDEV('The List'!Y2:Y730)</f>
        <v>-0.371456196120249</v>
      </c>
      <c r="M467" s="46">
        <f>(VLOOKUP($A467,'The List'!$B1:$AH730,25,FALSE)-AVERAGE('The List'!Z2:Z730))/STDEV('The List'!Z2:Z730)</f>
        <v>1.14869636618123</v>
      </c>
      <c r="N467" s="46">
        <f>(VLOOKUP($A467,'The List'!$B1:$AH730,26,FALSE)-AVERAGE('The List'!AA2:AA730))/STDEV('The List'!AA2:AA730)</f>
        <v>0.233753915186967</v>
      </c>
      <c r="O467" s="46">
        <f>(VLOOKUP($A467,'The List'!$B1:$AH730,27,FALSE)-AVERAGE('The List'!AB2:AB730))/STDEV('The List'!AB2:AB730)</f>
        <v>2.05505448862181</v>
      </c>
      <c r="P467" s="46">
        <f>(VLOOKUP($A467,'The List'!$B1:$AH730,28,FALSE)-AVERAGE('The List'!AC2:AC730))/STDEV('The List'!AC2:AC730)</f>
        <v>0.164334206217551</v>
      </c>
      <c r="Q467" s="46">
        <f>(VLOOKUP($A467,'The List'!$B1:$AH730,29,FALSE)-AVERAGE('The List'!AD2:AD730))/STDEV('The List'!AD2:AD730)</f>
        <v>-0.7060856148525</v>
      </c>
      <c r="R467" s="46">
        <f>(VLOOKUP($A467,'The List'!$B1:$AH730,30,FALSE)-AVERAGE('The List'!AE2:AE730))/STDEV('The List'!AE2:AE730)</f>
        <v>-0.192304327553195</v>
      </c>
      <c r="S467" s="46">
        <f>(VLOOKUP($A467,'The List'!$B1:$AH730,31,FALSE)-AVERAGE('The List'!AF2:AF730))/STDEV('The List'!AF2:AF730)</f>
        <v>0.958253964771418</v>
      </c>
      <c r="T467" s="46">
        <f>(VLOOKUP($A467,'The List'!$B1:$AH730,32,FALSE)-AVERAGE('The List'!AG2:AG730))/STDEV('The List'!AG2:AG730)</f>
        <v>0.80480181673825</v>
      </c>
      <c r="U467" s="46">
        <f>(VLOOKUP($A467,'The List'!$B1:$AH730,33,FALSE)-AVERAGE('The List'!AH2:AH730))/STDEV('The List'!AH2:AH730)</f>
        <v>1.16335607440052</v>
      </c>
      <c r="V467" s="46"/>
      <c r="W467" s="50"/>
      <c r="X467" s="48"/>
      <c r="Y467" s="48"/>
      <c r="Z467" s="48"/>
      <c r="AA467" s="48"/>
      <c r="AB467" s="48"/>
      <c r="AC467" s="51"/>
      <c r="AD467" s="52"/>
      <c r="AE467" s="46"/>
    </row>
    <row r="468" ht="21.25" customHeight="1">
      <c r="A468" t="s" s="8">
        <v>443</v>
      </c>
      <c r="B468" t="s" s="42">
        <f>VLOOKUP(A468,'Player Data'!A1:B734,2,FALSE)</f>
        <v>204</v>
      </c>
      <c r="C468" s="44">
        <f>((E468)*'Settings'!$C$12)+(F468*'Settings'!$C$2)+(G468*'Settings'!$C$3)+(H468*'Settings'!$C$4)+(I468*'Settings'!$C$5)+(K468*'Settings'!$C$9)+(N468*'Settings'!$C$6)+(J468*'Settings'!$C$8)+(O468*'Settings'!$C$7)+(P468*'Settings'!$C$14)+(Q468*'Settings'!$C$15)+(R468*'Settings'!$C$16)+(S468*'Settings'!$C$17)+(T468*'Settings'!$C$18)+(U468*'Settings'!$C$19)+(L468*'Settings'!$C$10)+('Settings'!$C$11*M468)</f>
        <v>-0.190926099395441</v>
      </c>
      <c r="D468" s="48">
        <f>IF('Settings'!$E$12="YES",VLOOKUP(A468,'Player Data'!A1:E734,5,FALSE),82)</f>
        <v>78.21035714285711</v>
      </c>
      <c r="E468" s="46">
        <f>(VLOOKUP($A468,'The List'!$B1:$AH730,17,FALSE)-AVERAGE('The List'!R2:R730))/STDEV('The List'!R2:R730)</f>
        <v>0.613279282795103</v>
      </c>
      <c r="F468" s="46">
        <f>(VLOOKUP($A468,'The List'!$B1:$AH730,18,FALSE)-AVERAGE('The List'!S2:S730))/STDEV('The List'!S2:S730)</f>
        <v>-0.789138496974421</v>
      </c>
      <c r="G468" s="46">
        <f>(VLOOKUP($A468,'The List'!$B1:$AH730,19,FALSE)-AVERAGE('The List'!T2:T730))/STDEV('The List'!T2:T730)</f>
        <v>-0.455025377102832</v>
      </c>
      <c r="H468" s="46">
        <f>(VLOOKUP($A468,'The List'!$B1:$AH730,20,FALSE)-AVERAGE('The List'!U2:U730))/STDEV('The List'!U2:U730)</f>
        <v>-0.639591007124228</v>
      </c>
      <c r="I468" s="46">
        <f>(VLOOKUP($A468,'The List'!$B1:$AH730,21,FALSE)-AVERAGE('The List'!V2:V730))/STDEV('The List'!V2:V730)</f>
        <v>-0.0319507605407619</v>
      </c>
      <c r="J468" s="46">
        <f>(VLOOKUP($A468,'The List'!$B1:$AH730,22,FALSE)-AVERAGE('The List'!W2:W730))/STDEV('The List'!W2:W730)</f>
        <v>-0.710501571218778</v>
      </c>
      <c r="K468" s="46">
        <f>(VLOOKUP($A468,'The List'!$B1:$AH730,23,FALSE)-AVERAGE('The List'!X2:X730))/STDEV('The List'!X2:X730)</f>
        <v>-0.785795893663468</v>
      </c>
      <c r="L468" s="46">
        <f>(VLOOKUP($A468,'The List'!$B1:$AH730,24,FALSE)-AVERAGE('The List'!Y2:Y730))/STDEV('The List'!Y2:Y730)</f>
        <v>0.329382837146379</v>
      </c>
      <c r="M468" s="46">
        <f>(VLOOKUP($A468,'The List'!$B1:$AH730,25,FALSE)-AVERAGE('The List'!Z2:Z730))/STDEV('The List'!Z2:Z730)</f>
        <v>1.19194201838821</v>
      </c>
      <c r="N468" s="46">
        <f>(VLOOKUP($A468,'The List'!$B1:$AH730,26,FALSE)-AVERAGE('The List'!AA2:AA730))/STDEV('The List'!AA2:AA730)</f>
        <v>1.83216014366075</v>
      </c>
      <c r="O468" s="46">
        <f>(VLOOKUP($A468,'The List'!$B1:$AH730,27,FALSE)-AVERAGE('The List'!AB2:AB730))/STDEV('The List'!AB2:AB730)</f>
        <v>0.587175891582298</v>
      </c>
      <c r="P468" s="46">
        <f>(VLOOKUP($A468,'The List'!$B1:$AH730,28,FALSE)-AVERAGE('The List'!AC2:AC730))/STDEV('The List'!AC2:AC730)</f>
        <v>0.0388242852252924</v>
      </c>
      <c r="Q468" s="46">
        <f>(VLOOKUP($A468,'The List'!$B1:$AH730,29,FALSE)-AVERAGE('The List'!AD2:AD730))/STDEV('The List'!AD2:AD730)</f>
        <v>-0.450051391499986</v>
      </c>
      <c r="R468" s="46">
        <f>(VLOOKUP($A468,'The List'!$B1:$AH730,30,FALSE)-AVERAGE('The List'!AE2:AE730))/STDEV('The List'!AE2:AE730)</f>
        <v>-0.696581648632581</v>
      </c>
      <c r="S468" s="46">
        <f>(VLOOKUP($A468,'The List'!$B1:$AH730,31,FALSE)-AVERAGE('The List'!AF2:AF730))/STDEV('The List'!AF2:AF730)</f>
        <v>-0.5569063253591</v>
      </c>
      <c r="T468" s="46">
        <f>(VLOOKUP($A468,'The List'!$B1:$AH730,32,FALSE)-AVERAGE('The List'!AG2:AG730))/STDEV('The List'!AG2:AG730)</f>
        <v>-0.600856269042678</v>
      </c>
      <c r="U468" s="46">
        <f>(VLOOKUP($A468,'The List'!$B1:$AH730,33,FALSE)-AVERAGE('The List'!AH2:AH730))/STDEV('The List'!AH2:AH730)</f>
        <v>-1.2363238714826</v>
      </c>
      <c r="V468" s="46"/>
      <c r="W468" s="48"/>
      <c r="X468" s="48"/>
      <c r="Y468" s="48"/>
      <c r="Z468" s="48"/>
      <c r="AA468" s="48"/>
      <c r="AB468" s="48"/>
      <c r="AC468" s="51"/>
      <c r="AD468" s="52"/>
      <c r="AE468" s="46"/>
    </row>
    <row r="469" ht="21.25" customHeight="1">
      <c r="A469" t="s" s="8">
        <v>733</v>
      </c>
      <c r="B469" t="s" s="42">
        <f>VLOOKUP(A469,'Player Data'!A1:B734,2,FALSE)</f>
        <v>170</v>
      </c>
      <c r="C469" s="44">
        <f>((E469)*'Settings'!$C$12)+(F469*'Settings'!$C$2)+(G469*'Settings'!$C$3)+(H469*'Settings'!$C$4)+(I469*'Settings'!$C$5)+(K469*'Settings'!$C$9)+(N469*'Settings'!$C$6)+(J469*'Settings'!$C$8)+(O469*'Settings'!$C$7)+(P469*'Settings'!$C$14)+(Q469*'Settings'!$C$15)+(R469*'Settings'!$C$16)+(S469*'Settings'!$C$17)+(T469*'Settings'!$C$18)+(U469*'Settings'!$C$19)+(L469*'Settings'!$C$10)+('Settings'!$C$11*M469)</f>
        <v>-2.39763606349625</v>
      </c>
      <c r="D469" s="48">
        <f>IF('Settings'!$E$12="YES",VLOOKUP(A469,'Player Data'!A1:E734,5,FALSE),82)</f>
        <v>79.2528571428571</v>
      </c>
      <c r="E469" s="46">
        <f>(VLOOKUP($A469,'The List'!$B1:$AH730,17,FALSE)-AVERAGE('The List'!R2:R730))/STDEV('The List'!R2:R730)</f>
        <v>-0.660060388374804</v>
      </c>
      <c r="F469" s="46">
        <f>(VLOOKUP($A469,'The List'!$B1:$AH730,18,FALSE)-AVERAGE('The List'!S2:S730))/STDEV('The List'!S2:S730)</f>
        <v>-0.3889451316074</v>
      </c>
      <c r="G469" s="46">
        <f>(VLOOKUP($A469,'The List'!$B1:$AH730,19,FALSE)-AVERAGE('The List'!T2:T730))/STDEV('The List'!T2:T730)</f>
        <v>-0.731944048120247</v>
      </c>
      <c r="H469" s="46">
        <f>(VLOOKUP($A469,'The List'!$B1:$AH730,20,FALSE)-AVERAGE('The List'!U2:U730))/STDEV('The List'!U2:U730)</f>
        <v>-0.628211720676942</v>
      </c>
      <c r="I469" s="46">
        <f>(VLOOKUP($A469,'The List'!$B1:$AH730,21,FALSE)-AVERAGE('The List'!V2:V730))/STDEV('The List'!V2:V730)</f>
        <v>-0.204120610210549</v>
      </c>
      <c r="J469" s="46">
        <f>(VLOOKUP($A469,'The List'!$B1:$AH730,22,FALSE)-AVERAGE('The List'!W2:W730))/STDEV('The List'!W2:W730)</f>
        <v>-0.706769103379989</v>
      </c>
      <c r="K469" s="46">
        <f>(VLOOKUP($A469,'The List'!$B1:$AH730,23,FALSE)-AVERAGE('The List'!X2:X730))/STDEV('The List'!X2:X730)</f>
        <v>-0.788929270174301</v>
      </c>
      <c r="L469" s="46">
        <f>(VLOOKUP($A469,'The List'!$B1:$AH730,24,FALSE)-AVERAGE('The List'!Y2:Y730))/STDEV('The List'!Y2:Y730)</f>
        <v>0.47634079560217</v>
      </c>
      <c r="M469" s="46">
        <f>(VLOOKUP($A469,'The List'!$B1:$AH730,25,FALSE)-AVERAGE('The List'!Z2:Z730))/STDEV('The List'!Z2:Z730)</f>
        <v>0.0140968260960929</v>
      </c>
      <c r="N469" s="46">
        <f>(VLOOKUP($A469,'The List'!$B1:$AH730,26,FALSE)-AVERAGE('The List'!AA2:AA730))/STDEV('The List'!AA2:AA730)</f>
        <v>-0.534262877087656</v>
      </c>
      <c r="O469" s="46">
        <f>(VLOOKUP($A469,'The List'!$B1:$AH730,27,FALSE)-AVERAGE('The List'!AB2:AB730))/STDEV('The List'!AB2:AB730)</f>
        <v>-0.0574015604960715</v>
      </c>
      <c r="P469" s="46">
        <f>(VLOOKUP($A469,'The List'!$B1:$AH730,28,FALSE)-AVERAGE('The List'!AC2:AC730))/STDEV('The List'!AC2:AC730)</f>
        <v>0.250565873703903</v>
      </c>
      <c r="Q469" s="46">
        <f>(VLOOKUP($A469,'The List'!$B1:$AH730,29,FALSE)-AVERAGE('The List'!AD2:AD730))/STDEV('The List'!AD2:AD730)</f>
        <v>0.398107200952298</v>
      </c>
      <c r="R469" s="46">
        <f>(VLOOKUP($A469,'The List'!$B1:$AH730,30,FALSE)-AVERAGE('The List'!AE2:AE730))/STDEV('The List'!AE2:AE730)</f>
        <v>-0.237514843312446</v>
      </c>
      <c r="S469" s="46">
        <f>(VLOOKUP($A469,'The List'!$B1:$AH730,31,FALSE)-AVERAGE('The List'!AF2:AF730))/STDEV('The List'!AF2:AF730)</f>
        <v>1.82352869161723</v>
      </c>
      <c r="T469" s="46">
        <f>(VLOOKUP($A469,'The List'!$B1:$AH730,32,FALSE)-AVERAGE('The List'!AG2:AG730))/STDEV('The List'!AG2:AG730)</f>
        <v>1.74769574957293</v>
      </c>
      <c r="U469" s="46">
        <f>(VLOOKUP($A469,'The List'!$B1:$AH730,33,FALSE)-AVERAGE('The List'!AH2:AH730))/STDEV('The List'!AH2:AH730)</f>
        <v>1.09404288021485</v>
      </c>
      <c r="V469" s="46"/>
      <c r="W469" s="48"/>
      <c r="X469" s="46"/>
      <c r="Y469" s="46"/>
      <c r="Z469" s="46"/>
      <c r="AA469" s="46"/>
      <c r="AB469" s="46"/>
      <c r="AC469" s="46"/>
      <c r="AD469" s="46"/>
      <c r="AE469" s="46"/>
    </row>
    <row r="470" ht="21.25" customHeight="1">
      <c r="A470" t="s" s="8">
        <v>759</v>
      </c>
      <c r="B470" t="s" s="42">
        <f>VLOOKUP(A470,'Player Data'!A1:B734,2,FALSE)</f>
        <v>184</v>
      </c>
      <c r="C470" s="44">
        <f>((E470)*'Settings'!$C$12)+(F470*'Settings'!$C$2)+(G470*'Settings'!$C$3)+(H470*'Settings'!$C$4)+(I470*'Settings'!$C$5)+(K470*'Settings'!$C$9)+(N470*'Settings'!$C$6)+(J470*'Settings'!$C$8)+(O470*'Settings'!$C$7)+(P470*'Settings'!$C$14)+(Q470*'Settings'!$C$15)+(R470*'Settings'!$C$16)+(S470*'Settings'!$C$17)+(T470*'Settings'!$C$18)+(U470*'Settings'!$C$19)+(L470*'Settings'!$C$10)+('Settings'!$C$11*M470)</f>
        <v>-4.30593971651222</v>
      </c>
      <c r="D470" s="48">
        <f>IF('Settings'!$E$12="YES",VLOOKUP(A470,'Player Data'!A1:E734,5,FALSE),82)</f>
        <v>70</v>
      </c>
      <c r="E470" s="46">
        <f>(VLOOKUP($A470,'The List'!$B1:$AH730,17,FALSE)-AVERAGE('The List'!R2:R730))/STDEV('The List'!R2:R730)</f>
        <v>-1.06294639010929</v>
      </c>
      <c r="F470" s="46">
        <f>(VLOOKUP($A470,'The List'!$B1:$AH730,18,FALSE)-AVERAGE('The List'!S2:S730))/STDEV('The List'!S2:S730)</f>
        <v>-0.448390848192406</v>
      </c>
      <c r="G470" s="46">
        <f>(VLOOKUP($A470,'The List'!$B1:$AH730,19,FALSE)-AVERAGE('The List'!T2:T730))/STDEV('The List'!T2:T730)</f>
        <v>-0.87206056180821</v>
      </c>
      <c r="H470" s="46">
        <f>(VLOOKUP($A470,'The List'!$B1:$AH730,20,FALSE)-AVERAGE('The List'!U2:U730))/STDEV('The List'!U2:U730)</f>
        <v>-0.74164070299078</v>
      </c>
      <c r="I470" s="46">
        <f>(VLOOKUP($A470,'The List'!$B1:$AH730,21,FALSE)-AVERAGE('The List'!V2:V730))/STDEV('The List'!V2:V730)</f>
        <v>-0.639302067139443</v>
      </c>
      <c r="J470" s="46">
        <f>(VLOOKUP($A470,'The List'!$B1:$AH730,22,FALSE)-AVERAGE('The List'!W2:W730))/STDEV('The List'!W2:W730)</f>
        <v>-0.687908665895469</v>
      </c>
      <c r="K470" s="46">
        <f>(VLOOKUP($A470,'The List'!$B1:$AH730,23,FALSE)-AVERAGE('The List'!X2:X730))/STDEV('The List'!X2:X730)</f>
        <v>-0.774970140666329</v>
      </c>
      <c r="L470" s="46">
        <f>(VLOOKUP($A470,'The List'!$B1:$AH730,24,FALSE)-AVERAGE('The List'!Y2:Y730))/STDEV('The List'!Y2:Y730)</f>
        <v>0.0249707609518374</v>
      </c>
      <c r="M470" s="46">
        <f>(VLOOKUP($A470,'The List'!$B1:$AH730,25,FALSE)-AVERAGE('The List'!Z2:Z730))/STDEV('The List'!Z2:Z730)</f>
        <v>-0.318844712338665</v>
      </c>
      <c r="N470" s="46">
        <f>(VLOOKUP($A470,'The List'!$B1:$AH730,26,FALSE)-AVERAGE('The List'!AA2:AA730))/STDEV('The List'!AA2:AA730)</f>
        <v>-0.795568840160023</v>
      </c>
      <c r="O470" s="46">
        <f>(VLOOKUP($A470,'The List'!$B1:$AH730,27,FALSE)-AVERAGE('The List'!AB2:AB730))/STDEV('The List'!AB2:AB730)</f>
        <v>0.332714570292029</v>
      </c>
      <c r="P470" s="46">
        <f>(VLOOKUP($A470,'The List'!$B1:$AH730,28,FALSE)-AVERAGE('The List'!AC2:AC730))/STDEV('The List'!AC2:AC730)</f>
        <v>-0.775647258545813</v>
      </c>
      <c r="Q470" s="46">
        <f>(VLOOKUP($A470,'The List'!$B1:$AH730,29,FALSE)-AVERAGE('The List'!AD2:AD730))/STDEV('The List'!AD2:AD730)</f>
        <v>-1.08098987381123</v>
      </c>
      <c r="R470" s="46">
        <f>(VLOOKUP($A470,'The List'!$B1:$AH730,30,FALSE)-AVERAGE('The List'!AE2:AE730))/STDEV('The List'!AE2:AE730)</f>
        <v>-0.454974350038703</v>
      </c>
      <c r="S470" s="46">
        <f>(VLOOKUP($A470,'The List'!$B1:$AH730,31,FALSE)-AVERAGE('The List'!AF2:AF730))/STDEV('The List'!AF2:AF730)</f>
        <v>-0.473578271901672</v>
      </c>
      <c r="T470" s="46">
        <f>(VLOOKUP($A470,'The List'!$B1:$AH730,32,FALSE)-AVERAGE('The List'!AG2:AG730))/STDEV('The List'!AG2:AG730)</f>
        <v>-0.378803635589347</v>
      </c>
      <c r="U470" s="46">
        <f>(VLOOKUP($A470,'The List'!$B1:$AH730,33,FALSE)-AVERAGE('The List'!AH2:AH730))/STDEV('The List'!AH2:AH730)</f>
        <v>0.0417812368751016</v>
      </c>
      <c r="V470" s="46"/>
      <c r="W470" s="48"/>
      <c r="X470" s="48"/>
      <c r="Y470" s="48"/>
      <c r="Z470" s="48"/>
      <c r="AA470" s="48"/>
      <c r="AB470" s="48"/>
      <c r="AC470" s="51"/>
      <c r="AD470" s="52"/>
      <c r="AE470" s="46"/>
    </row>
    <row r="471" ht="21.25" customHeight="1">
      <c r="A471" t="s" s="8">
        <v>789</v>
      </c>
      <c r="B471" t="s" s="42">
        <f>VLOOKUP(A471,'Player Data'!A1:B734,2,FALSE)</f>
        <v>234</v>
      </c>
      <c r="C471" s="44">
        <f>((E471)*'Settings'!$C$12)+(F471*'Settings'!$C$2)+(G471*'Settings'!$C$3)+(H471*'Settings'!$C$4)+(I471*'Settings'!$C$5)+(K471*'Settings'!$C$9)+(N471*'Settings'!$C$6)+(J471*'Settings'!$C$8)+(O471*'Settings'!$C$7)+(P471*'Settings'!$C$14)+(Q471*'Settings'!$C$15)+(R471*'Settings'!$C$16)+(S471*'Settings'!$C$17)+(T471*'Settings'!$C$18)+(U471*'Settings'!$C$19)+(L471*'Settings'!$C$10)+('Settings'!$C$11*M471)</f>
        <v>-5.87294002167788</v>
      </c>
      <c r="D471" s="48">
        <f>IF('Settings'!$E$12="YES",VLOOKUP(A471,'Player Data'!A1:E734,5,FALSE),82)</f>
        <v>65.3</v>
      </c>
      <c r="E471" s="46">
        <f>(VLOOKUP($A471,'The List'!$B1:$AH730,17,FALSE)-AVERAGE('The List'!R2:R730))/STDEV('The List'!R2:R730)</f>
        <v>-1.30596458711638</v>
      </c>
      <c r="F471" s="46">
        <f>(VLOOKUP($A471,'The List'!$B1:$AH730,18,FALSE)-AVERAGE('The List'!S2:S730))/STDEV('The List'!S2:S730)</f>
        <v>-0.482666656361585</v>
      </c>
      <c r="G471" s="46">
        <f>(VLOOKUP($A471,'The List'!$B1:$AH730,19,FALSE)-AVERAGE('The List'!T2:T730))/STDEV('The List'!T2:T730)</f>
        <v>-0.9468018916433391</v>
      </c>
      <c r="H471" s="46">
        <f>(VLOOKUP($A471,'The List'!$B1:$AH730,20,FALSE)-AVERAGE('The List'!U2:U730))/STDEV('The List'!U2:U730)</f>
        <v>-0.80331393060042</v>
      </c>
      <c r="I471" s="46">
        <f>(VLOOKUP($A471,'The List'!$B1:$AH730,21,FALSE)-AVERAGE('The List'!V2:V730))/STDEV('The List'!V2:V730)</f>
        <v>-0.673058074272146</v>
      </c>
      <c r="J471" s="46">
        <f>(VLOOKUP($A471,'The List'!$B1:$AH730,22,FALSE)-AVERAGE('The List'!W2:W730))/STDEV('The List'!W2:W730)</f>
        <v>-0.603562493443598</v>
      </c>
      <c r="K471" s="46">
        <f>(VLOOKUP($A471,'The List'!$B1:$AH730,23,FALSE)-AVERAGE('The List'!X2:X730))/STDEV('The List'!X2:X730)</f>
        <v>-0.722998931187391</v>
      </c>
      <c r="L471" s="46">
        <f>(VLOOKUP($A471,'The List'!$B1:$AH730,24,FALSE)-AVERAGE('The List'!Y2:Y730))/STDEV('The List'!Y2:Y730)</f>
        <v>-0.48985951137685</v>
      </c>
      <c r="M471" s="46">
        <f>(VLOOKUP($A471,'The List'!$B1:$AH730,25,FALSE)-AVERAGE('The List'!Z2:Z730))/STDEV('The List'!Z2:Z730)</f>
        <v>-0.662176197512351</v>
      </c>
      <c r="N471" s="46">
        <f>(VLOOKUP($A471,'The List'!$B1:$AH730,26,FALSE)-AVERAGE('The List'!AA2:AA730))/STDEV('The List'!AA2:AA730)</f>
        <v>-1.06279907104953</v>
      </c>
      <c r="O471" s="46">
        <f>(VLOOKUP($A471,'The List'!$B1:$AH730,27,FALSE)-AVERAGE('The List'!AB2:AB730))/STDEV('The List'!AB2:AB730)</f>
        <v>0.0634288193433707</v>
      </c>
      <c r="P471" s="46">
        <f>(VLOOKUP($A471,'The List'!$B1:$AH730,28,FALSE)-AVERAGE('The List'!AC2:AC730))/STDEV('The List'!AC2:AC730)</f>
        <v>-1.98461539716389</v>
      </c>
      <c r="Q471" s="46">
        <f>(VLOOKUP($A471,'The List'!$B1:$AH730,29,FALSE)-AVERAGE('The List'!AD2:AD730))/STDEV('The List'!AD2:AD730)</f>
        <v>0.898060438624242</v>
      </c>
      <c r="R471" s="46">
        <f>(VLOOKUP($A471,'The List'!$B1:$AH730,30,FALSE)-AVERAGE('The List'!AE2:AE730))/STDEV('The List'!AE2:AE730)</f>
        <v>-0.677414298246097</v>
      </c>
      <c r="S471" s="46">
        <f>(VLOOKUP($A471,'The List'!$B1:$AH730,31,FALSE)-AVERAGE('The List'!AF2:AF730))/STDEV('The List'!AF2:AF730)</f>
        <v>-0.514607515676388</v>
      </c>
      <c r="T471" s="46">
        <f>(VLOOKUP($A471,'The List'!$B1:$AH730,32,FALSE)-AVERAGE('The List'!AG2:AG730))/STDEV('The List'!AG2:AG730)</f>
        <v>-0.550440949413583</v>
      </c>
      <c r="U471" s="46">
        <f>(VLOOKUP($A471,'The List'!$B1:$AH730,33,FALSE)-AVERAGE('The List'!AH2:AH730))/STDEV('The List'!AH2:AH730)</f>
        <v>0.880830840309081</v>
      </c>
      <c r="V471" s="46"/>
      <c r="W471" s="50"/>
      <c r="X471" s="48"/>
      <c r="Y471" s="48"/>
      <c r="Z471" s="48"/>
      <c r="AA471" s="48"/>
      <c r="AB471" s="48"/>
      <c r="AC471" s="51"/>
      <c r="AD471" s="52"/>
      <c r="AE471" s="46"/>
    </row>
    <row r="472" ht="21.25" customHeight="1">
      <c r="A472" t="s" s="8">
        <v>813</v>
      </c>
      <c r="B472" t="s" s="42">
        <f>VLOOKUP(A472,'Player Data'!A1:B734,2,FALSE)</f>
        <v>156</v>
      </c>
      <c r="C472" s="44">
        <f>((E472)*'Settings'!$C$12)+(F472*'Settings'!$C$2)+(G472*'Settings'!$C$3)+(H472*'Settings'!$C$4)+(I472*'Settings'!$C$5)+(K472*'Settings'!$C$9)+(N472*'Settings'!$C$6)+(J472*'Settings'!$C$8)+(O472*'Settings'!$C$7)+(P472*'Settings'!$C$14)+(Q472*'Settings'!$C$15)+(R472*'Settings'!$C$16)+(S472*'Settings'!$C$17)+(T472*'Settings'!$C$18)+(U472*'Settings'!$C$19)+(L472*'Settings'!$C$10)+('Settings'!$C$11*M472)</f>
        <v>-4.25972155647603</v>
      </c>
      <c r="D472" s="48">
        <f>IF('Settings'!$E$12="YES",VLOOKUP(A472,'Player Data'!A1:E734,5,FALSE),82)</f>
        <v>67.9046428571429</v>
      </c>
      <c r="E472" s="46">
        <f>(VLOOKUP($A472,'The List'!$B1:$AH730,17,FALSE)-AVERAGE('The List'!R2:R730))/STDEV('The List'!R2:R730)</f>
        <v>-1.40616772780066</v>
      </c>
      <c r="F472" s="46">
        <f>(VLOOKUP($A472,'The List'!$B1:$AH730,18,FALSE)-AVERAGE('The List'!S2:S730))/STDEV('The List'!S2:S730)</f>
        <v>-0.495186863828538</v>
      </c>
      <c r="G472" s="46">
        <f>(VLOOKUP($A472,'The List'!$B1:$AH730,19,FALSE)-AVERAGE('The List'!T2:T730))/STDEV('The List'!T2:T730)</f>
        <v>-0.8886069808831421</v>
      </c>
      <c r="H472" s="46">
        <f>(VLOOKUP($A472,'The List'!$B1:$AH730,20,FALSE)-AVERAGE('The List'!U2:U730))/STDEV('The List'!U2:U730)</f>
        <v>-0.773134478510911</v>
      </c>
      <c r="I472" s="46">
        <f>(VLOOKUP($A472,'The List'!$B1:$AH730,21,FALSE)-AVERAGE('The List'!V2:V730))/STDEV('The List'!V2:V730)</f>
        <v>-1.105733204649</v>
      </c>
      <c r="J472" s="46">
        <f>(VLOOKUP($A472,'The List'!$B1:$AH730,22,FALSE)-AVERAGE('The List'!W2:W730))/STDEV('The List'!W2:W730)</f>
        <v>-0.659455777378015</v>
      </c>
      <c r="K472" s="46">
        <f>(VLOOKUP($A472,'The List'!$B1:$AH730,23,FALSE)-AVERAGE('The List'!X2:X730))/STDEV('The List'!X2:X730)</f>
        <v>-0.766552182913979</v>
      </c>
      <c r="L472" s="46">
        <f>(VLOOKUP($A472,'The List'!$B1:$AH730,24,FALSE)-AVERAGE('The List'!Y2:Y730))/STDEV('The List'!Y2:Y730)</f>
        <v>0.421861873503753</v>
      </c>
      <c r="M472" s="46">
        <f>(VLOOKUP($A472,'The List'!$B1:$AH730,25,FALSE)-AVERAGE('The List'!Z2:Z730))/STDEV('The List'!Z2:Z730)</f>
        <v>-0.0360264143734422</v>
      </c>
      <c r="N472" s="46">
        <f>(VLOOKUP($A472,'The List'!$B1:$AH730,26,FALSE)-AVERAGE('The List'!AA2:AA730))/STDEV('The List'!AA2:AA730)</f>
        <v>-0.833072678625613</v>
      </c>
      <c r="O472" s="46">
        <f>(VLOOKUP($A472,'The List'!$B1:$AH730,27,FALSE)-AVERAGE('The List'!AB2:AB730))/STDEV('The List'!AB2:AB730)</f>
        <v>1.84485819490665</v>
      </c>
      <c r="P472" s="46">
        <f>(VLOOKUP($A472,'The List'!$B1:$AH730,28,FALSE)-AVERAGE('The List'!AC2:AC730))/STDEV('The List'!AC2:AC730)</f>
        <v>-0.170569645575762</v>
      </c>
      <c r="Q472" s="46">
        <f>(VLOOKUP($A472,'The List'!$B1:$AH730,29,FALSE)-AVERAGE('The List'!AD2:AD730))/STDEV('The List'!AD2:AD730)</f>
        <v>0.308650925032069</v>
      </c>
      <c r="R472" s="46">
        <f>(VLOOKUP($A472,'The List'!$B1:$AH730,30,FALSE)-AVERAGE('The List'!AE2:AE730))/STDEV('The List'!AE2:AE730)</f>
        <v>-0.447233507635425</v>
      </c>
      <c r="S472" s="46">
        <f>(VLOOKUP($A472,'The List'!$B1:$AH730,31,FALSE)-AVERAGE('The List'!AF2:AF730))/STDEV('The List'!AF2:AF730)</f>
        <v>-0.409739449479207</v>
      </c>
      <c r="T472" s="46">
        <f>(VLOOKUP($A472,'The List'!$B1:$AH730,32,FALSE)-AVERAGE('The List'!AG2:AG730))/STDEV('The List'!AG2:AG730)</f>
        <v>-0.46735576024775</v>
      </c>
      <c r="U472" s="46">
        <f>(VLOOKUP($A472,'The List'!$B1:$AH730,33,FALSE)-AVERAGE('The List'!AH2:AH730))/STDEV('The List'!AH2:AH730)</f>
        <v>1.18858146565458</v>
      </c>
      <c r="V472" s="46"/>
      <c r="W472" s="48"/>
      <c r="X472" s="46"/>
      <c r="Y472" s="46"/>
      <c r="Z472" s="46"/>
      <c r="AA472" s="46"/>
      <c r="AB472" s="46"/>
      <c r="AC472" s="46"/>
      <c r="AD472" s="46"/>
      <c r="AE472" s="46"/>
    </row>
    <row r="473" ht="21.25" customHeight="1">
      <c r="A473" t="s" s="8">
        <v>518</v>
      </c>
      <c r="B473" t="s" s="42">
        <f>VLOOKUP(A473,'Player Data'!A1:B734,2,FALSE)</f>
        <v>139</v>
      </c>
      <c r="C473" s="44">
        <f>((E473)*'Settings'!$C$12)+(F473*'Settings'!$C$2)+(G473*'Settings'!$C$3)+(H473*'Settings'!$C$4)+(I473*'Settings'!$C$5)+(K473*'Settings'!$C$9)+(N473*'Settings'!$C$6)+(J473*'Settings'!$C$8)+(O473*'Settings'!$C$7)+(P473*'Settings'!$C$14)+(Q473*'Settings'!$C$15)+(R473*'Settings'!$C$16)+(S473*'Settings'!$C$17)+(T473*'Settings'!$C$18)+(U473*'Settings'!$C$19)+(L473*'Settings'!$C$10)+('Settings'!$C$11*M473)</f>
        <v>-1.95946367082746</v>
      </c>
      <c r="D473" s="48">
        <f>IF('Settings'!$E$12="YES",VLOOKUP(A473,'Player Data'!A1:E734,5,FALSE),82)</f>
        <v>68.4375</v>
      </c>
      <c r="E473" s="46">
        <f>(VLOOKUP($A473,'The List'!$B1:$AH730,17,FALSE)-AVERAGE('The List'!R2:R730))/STDEV('The List'!R2:R730)</f>
        <v>1.53885045096471</v>
      </c>
      <c r="F473" s="46">
        <f>(VLOOKUP($A473,'The List'!$B1:$AH730,18,FALSE)-AVERAGE('The List'!S2:S730))/STDEV('The List'!S2:S730)</f>
        <v>-1.00060366543789</v>
      </c>
      <c r="G473" s="46">
        <f>(VLOOKUP($A473,'The List'!$B1:$AH730,19,FALSE)-AVERAGE('The List'!T2:T730))/STDEV('The List'!T2:T730)</f>
        <v>-0.509747050126237</v>
      </c>
      <c r="H473" s="46">
        <f>(VLOOKUP($A473,'The List'!$B1:$AH730,20,FALSE)-AVERAGE('The List'!U2:U730))/STDEV('The List'!U2:U730)</f>
        <v>-0.769547092031727</v>
      </c>
      <c r="I473" s="46">
        <f>(VLOOKUP($A473,'The List'!$B1:$AH730,21,FALSE)-AVERAGE('The List'!V2:V730))/STDEV('The List'!V2:V730)</f>
        <v>-0.597078494655761</v>
      </c>
      <c r="J473" s="46">
        <f>(VLOOKUP($A473,'The List'!$B1:$AH730,22,FALSE)-AVERAGE('The List'!W2:W730))/STDEV('The List'!W2:W730)</f>
        <v>-0.707532625983928</v>
      </c>
      <c r="K473" s="46">
        <f>(VLOOKUP($A473,'The List'!$B1:$AH730,23,FALSE)-AVERAGE('The List'!X2:X730))/STDEV('The List'!X2:X730)</f>
        <v>-0.787068927458128</v>
      </c>
      <c r="L473" s="46">
        <f>(VLOOKUP($A473,'The List'!$B1:$AH730,24,FALSE)-AVERAGE('The List'!Y2:Y730))/STDEV('The List'!Y2:Y730)</f>
        <v>-0.474348255304386</v>
      </c>
      <c r="M473" s="46">
        <f>(VLOOKUP($A473,'The List'!$B1:$AH730,25,FALSE)-AVERAGE('The List'!Z2:Z730))/STDEV('The List'!Z2:Z730)</f>
        <v>0.316442430146856</v>
      </c>
      <c r="N473" s="46">
        <f>(VLOOKUP($A473,'The List'!$B1:$AH730,26,FALSE)-AVERAGE('The List'!AA2:AA730))/STDEV('The List'!AA2:AA730)</f>
        <v>1.40812195898136</v>
      </c>
      <c r="O473" s="46">
        <f>(VLOOKUP($A473,'The List'!$B1:$AH730,27,FALSE)-AVERAGE('The List'!AB2:AB730))/STDEV('The List'!AB2:AB730)</f>
        <v>0.776350717024222</v>
      </c>
      <c r="P473" s="46">
        <f>(VLOOKUP($A473,'The List'!$B1:$AH730,28,FALSE)-AVERAGE('The List'!AC2:AC730))/STDEV('The List'!AC2:AC730)</f>
        <v>-0.473087492130806</v>
      </c>
      <c r="Q473" s="46">
        <f>(VLOOKUP($A473,'The List'!$B1:$AH730,29,FALSE)-AVERAGE('The List'!AD2:AD730))/STDEV('The List'!AD2:AD730)</f>
        <v>-0.150086642005851</v>
      </c>
      <c r="R473" s="46">
        <f>(VLOOKUP($A473,'The List'!$B1:$AH730,30,FALSE)-AVERAGE('The List'!AE2:AE730))/STDEV('The List'!AE2:AE730)</f>
        <v>-0.93878358472546</v>
      </c>
      <c r="S473" s="46">
        <f>(VLOOKUP($A473,'The List'!$B1:$AH730,31,FALSE)-AVERAGE('The List'!AF2:AF730))/STDEV('The List'!AF2:AF730)</f>
        <v>-0.5569063253591</v>
      </c>
      <c r="T473" s="46">
        <f>(VLOOKUP($A473,'The List'!$B1:$AH730,32,FALSE)-AVERAGE('The List'!AG2:AG730))/STDEV('The List'!AG2:AG730)</f>
        <v>-0.600856269042678</v>
      </c>
      <c r="U473" s="46">
        <f>(VLOOKUP($A473,'The List'!$B1:$AH730,33,FALSE)-AVERAGE('The List'!AH2:AH730))/STDEV('The List'!AH2:AH730)</f>
        <v>-1.2363238714826</v>
      </c>
      <c r="V473" s="46"/>
      <c r="W473" s="50"/>
      <c r="X473" s="48"/>
      <c r="Y473" s="48"/>
      <c r="Z473" s="48"/>
      <c r="AA473" s="48"/>
      <c r="AB473" s="48"/>
      <c r="AC473" s="51"/>
      <c r="AD473" s="52"/>
      <c r="AE473" s="46"/>
    </row>
    <row r="474" ht="21.25" customHeight="1">
      <c r="A474" t="s" s="8">
        <v>747</v>
      </c>
      <c r="B474" t="s" s="42">
        <f>VLOOKUP(A474,'Player Data'!A1:B734,2,FALSE)</f>
        <v>136</v>
      </c>
      <c r="C474" s="44">
        <f>((E474)*'Settings'!$C$12)+(F474*'Settings'!$C$2)+(G474*'Settings'!$C$3)+(H474*'Settings'!$C$4)+(I474*'Settings'!$C$5)+(K474*'Settings'!$C$9)+(N474*'Settings'!$C$6)+(J474*'Settings'!$C$8)+(O474*'Settings'!$C$7)+(P474*'Settings'!$C$14)+(Q474*'Settings'!$C$15)+(R474*'Settings'!$C$16)+(S474*'Settings'!$C$17)+(T474*'Settings'!$C$18)+(U474*'Settings'!$C$19)+(L474*'Settings'!$C$10)+('Settings'!$C$11*M474)</f>
        <v>-1.87755145699116</v>
      </c>
      <c r="D474" s="48">
        <f>IF('Settings'!$E$12="YES",VLOOKUP(A474,'Player Data'!A1:E734,5,FALSE),82)</f>
        <v>77.4421428571429</v>
      </c>
      <c r="E474" s="46">
        <f>(VLOOKUP($A474,'The List'!$B1:$AH730,17,FALSE)-AVERAGE('The List'!R2:R730))/STDEV('The List'!R2:R730)</f>
        <v>-1.5466827794842</v>
      </c>
      <c r="F474" s="46">
        <f>(VLOOKUP($A474,'The List'!$B1:$AH730,18,FALSE)-AVERAGE('The List'!S2:S730))/STDEV('The List'!S2:S730)</f>
        <v>-0.286377399682479</v>
      </c>
      <c r="G474" s="46">
        <f>(VLOOKUP($A474,'The List'!$B1:$AH730,19,FALSE)-AVERAGE('The List'!T2:T730))/STDEV('The List'!T2:T730)</f>
        <v>-0.884046186114171</v>
      </c>
      <c r="H474" s="46">
        <f>(VLOOKUP($A474,'The List'!$B1:$AH730,20,FALSE)-AVERAGE('The List'!U2:U730))/STDEV('The List'!U2:U730)</f>
        <v>-0.67531031447526</v>
      </c>
      <c r="I474" s="46">
        <f>(VLOOKUP($A474,'The List'!$B1:$AH730,21,FALSE)-AVERAGE('The List'!V2:V730))/STDEV('The List'!V2:V730)</f>
        <v>-0.138658903123281</v>
      </c>
      <c r="J474" s="46">
        <f>(VLOOKUP($A474,'The List'!$B1:$AH730,22,FALSE)-AVERAGE('The List'!W2:W730))/STDEV('The List'!W2:W730)</f>
        <v>-0.701028747215616</v>
      </c>
      <c r="K474" s="46">
        <f>(VLOOKUP($A474,'The List'!$B1:$AH730,23,FALSE)-AVERAGE('The List'!X2:X730))/STDEV('The List'!X2:X730)</f>
        <v>-0.78696065951028</v>
      </c>
      <c r="L474" s="46">
        <f>(VLOOKUP($A474,'The List'!$B1:$AH730,24,FALSE)-AVERAGE('The List'!Y2:Y730))/STDEV('The List'!Y2:Y730)</f>
        <v>-0.540628899058463</v>
      </c>
      <c r="M474" s="46">
        <f>(VLOOKUP($A474,'The List'!$B1:$AH730,25,FALSE)-AVERAGE('The List'!Z2:Z730))/STDEV('The List'!Z2:Z730)</f>
        <v>-0.719284852242926</v>
      </c>
      <c r="N474" s="46">
        <f>(VLOOKUP($A474,'The List'!$B1:$AH730,26,FALSE)-AVERAGE('The List'!AA2:AA730))/STDEV('The List'!AA2:AA730)</f>
        <v>-0.864262104054152</v>
      </c>
      <c r="O474" s="46">
        <f>(VLOOKUP($A474,'The List'!$B1:$AH730,27,FALSE)-AVERAGE('The List'!AB2:AB730))/STDEV('The List'!AB2:AB730)</f>
        <v>-0.316021614401866</v>
      </c>
      <c r="P474" s="46">
        <f>(VLOOKUP($A474,'The List'!$B1:$AH730,28,FALSE)-AVERAGE('The List'!AC2:AC730))/STDEV('The List'!AC2:AC730)</f>
        <v>1.0827537954932</v>
      </c>
      <c r="Q474" s="46">
        <f>(VLOOKUP($A474,'The List'!$B1:$AH730,29,FALSE)-AVERAGE('The List'!AD2:AD730))/STDEV('The List'!AD2:AD730)</f>
        <v>-0.6808274329624751</v>
      </c>
      <c r="R474" s="46">
        <f>(VLOOKUP($A474,'The List'!$B1:$AH730,30,FALSE)-AVERAGE('The List'!AE2:AE730))/STDEV('The List'!AE2:AE730)</f>
        <v>-0.133841985541936</v>
      </c>
      <c r="S474" s="46">
        <f>(VLOOKUP($A474,'The List'!$B1:$AH730,31,FALSE)-AVERAGE('The List'!AF2:AF730))/STDEV('The List'!AF2:AF730)</f>
        <v>-0.537457838735735</v>
      </c>
      <c r="T474" s="46">
        <f>(VLOOKUP($A474,'The List'!$B1:$AH730,32,FALSE)-AVERAGE('The List'!AG2:AG730))/STDEV('The List'!AG2:AG730)</f>
        <v>-0.55712217305717</v>
      </c>
      <c r="U474" s="46">
        <f>(VLOOKUP($A474,'The List'!$B1:$AH730,33,FALSE)-AVERAGE('The List'!AH2:AH730))/STDEV('The List'!AH2:AH730)</f>
        <v>0.202909361205021</v>
      </c>
      <c r="V474" s="46"/>
      <c r="W474" s="50"/>
      <c r="X474" s="48"/>
      <c r="Y474" s="48"/>
      <c r="Z474" s="48"/>
      <c r="AA474" s="48"/>
      <c r="AB474" s="48"/>
      <c r="AC474" s="51"/>
      <c r="AD474" s="52"/>
      <c r="AE474" s="46"/>
    </row>
    <row r="475" ht="21.25" customHeight="1">
      <c r="A475" t="s" s="8">
        <v>849</v>
      </c>
      <c r="B475" t="s" s="42">
        <f>VLOOKUP(A475,'Player Data'!A1:B734,2,FALSE)</f>
        <v>134</v>
      </c>
      <c r="C475" s="44">
        <f>((E475)*'Settings'!$C$12)+(F475*'Settings'!$C$2)+(G475*'Settings'!$C$3)+(H475*'Settings'!$C$4)+(I475*'Settings'!$C$5)+(K475*'Settings'!$C$9)+(N475*'Settings'!$C$6)+(J475*'Settings'!$C$8)+(O475*'Settings'!$C$7)+(P475*'Settings'!$C$14)+(Q475*'Settings'!$C$15)+(R475*'Settings'!$C$16)+(S475*'Settings'!$C$17)+(T475*'Settings'!$C$18)+(U475*'Settings'!$C$19)+(L475*'Settings'!$C$10)+('Settings'!$C$11*M475)</f>
        <v>-4.64023238899804</v>
      </c>
      <c r="D475" s="48">
        <f>IF('Settings'!$E$12="YES",VLOOKUP(A475,'Player Data'!A1:E734,5,FALSE),82)</f>
        <v>51.6475</v>
      </c>
      <c r="E475" s="46">
        <f>(VLOOKUP($A475,'The List'!$B1:$AH730,17,FALSE)-AVERAGE('The List'!R2:R730))/STDEV('The List'!R2:R730)</f>
        <v>-0.965441251934353</v>
      </c>
      <c r="F475" s="46">
        <f>(VLOOKUP($A475,'The List'!$B1:$AH730,18,FALSE)-AVERAGE('The List'!S2:S730))/STDEV('The List'!S2:S730)</f>
        <v>-0.7630494142148579</v>
      </c>
      <c r="G475" s="46">
        <f>(VLOOKUP($A475,'The List'!$B1:$AH730,19,FALSE)-AVERAGE('The List'!T2:T730))/STDEV('The List'!T2:T730)</f>
        <v>-1.03118744900754</v>
      </c>
      <c r="H475" s="46">
        <f>(VLOOKUP($A475,'The List'!$B1:$AH730,20,FALSE)-AVERAGE('The List'!U2:U730))/STDEV('The List'!U2:U730)</f>
        <v>-0.982916295674249</v>
      </c>
      <c r="I475" s="46">
        <f>(VLOOKUP($A475,'The List'!$B1:$AH730,21,FALSE)-AVERAGE('The List'!V2:V730))/STDEV('The List'!V2:V730)</f>
        <v>-1.2547313418232</v>
      </c>
      <c r="J475" s="46">
        <f>(VLOOKUP($A475,'The List'!$B1:$AH730,22,FALSE)-AVERAGE('The List'!W2:W730))/STDEV('The List'!W2:W730)</f>
        <v>-0.5265959115587689</v>
      </c>
      <c r="K475" s="46">
        <f>(VLOOKUP($A475,'The List'!$B1:$AH730,23,FALSE)-AVERAGE('The List'!X2:X730))/STDEV('The List'!X2:X730)</f>
        <v>-0.625623997990542</v>
      </c>
      <c r="L475" s="46">
        <f>(VLOOKUP($A475,'The List'!$B1:$AH730,24,FALSE)-AVERAGE('The List'!Y2:Y730))/STDEV('The List'!Y2:Y730)</f>
        <v>-0.436368119024343</v>
      </c>
      <c r="M475" s="46">
        <f>(VLOOKUP($A475,'The List'!$B1:$AH730,25,FALSE)-AVERAGE('The List'!Z2:Z730))/STDEV('The List'!Z2:Z730)</f>
        <v>-0.604978246767335</v>
      </c>
      <c r="N475" s="46">
        <f>(VLOOKUP($A475,'The List'!$B1:$AH730,26,FALSE)-AVERAGE('The List'!AA2:AA730))/STDEV('The List'!AA2:AA730)</f>
        <v>-0.918909885769378</v>
      </c>
      <c r="O475" s="46">
        <f>(VLOOKUP($A475,'The List'!$B1:$AH730,27,FALSE)-AVERAGE('The List'!AB2:AB730))/STDEV('The List'!AB2:AB730)</f>
        <v>-1.03342188870121</v>
      </c>
      <c r="P475" s="46">
        <f>(VLOOKUP($A475,'The List'!$B1:$AH730,28,FALSE)-AVERAGE('The List'!AC2:AC730))/STDEV('The List'!AC2:AC730)</f>
        <v>-0.0467303001925218</v>
      </c>
      <c r="Q475" s="46">
        <f>(VLOOKUP($A475,'The List'!$B1:$AH730,29,FALSE)-AVERAGE('The List'!AD2:AD730))/STDEV('The List'!AD2:AD730)</f>
        <v>-0.766593331138256</v>
      </c>
      <c r="R475" s="46">
        <f>(VLOOKUP($A475,'The List'!$B1:$AH730,30,FALSE)-AVERAGE('The List'!AE2:AE730))/STDEV('The List'!AE2:AE730)</f>
        <v>-0.628079784940467</v>
      </c>
      <c r="S475" s="46">
        <f>(VLOOKUP($A475,'The List'!$B1:$AH730,31,FALSE)-AVERAGE('The List'!AF2:AF730))/STDEV('The List'!AF2:AF730)</f>
        <v>0.368593304494916</v>
      </c>
      <c r="T475" s="46">
        <f>(VLOOKUP($A475,'The List'!$B1:$AH730,32,FALSE)-AVERAGE('The List'!AG2:AG730))/STDEV('The List'!AG2:AG730)</f>
        <v>0.553557057321079</v>
      </c>
      <c r="U475" s="46">
        <f>(VLOOKUP($A475,'The List'!$B1:$AH730,33,FALSE)-AVERAGE('The List'!AH2:AH730))/STDEV('The List'!AH2:AH730)</f>
        <v>0.829764173961935</v>
      </c>
      <c r="V475" s="46"/>
      <c r="W475" s="50"/>
      <c r="X475" s="48"/>
      <c r="Y475" s="48"/>
      <c r="Z475" s="48"/>
      <c r="AA475" s="48"/>
      <c r="AB475" s="48"/>
      <c r="AC475" s="51"/>
      <c r="AD475" s="52"/>
      <c r="AE475" s="46"/>
    </row>
    <row r="476" ht="21.25" customHeight="1">
      <c r="A476" t="s" s="8">
        <v>475</v>
      </c>
      <c r="B476" t="s" s="42">
        <f>VLOOKUP(A476,'Player Data'!A1:B734,2,FALSE)</f>
        <v>166</v>
      </c>
      <c r="C476" s="44">
        <f>((E476)*'Settings'!$C$12)+(F476*'Settings'!$C$2)+(G476*'Settings'!$C$3)+(H476*'Settings'!$C$4)+(I476*'Settings'!$C$5)+(K476*'Settings'!$C$9)+(N476*'Settings'!$C$6)+(J476*'Settings'!$C$8)+(O476*'Settings'!$C$7)+(P476*'Settings'!$C$14)+(Q476*'Settings'!$C$15)+(R476*'Settings'!$C$16)+(S476*'Settings'!$C$17)+(T476*'Settings'!$C$18)+(U476*'Settings'!$C$19)+(L476*'Settings'!$C$10)+('Settings'!$C$11*M476)</f>
        <v>-1.66006554393878</v>
      </c>
      <c r="D476" s="48">
        <f>IF('Settings'!$E$12="YES",VLOOKUP(A476,'Player Data'!A1:E734,5,FALSE),82)</f>
        <v>77.455</v>
      </c>
      <c r="E476" s="46">
        <f>(VLOOKUP($A476,'The List'!$B1:$AH730,17,FALSE)-AVERAGE('The List'!R2:R730))/STDEV('The List'!R2:R730)</f>
        <v>1.02099021027855</v>
      </c>
      <c r="F476" s="46">
        <f>(VLOOKUP($A476,'The List'!$B1:$AH730,18,FALSE)-AVERAGE('The List'!S2:S730))/STDEV('The List'!S2:S730)</f>
        <v>-0.571242544177325</v>
      </c>
      <c r="G476" s="46">
        <f>(VLOOKUP($A476,'The List'!$B1:$AH730,19,FALSE)-AVERAGE('The List'!T2:T730))/STDEV('The List'!T2:T730)</f>
        <v>-0.680872694598551</v>
      </c>
      <c r="H476" s="46">
        <f>(VLOOKUP($A476,'The List'!$B1:$AH730,20,FALSE)-AVERAGE('The List'!U2:U730))/STDEV('The List'!U2:U730)</f>
        <v>-0.6796758813175821</v>
      </c>
      <c r="I476" s="46">
        <f>(VLOOKUP($A476,'The List'!$B1:$AH730,21,FALSE)-AVERAGE('The List'!V2:V730))/STDEV('The List'!V2:V730)</f>
        <v>-0.457574947023363</v>
      </c>
      <c r="J476" s="46">
        <f>(VLOOKUP($A476,'The List'!$B1:$AH730,22,FALSE)-AVERAGE('The List'!W2:W730))/STDEV('The List'!W2:W730)</f>
        <v>-0.7073566033212531</v>
      </c>
      <c r="K476" s="46">
        <f>(VLOOKUP($A476,'The List'!$B1:$AH730,23,FALSE)-AVERAGE('The List'!X2:X730))/STDEV('The List'!X2:X730)</f>
        <v>-0.785941604915213</v>
      </c>
      <c r="L476" s="46">
        <f>(VLOOKUP($A476,'The List'!$B1:$AH730,24,FALSE)-AVERAGE('The List'!Y2:Y730))/STDEV('The List'!Y2:Y730)</f>
        <v>0.155811586852789</v>
      </c>
      <c r="M476" s="46">
        <f>(VLOOKUP($A476,'The List'!$B1:$AH730,25,FALSE)-AVERAGE('The List'!Z2:Z730))/STDEV('The List'!Z2:Z730)</f>
        <v>0.241201664009432</v>
      </c>
      <c r="N476" s="46">
        <f>(VLOOKUP($A476,'The List'!$B1:$AH730,26,FALSE)-AVERAGE('The List'!AA2:AA730))/STDEV('The List'!AA2:AA730)</f>
        <v>2.040717596737</v>
      </c>
      <c r="O476" s="46">
        <f>(VLOOKUP($A476,'The List'!$B1:$AH730,27,FALSE)-AVERAGE('The List'!AB2:AB730))/STDEV('The List'!AB2:AB730)</f>
        <v>2.84940074608543</v>
      </c>
      <c r="P476" s="46">
        <f>(VLOOKUP($A476,'The List'!$B1:$AH730,28,FALSE)-AVERAGE('The List'!AC2:AC730))/STDEV('The List'!AC2:AC730)</f>
        <v>-1.20515134996133</v>
      </c>
      <c r="Q476" s="46">
        <f>(VLOOKUP($A476,'The List'!$B1:$AH730,29,FALSE)-AVERAGE('The List'!AD2:AD730))/STDEV('The List'!AD2:AD730)</f>
        <v>0.145151819431138</v>
      </c>
      <c r="R476" s="46">
        <f>(VLOOKUP($A476,'The List'!$B1:$AH730,30,FALSE)-AVERAGE('The List'!AE2:AE730))/STDEV('The List'!AE2:AE730)</f>
        <v>-0.604738634719493</v>
      </c>
      <c r="S476" s="46">
        <f>(VLOOKUP($A476,'The List'!$B1:$AH730,31,FALSE)-AVERAGE('The List'!AF2:AF730))/STDEV('The List'!AF2:AF730)</f>
        <v>-0.5569063253591</v>
      </c>
      <c r="T476" s="46">
        <f>(VLOOKUP($A476,'The List'!$B1:$AH730,32,FALSE)-AVERAGE('The List'!AG2:AG730))/STDEV('The List'!AG2:AG730)</f>
        <v>-0.600856269042678</v>
      </c>
      <c r="U476" s="46">
        <f>(VLOOKUP($A476,'The List'!$B1:$AH730,33,FALSE)-AVERAGE('The List'!AH2:AH730))/STDEV('The List'!AH2:AH730)</f>
        <v>-1.2363238714826</v>
      </c>
      <c r="V476" s="46"/>
      <c r="W476" s="50"/>
      <c r="X476" s="48"/>
      <c r="Y476" s="48"/>
      <c r="Z476" s="48"/>
      <c r="AA476" s="48"/>
      <c r="AB476" s="48"/>
      <c r="AC476" s="51"/>
      <c r="AD476" s="52"/>
      <c r="AE476" s="46"/>
    </row>
    <row r="477" ht="21.25" customHeight="1">
      <c r="A477" t="s" s="8">
        <v>795</v>
      </c>
      <c r="B477" t="s" s="42">
        <f>VLOOKUP(A477,'Player Data'!A1:B734,2,FALSE)</f>
        <v>236</v>
      </c>
      <c r="C477" s="44">
        <f>((E477)*'Settings'!$C$12)+(F477*'Settings'!$C$2)+(G477*'Settings'!$C$3)+(H477*'Settings'!$C$4)+(I477*'Settings'!$C$5)+(K477*'Settings'!$C$9)+(N477*'Settings'!$C$6)+(J477*'Settings'!$C$8)+(O477*'Settings'!$C$7)+(P477*'Settings'!$C$14)+(Q477*'Settings'!$C$15)+(R477*'Settings'!$C$16)+(S477*'Settings'!$C$17)+(T477*'Settings'!$C$18)+(U477*'Settings'!$C$19)+(L477*'Settings'!$C$10)+('Settings'!$C$11*M477)</f>
        <v>-4.69513123650412</v>
      </c>
      <c r="D477" s="48">
        <f>IF('Settings'!$E$12="YES",VLOOKUP(A477,'Player Data'!A1:E734,5,FALSE),82)</f>
        <v>70.545</v>
      </c>
      <c r="E477" s="46">
        <f>(VLOOKUP($A477,'The List'!$B1:$AH730,17,FALSE)-AVERAGE('The List'!R2:R730))/STDEV('The List'!R2:R730)</f>
        <v>-1.46373623647529</v>
      </c>
      <c r="F477" s="46">
        <f>(VLOOKUP($A477,'The List'!$B1:$AH730,18,FALSE)-AVERAGE('The List'!S2:S730))/STDEV('The List'!S2:S730)</f>
        <v>-0.417738619554422</v>
      </c>
      <c r="G477" s="46">
        <f>(VLOOKUP($A477,'The List'!$B1:$AH730,19,FALSE)-AVERAGE('The List'!T2:T730))/STDEV('The List'!T2:T730)</f>
        <v>-0.932223931193929</v>
      </c>
      <c r="H477" s="46">
        <f>(VLOOKUP($A477,'The List'!$B1:$AH730,20,FALSE)-AVERAGE('The List'!U2:U730))/STDEV('The List'!U2:U730)</f>
        <v>-0.764783250666961</v>
      </c>
      <c r="I477" s="46">
        <f>(VLOOKUP($A477,'The List'!$B1:$AH730,21,FALSE)-AVERAGE('The List'!V2:V730))/STDEV('The List'!V2:V730)</f>
        <v>-0.791409664736344</v>
      </c>
      <c r="J477" s="46">
        <f>(VLOOKUP($A477,'The List'!$B1:$AH730,22,FALSE)-AVERAGE('The List'!W2:W730))/STDEV('The List'!W2:W730)</f>
        <v>-0.690868176311828</v>
      </c>
      <c r="K477" s="46">
        <f>(VLOOKUP($A477,'The List'!$B1:$AH730,23,FALSE)-AVERAGE('The List'!X2:X730))/STDEV('The List'!X2:X730)</f>
        <v>-0.788362978236709</v>
      </c>
      <c r="L477" s="46">
        <f>(VLOOKUP($A477,'The List'!$B1:$AH730,24,FALSE)-AVERAGE('The List'!Y2:Y730))/STDEV('The List'!Y2:Y730)</f>
        <v>2.50095146587029</v>
      </c>
      <c r="M477" s="46">
        <f>(VLOOKUP($A477,'The List'!$B1:$AH730,25,FALSE)-AVERAGE('The List'!Z2:Z730))/STDEV('The List'!Z2:Z730)</f>
        <v>2.15308733797052</v>
      </c>
      <c r="N477" s="46">
        <f>(VLOOKUP($A477,'The List'!$B1:$AH730,26,FALSE)-AVERAGE('The List'!AA2:AA730))/STDEV('The List'!AA2:AA730)</f>
        <v>-0.383660032148425</v>
      </c>
      <c r="O477" s="46">
        <f>(VLOOKUP($A477,'The List'!$B1:$AH730,27,FALSE)-AVERAGE('The List'!AB2:AB730))/STDEV('The List'!AB2:AB730)</f>
        <v>-0.366281620213457</v>
      </c>
      <c r="P477" s="46">
        <f>(VLOOKUP($A477,'The List'!$B1:$AH730,28,FALSE)-AVERAGE('The List'!AC2:AC730))/STDEV('The List'!AC2:AC730)</f>
        <v>-1.38173601063429</v>
      </c>
      <c r="Q477" s="46">
        <f>(VLOOKUP($A477,'The List'!$B1:$AH730,29,FALSE)-AVERAGE('The List'!AD2:AD730))/STDEV('The List'!AD2:AD730)</f>
        <v>-1.34008788674855</v>
      </c>
      <c r="R477" s="46">
        <f>(VLOOKUP($A477,'The List'!$B1:$AH730,30,FALSE)-AVERAGE('The List'!AE2:AE730))/STDEV('The List'!AE2:AE730)</f>
        <v>-0.513061054007528</v>
      </c>
      <c r="S477" s="46">
        <f>(VLOOKUP($A477,'The List'!$B1:$AH730,31,FALSE)-AVERAGE('The List'!AF2:AF730))/STDEV('The List'!AF2:AF730)</f>
        <v>0.61714133595948</v>
      </c>
      <c r="T477" s="46">
        <f>(VLOOKUP($A477,'The List'!$B1:$AH730,32,FALSE)-AVERAGE('The List'!AG2:AG730))/STDEV('The List'!AG2:AG730)</f>
        <v>0.859544458755782</v>
      </c>
      <c r="U477" s="46">
        <f>(VLOOKUP($A477,'The List'!$B1:$AH730,33,FALSE)-AVERAGE('The List'!AH2:AH730))/STDEV('The List'!AH2:AH730)</f>
        <v>0.832858566361916</v>
      </c>
      <c r="V477" s="46"/>
      <c r="W477" s="48"/>
      <c r="X477" s="46"/>
      <c r="Y477" s="46"/>
      <c r="Z477" s="46"/>
      <c r="AA477" s="46"/>
      <c r="AB477" s="46"/>
      <c r="AC477" s="46"/>
      <c r="AD477" s="46"/>
      <c r="AE477" s="46"/>
    </row>
    <row r="478" ht="21.25" customHeight="1">
      <c r="A478" t="s" s="8">
        <v>528</v>
      </c>
      <c r="B478" t="s" s="42">
        <f>VLOOKUP(A478,'Player Data'!A1:B734,2,FALSE)</f>
        <v>173</v>
      </c>
      <c r="C478" s="44">
        <f>((E478)*'Settings'!$C$12)+(F478*'Settings'!$C$2)+(G478*'Settings'!$C$3)+(H478*'Settings'!$C$4)+(I478*'Settings'!$C$5)+(K478*'Settings'!$C$9)+(N478*'Settings'!$C$6)+(J478*'Settings'!$C$8)+(O478*'Settings'!$C$7)+(P478*'Settings'!$C$14)+(Q478*'Settings'!$C$15)+(R478*'Settings'!$C$16)+(S478*'Settings'!$C$17)+(T478*'Settings'!$C$18)+(U478*'Settings'!$C$19)+(L478*'Settings'!$C$10)+('Settings'!$C$11*M478)</f>
        <v>-1.57643970594603</v>
      </c>
      <c r="D478" s="48">
        <f>IF('Settings'!$E$12="YES",VLOOKUP(A478,'Player Data'!A1:E734,5,FALSE),82)</f>
        <v>72.8153571428571</v>
      </c>
      <c r="E478" s="46">
        <f>(VLOOKUP($A478,'The List'!$B1:$AH730,17,FALSE)-AVERAGE('The List'!R2:R730))/STDEV('The List'!R2:R730)</f>
        <v>0.282579224725111</v>
      </c>
      <c r="F478" s="46">
        <f>(VLOOKUP($A478,'The List'!$B1:$AH730,18,FALSE)-AVERAGE('The List'!S2:S730))/STDEV('The List'!S2:S730)</f>
        <v>-1.06550682349141</v>
      </c>
      <c r="G478" s="46">
        <f>(VLOOKUP($A478,'The List'!$B1:$AH730,19,FALSE)-AVERAGE('The List'!T2:T730))/STDEV('The List'!T2:T730)</f>
        <v>-0.416382551394792</v>
      </c>
      <c r="H478" s="46">
        <f>(VLOOKUP($A478,'The List'!$B1:$AH730,20,FALSE)-AVERAGE('The List'!U2:U730))/STDEV('The List'!U2:U730)</f>
        <v>-0.741521344309259</v>
      </c>
      <c r="I478" s="46">
        <f>(VLOOKUP($A478,'The List'!$B1:$AH730,21,FALSE)-AVERAGE('The List'!V2:V730))/STDEV('The List'!V2:V730)</f>
        <v>-0.697636208336703</v>
      </c>
      <c r="J478" s="46">
        <f>(VLOOKUP($A478,'The List'!$B1:$AH730,22,FALSE)-AVERAGE('The List'!W2:W730))/STDEV('The List'!W2:W730)</f>
        <v>-0.685799317075791</v>
      </c>
      <c r="K478" s="46">
        <f>(VLOOKUP($A478,'The List'!$B1:$AH730,23,FALSE)-AVERAGE('The List'!X2:X730))/STDEV('The List'!X2:X730)</f>
        <v>-0.691362306954777</v>
      </c>
      <c r="L478" s="46">
        <f>(VLOOKUP($A478,'The List'!$B1:$AH730,24,FALSE)-AVERAGE('The List'!Y2:Y730))/STDEV('The List'!Y2:Y730)</f>
        <v>-0.480042143597502</v>
      </c>
      <c r="M478" s="46">
        <f>(VLOOKUP($A478,'The List'!$B1:$AH730,25,FALSE)-AVERAGE('The List'!Z2:Z730))/STDEV('The List'!Z2:Z730)</f>
        <v>-0.584307119073496</v>
      </c>
      <c r="N478" s="46">
        <f>(VLOOKUP($A478,'The List'!$B1:$AH730,26,FALSE)-AVERAGE('The List'!AA2:AA730))/STDEV('The List'!AA2:AA730)</f>
        <v>1.04240711825658</v>
      </c>
      <c r="O478" s="46">
        <f>(VLOOKUP($A478,'The List'!$B1:$AH730,27,FALSE)-AVERAGE('The List'!AB2:AB730))/STDEV('The List'!AB2:AB730)</f>
        <v>-0.529887001485816</v>
      </c>
      <c r="P478" s="46">
        <f>(VLOOKUP($A478,'The List'!$B1:$AH730,28,FALSE)-AVERAGE('The List'!AC2:AC730))/STDEV('The List'!AC2:AC730)</f>
        <v>0.252041065975071</v>
      </c>
      <c r="Q478" s="46">
        <f>(VLOOKUP($A478,'The List'!$B1:$AH730,29,FALSE)-AVERAGE('The List'!AD2:AD730))/STDEV('The List'!AD2:AD730)</f>
        <v>0.651226338324334</v>
      </c>
      <c r="R478" s="46">
        <f>(VLOOKUP($A478,'The List'!$B1:$AH730,30,FALSE)-AVERAGE('The List'!AE2:AE730))/STDEV('The List'!AE2:AE730)</f>
        <v>-0.9593687414922309</v>
      </c>
      <c r="S478" s="46">
        <f>(VLOOKUP($A478,'The List'!$B1:$AH730,31,FALSE)-AVERAGE('The List'!AF2:AF730))/STDEV('The List'!AF2:AF730)</f>
        <v>-0.5569063253591</v>
      </c>
      <c r="T478" s="46">
        <f>(VLOOKUP($A478,'The List'!$B1:$AH730,32,FALSE)-AVERAGE('The List'!AG2:AG730))/STDEV('The List'!AG2:AG730)</f>
        <v>-0.600856269042678</v>
      </c>
      <c r="U478" s="46">
        <f>(VLOOKUP($A478,'The List'!$B1:$AH730,33,FALSE)-AVERAGE('The List'!AH2:AH730))/STDEV('The List'!AH2:AH730)</f>
        <v>-1.2363238714826</v>
      </c>
      <c r="V478" s="46"/>
      <c r="W478" s="50"/>
      <c r="X478" s="48"/>
      <c r="Y478" s="48"/>
      <c r="Z478" s="48"/>
      <c r="AA478" s="48"/>
      <c r="AB478" s="48"/>
      <c r="AC478" s="51"/>
      <c r="AD478" s="52"/>
      <c r="AE478" s="46"/>
    </row>
    <row r="479" ht="21.25" customHeight="1">
      <c r="A479" t="s" s="8">
        <v>517</v>
      </c>
      <c r="B479" t="s" s="42">
        <f>VLOOKUP(A479,'Player Data'!A1:B734,2,FALSE)</f>
        <v>115</v>
      </c>
      <c r="C479" s="44">
        <f>((E479)*'Settings'!$C$12)+(F479*'Settings'!$C$2)+(G479*'Settings'!$C$3)+(H479*'Settings'!$C$4)+(I479*'Settings'!$C$5)+(K479*'Settings'!$C$9)+(N479*'Settings'!$C$6)+(J479*'Settings'!$C$8)+(O479*'Settings'!$C$7)+(P479*'Settings'!$C$14)+(Q479*'Settings'!$C$15)+(R479*'Settings'!$C$16)+(S479*'Settings'!$C$17)+(T479*'Settings'!$C$18)+(U479*'Settings'!$C$19)+(L479*'Settings'!$C$10)+('Settings'!$C$11*M479)</f>
        <v>0.313785647619949</v>
      </c>
      <c r="D479" s="48">
        <f>IF('Settings'!$E$12="YES",VLOOKUP(A479,'Player Data'!A1:E734,5,FALSE),82)</f>
        <v>77.77</v>
      </c>
      <c r="E479" s="46">
        <f>(VLOOKUP($A479,'The List'!$B1:$AH730,17,FALSE)-AVERAGE('The List'!R2:R730))/STDEV('The List'!R2:R730)</f>
        <v>1.29692880153865</v>
      </c>
      <c r="F479" s="46">
        <f>(VLOOKUP($A479,'The List'!$B1:$AH730,18,FALSE)-AVERAGE('The List'!S2:S730))/STDEV('The List'!S2:S730)</f>
        <v>-1.02250235957856</v>
      </c>
      <c r="G479" s="46">
        <f>(VLOOKUP($A479,'The List'!$B1:$AH730,19,FALSE)-AVERAGE('The List'!T2:T730))/STDEV('The List'!T2:T730)</f>
        <v>-0.365436102795264</v>
      </c>
      <c r="H479" s="46">
        <f>(VLOOKUP($A479,'The List'!$B1:$AH730,20,FALSE)-AVERAGE('The List'!U2:U730))/STDEV('The List'!U2:U730)</f>
        <v>-0.690545634806448</v>
      </c>
      <c r="I479" s="46">
        <f>(VLOOKUP($A479,'The List'!$B1:$AH730,21,FALSE)-AVERAGE('The List'!V2:V730))/STDEV('The List'!V2:V730)</f>
        <v>-0.905601710918212</v>
      </c>
      <c r="J479" s="46">
        <f>(VLOOKUP($A479,'The List'!$B1:$AH730,22,FALSE)-AVERAGE('The List'!W2:W730))/STDEV('The List'!W2:W730)</f>
        <v>-0.7106102837356441</v>
      </c>
      <c r="K479" s="46">
        <f>(VLOOKUP($A479,'The List'!$B1:$AH730,23,FALSE)-AVERAGE('The List'!X2:X730))/STDEV('The List'!X2:X730)</f>
        <v>-0.782986810684145</v>
      </c>
      <c r="L479" s="46">
        <f>(VLOOKUP($A479,'The List'!$B1:$AH730,24,FALSE)-AVERAGE('The List'!Y2:Y730))/STDEV('The List'!Y2:Y730)</f>
        <v>-0.495563688879788</v>
      </c>
      <c r="M479" s="46">
        <f>(VLOOKUP($A479,'The List'!$B1:$AH730,25,FALSE)-AVERAGE('The List'!Z2:Z730))/STDEV('The List'!Z2:Z730)</f>
        <v>0.826990049666855</v>
      </c>
      <c r="N479" s="46">
        <f>(VLOOKUP($A479,'The List'!$B1:$AH730,26,FALSE)-AVERAGE('The List'!AA2:AA730))/STDEV('The List'!AA2:AA730)</f>
        <v>1.94394706627258</v>
      </c>
      <c r="O479" s="46">
        <f>(VLOOKUP($A479,'The List'!$B1:$AH730,27,FALSE)-AVERAGE('The List'!AB2:AB730))/STDEV('The List'!AB2:AB730)</f>
        <v>-0.360103847113693</v>
      </c>
      <c r="P479" s="46">
        <f>(VLOOKUP($A479,'The List'!$B1:$AH730,28,FALSE)-AVERAGE('The List'!AC2:AC730))/STDEV('The List'!AC2:AC730)</f>
        <v>1.44636556532355</v>
      </c>
      <c r="Q479" s="46">
        <f>(VLOOKUP($A479,'The List'!$B1:$AH730,29,FALSE)-AVERAGE('The List'!AD2:AD730))/STDEV('The List'!AD2:AD730)</f>
        <v>-0.280796438490561</v>
      </c>
      <c r="R479" s="46">
        <f>(VLOOKUP($A479,'The List'!$B1:$AH730,30,FALSE)-AVERAGE('The List'!AE2:AE730))/STDEV('The List'!AE2:AE730)</f>
        <v>-0.899049162531438</v>
      </c>
      <c r="S479" s="46">
        <f>(VLOOKUP($A479,'The List'!$B1:$AH730,31,FALSE)-AVERAGE('The List'!AF2:AF730))/STDEV('The List'!AF2:AF730)</f>
        <v>-0.5569063253591</v>
      </c>
      <c r="T479" s="46">
        <f>(VLOOKUP($A479,'The List'!$B1:$AH730,32,FALSE)-AVERAGE('The List'!AG2:AG730))/STDEV('The List'!AG2:AG730)</f>
        <v>-0.600856269042678</v>
      </c>
      <c r="U479" s="46">
        <f>(VLOOKUP($A479,'The List'!$B1:$AH730,33,FALSE)-AVERAGE('The List'!AH2:AH730))/STDEV('The List'!AH2:AH730)</f>
        <v>-1.2363238714826</v>
      </c>
      <c r="V479" s="46"/>
      <c r="W479" s="50"/>
      <c r="X479" s="48"/>
      <c r="Y479" s="48"/>
      <c r="Z479" s="48"/>
      <c r="AA479" s="48"/>
      <c r="AB479" s="48"/>
      <c r="AC479" s="51"/>
      <c r="AD479" s="52"/>
      <c r="AE479" s="46"/>
    </row>
    <row r="480" ht="21.25" customHeight="1">
      <c r="A480" t="s" s="8">
        <v>529</v>
      </c>
      <c r="B480" t="s" s="42">
        <f>VLOOKUP(A480,'Player Data'!A1:B734,2,FALSE)</f>
        <v>151</v>
      </c>
      <c r="C480" s="44">
        <f>((E480)*'Settings'!$C$12)+(F480*'Settings'!$C$2)+(G480*'Settings'!$C$3)+(H480*'Settings'!$C$4)+(I480*'Settings'!$C$5)+(K480*'Settings'!$C$9)+(N480*'Settings'!$C$6)+(J480*'Settings'!$C$8)+(O480*'Settings'!$C$7)+(P480*'Settings'!$C$14)+(Q480*'Settings'!$C$15)+(R480*'Settings'!$C$16)+(S480*'Settings'!$C$17)+(T480*'Settings'!$C$18)+(U480*'Settings'!$C$19)+(L480*'Settings'!$C$10)+('Settings'!$C$11*M480)</f>
        <v>-0.04498077054216</v>
      </c>
      <c r="D480" s="48">
        <f>IF('Settings'!$E$12="YES",VLOOKUP(A480,'Player Data'!A1:E734,5,FALSE),82)</f>
        <v>75.23</v>
      </c>
      <c r="E480" s="46">
        <f>(VLOOKUP($A480,'The List'!$B1:$AH730,17,FALSE)-AVERAGE('The List'!R2:R730))/STDEV('The List'!R2:R730)</f>
        <v>0.66606383225423</v>
      </c>
      <c r="F480" s="46">
        <f>(VLOOKUP($A480,'The List'!$B1:$AH730,18,FALSE)-AVERAGE('The List'!S2:S730))/STDEV('The List'!S2:S730)</f>
        <v>-1.03467248440078</v>
      </c>
      <c r="G480" s="46">
        <f>(VLOOKUP($A480,'The List'!$B1:$AH730,19,FALSE)-AVERAGE('The List'!T2:T730))/STDEV('The List'!T2:T730)</f>
        <v>-0.4077005278466</v>
      </c>
      <c r="H480" s="46">
        <f>(VLOOKUP($A480,'The List'!$B1:$AH730,20,FALSE)-AVERAGE('The List'!U2:U730))/STDEV('The List'!U2:U730)</f>
        <v>-0.722138748215061</v>
      </c>
      <c r="I480" s="46">
        <f>(VLOOKUP($A480,'The List'!$B1:$AH730,21,FALSE)-AVERAGE('The List'!V2:V730))/STDEV('The List'!V2:V730)</f>
        <v>-0.788323985885367</v>
      </c>
      <c r="J480" s="46">
        <f>(VLOOKUP($A480,'The List'!$B1:$AH730,22,FALSE)-AVERAGE('The List'!W2:W730))/STDEV('The List'!W2:W730)</f>
        <v>-0.710317409245531</v>
      </c>
      <c r="K480" s="46">
        <f>(VLOOKUP($A480,'The List'!$B1:$AH730,23,FALSE)-AVERAGE('The List'!X2:X730))/STDEV('The List'!X2:X730)</f>
        <v>-0.794130832905463</v>
      </c>
      <c r="L480" s="46">
        <f>(VLOOKUP($A480,'The List'!$B1:$AH730,24,FALSE)-AVERAGE('The List'!Y2:Y730))/STDEV('The List'!Y2:Y730)</f>
        <v>-0.497039122092792</v>
      </c>
      <c r="M480" s="46">
        <f>(VLOOKUP($A480,'The List'!$B1:$AH730,25,FALSE)-AVERAGE('The List'!Z2:Z730))/STDEV('The List'!Z2:Z730)</f>
        <v>-0.0237136270630862</v>
      </c>
      <c r="N480" s="46">
        <f>(VLOOKUP($A480,'The List'!$B1:$AH730,26,FALSE)-AVERAGE('The List'!AA2:AA730))/STDEV('The List'!AA2:AA730)</f>
        <v>1.42137658959856</v>
      </c>
      <c r="O480" s="46">
        <f>(VLOOKUP($A480,'The List'!$B1:$AH730,27,FALSE)-AVERAGE('The List'!AB2:AB730))/STDEV('The List'!AB2:AB730)</f>
        <v>0.20660591754172</v>
      </c>
      <c r="P480" s="46">
        <f>(VLOOKUP($A480,'The List'!$B1:$AH730,28,FALSE)-AVERAGE('The List'!AC2:AC730))/STDEV('The List'!AC2:AC730)</f>
        <v>1.55847047089749</v>
      </c>
      <c r="Q480" s="46">
        <f>(VLOOKUP($A480,'The List'!$B1:$AH730,29,FALSE)-AVERAGE('The List'!AD2:AD730))/STDEV('The List'!AD2:AD730)</f>
        <v>1.11169685094312</v>
      </c>
      <c r="R480" s="46">
        <f>(VLOOKUP($A480,'The List'!$B1:$AH730,30,FALSE)-AVERAGE('The List'!AE2:AE730))/STDEV('The List'!AE2:AE730)</f>
        <v>-0.8952228638120751</v>
      </c>
      <c r="S480" s="46">
        <f>(VLOOKUP($A480,'The List'!$B1:$AH730,31,FALSE)-AVERAGE('The List'!AF2:AF730))/STDEV('The List'!AF2:AF730)</f>
        <v>-0.5569063253591</v>
      </c>
      <c r="T480" s="46">
        <f>(VLOOKUP($A480,'The List'!$B1:$AH730,32,FALSE)-AVERAGE('The List'!AG2:AG730))/STDEV('The List'!AG2:AG730)</f>
        <v>-0.600856269042678</v>
      </c>
      <c r="U480" s="46">
        <f>(VLOOKUP($A480,'The List'!$B1:$AH730,33,FALSE)-AVERAGE('The List'!AH2:AH730))/STDEV('The List'!AH2:AH730)</f>
        <v>-1.2363238714826</v>
      </c>
      <c r="V480" s="46"/>
      <c r="W480" s="50"/>
      <c r="X480" s="48"/>
      <c r="Y480" s="48"/>
      <c r="Z480" s="48"/>
      <c r="AA480" s="48"/>
      <c r="AB480" s="48"/>
      <c r="AC480" s="51"/>
      <c r="AD480" s="52"/>
      <c r="AE480" s="46"/>
    </row>
    <row r="481" ht="21.25" customHeight="1">
      <c r="A481" t="s" s="8">
        <v>505</v>
      </c>
      <c r="B481" t="s" s="42">
        <f>VLOOKUP(A481,'Player Data'!A1:B734,2,FALSE)</f>
        <v>164</v>
      </c>
      <c r="C481" s="44">
        <f>((E481)*'Settings'!$C$12)+(F481*'Settings'!$C$2)+(G481*'Settings'!$C$3)+(H481*'Settings'!$C$4)+(I481*'Settings'!$C$5)+(K481*'Settings'!$C$9)+(N481*'Settings'!$C$6)+(J481*'Settings'!$C$8)+(O481*'Settings'!$C$7)+(P481*'Settings'!$C$14)+(Q481*'Settings'!$C$15)+(R481*'Settings'!$C$16)+(S481*'Settings'!$C$17)+(T481*'Settings'!$C$18)+(U481*'Settings'!$C$19)+(L481*'Settings'!$C$10)+('Settings'!$C$11*M481)</f>
        <v>-0.893533269681324</v>
      </c>
      <c r="D481" s="48">
        <f>IF('Settings'!$E$12="YES",VLOOKUP(A481,'Player Data'!A1:E734,5,FALSE),82)</f>
        <v>78.59999999999999</v>
      </c>
      <c r="E481" s="46">
        <f>(VLOOKUP($A481,'The List'!$B1:$AH730,17,FALSE)-AVERAGE('The List'!R2:R730))/STDEV('The List'!R2:R730)</f>
        <v>0.781286182315105</v>
      </c>
      <c r="F481" s="46">
        <f>(VLOOKUP($A481,'The List'!$B1:$AH730,18,FALSE)-AVERAGE('The List'!S2:S730))/STDEV('The List'!S2:S730)</f>
        <v>-1.02405130095018</v>
      </c>
      <c r="G481" s="46">
        <f>(VLOOKUP($A481,'The List'!$B1:$AH730,19,FALSE)-AVERAGE('The List'!T2:T730))/STDEV('The List'!T2:T730)</f>
        <v>-0.352498300416915</v>
      </c>
      <c r="H481" s="46">
        <f>(VLOOKUP($A481,'The List'!$B1:$AH730,20,FALSE)-AVERAGE('The List'!U2:U730))/STDEV('The List'!U2:U730)</f>
        <v>-0.683274449079696</v>
      </c>
      <c r="I481" s="46">
        <f>(VLOOKUP($A481,'The List'!$B1:$AH730,21,FALSE)-AVERAGE('The List'!V2:V730))/STDEV('The List'!V2:V730)</f>
        <v>-0.642310643020819</v>
      </c>
      <c r="J481" s="46">
        <f>(VLOOKUP($A481,'The List'!$B1:$AH730,22,FALSE)-AVERAGE('The List'!W2:W730))/STDEV('The List'!W2:W730)</f>
        <v>-0.70802248811701</v>
      </c>
      <c r="K481" s="46">
        <f>(VLOOKUP($A481,'The List'!$B1:$AH730,23,FALSE)-AVERAGE('The List'!X2:X730))/STDEV('The List'!X2:X730)</f>
        <v>-0.787071008233532</v>
      </c>
      <c r="L481" s="46">
        <f>(VLOOKUP($A481,'The List'!$B1:$AH730,24,FALSE)-AVERAGE('The List'!Y2:Y730))/STDEV('The List'!Y2:Y730)</f>
        <v>0.686752227627157</v>
      </c>
      <c r="M481" s="46">
        <f>(VLOOKUP($A481,'The List'!$B1:$AH730,25,FALSE)-AVERAGE('The List'!Z2:Z730))/STDEV('The List'!Z2:Z730)</f>
        <v>1.6425918409377</v>
      </c>
      <c r="N481" s="46">
        <f>(VLOOKUP($A481,'The List'!$B1:$AH730,26,FALSE)-AVERAGE('The List'!AA2:AA730))/STDEV('The List'!AA2:AA730)</f>
        <v>1.33859756489187</v>
      </c>
      <c r="O481" s="46">
        <f>(VLOOKUP($A481,'The List'!$B1:$AH730,27,FALSE)-AVERAGE('The List'!AB2:AB730))/STDEV('The List'!AB2:AB730)</f>
        <v>0.714491586170959</v>
      </c>
      <c r="P481" s="46">
        <f>(VLOOKUP($A481,'The List'!$B1:$AH730,28,FALSE)-AVERAGE('The List'!AC2:AC730))/STDEV('The List'!AC2:AC730)</f>
        <v>0.573800418048252</v>
      </c>
      <c r="Q481" s="46">
        <f>(VLOOKUP($A481,'The List'!$B1:$AH730,29,FALSE)-AVERAGE('The List'!AD2:AD730))/STDEV('The List'!AD2:AD730)</f>
        <v>0.704876843859829</v>
      </c>
      <c r="R481" s="46">
        <f>(VLOOKUP($A481,'The List'!$B1:$AH730,30,FALSE)-AVERAGE('The List'!AE2:AE730))/STDEV('The List'!AE2:AE730)</f>
        <v>-0.9088770451257659</v>
      </c>
      <c r="S481" s="46">
        <f>(VLOOKUP($A481,'The List'!$B1:$AH730,31,FALSE)-AVERAGE('The List'!AF2:AF730))/STDEV('The List'!AF2:AF730)</f>
        <v>-0.5569063253591</v>
      </c>
      <c r="T481" s="46">
        <f>(VLOOKUP($A481,'The List'!$B1:$AH730,32,FALSE)-AVERAGE('The List'!AG2:AG730))/STDEV('The List'!AG2:AG730)</f>
        <v>-0.600856269042678</v>
      </c>
      <c r="U481" s="46">
        <f>(VLOOKUP($A481,'The List'!$B1:$AH730,33,FALSE)-AVERAGE('The List'!AH2:AH730))/STDEV('The List'!AH2:AH730)</f>
        <v>-1.2363238714826</v>
      </c>
      <c r="V481" s="46"/>
      <c r="W481" s="50"/>
      <c r="X481" s="48"/>
      <c r="Y481" s="48"/>
      <c r="Z481" s="48"/>
      <c r="AA481" s="48"/>
      <c r="AB481" s="48"/>
      <c r="AC481" s="51"/>
      <c r="AD481" s="52"/>
      <c r="AE481" s="46"/>
    </row>
    <row r="482" ht="21.25" customHeight="1">
      <c r="A482" t="s" s="8">
        <v>752</v>
      </c>
      <c r="B482" t="s" s="42">
        <f>VLOOKUP(A482,'Player Data'!A1:B734,2,FALSE)</f>
        <v>292</v>
      </c>
      <c r="C482" s="44">
        <f>((E482)*'Settings'!$C$12)+(F482*'Settings'!$C$2)+(G482*'Settings'!$C$3)+(H482*'Settings'!$C$4)+(I482*'Settings'!$C$5)+(K482*'Settings'!$C$9)+(N482*'Settings'!$C$6)+(J482*'Settings'!$C$8)+(O482*'Settings'!$C$7)+(P482*'Settings'!$C$14)+(Q482*'Settings'!$C$15)+(R482*'Settings'!$C$16)+(S482*'Settings'!$C$17)+(T482*'Settings'!$C$18)+(U482*'Settings'!$C$19)+(L482*'Settings'!$C$10)+('Settings'!$C$11*M482)</f>
        <v>-2.86819051250692</v>
      </c>
      <c r="D482" s="48">
        <f>IF('Settings'!$E$12="YES",VLOOKUP(A482,'Player Data'!A1:E734,5,FALSE),82)</f>
        <v>70.4942857142857</v>
      </c>
      <c r="E482" s="46">
        <f>(VLOOKUP($A482,'The List'!$B1:$AH730,17,FALSE)-AVERAGE('The List'!R2:R730))/STDEV('The List'!R2:R730)</f>
        <v>-1.5123693548173</v>
      </c>
      <c r="F482" s="46">
        <f>(VLOOKUP($A482,'The List'!$B1:$AH730,18,FALSE)-AVERAGE('The List'!S2:S730))/STDEV('The List'!S2:S730)</f>
        <v>-0.527451164142434</v>
      </c>
      <c r="G482" s="46">
        <f>(VLOOKUP($A482,'The List'!$B1:$AH730,19,FALSE)-AVERAGE('The List'!T2:T730))/STDEV('The List'!T2:T730)</f>
        <v>-0.873196866409366</v>
      </c>
      <c r="H482" s="46">
        <f>(VLOOKUP($A482,'The List'!$B1:$AH730,20,FALSE)-AVERAGE('The List'!U2:U730))/STDEV('The List'!U2:U730)</f>
        <v>-0.778315249209328</v>
      </c>
      <c r="I482" s="46">
        <f>(VLOOKUP($A482,'The List'!$B1:$AH730,21,FALSE)-AVERAGE('The List'!V2:V730))/STDEV('The List'!V2:V730)</f>
        <v>-0.385867299995151</v>
      </c>
      <c r="J482" s="46">
        <f>(VLOOKUP($A482,'The List'!$B1:$AH730,22,FALSE)-AVERAGE('The List'!W2:W730))/STDEV('The List'!W2:W730)</f>
        <v>-0.702401227802855</v>
      </c>
      <c r="K482" s="46">
        <f>(VLOOKUP($A482,'The List'!$B1:$AH730,23,FALSE)-AVERAGE('The List'!X2:X730))/STDEV('The List'!X2:X730)</f>
        <v>-0.792220946952388</v>
      </c>
      <c r="L482" s="46">
        <f>(VLOOKUP($A482,'The List'!$B1:$AH730,24,FALSE)-AVERAGE('The List'!Y2:Y730))/STDEV('The List'!Y2:Y730)</f>
        <v>-0.542843480388394</v>
      </c>
      <c r="M482" s="46">
        <f>(VLOOKUP($A482,'The List'!$B1:$AH730,25,FALSE)-AVERAGE('The List'!Z2:Z730))/STDEV('The List'!Z2:Z730)</f>
        <v>-0.72177514995105</v>
      </c>
      <c r="N482" s="46">
        <f>(VLOOKUP($A482,'The List'!$B1:$AH730,26,FALSE)-AVERAGE('The List'!AA2:AA730))/STDEV('The List'!AA2:AA730)</f>
        <v>-0.177949683931656</v>
      </c>
      <c r="O482" s="46">
        <f>(VLOOKUP($A482,'The List'!$B1:$AH730,27,FALSE)-AVERAGE('The List'!AB2:AB730))/STDEV('The List'!AB2:AB730)</f>
        <v>0.923447819632033</v>
      </c>
      <c r="P482" s="46">
        <f>(VLOOKUP($A482,'The List'!$B1:$AH730,28,FALSE)-AVERAGE('The List'!AC2:AC730))/STDEV('The List'!AC2:AC730)</f>
        <v>-0.11150455107592</v>
      </c>
      <c r="Q482" s="46">
        <f>(VLOOKUP($A482,'The List'!$B1:$AH730,29,FALSE)-AVERAGE('The List'!AD2:AD730))/STDEV('The List'!AD2:AD730)</f>
        <v>-1.09180626765407</v>
      </c>
      <c r="R482" s="46">
        <f>(VLOOKUP($A482,'The List'!$B1:$AH730,30,FALSE)-AVERAGE('The List'!AE2:AE730))/STDEV('The List'!AE2:AE730)</f>
        <v>-1.18448477237391</v>
      </c>
      <c r="S482" s="46">
        <f>(VLOOKUP($A482,'The List'!$B1:$AH730,31,FALSE)-AVERAGE('The List'!AF2:AF730))/STDEV('The List'!AF2:AF730)</f>
        <v>-0.449631838037236</v>
      </c>
      <c r="T482" s="46">
        <f>(VLOOKUP($A482,'The List'!$B1:$AH730,32,FALSE)-AVERAGE('The List'!AG2:AG730))/STDEV('The List'!AG2:AG730)</f>
        <v>-0.474839769534927</v>
      </c>
      <c r="U482" s="46">
        <f>(VLOOKUP($A482,'The List'!$B1:$AH730,33,FALSE)-AVERAGE('The List'!AH2:AH730))/STDEV('The List'!AH2:AH730)</f>
        <v>0.897161775490817</v>
      </c>
      <c r="V482" s="46"/>
      <c r="W482" s="48"/>
      <c r="X482" s="46"/>
      <c r="Y482" s="46"/>
      <c r="Z482" s="46"/>
      <c r="AA482" s="46"/>
      <c r="AB482" s="46"/>
      <c r="AC482" s="46"/>
      <c r="AD482" s="46"/>
      <c r="AE482" s="46"/>
    </row>
    <row r="483" ht="21.25" customHeight="1">
      <c r="A483" t="s" s="8">
        <v>761</v>
      </c>
      <c r="B483" t="s" s="42">
        <f>VLOOKUP(A483,'Player Data'!A1:B734,2,FALSE)</f>
        <v>189</v>
      </c>
      <c r="C483" s="44">
        <f>((E483)*'Settings'!$C$12)+(F483*'Settings'!$C$2)+(G483*'Settings'!$C$3)+(H483*'Settings'!$C$4)+(I483*'Settings'!$C$5)+(K483*'Settings'!$C$9)+(N483*'Settings'!$C$6)+(J483*'Settings'!$C$8)+(O483*'Settings'!$C$7)+(P483*'Settings'!$C$14)+(Q483*'Settings'!$C$15)+(R483*'Settings'!$C$16)+(S483*'Settings'!$C$17)+(T483*'Settings'!$C$18)+(U483*'Settings'!$C$19)+(L483*'Settings'!$C$10)+('Settings'!$C$11*M483)</f>
        <v>-4.61807966903174</v>
      </c>
      <c r="D483" s="48">
        <f>IF('Settings'!$E$12="YES",VLOOKUP(A483,'Player Data'!A1:E734,5,FALSE),82)</f>
        <v>78.07214285714289</v>
      </c>
      <c r="E483" s="46">
        <f>(VLOOKUP($A483,'The List'!$B1:$AH730,17,FALSE)-AVERAGE('The List'!R2:R730))/STDEV('The List'!R2:R730)</f>
        <v>-0.776147642014444</v>
      </c>
      <c r="F483" s="46">
        <f>(VLOOKUP($A483,'The List'!$B1:$AH730,18,FALSE)-AVERAGE('The List'!S2:S730))/STDEV('The List'!S2:S730)</f>
        <v>-0.349473716031303</v>
      </c>
      <c r="G483" s="46">
        <f>(VLOOKUP($A483,'The List'!$B1:$AH730,19,FALSE)-AVERAGE('The List'!T2:T730))/STDEV('The List'!T2:T730)</f>
        <v>-0.864268052847993</v>
      </c>
      <c r="H483" s="46">
        <f>(VLOOKUP($A483,'The List'!$B1:$AH730,20,FALSE)-AVERAGE('The List'!U2:U730))/STDEV('The List'!U2:U730)</f>
        <v>-0.691827444653517</v>
      </c>
      <c r="I483" s="46">
        <f>(VLOOKUP($A483,'The List'!$B1:$AH730,21,FALSE)-AVERAGE('The List'!V2:V730))/STDEV('The List'!V2:V730)</f>
        <v>-0.450829625643645</v>
      </c>
      <c r="J483" s="46">
        <f>(VLOOKUP($A483,'The List'!$B1:$AH730,22,FALSE)-AVERAGE('The List'!W2:W730))/STDEV('The List'!W2:W730)</f>
        <v>-0.689589858081694</v>
      </c>
      <c r="K483" s="46">
        <f>(VLOOKUP($A483,'The List'!$B1:$AH730,23,FALSE)-AVERAGE('The List'!X2:X730))/STDEV('The List'!X2:X730)</f>
        <v>-0.786959958639758</v>
      </c>
      <c r="L483" s="46">
        <f>(VLOOKUP($A483,'The List'!$B1:$AH730,24,FALSE)-AVERAGE('The List'!Y2:Y730))/STDEV('The List'!Y2:Y730)</f>
        <v>0.465580819092121</v>
      </c>
      <c r="M483" s="46">
        <f>(VLOOKUP($A483,'The List'!$B1:$AH730,25,FALSE)-AVERAGE('The List'!Z2:Z730))/STDEV('The List'!Z2:Z730)</f>
        <v>0.30588498672678</v>
      </c>
      <c r="N483" s="46">
        <f>(VLOOKUP($A483,'The List'!$B1:$AH730,26,FALSE)-AVERAGE('The List'!AA2:AA730))/STDEV('The List'!AA2:AA730)</f>
        <v>-0.370245722182339</v>
      </c>
      <c r="O483" s="46">
        <f>(VLOOKUP($A483,'The List'!$B1:$AH730,27,FALSE)-AVERAGE('The List'!AB2:AB730))/STDEV('The List'!AB2:AB730)</f>
        <v>1.86963121890956</v>
      </c>
      <c r="P483" s="46">
        <f>(VLOOKUP($A483,'The List'!$B1:$AH730,28,FALSE)-AVERAGE('The List'!AC2:AC730))/STDEV('The List'!AC2:AC730)</f>
        <v>-1.7963025936867</v>
      </c>
      <c r="Q483" s="46">
        <f>(VLOOKUP($A483,'The List'!$B1:$AH730,29,FALSE)-AVERAGE('The List'!AD2:AD730))/STDEV('The List'!AD2:AD730)</f>
        <v>0.663061653041928</v>
      </c>
      <c r="R483" s="46">
        <f>(VLOOKUP($A483,'The List'!$B1:$AH730,30,FALSE)-AVERAGE('The List'!AE2:AE730))/STDEV('The List'!AE2:AE730)</f>
        <v>-0.524801989166289</v>
      </c>
      <c r="S483" s="46">
        <f>(VLOOKUP($A483,'The List'!$B1:$AH730,31,FALSE)-AVERAGE('The List'!AF2:AF730))/STDEV('The List'!AF2:AF730)</f>
        <v>2.15311675409399</v>
      </c>
      <c r="T483" s="46">
        <f>(VLOOKUP($A483,'The List'!$B1:$AH730,32,FALSE)-AVERAGE('The List'!AG2:AG730))/STDEV('The List'!AG2:AG730)</f>
        <v>2.1614206459284</v>
      </c>
      <c r="U483" s="46">
        <f>(VLOOKUP($A483,'The List'!$B1:$AH730,33,FALSE)-AVERAGE('The List'!AH2:AH730))/STDEV('The List'!AH2:AH730)</f>
        <v>1.05727620125514</v>
      </c>
      <c r="V483" s="46"/>
      <c r="W483" s="50"/>
      <c r="X483" s="48"/>
      <c r="Y483" s="48"/>
      <c r="Z483" s="48"/>
      <c r="AA483" s="48"/>
      <c r="AB483" s="48"/>
      <c r="AC483" s="51"/>
      <c r="AD483" s="52"/>
      <c r="AE483" s="46"/>
    </row>
    <row r="484" ht="21.25" customHeight="1">
      <c r="A484" t="s" s="8">
        <v>500</v>
      </c>
      <c r="B484" t="s" s="42">
        <f>VLOOKUP(A484,'Player Data'!A1:B734,2,FALSE)</f>
        <v>204</v>
      </c>
      <c r="C484" s="44">
        <f>((E484)*'Settings'!$C$12)+(F484*'Settings'!$C$2)+(G484*'Settings'!$C$3)+(H484*'Settings'!$C$4)+(I484*'Settings'!$C$5)+(K484*'Settings'!$C$9)+(N484*'Settings'!$C$6)+(J484*'Settings'!$C$8)+(O484*'Settings'!$C$7)+(P484*'Settings'!$C$14)+(Q484*'Settings'!$C$15)+(R484*'Settings'!$C$16)+(S484*'Settings'!$C$17)+(T484*'Settings'!$C$18)+(U484*'Settings'!$C$19)+(L484*'Settings'!$C$10)+('Settings'!$C$11*M484)</f>
        <v>-1.10789701485742</v>
      </c>
      <c r="D484" s="48">
        <f>IF('Settings'!$E$12="YES",VLOOKUP(A484,'Player Data'!A1:E734,5,FALSE),82)</f>
        <v>77.4121428571429</v>
      </c>
      <c r="E484" s="46">
        <f>(VLOOKUP($A484,'The List'!$B1:$AH730,17,FALSE)-AVERAGE('The List'!R2:R730))/STDEV('The List'!R2:R730)</f>
        <v>1.37252464494501</v>
      </c>
      <c r="F484" s="46">
        <f>(VLOOKUP($A484,'The List'!$B1:$AH730,18,FALSE)-AVERAGE('The List'!S2:S730))/STDEV('The List'!S2:S730)</f>
        <v>-0.882483558554689</v>
      </c>
      <c r="G484" s="46">
        <f>(VLOOKUP($A484,'The List'!$B1:$AH730,19,FALSE)-AVERAGE('The List'!T2:T730))/STDEV('The List'!T2:T730)</f>
        <v>-0.48679710300981</v>
      </c>
      <c r="H484" s="46">
        <f>(VLOOKUP($A484,'The List'!$B1:$AH730,20,FALSE)-AVERAGE('The List'!U2:U730))/STDEV('The List'!U2:U730)</f>
        <v>-0.701651733668014</v>
      </c>
      <c r="I484" s="46">
        <f>(VLOOKUP($A484,'The List'!$B1:$AH730,21,FALSE)-AVERAGE('The List'!V2:V730))/STDEV('The List'!V2:V730)</f>
        <v>-0.65171483005973</v>
      </c>
      <c r="J484" s="46">
        <f>(VLOOKUP($A484,'The List'!$B1:$AH730,22,FALSE)-AVERAGE('The List'!W2:W730))/STDEV('The List'!W2:W730)</f>
        <v>-0.68911610408936</v>
      </c>
      <c r="K484" s="46">
        <f>(VLOOKUP($A484,'The List'!$B1:$AH730,23,FALSE)-AVERAGE('The List'!X2:X730))/STDEV('The List'!X2:X730)</f>
        <v>-0.7811599128628161</v>
      </c>
      <c r="L484" s="46">
        <f>(VLOOKUP($A484,'The List'!$B1:$AH730,24,FALSE)-AVERAGE('The List'!Y2:Y730))/STDEV('The List'!Y2:Y730)</f>
        <v>-0.493237639765053</v>
      </c>
      <c r="M484" s="46">
        <f>(VLOOKUP($A484,'The List'!$B1:$AH730,25,FALSE)-AVERAGE('The List'!Z2:Z730))/STDEV('The List'!Z2:Z730)</f>
        <v>0.466536001013102</v>
      </c>
      <c r="N484" s="46">
        <f>(VLOOKUP($A484,'The List'!$B1:$AH730,26,FALSE)-AVERAGE('The List'!AA2:AA730))/STDEV('The List'!AA2:AA730)</f>
        <v>1.66325128252181</v>
      </c>
      <c r="O484" s="46">
        <f>(VLOOKUP($A484,'The List'!$B1:$AH730,27,FALSE)-AVERAGE('The List'!AB2:AB730))/STDEV('The List'!AB2:AB730)</f>
        <v>1.26707048053804</v>
      </c>
      <c r="P484" s="46">
        <f>(VLOOKUP($A484,'The List'!$B1:$AH730,28,FALSE)-AVERAGE('The List'!AC2:AC730))/STDEV('The List'!AC2:AC730)</f>
        <v>0.0310071071078169</v>
      </c>
      <c r="Q484" s="46">
        <f>(VLOOKUP($A484,'The List'!$B1:$AH730,29,FALSE)-AVERAGE('The List'!AD2:AD730))/STDEV('The List'!AD2:AD730)</f>
        <v>-0.064654516125597</v>
      </c>
      <c r="R484" s="46">
        <f>(VLOOKUP($A484,'The List'!$B1:$AH730,30,FALSE)-AVERAGE('The List'!AE2:AE730))/STDEV('The List'!AE2:AE730)</f>
        <v>-0.786514999651749</v>
      </c>
      <c r="S484" s="46">
        <f>(VLOOKUP($A484,'The List'!$B1:$AH730,31,FALSE)-AVERAGE('The List'!AF2:AF730))/STDEV('The List'!AF2:AF730)</f>
        <v>-0.5569063253591</v>
      </c>
      <c r="T484" s="46">
        <f>(VLOOKUP($A484,'The List'!$B1:$AH730,32,FALSE)-AVERAGE('The List'!AG2:AG730))/STDEV('The List'!AG2:AG730)</f>
        <v>-0.600856269042678</v>
      </c>
      <c r="U484" s="46">
        <f>(VLOOKUP($A484,'The List'!$B1:$AH730,33,FALSE)-AVERAGE('The List'!AH2:AH730))/STDEV('The List'!AH2:AH730)</f>
        <v>-1.2363238714826</v>
      </c>
      <c r="V484" s="46"/>
      <c r="W484" s="50"/>
      <c r="X484" s="48"/>
      <c r="Y484" s="48"/>
      <c r="Z484" s="48"/>
      <c r="AA484" s="48"/>
      <c r="AB484" s="48"/>
      <c r="AC484" s="51"/>
      <c r="AD484" s="52"/>
      <c r="AE484" s="46"/>
    </row>
    <row r="485" ht="21.25" customHeight="1">
      <c r="A485" t="s" s="8">
        <v>563</v>
      </c>
      <c r="B485" t="s" s="42">
        <f>VLOOKUP(A485,'Player Data'!A1:B734,2,FALSE)</f>
        <v>173</v>
      </c>
      <c r="C485" s="44">
        <f>((E485)*'Settings'!$C$12)+(F485*'Settings'!$C$2)+(G485*'Settings'!$C$3)+(H485*'Settings'!$C$4)+(I485*'Settings'!$C$5)+(K485*'Settings'!$C$9)+(N485*'Settings'!$C$6)+(J485*'Settings'!$C$8)+(O485*'Settings'!$C$7)+(P485*'Settings'!$C$14)+(Q485*'Settings'!$C$15)+(R485*'Settings'!$C$16)+(S485*'Settings'!$C$17)+(T485*'Settings'!$C$18)+(U485*'Settings'!$C$19)+(L485*'Settings'!$C$10)+('Settings'!$C$11*M485)</f>
        <v>-1.78461441627553</v>
      </c>
      <c r="D485" s="48">
        <f>IF('Settings'!$E$12="YES",VLOOKUP(A485,'Player Data'!A1:E734,5,FALSE),82)</f>
        <v>75.4271428571429</v>
      </c>
      <c r="E485" s="46">
        <f>(VLOOKUP($A485,'The List'!$B1:$AH730,17,FALSE)-AVERAGE('The List'!R2:R730))/STDEV('The List'!R2:R730)</f>
        <v>0.707757014339607</v>
      </c>
      <c r="F485" s="46">
        <f>(VLOOKUP($A485,'The List'!$B1:$AH730,18,FALSE)-AVERAGE('The List'!S2:S730))/STDEV('The List'!S2:S730)</f>
        <v>-0.808040938659592</v>
      </c>
      <c r="G485" s="46">
        <f>(VLOOKUP($A485,'The List'!$B1:$AH730,19,FALSE)-AVERAGE('The List'!T2:T730))/STDEV('The List'!T2:T730)</f>
        <v>-0.579736291058783</v>
      </c>
      <c r="H485" s="46">
        <f>(VLOOKUP($A485,'The List'!$B1:$AH730,20,FALSE)-AVERAGE('The List'!U2:U730))/STDEV('The List'!U2:U730)</f>
        <v>-0.725074636486386</v>
      </c>
      <c r="I485" s="46">
        <f>(VLOOKUP($A485,'The List'!$B1:$AH730,21,FALSE)-AVERAGE('The List'!V2:V730))/STDEV('The List'!V2:V730)</f>
        <v>-1.01209285790891</v>
      </c>
      <c r="J485" s="46">
        <f>(VLOOKUP($A485,'The List'!$B1:$AH730,22,FALSE)-AVERAGE('The List'!W2:W730))/STDEV('The List'!W2:W730)</f>
        <v>-0.708732507457465</v>
      </c>
      <c r="K485" s="46">
        <f>(VLOOKUP($A485,'The List'!$B1:$AH730,23,FALSE)-AVERAGE('The List'!X2:X730))/STDEV('The List'!X2:X730)</f>
        <v>-0.789780449317561</v>
      </c>
      <c r="L485" s="46">
        <f>(VLOOKUP($A485,'The List'!$B1:$AH730,24,FALSE)-AVERAGE('The List'!Y2:Y730))/STDEV('The List'!Y2:Y730)</f>
        <v>-0.49551774118407</v>
      </c>
      <c r="M485" s="46">
        <f>(VLOOKUP($A485,'The List'!$B1:$AH730,25,FALSE)-AVERAGE('The List'!Z2:Z730))/STDEV('The List'!Z2:Z730)</f>
        <v>-0.613356884798037</v>
      </c>
      <c r="N485" s="46">
        <f>(VLOOKUP($A485,'The List'!$B1:$AH730,26,FALSE)-AVERAGE('The List'!AA2:AA730))/STDEV('The List'!AA2:AA730)</f>
        <v>1.08291289396527</v>
      </c>
      <c r="O485" s="46">
        <f>(VLOOKUP($A485,'The List'!$B1:$AH730,27,FALSE)-AVERAGE('The List'!AB2:AB730))/STDEV('The List'!AB2:AB730)</f>
        <v>1.23467532532967</v>
      </c>
      <c r="P485" s="46">
        <f>(VLOOKUP($A485,'The List'!$B1:$AH730,28,FALSE)-AVERAGE('The List'!AC2:AC730))/STDEV('The List'!AC2:AC730)</f>
        <v>0.322123226704044</v>
      </c>
      <c r="Q485" s="46">
        <f>(VLOOKUP($A485,'The List'!$B1:$AH730,29,FALSE)-AVERAGE('The List'!AD2:AD730))/STDEV('The List'!AD2:AD730)</f>
        <v>1.17560702832408</v>
      </c>
      <c r="R485" s="46">
        <f>(VLOOKUP($A485,'The List'!$B1:$AH730,30,FALSE)-AVERAGE('The List'!AE2:AE730))/STDEV('The List'!AE2:AE730)</f>
        <v>-0.707418126873629</v>
      </c>
      <c r="S485" s="46">
        <f>(VLOOKUP($A485,'The List'!$B1:$AH730,31,FALSE)-AVERAGE('The List'!AF2:AF730))/STDEV('The List'!AF2:AF730)</f>
        <v>-0.5569063253591</v>
      </c>
      <c r="T485" s="46">
        <f>(VLOOKUP($A485,'The List'!$B1:$AH730,32,FALSE)-AVERAGE('The List'!AG2:AG730))/STDEV('The List'!AG2:AG730)</f>
        <v>-0.600856269042678</v>
      </c>
      <c r="U485" s="46">
        <f>(VLOOKUP($A485,'The List'!$B1:$AH730,33,FALSE)-AVERAGE('The List'!AH2:AH730))/STDEV('The List'!AH2:AH730)</f>
        <v>-1.2363238714826</v>
      </c>
      <c r="V485" s="46"/>
      <c r="W485" s="50"/>
      <c r="X485" s="48"/>
      <c r="Y485" s="48"/>
      <c r="Z485" s="48"/>
      <c r="AA485" s="48"/>
      <c r="AB485" s="48"/>
      <c r="AC485" s="51"/>
      <c r="AD485" s="52"/>
      <c r="AE485" s="46"/>
    </row>
    <row r="486" ht="21.25" customHeight="1">
      <c r="A486" t="s" s="8">
        <v>508</v>
      </c>
      <c r="B486" t="s" s="42">
        <f>VLOOKUP(A486,'Player Data'!A1:B734,2,FALSE)</f>
        <v>119</v>
      </c>
      <c r="C486" s="44">
        <f>((E486)*'Settings'!$C$12)+(F486*'Settings'!$C$2)+(G486*'Settings'!$C$3)+(H486*'Settings'!$C$4)+(I486*'Settings'!$C$5)+(K486*'Settings'!$C$9)+(N486*'Settings'!$C$6)+(J486*'Settings'!$C$8)+(O486*'Settings'!$C$7)+(P486*'Settings'!$C$14)+(Q486*'Settings'!$C$15)+(R486*'Settings'!$C$16)+(S486*'Settings'!$C$17)+(T486*'Settings'!$C$18)+(U486*'Settings'!$C$19)+(L486*'Settings'!$C$10)+('Settings'!$C$11*M486)</f>
        <v>-2.39672122555016</v>
      </c>
      <c r="D486" s="48">
        <f>IF('Settings'!$E$12="YES",VLOOKUP(A486,'Player Data'!A1:E734,5,FALSE),82)</f>
        <v>75.1832142857143</v>
      </c>
      <c r="E486" s="46">
        <f>(VLOOKUP($A486,'The List'!$B1:$AH730,17,FALSE)-AVERAGE('The List'!R2:R730))/STDEV('The List'!R2:R730)</f>
        <v>0.168482104696598</v>
      </c>
      <c r="F486" s="46">
        <f>(VLOOKUP($A486,'The List'!$B1:$AH730,18,FALSE)-AVERAGE('The List'!S2:S730))/STDEV('The List'!S2:S730)</f>
        <v>-1.06286904066738</v>
      </c>
      <c r="G486" s="46">
        <f>(VLOOKUP($A486,'The List'!$B1:$AH730,19,FALSE)-AVERAGE('The List'!T2:T730))/STDEV('The List'!T2:T730)</f>
        <v>-0.398149427411485</v>
      </c>
      <c r="H486" s="46">
        <f>(VLOOKUP($A486,'The List'!$B1:$AH730,20,FALSE)-AVERAGE('The List'!U2:U730))/STDEV('The List'!U2:U730)</f>
        <v>-0.72908061893635</v>
      </c>
      <c r="I486" s="46">
        <f>(VLOOKUP($A486,'The List'!$B1:$AH730,21,FALSE)-AVERAGE('The List'!V2:V730))/STDEV('The List'!V2:V730)</f>
        <v>-0.416950287055457</v>
      </c>
      <c r="J486" s="46">
        <f>(VLOOKUP($A486,'The List'!$B1:$AH730,22,FALSE)-AVERAGE('The List'!W2:W730))/STDEV('The List'!W2:W730)</f>
        <v>-0.600429334047368</v>
      </c>
      <c r="K486" s="46">
        <f>(VLOOKUP($A486,'The List'!$B1:$AH730,23,FALSE)-AVERAGE('The List'!X2:X730))/STDEV('The List'!X2:X730)</f>
        <v>-0.517349534101547</v>
      </c>
      <c r="L486" s="46">
        <f>(VLOOKUP($A486,'The List'!$B1:$AH730,24,FALSE)-AVERAGE('The List'!Y2:Y730))/STDEV('The List'!Y2:Y730)</f>
        <v>-0.516647937628232</v>
      </c>
      <c r="M486" s="46">
        <f>(VLOOKUP($A486,'The List'!$B1:$AH730,25,FALSE)-AVERAGE('The List'!Z2:Z730))/STDEV('The List'!Z2:Z730)</f>
        <v>-0.390070395414122</v>
      </c>
      <c r="N486" s="46">
        <f>(VLOOKUP($A486,'The List'!$B1:$AH730,26,FALSE)-AVERAGE('The List'!AA2:AA730))/STDEV('The List'!AA2:AA730)</f>
        <v>0.0892758006849893</v>
      </c>
      <c r="O486" s="46">
        <f>(VLOOKUP($A486,'The List'!$B1:$AH730,27,FALSE)-AVERAGE('The List'!AB2:AB730))/STDEV('The List'!AB2:AB730)</f>
        <v>-0.166384994551559</v>
      </c>
      <c r="P486" s="46">
        <f>(VLOOKUP($A486,'The List'!$B1:$AH730,28,FALSE)-AVERAGE('The List'!AC2:AC730))/STDEV('The List'!AC2:AC730)</f>
        <v>-0.09067873699927979</v>
      </c>
      <c r="Q486" s="46">
        <f>(VLOOKUP($A486,'The List'!$B1:$AH730,29,FALSE)-AVERAGE('The List'!AD2:AD730))/STDEV('The List'!AD2:AD730)</f>
        <v>0.206475324539705</v>
      </c>
      <c r="R486" s="46">
        <f>(VLOOKUP($A486,'The List'!$B1:$AH730,30,FALSE)-AVERAGE('The List'!AE2:AE730))/STDEV('The List'!AE2:AE730)</f>
        <v>-0.96728557647977</v>
      </c>
      <c r="S486" s="46">
        <f>(VLOOKUP($A486,'The List'!$B1:$AH730,31,FALSE)-AVERAGE('The List'!AF2:AF730))/STDEV('The List'!AF2:AF730)</f>
        <v>-0.5569063253591</v>
      </c>
      <c r="T486" s="46">
        <f>(VLOOKUP($A486,'The List'!$B1:$AH730,32,FALSE)-AVERAGE('The List'!AG2:AG730))/STDEV('The List'!AG2:AG730)</f>
        <v>-0.600856269042678</v>
      </c>
      <c r="U486" s="46">
        <f>(VLOOKUP($A486,'The List'!$B1:$AH730,33,FALSE)-AVERAGE('The List'!AH2:AH730))/STDEV('The List'!AH2:AH730)</f>
        <v>-1.2363238714826</v>
      </c>
      <c r="V486" s="46"/>
      <c r="W486" s="50"/>
      <c r="X486" s="48"/>
      <c r="Y486" s="48"/>
      <c r="Z486" s="48"/>
      <c r="AA486" s="48"/>
      <c r="AB486" s="48"/>
      <c r="AC486" s="51"/>
      <c r="AD486" s="52"/>
      <c r="AE486" s="46"/>
    </row>
    <row r="487" ht="21.25" customHeight="1">
      <c r="A487" t="s" s="8">
        <v>767</v>
      </c>
      <c r="B487" t="s" s="42">
        <f>VLOOKUP(A487,'Player Data'!A1:B734,2,FALSE)</f>
        <v>234</v>
      </c>
      <c r="C487" s="44">
        <f>((E487)*'Settings'!$C$12)+(F487*'Settings'!$C$2)+(G487*'Settings'!$C$3)+(H487*'Settings'!$C$4)+(I487*'Settings'!$C$5)+(K487*'Settings'!$C$9)+(N487*'Settings'!$C$6)+(J487*'Settings'!$C$8)+(O487*'Settings'!$C$7)+(P487*'Settings'!$C$14)+(Q487*'Settings'!$C$15)+(R487*'Settings'!$C$16)+(S487*'Settings'!$C$17)+(T487*'Settings'!$C$18)+(U487*'Settings'!$C$19)+(L487*'Settings'!$C$10)+('Settings'!$C$11*M487)</f>
        <v>-4.99367423456838</v>
      </c>
      <c r="D487" s="48">
        <f>IF('Settings'!$E$12="YES",VLOOKUP(A487,'Player Data'!A1:E734,5,FALSE),82)</f>
        <v>74.7</v>
      </c>
      <c r="E487" s="46">
        <f>(VLOOKUP($A487,'The List'!$B1:$AH730,17,FALSE)-AVERAGE('The List'!R2:R730))/STDEV('The List'!R2:R730)</f>
        <v>-0.8756548515482701</v>
      </c>
      <c r="F487" s="46">
        <f>(VLOOKUP($A487,'The List'!$B1:$AH730,18,FALSE)-AVERAGE('The List'!S2:S730))/STDEV('The List'!S2:S730)</f>
        <v>-0.203279381510649</v>
      </c>
      <c r="G487" s="46">
        <f>(VLOOKUP($A487,'The List'!$B1:$AH730,19,FALSE)-AVERAGE('The List'!T2:T730))/STDEV('The List'!T2:T730)</f>
        <v>-1.04190891069636</v>
      </c>
      <c r="H487" s="46">
        <f>(VLOOKUP($A487,'The List'!$B1:$AH730,20,FALSE)-AVERAGE('The List'!U2:U730))/STDEV('The List'!U2:U730)</f>
        <v>-0.734819344426323</v>
      </c>
      <c r="I487" s="46">
        <f>(VLOOKUP($A487,'The List'!$B1:$AH730,21,FALSE)-AVERAGE('The List'!V2:V730))/STDEV('The List'!V2:V730)</f>
        <v>-0.600458207055507</v>
      </c>
      <c r="J487" s="46">
        <f>(VLOOKUP($A487,'The List'!$B1:$AH730,22,FALSE)-AVERAGE('The List'!W2:W730))/STDEV('The List'!W2:W730)</f>
        <v>-0.709552874289201</v>
      </c>
      <c r="K487" s="46">
        <f>(VLOOKUP($A487,'The List'!$B1:$AH730,23,FALSE)-AVERAGE('The List'!X2:X730))/STDEV('The List'!X2:X730)</f>
        <v>-0.799278474055574</v>
      </c>
      <c r="L487" s="46">
        <f>(VLOOKUP($A487,'The List'!$B1:$AH730,24,FALSE)-AVERAGE('The List'!Y2:Y730))/STDEV('The List'!Y2:Y730)</f>
        <v>2.07181524979394</v>
      </c>
      <c r="M487" s="46">
        <f>(VLOOKUP($A487,'The List'!$B1:$AH730,25,FALSE)-AVERAGE('The List'!Z2:Z730))/STDEV('The List'!Z2:Z730)</f>
        <v>0.994649699691678</v>
      </c>
      <c r="N487" s="46">
        <f>(VLOOKUP($A487,'The List'!$B1:$AH730,26,FALSE)-AVERAGE('The List'!AA2:AA730))/STDEV('The List'!AA2:AA730)</f>
        <v>-0.340125410483062</v>
      </c>
      <c r="O487" s="46">
        <f>(VLOOKUP($A487,'The List'!$B1:$AH730,27,FALSE)-AVERAGE('The List'!AB2:AB730))/STDEV('The List'!AB2:AB730)</f>
        <v>0.0116047777604938</v>
      </c>
      <c r="P487" s="46">
        <f>(VLOOKUP($A487,'The List'!$B1:$AH730,28,FALSE)-AVERAGE('The List'!AC2:AC730))/STDEV('The List'!AC2:AC730)</f>
        <v>-2.00862385076723</v>
      </c>
      <c r="Q487" s="46">
        <f>(VLOOKUP($A487,'The List'!$B1:$AH730,29,FALSE)-AVERAGE('The List'!AD2:AD730))/STDEV('The List'!AD2:AD730)</f>
        <v>-0.870925391148068</v>
      </c>
      <c r="R487" s="46">
        <f>(VLOOKUP($A487,'The List'!$B1:$AH730,30,FALSE)-AVERAGE('The List'!AE2:AE730))/STDEV('The List'!AE2:AE730)</f>
        <v>-0.50313478366391</v>
      </c>
      <c r="S487" s="46">
        <f>(VLOOKUP($A487,'The List'!$B1:$AH730,31,FALSE)-AVERAGE('The List'!AF2:AF730))/STDEV('The List'!AF2:AF730)</f>
        <v>-0.5270818751458189</v>
      </c>
      <c r="T487" s="46">
        <f>(VLOOKUP($A487,'The List'!$B1:$AH730,32,FALSE)-AVERAGE('The List'!AG2:AG730))/STDEV('The List'!AG2:AG730)</f>
        <v>-0.529092749451642</v>
      </c>
      <c r="U487" s="46">
        <f>(VLOOKUP($A487,'The List'!$B1:$AH730,33,FALSE)-AVERAGE('The List'!AH2:AH730))/STDEV('The List'!AH2:AH730)</f>
        <v>0.137363780131698</v>
      </c>
      <c r="V487" s="46"/>
      <c r="W487" s="50"/>
      <c r="X487" s="48"/>
      <c r="Y487" s="48"/>
      <c r="Z487" s="48"/>
      <c r="AA487" s="48"/>
      <c r="AB487" s="48"/>
      <c r="AC487" s="51"/>
      <c r="AD487" s="52"/>
      <c r="AE487" s="46"/>
    </row>
    <row r="488" ht="21.25" customHeight="1">
      <c r="A488" t="s" s="8">
        <v>489</v>
      </c>
      <c r="B488" t="s" s="42">
        <f>VLOOKUP(A488,'Player Data'!A1:B734,2,FALSE)</f>
        <v>139</v>
      </c>
      <c r="C488" s="44">
        <f>((E488)*'Settings'!$C$12)+(F488*'Settings'!$C$2)+(G488*'Settings'!$C$3)+(H488*'Settings'!$C$4)+(I488*'Settings'!$C$5)+(K488*'Settings'!$C$9)+(N488*'Settings'!$C$6)+(J488*'Settings'!$C$8)+(O488*'Settings'!$C$7)+(P488*'Settings'!$C$14)+(Q488*'Settings'!$C$15)+(R488*'Settings'!$C$16)+(S488*'Settings'!$C$17)+(T488*'Settings'!$C$18)+(U488*'Settings'!$C$19)+(L488*'Settings'!$C$10)+('Settings'!$C$11*M488)</f>
        <v>-1.60467179868669</v>
      </c>
      <c r="D488" s="48">
        <f>IF('Settings'!$E$12="YES",VLOOKUP(A488,'Player Data'!A1:E734,5,FALSE),82)</f>
        <v>77.48</v>
      </c>
      <c r="E488" s="46">
        <f>(VLOOKUP($A488,'The List'!$B1:$AH730,17,FALSE)-AVERAGE('The List'!R2:R730))/STDEV('The List'!R2:R730)</f>
        <v>0.58727224500882</v>
      </c>
      <c r="F488" s="46">
        <f>(VLOOKUP($A488,'The List'!$B1:$AH730,18,FALSE)-AVERAGE('The List'!S2:S730))/STDEV('The List'!S2:S730)</f>
        <v>-0.888433856190485</v>
      </c>
      <c r="G488" s="46">
        <f>(VLOOKUP($A488,'The List'!$B1:$AH730,19,FALSE)-AVERAGE('The List'!T2:T730))/STDEV('The List'!T2:T730)</f>
        <v>-0.484297908020561</v>
      </c>
      <c r="H488" s="46">
        <f>(VLOOKUP($A488,'The List'!$B1:$AH730,20,FALSE)-AVERAGE('The List'!U2:U730))/STDEV('The List'!U2:U730)</f>
        <v>-0.702818517567419</v>
      </c>
      <c r="I488" s="46">
        <f>(VLOOKUP($A488,'The List'!$B1:$AH730,21,FALSE)-AVERAGE('The List'!V2:V730))/STDEV('The List'!V2:V730)</f>
        <v>-0.479908567115177</v>
      </c>
      <c r="J488" s="46">
        <f>(VLOOKUP($A488,'The List'!$B1:$AH730,22,FALSE)-AVERAGE('The List'!W2:W730))/STDEV('The List'!W2:W730)</f>
        <v>-0.708019384590727</v>
      </c>
      <c r="K488" s="46">
        <f>(VLOOKUP($A488,'The List'!$B1:$AH730,23,FALSE)-AVERAGE('The List'!X2:X730))/STDEV('The List'!X2:X730)</f>
        <v>-0.787862071423042</v>
      </c>
      <c r="L488" s="46">
        <f>(VLOOKUP($A488,'The List'!$B1:$AH730,24,FALSE)-AVERAGE('The List'!Y2:Y730))/STDEV('The List'!Y2:Y730)</f>
        <v>0.216221196787048</v>
      </c>
      <c r="M488" s="46">
        <f>(VLOOKUP($A488,'The List'!$B1:$AH730,25,FALSE)-AVERAGE('The List'!Z2:Z730))/STDEV('The List'!Z2:Z730)</f>
        <v>-0.0141644003975589</v>
      </c>
      <c r="N488" s="46">
        <f>(VLOOKUP($A488,'The List'!$B1:$AH730,26,FALSE)-AVERAGE('The List'!AA2:AA730))/STDEV('The List'!AA2:AA730)</f>
        <v>1.48389048434942</v>
      </c>
      <c r="O488" s="46">
        <f>(VLOOKUP($A488,'The List'!$B1:$AH730,27,FALSE)-AVERAGE('The List'!AB2:AB730))/STDEV('The List'!AB2:AB730)</f>
        <v>2.20858413817765</v>
      </c>
      <c r="P488" s="46">
        <f>(VLOOKUP($A488,'The List'!$B1:$AH730,28,FALSE)-AVERAGE('The List'!AC2:AC730))/STDEV('The List'!AC2:AC730)</f>
        <v>-0.448059880286849</v>
      </c>
      <c r="Q488" s="46">
        <f>(VLOOKUP($A488,'The List'!$B1:$AH730,29,FALSE)-AVERAGE('The List'!AD2:AD730))/STDEV('The List'!AD2:AD730)</f>
        <v>1.71435179396121</v>
      </c>
      <c r="R488" s="46">
        <f>(VLOOKUP($A488,'The List'!$B1:$AH730,30,FALSE)-AVERAGE('The List'!AE2:AE730))/STDEV('The List'!AE2:AE730)</f>
        <v>-0.845342216014509</v>
      </c>
      <c r="S488" s="46">
        <f>(VLOOKUP($A488,'The List'!$B1:$AH730,31,FALSE)-AVERAGE('The List'!AF2:AF730))/STDEV('The List'!AF2:AF730)</f>
        <v>-0.5569063253591</v>
      </c>
      <c r="T488" s="46">
        <f>(VLOOKUP($A488,'The List'!$B1:$AH730,32,FALSE)-AVERAGE('The List'!AG2:AG730))/STDEV('The List'!AG2:AG730)</f>
        <v>-0.600856269042678</v>
      </c>
      <c r="U488" s="46">
        <f>(VLOOKUP($A488,'The List'!$B1:$AH730,33,FALSE)-AVERAGE('The List'!AH2:AH730))/STDEV('The List'!AH2:AH730)</f>
        <v>-1.2363238714826</v>
      </c>
      <c r="V488" s="46"/>
      <c r="W488" s="50"/>
      <c r="X488" s="48"/>
      <c r="Y488" s="48"/>
      <c r="Z488" s="48"/>
      <c r="AA488" s="48"/>
      <c r="AB488" s="48"/>
      <c r="AC488" s="51"/>
      <c r="AD488" s="52"/>
      <c r="AE488" s="46"/>
    </row>
    <row r="489" ht="21.25" customHeight="1">
      <c r="A489" t="s" s="8">
        <v>751</v>
      </c>
      <c r="B489" t="s" s="42">
        <f>VLOOKUP(A489,'Player Data'!A1:B734,2,FALSE)</f>
        <v>258</v>
      </c>
      <c r="C489" s="44">
        <f>((E489)*'Settings'!$C$12)+(F489*'Settings'!$C$2)+(G489*'Settings'!$C$3)+(H489*'Settings'!$C$4)+(I489*'Settings'!$C$5)+(K489*'Settings'!$C$9)+(N489*'Settings'!$C$6)+(J489*'Settings'!$C$8)+(O489*'Settings'!$C$7)+(P489*'Settings'!$C$14)+(Q489*'Settings'!$C$15)+(R489*'Settings'!$C$16)+(S489*'Settings'!$C$17)+(T489*'Settings'!$C$18)+(U489*'Settings'!$C$19)+(L489*'Settings'!$C$10)+('Settings'!$C$11*M489)</f>
        <v>-5.0634805575164</v>
      </c>
      <c r="D489" s="48">
        <f>IF('Settings'!$E$12="YES",VLOOKUP(A489,'Player Data'!A1:E734,5,FALSE),82)</f>
        <v>69.8860714285714</v>
      </c>
      <c r="E489" s="46">
        <f>(VLOOKUP($A489,'The List'!$B1:$AH730,17,FALSE)-AVERAGE('The List'!R2:R730))/STDEV('The List'!R2:R730)</f>
        <v>-0.883401997790024</v>
      </c>
      <c r="F489" s="46">
        <f>(VLOOKUP($A489,'The List'!$B1:$AH730,18,FALSE)-AVERAGE('The List'!S2:S730))/STDEV('The List'!S2:S730)</f>
        <v>-0.467804523640314</v>
      </c>
      <c r="G489" s="46">
        <f>(VLOOKUP($A489,'The List'!$B1:$AH730,19,FALSE)-AVERAGE('The List'!T2:T730))/STDEV('The List'!T2:T730)</f>
        <v>-0.946677515393454</v>
      </c>
      <c r="H489" s="46">
        <f>(VLOOKUP($A489,'The List'!$B1:$AH730,20,FALSE)-AVERAGE('The List'!U2:U730))/STDEV('The List'!U2:U730)</f>
        <v>-0.79647468581849</v>
      </c>
      <c r="I489" s="46">
        <f>(VLOOKUP($A489,'The List'!$B1:$AH730,21,FALSE)-AVERAGE('The List'!V2:V730))/STDEV('The List'!V2:V730)</f>
        <v>-0.488808925094127</v>
      </c>
      <c r="J489" s="46">
        <f>(VLOOKUP($A489,'The List'!$B1:$AH730,22,FALSE)-AVERAGE('The List'!W2:W730))/STDEV('The List'!W2:W730)</f>
        <v>-0.6542596384523049</v>
      </c>
      <c r="K489" s="46">
        <f>(VLOOKUP($A489,'The List'!$B1:$AH730,23,FALSE)-AVERAGE('The List'!X2:X730))/STDEV('The List'!X2:X730)</f>
        <v>-0.735699397854065</v>
      </c>
      <c r="L489" s="46">
        <f>(VLOOKUP($A489,'The List'!$B1:$AH730,24,FALSE)-AVERAGE('The List'!Y2:Y730))/STDEV('The List'!Y2:Y730)</f>
        <v>1.53447656560111</v>
      </c>
      <c r="M489" s="46">
        <f>(VLOOKUP($A489,'The List'!$B1:$AH730,25,FALSE)-AVERAGE('The List'!Z2:Z730))/STDEV('The List'!Z2:Z730)</f>
        <v>0.885991568471231</v>
      </c>
      <c r="N489" s="46">
        <f>(VLOOKUP($A489,'The List'!$B1:$AH730,26,FALSE)-AVERAGE('The List'!AA2:AA730))/STDEV('The List'!AA2:AA730)</f>
        <v>-0.62435199253456</v>
      </c>
      <c r="O489" s="46">
        <f>(VLOOKUP($A489,'The List'!$B1:$AH730,27,FALSE)-AVERAGE('The List'!AB2:AB730))/STDEV('The List'!AB2:AB730)</f>
        <v>-0.160855454136214</v>
      </c>
      <c r="P489" s="46">
        <f>(VLOOKUP($A489,'The List'!$B1:$AH730,28,FALSE)-AVERAGE('The List'!AC2:AC730))/STDEV('The List'!AC2:AC730)</f>
        <v>-1.80013820299988</v>
      </c>
      <c r="Q489" s="46">
        <f>(VLOOKUP($A489,'The List'!$B1:$AH730,29,FALSE)-AVERAGE('The List'!AD2:AD730))/STDEV('The List'!AD2:AD730)</f>
        <v>-0.623382218596554</v>
      </c>
      <c r="R489" s="46">
        <f>(VLOOKUP($A489,'The List'!$B1:$AH730,30,FALSE)-AVERAGE('The List'!AE2:AE730))/STDEV('The List'!AE2:AE730)</f>
        <v>-0.6327068625189139</v>
      </c>
      <c r="S489" s="46">
        <f>(VLOOKUP($A489,'The List'!$B1:$AH730,31,FALSE)-AVERAGE('The List'!AF2:AF730))/STDEV('The List'!AF2:AF730)</f>
        <v>-0.5356598273618109</v>
      </c>
      <c r="T489" s="46">
        <f>(VLOOKUP($A489,'The List'!$B1:$AH730,32,FALSE)-AVERAGE('The List'!AG2:AG730))/STDEV('The List'!AG2:AG730)</f>
        <v>-0.536179752404311</v>
      </c>
      <c r="U489" s="46">
        <f>(VLOOKUP($A489,'The List'!$B1:$AH730,33,FALSE)-AVERAGE('The List'!AH2:AH730))/STDEV('The List'!AH2:AH730)</f>
        <v>-0.076578759668654</v>
      </c>
      <c r="V489" s="46"/>
      <c r="W489" s="50"/>
      <c r="X489" s="48"/>
      <c r="Y489" s="48"/>
      <c r="Z489" s="48"/>
      <c r="AA489" s="48"/>
      <c r="AB489" s="48"/>
      <c r="AC489" s="51"/>
      <c r="AD489" s="52"/>
      <c r="AE489" s="46"/>
    </row>
    <row r="490" ht="21.25" customHeight="1">
      <c r="A490" t="s" s="8">
        <v>507</v>
      </c>
      <c r="B490" t="s" s="42">
        <f>VLOOKUP(A490,'Player Data'!A1:B734,2,FALSE)</f>
        <v>248</v>
      </c>
      <c r="C490" s="44">
        <f>((E490)*'Settings'!$C$12)+(F490*'Settings'!$C$2)+(G490*'Settings'!$C$3)+(H490*'Settings'!$C$4)+(I490*'Settings'!$C$5)+(K490*'Settings'!$C$9)+(N490*'Settings'!$C$6)+(J490*'Settings'!$C$8)+(O490*'Settings'!$C$7)+(P490*'Settings'!$C$14)+(Q490*'Settings'!$C$15)+(R490*'Settings'!$C$16)+(S490*'Settings'!$C$17)+(T490*'Settings'!$C$18)+(U490*'Settings'!$C$19)+(L490*'Settings'!$C$10)+('Settings'!$C$11*M490)</f>
        <v>-1.3690952908268</v>
      </c>
      <c r="D490" s="48">
        <f>IF('Settings'!$E$12="YES",VLOOKUP(A490,'Player Data'!A1:E734,5,FALSE),82)</f>
        <v>79.41249999999999</v>
      </c>
      <c r="E490" s="46">
        <f>(VLOOKUP($A490,'The List'!$B1:$AH730,17,FALSE)-AVERAGE('The List'!R2:R730))/STDEV('The List'!R2:R730)</f>
        <v>0.7271191920205869</v>
      </c>
      <c r="F490" s="46">
        <f>(VLOOKUP($A490,'The List'!$B1:$AH730,18,FALSE)-AVERAGE('The List'!S2:S730))/STDEV('The List'!S2:S730)</f>
        <v>-0.774734091839399</v>
      </c>
      <c r="G490" s="46">
        <f>(VLOOKUP($A490,'The List'!$B1:$AH730,19,FALSE)-AVERAGE('The List'!T2:T730))/STDEV('The List'!T2:T730)</f>
        <v>-0.547587554223635</v>
      </c>
      <c r="H490" s="46">
        <f>(VLOOKUP($A490,'The List'!$B1:$AH730,20,FALSE)-AVERAGE('The List'!U2:U730))/STDEV('The List'!U2:U730)</f>
        <v>-0.69010007948489</v>
      </c>
      <c r="I490" s="46">
        <f>(VLOOKUP($A490,'The List'!$B1:$AH730,21,FALSE)-AVERAGE('The List'!V2:V730))/STDEV('The List'!V2:V730)</f>
        <v>-0.690823532651117</v>
      </c>
      <c r="J490" s="46">
        <f>(VLOOKUP($A490,'The List'!$B1:$AH730,22,FALSE)-AVERAGE('The List'!W2:W730))/STDEV('The List'!W2:W730)</f>
        <v>-0.708654989458407</v>
      </c>
      <c r="K490" s="46">
        <f>(VLOOKUP($A490,'The List'!$B1:$AH730,23,FALSE)-AVERAGE('The List'!X2:X730))/STDEV('The List'!X2:X730)</f>
        <v>-0.789455982664053</v>
      </c>
      <c r="L490" s="46">
        <f>(VLOOKUP($A490,'The List'!$B1:$AH730,24,FALSE)-AVERAGE('The List'!Y2:Y730))/STDEV('The List'!Y2:Y730)</f>
        <v>-0.492388731967645</v>
      </c>
      <c r="M490" s="46">
        <f>(VLOOKUP($A490,'The List'!$B1:$AH730,25,FALSE)-AVERAGE('The List'!Z2:Z730))/STDEV('The List'!Z2:Z730)</f>
        <v>-0.198175098278493</v>
      </c>
      <c r="N490" s="46">
        <f>(VLOOKUP($A490,'The List'!$B1:$AH730,26,FALSE)-AVERAGE('The List'!AA2:AA730))/STDEV('The List'!AA2:AA730)</f>
        <v>1.51833325235558</v>
      </c>
      <c r="O490" s="46">
        <f>(VLOOKUP($A490,'The List'!$B1:$AH730,27,FALSE)-AVERAGE('The List'!AB2:AB730))/STDEV('The List'!AB2:AB730)</f>
        <v>1.19034148149292</v>
      </c>
      <c r="P490" s="46">
        <f>(VLOOKUP($A490,'The List'!$B1:$AH730,28,FALSE)-AVERAGE('The List'!AC2:AC730))/STDEV('The List'!AC2:AC730)</f>
        <v>-0.084827381804176</v>
      </c>
      <c r="Q490" s="46">
        <f>(VLOOKUP($A490,'The List'!$B1:$AH730,29,FALSE)-AVERAGE('The List'!AD2:AD730))/STDEV('The List'!AD2:AD730)</f>
        <v>1.55559316484713</v>
      </c>
      <c r="R490" s="46">
        <f>(VLOOKUP($A490,'The List'!$B1:$AH730,30,FALSE)-AVERAGE('The List'!AE2:AE730))/STDEV('The List'!AE2:AE730)</f>
        <v>-0.708121594434212</v>
      </c>
      <c r="S490" s="46">
        <f>(VLOOKUP($A490,'The List'!$B1:$AH730,31,FALSE)-AVERAGE('The List'!AF2:AF730))/STDEV('The List'!AF2:AF730)</f>
        <v>-0.5569063253591</v>
      </c>
      <c r="T490" s="46">
        <f>(VLOOKUP($A490,'The List'!$B1:$AH730,32,FALSE)-AVERAGE('The List'!AG2:AG730))/STDEV('The List'!AG2:AG730)</f>
        <v>-0.600856269042678</v>
      </c>
      <c r="U490" s="46">
        <f>(VLOOKUP($A490,'The List'!$B1:$AH730,33,FALSE)-AVERAGE('The List'!AH2:AH730))/STDEV('The List'!AH2:AH730)</f>
        <v>-1.2363238714826</v>
      </c>
      <c r="V490" s="46"/>
      <c r="W490" s="50"/>
      <c r="X490" s="48"/>
      <c r="Y490" s="48"/>
      <c r="Z490" s="48"/>
      <c r="AA490" s="48"/>
      <c r="AB490" s="48"/>
      <c r="AC490" s="51"/>
      <c r="AD490" s="52"/>
      <c r="AE490" s="46"/>
    </row>
    <row r="491" ht="21.25" customHeight="1">
      <c r="A491" t="s" s="8">
        <v>497</v>
      </c>
      <c r="B491" t="s" s="42">
        <f>VLOOKUP(A491,'Player Data'!A1:B734,2,FALSE)</f>
        <v>108</v>
      </c>
      <c r="C491" s="44">
        <f>((E491)*'Settings'!$C$12)+(F491*'Settings'!$C$2)+(G491*'Settings'!$C$3)+(H491*'Settings'!$C$4)+(I491*'Settings'!$C$5)+(K491*'Settings'!$C$9)+(N491*'Settings'!$C$6)+(J491*'Settings'!$C$8)+(O491*'Settings'!$C$7)+(P491*'Settings'!$C$14)+(Q491*'Settings'!$C$15)+(R491*'Settings'!$C$16)+(S491*'Settings'!$C$17)+(T491*'Settings'!$C$18)+(U491*'Settings'!$C$19)+(L491*'Settings'!$C$10)+('Settings'!$C$11*M491)</f>
        <v>-0.251356264085742</v>
      </c>
      <c r="D491" s="48">
        <f>IF('Settings'!$E$12="YES",VLOOKUP(A491,'Player Data'!A1:E734,5,FALSE),82)</f>
        <v>80.6857142857143</v>
      </c>
      <c r="E491" s="46">
        <f>(VLOOKUP($A491,'The List'!$B1:$AH730,17,FALSE)-AVERAGE('The List'!R2:R730))/STDEV('The List'!R2:R730)</f>
        <v>0.660112987891566</v>
      </c>
      <c r="F491" s="46">
        <f>(VLOOKUP($A491,'The List'!$B1:$AH730,18,FALSE)-AVERAGE('The List'!S2:S730))/STDEV('The List'!S2:S730)</f>
        <v>-0.965497441038935</v>
      </c>
      <c r="G491" s="46">
        <f>(VLOOKUP($A491,'The List'!$B1:$AH730,19,FALSE)-AVERAGE('The List'!T2:T730))/STDEV('The List'!T2:T730)</f>
        <v>-0.386343105275345</v>
      </c>
      <c r="H491" s="46">
        <f>(VLOOKUP($A491,'The List'!$B1:$AH730,20,FALSE)-AVERAGE('The List'!U2:U730))/STDEV('The List'!U2:U730)</f>
        <v>-0.677496145831496</v>
      </c>
      <c r="I491" s="46">
        <f>(VLOOKUP($A491,'The List'!$B1:$AH730,21,FALSE)-AVERAGE('The List'!V2:V730))/STDEV('The List'!V2:V730)</f>
        <v>-0.615310686169025</v>
      </c>
      <c r="J491" s="46">
        <f>(VLOOKUP($A491,'The List'!$B1:$AH730,22,FALSE)-AVERAGE('The List'!W2:W730))/STDEV('The List'!W2:W730)</f>
        <v>-0.708518042527401</v>
      </c>
      <c r="K491" s="46">
        <f>(VLOOKUP($A491,'The List'!$B1:$AH730,23,FALSE)-AVERAGE('The List'!X2:X730))/STDEV('The List'!X2:X730)</f>
        <v>-0.788581336082157</v>
      </c>
      <c r="L491" s="46">
        <f>(VLOOKUP($A491,'The List'!$B1:$AH730,24,FALSE)-AVERAGE('The List'!Y2:Y730))/STDEV('The List'!Y2:Y730)</f>
        <v>-0.506336792633414</v>
      </c>
      <c r="M491" s="46">
        <f>(VLOOKUP($A491,'The List'!$B1:$AH730,25,FALSE)-AVERAGE('The List'!Z2:Z730))/STDEV('The List'!Z2:Z730)</f>
        <v>0.205890762763034</v>
      </c>
      <c r="N491" s="46">
        <f>(VLOOKUP($A491,'The List'!$B1:$AH730,26,FALSE)-AVERAGE('The List'!AA2:AA730))/STDEV('The List'!AA2:AA730)</f>
        <v>1.48369757310515</v>
      </c>
      <c r="O491" s="46">
        <f>(VLOOKUP($A491,'The List'!$B1:$AH730,27,FALSE)-AVERAGE('The List'!AB2:AB730))/STDEV('The List'!AB2:AB730)</f>
        <v>0.837593959783558</v>
      </c>
      <c r="P491" s="46">
        <f>(VLOOKUP($A491,'The List'!$B1:$AH730,28,FALSE)-AVERAGE('The List'!AC2:AC730))/STDEV('The List'!AC2:AC730)</f>
        <v>1.02067873137457</v>
      </c>
      <c r="Q491" s="46">
        <f>(VLOOKUP($A491,'The List'!$B1:$AH730,29,FALSE)-AVERAGE('The List'!AD2:AD730))/STDEV('The List'!AD2:AD730)</f>
        <v>-0.682188197473679</v>
      </c>
      <c r="R491" s="46">
        <f>(VLOOKUP($A491,'The List'!$B1:$AH730,30,FALSE)-AVERAGE('The List'!AE2:AE730))/STDEV('The List'!AE2:AE730)</f>
        <v>-0.84452769697277</v>
      </c>
      <c r="S491" s="46">
        <f>(VLOOKUP($A491,'The List'!$B1:$AH730,31,FALSE)-AVERAGE('The List'!AF2:AF730))/STDEV('The List'!AF2:AF730)</f>
        <v>-0.5569063253591</v>
      </c>
      <c r="T491" s="46">
        <f>(VLOOKUP($A491,'The List'!$B1:$AH730,32,FALSE)-AVERAGE('The List'!AG2:AG730))/STDEV('The List'!AG2:AG730)</f>
        <v>-0.600856269042678</v>
      </c>
      <c r="U491" s="46">
        <f>(VLOOKUP($A491,'The List'!$B1:$AH730,33,FALSE)-AVERAGE('The List'!AH2:AH730))/STDEV('The List'!AH2:AH730)</f>
        <v>-1.2363238714826</v>
      </c>
      <c r="V491" s="46"/>
      <c r="W491" s="50"/>
      <c r="X491" s="48"/>
      <c r="Y491" s="48"/>
      <c r="Z491" s="48"/>
      <c r="AA491" s="48"/>
      <c r="AB491" s="48"/>
      <c r="AC491" s="51"/>
      <c r="AD491" s="52"/>
      <c r="AE491" s="46"/>
    </row>
    <row r="492" ht="21.25" customHeight="1">
      <c r="A492" t="s" s="8">
        <v>728</v>
      </c>
      <c r="B492" t="s" s="42">
        <f>VLOOKUP(A492,'Player Data'!A1:B734,2,FALSE)</f>
        <v>236</v>
      </c>
      <c r="C492" s="44">
        <f>((E492)*'Settings'!$C$12)+(F492*'Settings'!$C$2)+(G492*'Settings'!$C$3)+(H492*'Settings'!$C$4)+(I492*'Settings'!$C$5)+(K492*'Settings'!$C$9)+(N492*'Settings'!$C$6)+(J492*'Settings'!$C$8)+(O492*'Settings'!$C$7)+(P492*'Settings'!$C$14)+(Q492*'Settings'!$C$15)+(R492*'Settings'!$C$16)+(S492*'Settings'!$C$17)+(T492*'Settings'!$C$18)+(U492*'Settings'!$C$19)+(L492*'Settings'!$C$10)+('Settings'!$C$11*M492)</f>
        <v>-3.577144991809</v>
      </c>
      <c r="D492" s="48">
        <f>IF('Settings'!$E$12="YES",VLOOKUP(A492,'Player Data'!A1:E734,5,FALSE),82)</f>
        <v>81.56</v>
      </c>
      <c r="E492" s="46">
        <f>(VLOOKUP($A492,'The List'!$B1:$AH730,17,FALSE)-AVERAGE('The List'!R2:R730))/STDEV('The List'!R2:R730)</f>
        <v>-1.26121657144805</v>
      </c>
      <c r="F492" s="46">
        <f>(VLOOKUP($A492,'The List'!$B1:$AH730,18,FALSE)-AVERAGE('The List'!S2:S730))/STDEV('The List'!S2:S730)</f>
        <v>-0.261624039187023</v>
      </c>
      <c r="G492" s="46">
        <f>(VLOOKUP($A492,'The List'!$B1:$AH730,19,FALSE)-AVERAGE('The List'!T2:T730))/STDEV('The List'!T2:T730)</f>
        <v>-0.904888201204306</v>
      </c>
      <c r="H492" s="46">
        <f>(VLOOKUP($A492,'The List'!$B1:$AH730,20,FALSE)-AVERAGE('The List'!U2:U730))/STDEV('The List'!U2:U730)</f>
        <v>-0.676895867366212</v>
      </c>
      <c r="I492" s="46">
        <f>(VLOOKUP($A492,'The List'!$B1:$AH730,21,FALSE)-AVERAGE('The List'!V2:V730))/STDEV('The List'!V2:V730)</f>
        <v>-0.651241365221209</v>
      </c>
      <c r="J492" s="46">
        <f>(VLOOKUP($A492,'The List'!$B1:$AH730,22,FALSE)-AVERAGE('The List'!W2:W730))/STDEV('The List'!W2:W730)</f>
        <v>-0.7115520444800379</v>
      </c>
      <c r="K492" s="46">
        <f>(VLOOKUP($A492,'The List'!$B1:$AH730,23,FALSE)-AVERAGE('The List'!X2:X730))/STDEV('The List'!X2:X730)</f>
        <v>-0.801210052646962</v>
      </c>
      <c r="L492" s="46">
        <f>(VLOOKUP($A492,'The List'!$B1:$AH730,24,FALSE)-AVERAGE('The List'!Y2:Y730))/STDEV('The List'!Y2:Y730)</f>
        <v>-0.36099042636658</v>
      </c>
      <c r="M492" s="46">
        <f>(VLOOKUP($A492,'The List'!$B1:$AH730,25,FALSE)-AVERAGE('The List'!Z2:Z730))/STDEV('The List'!Z2:Z730)</f>
        <v>0.5011709150900669</v>
      </c>
      <c r="N492" s="46">
        <f>(VLOOKUP($A492,'The List'!$B1:$AH730,26,FALSE)-AVERAGE('The List'!AA2:AA730))/STDEV('The List'!AA2:AA730)</f>
        <v>0.26176220047647</v>
      </c>
      <c r="O492" s="46">
        <f>(VLOOKUP($A492,'The List'!$B1:$AH730,27,FALSE)-AVERAGE('The List'!AB2:AB730))/STDEV('The List'!AB2:AB730)</f>
        <v>3.0709914864087</v>
      </c>
      <c r="P492" s="46">
        <f>(VLOOKUP($A492,'The List'!$B1:$AH730,28,FALSE)-AVERAGE('The List'!AC2:AC730))/STDEV('The List'!AC2:AC730)</f>
        <v>-1.21994353402597</v>
      </c>
      <c r="Q492" s="46">
        <f>(VLOOKUP($A492,'The List'!$B1:$AH730,29,FALSE)-AVERAGE('The List'!AD2:AD730))/STDEV('The List'!AD2:AD730)</f>
        <v>1.36857737092352</v>
      </c>
      <c r="R492" s="46">
        <f>(VLOOKUP($A492,'The List'!$B1:$AH730,30,FALSE)-AVERAGE('The List'!AE2:AE730))/STDEV('The List'!AE2:AE730)</f>
        <v>-0.393651634353671</v>
      </c>
      <c r="S492" s="46">
        <f>(VLOOKUP($A492,'The List'!$B1:$AH730,31,FALSE)-AVERAGE('The List'!AF2:AF730))/STDEV('The List'!AF2:AF730)</f>
        <v>-0.5307639703581249</v>
      </c>
      <c r="T492" s="46">
        <f>(VLOOKUP($A492,'The List'!$B1:$AH730,32,FALSE)-AVERAGE('The List'!AG2:AG730))/STDEV('The List'!AG2:AG730)</f>
        <v>-0.54023643044754</v>
      </c>
      <c r="U492" s="46">
        <f>(VLOOKUP($A492,'The List'!$B1:$AH730,33,FALSE)-AVERAGE('The List'!AH2:AH730))/STDEV('The List'!AH2:AH730)</f>
        <v>0.172967804366626</v>
      </c>
      <c r="V492" s="46"/>
      <c r="W492" s="50"/>
      <c r="X492" s="48"/>
      <c r="Y492" s="48"/>
      <c r="Z492" s="48"/>
      <c r="AA492" s="48"/>
      <c r="AB492" s="48"/>
      <c r="AC492" s="51"/>
      <c r="AD492" s="52"/>
      <c r="AE492" s="46"/>
    </row>
    <row r="493" ht="21.25" customHeight="1">
      <c r="A493" t="s" s="8">
        <v>492</v>
      </c>
      <c r="B493" t="s" s="42">
        <f>VLOOKUP(A493,'Player Data'!A1:B734,2,FALSE)</f>
        <v>218</v>
      </c>
      <c r="C493" s="44">
        <f>((E493)*'Settings'!$C$12)+(F493*'Settings'!$C$2)+(G493*'Settings'!$C$3)+(H493*'Settings'!$C$4)+(I493*'Settings'!$C$5)+(K493*'Settings'!$C$9)+(N493*'Settings'!$C$6)+(J493*'Settings'!$C$8)+(O493*'Settings'!$C$7)+(P493*'Settings'!$C$14)+(Q493*'Settings'!$C$15)+(R493*'Settings'!$C$16)+(S493*'Settings'!$C$17)+(T493*'Settings'!$C$18)+(U493*'Settings'!$C$19)+(L493*'Settings'!$C$10)+('Settings'!$C$11*M493)</f>
        <v>-0.328115093954348</v>
      </c>
      <c r="D493" s="48">
        <f>IF('Settings'!$E$12="YES",VLOOKUP(A493,'Player Data'!A1:E734,5,FALSE),82)</f>
        <v>77.1417857142857</v>
      </c>
      <c r="E493" s="46">
        <f>(VLOOKUP($A493,'The List'!$B1:$AH730,17,FALSE)-AVERAGE('The List'!R2:R730))/STDEV('The List'!R2:R730)</f>
        <v>0.208338206490639</v>
      </c>
      <c r="F493" s="46">
        <f>(VLOOKUP($A493,'The List'!$B1:$AH730,18,FALSE)-AVERAGE('The List'!S2:S730))/STDEV('The List'!S2:S730)</f>
        <v>-0.858176555877634</v>
      </c>
      <c r="G493" s="46">
        <f>(VLOOKUP($A493,'The List'!$B1:$AH730,19,FALSE)-AVERAGE('The List'!T2:T730))/STDEV('The List'!T2:T730)</f>
        <v>-0.546991178296683</v>
      </c>
      <c r="H493" s="46">
        <f>(VLOOKUP($A493,'The List'!$B1:$AH730,20,FALSE)-AVERAGE('The List'!U2:U730))/STDEV('The List'!U2:U730)</f>
        <v>-0.727700416198827</v>
      </c>
      <c r="I493" s="46">
        <f>(VLOOKUP($A493,'The List'!$B1:$AH730,21,FALSE)-AVERAGE('The List'!V2:V730))/STDEV('The List'!V2:V730)</f>
        <v>-0.432698842368029</v>
      </c>
      <c r="J493" s="46">
        <f>(VLOOKUP($A493,'The List'!$B1:$AH730,22,FALSE)-AVERAGE('The List'!W2:W730))/STDEV('The List'!W2:W730)</f>
        <v>-0.70963654838465</v>
      </c>
      <c r="K493" s="46">
        <f>(VLOOKUP($A493,'The List'!$B1:$AH730,23,FALSE)-AVERAGE('The List'!X2:X730))/STDEV('The List'!X2:X730)</f>
        <v>-0.792192798773804</v>
      </c>
      <c r="L493" s="46">
        <f>(VLOOKUP($A493,'The List'!$B1:$AH730,24,FALSE)-AVERAGE('The List'!Y2:Y730))/STDEV('The List'!Y2:Y730)</f>
        <v>-0.498086907024435</v>
      </c>
      <c r="M493" s="46">
        <f>(VLOOKUP($A493,'The List'!$B1:$AH730,25,FALSE)-AVERAGE('The List'!Z2:Z730))/STDEV('The List'!Z2:Z730)</f>
        <v>-0.61962369903169</v>
      </c>
      <c r="N493" s="46">
        <f>(VLOOKUP($A493,'The List'!$B1:$AH730,26,FALSE)-AVERAGE('The List'!AA2:AA730))/STDEV('The List'!AA2:AA730)</f>
        <v>1.38383141887624</v>
      </c>
      <c r="O493" s="46">
        <f>(VLOOKUP($A493,'The List'!$B1:$AH730,27,FALSE)-AVERAGE('The List'!AB2:AB730))/STDEV('The List'!AB2:AB730)</f>
        <v>0.287778713472579</v>
      </c>
      <c r="P493" s="46">
        <f>(VLOOKUP($A493,'The List'!$B1:$AH730,28,FALSE)-AVERAGE('The List'!AC2:AC730))/STDEV('The List'!AC2:AC730)</f>
        <v>0.918112862485562</v>
      </c>
      <c r="Q493" s="46">
        <f>(VLOOKUP($A493,'The List'!$B1:$AH730,29,FALSE)-AVERAGE('The List'!AD2:AD730))/STDEV('The List'!AD2:AD730)</f>
        <v>0.453900517858068</v>
      </c>
      <c r="R493" s="46">
        <f>(VLOOKUP($A493,'The List'!$B1:$AH730,30,FALSE)-AVERAGE('The List'!AE2:AE730))/STDEV('The List'!AE2:AE730)</f>
        <v>-0.719363431341952</v>
      </c>
      <c r="S493" s="46">
        <f>(VLOOKUP($A493,'The List'!$B1:$AH730,31,FALSE)-AVERAGE('The List'!AF2:AF730))/STDEV('The List'!AF2:AF730)</f>
        <v>-0.5569063253591</v>
      </c>
      <c r="T493" s="46">
        <f>(VLOOKUP($A493,'The List'!$B1:$AH730,32,FALSE)-AVERAGE('The List'!AG2:AG730))/STDEV('The List'!AG2:AG730)</f>
        <v>-0.600856269042678</v>
      </c>
      <c r="U493" s="46">
        <f>(VLOOKUP($A493,'The List'!$B1:$AH730,33,FALSE)-AVERAGE('The List'!AH2:AH730))/STDEV('The List'!AH2:AH730)</f>
        <v>-1.2363238714826</v>
      </c>
      <c r="V493" s="46"/>
      <c r="W493" s="50"/>
      <c r="X493" s="48"/>
      <c r="Y493" s="48"/>
      <c r="Z493" s="48"/>
      <c r="AA493" s="48"/>
      <c r="AB493" s="48"/>
      <c r="AC493" s="51"/>
      <c r="AD493" s="52"/>
      <c r="AE493" s="46"/>
    </row>
    <row r="494" ht="21.25" customHeight="1">
      <c r="A494" t="s" s="8">
        <v>551</v>
      </c>
      <c r="B494" t="s" s="42">
        <f>VLOOKUP(A494,'Player Data'!A1:B734,2,FALSE)</f>
        <v>184</v>
      </c>
      <c r="C494" s="44">
        <f>((E494)*'Settings'!$C$12)+(F494*'Settings'!$C$2)+(G494*'Settings'!$C$3)+(H494*'Settings'!$C$4)+(I494*'Settings'!$C$5)+(K494*'Settings'!$C$9)+(N494*'Settings'!$C$6)+(J494*'Settings'!$C$8)+(O494*'Settings'!$C$7)+(P494*'Settings'!$C$14)+(Q494*'Settings'!$C$15)+(R494*'Settings'!$C$16)+(S494*'Settings'!$C$17)+(T494*'Settings'!$C$18)+(U494*'Settings'!$C$19)+(L494*'Settings'!$C$10)+('Settings'!$C$11*M494)</f>
        <v>-2.23503141639521</v>
      </c>
      <c r="D494" s="48">
        <f>IF('Settings'!$E$12="YES",VLOOKUP(A494,'Player Data'!A1:E734,5,FALSE),82)</f>
        <v>79.7410714285714</v>
      </c>
      <c r="E494" s="46">
        <f>(VLOOKUP($A494,'The List'!$B1:$AH730,17,FALSE)-AVERAGE('The List'!R2:R730))/STDEV('The List'!R2:R730)</f>
        <v>0.5685870323394761</v>
      </c>
      <c r="F494" s="46">
        <f>(VLOOKUP($A494,'The List'!$B1:$AH730,18,FALSE)-AVERAGE('The List'!S2:S730))/STDEV('The List'!S2:S730)</f>
        <v>-1.0623842046273</v>
      </c>
      <c r="G494" s="46">
        <f>(VLOOKUP($A494,'The List'!$B1:$AH730,19,FALSE)-AVERAGE('The List'!T2:T730))/STDEV('The List'!T2:T730)</f>
        <v>-0.349233654469414</v>
      </c>
      <c r="H494" s="46">
        <f>(VLOOKUP($A494,'The List'!$B1:$AH730,20,FALSE)-AVERAGE('The List'!U2:U730))/STDEV('The List'!U2:U730)</f>
        <v>-0.698704077728779</v>
      </c>
      <c r="I494" s="46">
        <f>(VLOOKUP($A494,'The List'!$B1:$AH730,21,FALSE)-AVERAGE('The List'!V2:V730))/STDEV('The List'!V2:V730)</f>
        <v>-1.09057784920587</v>
      </c>
      <c r="J494" s="46">
        <f>(VLOOKUP($A494,'The List'!$B1:$AH730,22,FALSE)-AVERAGE('The List'!W2:W730))/STDEV('The List'!W2:W730)</f>
        <v>-0.708586209323525</v>
      </c>
      <c r="K494" s="46">
        <f>(VLOOKUP($A494,'The List'!$B1:$AH730,23,FALSE)-AVERAGE('The List'!X2:X730))/STDEV('The List'!X2:X730)</f>
        <v>-0.788137316074947</v>
      </c>
      <c r="L494" s="46">
        <f>(VLOOKUP($A494,'The List'!$B1:$AH730,24,FALSE)-AVERAGE('The List'!Y2:Y730))/STDEV('The List'!Y2:Y730)</f>
        <v>-0.15906461403914</v>
      </c>
      <c r="M494" s="46">
        <f>(VLOOKUP($A494,'The List'!$B1:$AH730,25,FALSE)-AVERAGE('The List'!Z2:Z730))/STDEV('The List'!Z2:Z730)</f>
        <v>0.250726593769755</v>
      </c>
      <c r="N494" s="46">
        <f>(VLOOKUP($A494,'The List'!$B1:$AH730,26,FALSE)-AVERAGE('The List'!AA2:AA730))/STDEV('The List'!AA2:AA730)</f>
        <v>1.56103161573721</v>
      </c>
      <c r="O494" s="46">
        <f>(VLOOKUP($A494,'The List'!$B1:$AH730,27,FALSE)-AVERAGE('The List'!AB2:AB730))/STDEV('The List'!AB2:AB730)</f>
        <v>0.905092567979553</v>
      </c>
      <c r="P494" s="46">
        <f>(VLOOKUP($A494,'The List'!$B1:$AH730,28,FALSE)-AVERAGE('The List'!AC2:AC730))/STDEV('The List'!AC2:AC730)</f>
        <v>-0.505730007754893</v>
      </c>
      <c r="Q494" s="46">
        <f>(VLOOKUP($A494,'The List'!$B1:$AH730,29,FALSE)-AVERAGE('The List'!AD2:AD730))/STDEV('The List'!AD2:AD730)</f>
        <v>0.438598300181905</v>
      </c>
      <c r="R494" s="46">
        <f>(VLOOKUP($A494,'The List'!$B1:$AH730,30,FALSE)-AVERAGE('The List'!AE2:AE730))/STDEV('The List'!AE2:AE730)</f>
        <v>-0.983699297992932</v>
      </c>
      <c r="S494" s="46">
        <f>(VLOOKUP($A494,'The List'!$B1:$AH730,31,FALSE)-AVERAGE('The List'!AF2:AF730))/STDEV('The List'!AF2:AF730)</f>
        <v>-0.5569063253591</v>
      </c>
      <c r="T494" s="46">
        <f>(VLOOKUP($A494,'The List'!$B1:$AH730,32,FALSE)-AVERAGE('The List'!AG2:AG730))/STDEV('The List'!AG2:AG730)</f>
        <v>-0.600856269042678</v>
      </c>
      <c r="U494" s="46">
        <f>(VLOOKUP($A494,'The List'!$B1:$AH730,33,FALSE)-AVERAGE('The List'!AH2:AH730))/STDEV('The List'!AH2:AH730)</f>
        <v>-1.2363238714826</v>
      </c>
      <c r="V494" s="46"/>
      <c r="W494" s="50"/>
      <c r="X494" s="48"/>
      <c r="Y494" s="48"/>
      <c r="Z494" s="48"/>
      <c r="AA494" s="48"/>
      <c r="AB494" s="48"/>
      <c r="AC494" s="51"/>
      <c r="AD494" s="52"/>
      <c r="AE494" s="46"/>
    </row>
    <row r="495" ht="21.25" customHeight="1">
      <c r="A495" t="s" s="8">
        <v>783</v>
      </c>
      <c r="B495" t="s" s="42">
        <f>VLOOKUP(A495,'Player Data'!A1:B734,2,FALSE)</f>
        <v>225</v>
      </c>
      <c r="C495" s="44">
        <f>((E495)*'Settings'!$C$12)+(F495*'Settings'!$C$2)+(G495*'Settings'!$C$3)+(H495*'Settings'!$C$4)+(I495*'Settings'!$C$5)+(K495*'Settings'!$C$9)+(N495*'Settings'!$C$6)+(J495*'Settings'!$C$8)+(O495*'Settings'!$C$7)+(P495*'Settings'!$C$14)+(Q495*'Settings'!$C$15)+(R495*'Settings'!$C$16)+(S495*'Settings'!$C$17)+(T495*'Settings'!$C$18)+(U495*'Settings'!$C$19)+(L495*'Settings'!$C$10)+('Settings'!$C$11*M495)</f>
        <v>-4.80939632432863</v>
      </c>
      <c r="D495" s="48">
        <f>IF('Settings'!$E$12="YES",VLOOKUP(A495,'Player Data'!A1:E734,5,FALSE),82)</f>
        <v>74.625</v>
      </c>
      <c r="E495" s="46">
        <f>(VLOOKUP($A495,'The List'!$B1:$AH730,17,FALSE)-AVERAGE('The List'!R2:R730))/STDEV('The List'!R2:R730)</f>
        <v>-1.22360764799488</v>
      </c>
      <c r="F495" s="46">
        <f>(VLOOKUP($A495,'The List'!$B1:$AH730,18,FALSE)-AVERAGE('The List'!S2:S730))/STDEV('The List'!S2:S730)</f>
        <v>-0.724443506515334</v>
      </c>
      <c r="G495" s="46">
        <f>(VLOOKUP($A495,'The List'!$B1:$AH730,19,FALSE)-AVERAGE('The List'!T2:T730))/STDEV('The List'!T2:T730)</f>
        <v>-0.694919179530732</v>
      </c>
      <c r="H495" s="46">
        <f>(VLOOKUP($A495,'The List'!$B1:$AH730,20,FALSE)-AVERAGE('The List'!U2:U730))/STDEV('The List'!U2:U730)</f>
        <v>-0.758044865071963</v>
      </c>
      <c r="I495" s="46">
        <f>(VLOOKUP($A495,'The List'!$B1:$AH730,21,FALSE)-AVERAGE('The List'!V2:V730))/STDEV('The List'!V2:V730)</f>
        <v>-0.755107770516338</v>
      </c>
      <c r="J495" s="46">
        <f>(VLOOKUP($A495,'The List'!$B1:$AH730,22,FALSE)-AVERAGE('The List'!W2:W730))/STDEV('The List'!W2:W730)</f>
        <v>-0.677124996172958</v>
      </c>
      <c r="K495" s="46">
        <f>(VLOOKUP($A495,'The List'!$B1:$AH730,23,FALSE)-AVERAGE('The List'!X2:X730))/STDEV('The List'!X2:X730)</f>
        <v>-0.7630545562314039</v>
      </c>
      <c r="L495" s="46">
        <f>(VLOOKUP($A495,'The List'!$B1:$AH730,24,FALSE)-AVERAGE('The List'!Y2:Y730))/STDEV('The List'!Y2:Y730)</f>
        <v>-0.272012046794234</v>
      </c>
      <c r="M495" s="46">
        <f>(VLOOKUP($A495,'The List'!$B1:$AH730,25,FALSE)-AVERAGE('The List'!Z2:Z730))/STDEV('The List'!Z2:Z730)</f>
        <v>0.496926569042526</v>
      </c>
      <c r="N495" s="46">
        <f>(VLOOKUP($A495,'The List'!$B1:$AH730,26,FALSE)-AVERAGE('The List'!AA2:AA730))/STDEV('The List'!AA2:AA730)</f>
        <v>-0.504765886655254</v>
      </c>
      <c r="O495" s="46">
        <f>(VLOOKUP($A495,'The List'!$B1:$AH730,27,FALSE)-AVERAGE('The List'!AB2:AB730))/STDEV('The List'!AB2:AB730)</f>
        <v>1.75786072364162</v>
      </c>
      <c r="P495" s="46">
        <f>(VLOOKUP($A495,'The List'!$B1:$AH730,28,FALSE)-AVERAGE('The List'!AC2:AC730))/STDEV('The List'!AC2:AC730)</f>
        <v>-1.36710542487957</v>
      </c>
      <c r="Q495" s="46">
        <f>(VLOOKUP($A495,'The List'!$B1:$AH730,29,FALSE)-AVERAGE('The List'!AD2:AD730))/STDEV('The List'!AD2:AD730)</f>
        <v>1.01401982244815</v>
      </c>
      <c r="R495" s="46">
        <f>(VLOOKUP($A495,'The List'!$B1:$AH730,30,FALSE)-AVERAGE('The List'!AE2:AE730))/STDEV('The List'!AE2:AE730)</f>
        <v>-0.7490075243127849</v>
      </c>
      <c r="S495" s="46">
        <f>(VLOOKUP($A495,'The List'!$B1:$AH730,31,FALSE)-AVERAGE('The List'!AF2:AF730))/STDEV('The List'!AF2:AF730)</f>
        <v>-0.270090360482019</v>
      </c>
      <c r="T495" s="46">
        <f>(VLOOKUP($A495,'The List'!$B1:$AH730,32,FALSE)-AVERAGE('The List'!AG2:AG730))/STDEV('The List'!AG2:AG730)</f>
        <v>-0.333154544489454</v>
      </c>
      <c r="U495" s="46">
        <f>(VLOOKUP($A495,'The List'!$B1:$AH730,33,FALSE)-AVERAGE('The List'!AH2:AH730))/STDEV('The List'!AH2:AH730)</f>
        <v>1.15655259835793</v>
      </c>
      <c r="V495" s="46"/>
      <c r="W495" s="48"/>
      <c r="X495" s="46"/>
      <c r="Y495" s="46"/>
      <c r="Z495" s="46"/>
      <c r="AA495" s="46"/>
      <c r="AB495" s="46"/>
      <c r="AC495" s="46"/>
      <c r="AD495" s="46"/>
      <c r="AE495" s="46"/>
    </row>
    <row r="496" ht="21.25" customHeight="1">
      <c r="A496" t="s" s="8">
        <v>510</v>
      </c>
      <c r="B496" t="s" s="42">
        <f>VLOOKUP(A496,'Player Data'!A1:B734,2,FALSE)</f>
        <v>238</v>
      </c>
      <c r="C496" s="44">
        <f>((E496)*'Settings'!$C$12)+(F496*'Settings'!$C$2)+(G496*'Settings'!$C$3)+(H496*'Settings'!$C$4)+(I496*'Settings'!$C$5)+(K496*'Settings'!$C$9)+(N496*'Settings'!$C$6)+(J496*'Settings'!$C$8)+(O496*'Settings'!$C$7)+(P496*'Settings'!$C$14)+(Q496*'Settings'!$C$15)+(R496*'Settings'!$C$16)+(S496*'Settings'!$C$17)+(T496*'Settings'!$C$18)+(U496*'Settings'!$C$19)+(L496*'Settings'!$C$10)+('Settings'!$C$11*M496)</f>
        <v>0.040149401943606</v>
      </c>
      <c r="D496" s="48">
        <f>IF('Settings'!$E$12="YES",VLOOKUP(A496,'Player Data'!A1:E734,5,FALSE),82)</f>
        <v>74.90000000000001</v>
      </c>
      <c r="E496" s="46">
        <f>(VLOOKUP($A496,'The List'!$B1:$AH730,17,FALSE)-AVERAGE('The List'!R2:R730))/STDEV('The List'!R2:R730)</f>
        <v>0.915544771098306</v>
      </c>
      <c r="F496" s="46">
        <f>(VLOOKUP($A496,'The List'!$B1:$AH730,18,FALSE)-AVERAGE('The List'!S2:S730))/STDEV('The List'!S2:S730)</f>
        <v>-0.986096569412853</v>
      </c>
      <c r="G496" s="46">
        <f>(VLOOKUP($A496,'The List'!$B1:$AH730,19,FALSE)-AVERAGE('The List'!T2:T730))/STDEV('The List'!T2:T730)</f>
        <v>-0.498325910983192</v>
      </c>
      <c r="H496" s="46">
        <f>(VLOOKUP($A496,'The List'!$B1:$AH730,20,FALSE)-AVERAGE('The List'!U2:U730))/STDEV('The List'!U2:U730)</f>
        <v>-0.7559050902244721</v>
      </c>
      <c r="I496" s="46">
        <f>(VLOOKUP($A496,'The List'!$B1:$AH730,21,FALSE)-AVERAGE('The List'!V2:V730))/STDEV('The List'!V2:V730)</f>
        <v>-0.7527648635037389</v>
      </c>
      <c r="J496" s="46">
        <f>(VLOOKUP($A496,'The List'!$B1:$AH730,22,FALSE)-AVERAGE('The List'!W2:W730))/STDEV('The List'!W2:W730)</f>
        <v>-0.697147351279757</v>
      </c>
      <c r="K496" s="46">
        <f>(VLOOKUP($A496,'The List'!$B1:$AH730,23,FALSE)-AVERAGE('The List'!X2:X730))/STDEV('The List'!X2:X730)</f>
        <v>-0.7330952377890591</v>
      </c>
      <c r="L496" s="46">
        <f>(VLOOKUP($A496,'The List'!$B1:$AH730,24,FALSE)-AVERAGE('The List'!Y2:Y730))/STDEV('The List'!Y2:Y730)</f>
        <v>-0.508435076943524</v>
      </c>
      <c r="M496" s="46">
        <f>(VLOOKUP($A496,'The List'!$B1:$AH730,25,FALSE)-AVERAGE('The List'!Z2:Z730))/STDEV('The List'!Z2:Z730)</f>
        <v>-0.601594110547494</v>
      </c>
      <c r="N496" s="46">
        <f>(VLOOKUP($A496,'The List'!$B1:$AH730,26,FALSE)-AVERAGE('The List'!AA2:AA730))/STDEV('The List'!AA2:AA730)</f>
        <v>2.0750286596374</v>
      </c>
      <c r="O496" s="46">
        <f>(VLOOKUP($A496,'The List'!$B1:$AH730,27,FALSE)-AVERAGE('The List'!AB2:AB730))/STDEV('The List'!AB2:AB730)</f>
        <v>-0.506752473996567</v>
      </c>
      <c r="P496" s="46">
        <f>(VLOOKUP($A496,'The List'!$B1:$AH730,28,FALSE)-AVERAGE('The List'!AC2:AC730))/STDEV('The List'!AC2:AC730)</f>
        <v>0.935403323995049</v>
      </c>
      <c r="Q496" s="46">
        <f>(VLOOKUP($A496,'The List'!$B1:$AH730,29,FALSE)-AVERAGE('The List'!AD2:AD730))/STDEV('The List'!AD2:AD730)</f>
        <v>-0.6335297809173011</v>
      </c>
      <c r="R496" s="46">
        <f>(VLOOKUP($A496,'The List'!$B1:$AH730,30,FALSE)-AVERAGE('The List'!AE2:AE730))/STDEV('The List'!AE2:AE730)</f>
        <v>-0.84800668651652</v>
      </c>
      <c r="S496" s="46">
        <f>(VLOOKUP($A496,'The List'!$B1:$AH730,31,FALSE)-AVERAGE('The List'!AF2:AF730))/STDEV('The List'!AF2:AF730)</f>
        <v>-0.5569063253591</v>
      </c>
      <c r="T496" s="46">
        <f>(VLOOKUP($A496,'The List'!$B1:$AH730,32,FALSE)-AVERAGE('The List'!AG2:AG730))/STDEV('The List'!AG2:AG730)</f>
        <v>-0.600856269042678</v>
      </c>
      <c r="U496" s="46">
        <f>(VLOOKUP($A496,'The List'!$B1:$AH730,33,FALSE)-AVERAGE('The List'!AH2:AH730))/STDEV('The List'!AH2:AH730)</f>
        <v>-1.2363238714826</v>
      </c>
      <c r="V496" s="46"/>
      <c r="W496" s="50"/>
      <c r="X496" s="48"/>
      <c r="Y496" s="48"/>
      <c r="Z496" s="48"/>
      <c r="AA496" s="48"/>
      <c r="AB496" s="48"/>
      <c r="AC496" s="51"/>
      <c r="AD496" s="52"/>
      <c r="AE496" s="46"/>
    </row>
    <row r="497" ht="21.25" customHeight="1">
      <c r="A497" t="s" s="8">
        <v>777</v>
      </c>
      <c r="B497" t="s" s="42">
        <f>VLOOKUP(A497,'Player Data'!A1:B734,2,FALSE)</f>
        <v>194</v>
      </c>
      <c r="C497" s="44">
        <f>((E497)*'Settings'!$C$12)+(F497*'Settings'!$C$2)+(G497*'Settings'!$C$3)+(H497*'Settings'!$C$4)+(I497*'Settings'!$C$5)+(K497*'Settings'!$C$9)+(N497*'Settings'!$C$6)+(J497*'Settings'!$C$8)+(O497*'Settings'!$C$7)+(P497*'Settings'!$C$14)+(Q497*'Settings'!$C$15)+(R497*'Settings'!$C$16)+(S497*'Settings'!$C$17)+(T497*'Settings'!$C$18)+(U497*'Settings'!$C$19)+(L497*'Settings'!$C$10)+('Settings'!$C$11*M497)</f>
        <v>-4.30536604937422</v>
      </c>
      <c r="D497" s="48">
        <f>IF('Settings'!$E$12="YES",VLOOKUP(A497,'Player Data'!A1:E734,5,FALSE),82)</f>
        <v>68.9975</v>
      </c>
      <c r="E497" s="46">
        <f>(VLOOKUP($A497,'The List'!$B1:$AH730,17,FALSE)-AVERAGE('The List'!R2:R730))/STDEV('The List'!R2:R730)</f>
        <v>-1.24026878778419</v>
      </c>
      <c r="F497" s="46">
        <f>(VLOOKUP($A497,'The List'!$B1:$AH730,18,FALSE)-AVERAGE('The List'!S2:S730))/STDEV('The List'!S2:S730)</f>
        <v>-0.409619034352805</v>
      </c>
      <c r="G497" s="46">
        <f>(VLOOKUP($A497,'The List'!$B1:$AH730,19,FALSE)-AVERAGE('The List'!T2:T730))/STDEV('The List'!T2:T730)</f>
        <v>-1.03311435583015</v>
      </c>
      <c r="H497" s="46">
        <f>(VLOOKUP($A497,'The List'!$B1:$AH730,20,FALSE)-AVERAGE('The List'!U2:U730))/STDEV('The List'!U2:U730)</f>
        <v>-0.823286297273229</v>
      </c>
      <c r="I497" s="46">
        <f>(VLOOKUP($A497,'The List'!$B1:$AH730,21,FALSE)-AVERAGE('The List'!V2:V730))/STDEV('The List'!V2:V730)</f>
        <v>-0.739012040487884</v>
      </c>
      <c r="J497" s="46">
        <f>(VLOOKUP($A497,'The List'!$B1:$AH730,22,FALSE)-AVERAGE('The List'!W2:W730))/STDEV('The List'!W2:W730)</f>
        <v>-0.699195502627873</v>
      </c>
      <c r="K497" s="46">
        <f>(VLOOKUP($A497,'The List'!$B1:$AH730,23,FALSE)-AVERAGE('The List'!X2:X730))/STDEV('The List'!X2:X730)</f>
        <v>-0.789065635730527</v>
      </c>
      <c r="L497" s="46">
        <f>(VLOOKUP($A497,'The List'!$B1:$AH730,24,FALSE)-AVERAGE('The List'!Y2:Y730))/STDEV('The List'!Y2:Y730)</f>
        <v>0.835099092230863</v>
      </c>
      <c r="M497" s="46">
        <f>(VLOOKUP($A497,'The List'!$B1:$AH730,25,FALSE)-AVERAGE('The List'!Z2:Z730))/STDEV('The List'!Z2:Z730)</f>
        <v>0.261763294953178</v>
      </c>
      <c r="N497" s="46">
        <f>(VLOOKUP($A497,'The List'!$B1:$AH730,26,FALSE)-AVERAGE('The List'!AA2:AA730))/STDEV('The List'!AA2:AA730)</f>
        <v>-0.391731243563763</v>
      </c>
      <c r="O497" s="46">
        <f>(VLOOKUP($A497,'The List'!$B1:$AH730,27,FALSE)-AVERAGE('The List'!AB2:AB730))/STDEV('The List'!AB2:AB730)</f>
        <v>0.769676844983902</v>
      </c>
      <c r="P497" s="46">
        <f>(VLOOKUP($A497,'The List'!$B1:$AH730,28,FALSE)-AVERAGE('The List'!AC2:AC730))/STDEV('The List'!AC2:AC730)</f>
        <v>-0.94282373940909</v>
      </c>
      <c r="Q497" s="46">
        <f>(VLOOKUP($A497,'The List'!$B1:$AH730,29,FALSE)-AVERAGE('The List'!AD2:AD730))/STDEV('The List'!AD2:AD730)</f>
        <v>-0.874258286530555</v>
      </c>
      <c r="R497" s="46">
        <f>(VLOOKUP($A497,'The List'!$B1:$AH730,30,FALSE)-AVERAGE('The List'!AE2:AE730))/STDEV('The List'!AE2:AE730)</f>
        <v>-0.521106505600227</v>
      </c>
      <c r="S497" s="46">
        <f>(VLOOKUP($A497,'The List'!$B1:$AH730,31,FALSE)-AVERAGE('The List'!AF2:AF730))/STDEV('The List'!AF2:AF730)</f>
        <v>-0.546437319826185</v>
      </c>
      <c r="T497" s="46">
        <f>(VLOOKUP($A497,'The List'!$B1:$AH730,32,FALSE)-AVERAGE('The List'!AG2:AG730))/STDEV('The List'!AG2:AG730)</f>
        <v>-0.570960515543694</v>
      </c>
      <c r="U497" s="46">
        <f>(VLOOKUP($A497,'The List'!$B1:$AH730,33,FALSE)-AVERAGE('The List'!AH2:AH730))/STDEV('The List'!AH2:AH730)</f>
        <v>-0.0206431699286012</v>
      </c>
      <c r="V497" s="46"/>
      <c r="W497" s="48"/>
      <c r="X497" s="46"/>
      <c r="Y497" s="46"/>
      <c r="Z497" s="46"/>
      <c r="AA497" s="46"/>
      <c r="AB497" s="46"/>
      <c r="AC497" s="46"/>
      <c r="AD497" s="46"/>
      <c r="AE497" s="46"/>
    </row>
    <row r="498" ht="21.25" customHeight="1">
      <c r="A498" t="s" s="8">
        <v>766</v>
      </c>
      <c r="B498" t="s" s="42">
        <f>VLOOKUP(A498,'Player Data'!A1:B734,2,FALSE)</f>
        <v>119</v>
      </c>
      <c r="C498" s="44">
        <f>((E498)*'Settings'!$C$12)+(F498*'Settings'!$C$2)+(G498*'Settings'!$C$3)+(H498*'Settings'!$C$4)+(I498*'Settings'!$C$5)+(K498*'Settings'!$C$9)+(N498*'Settings'!$C$6)+(J498*'Settings'!$C$8)+(O498*'Settings'!$C$7)+(P498*'Settings'!$C$14)+(Q498*'Settings'!$C$15)+(R498*'Settings'!$C$16)+(S498*'Settings'!$C$17)+(T498*'Settings'!$C$18)+(U498*'Settings'!$C$19)+(L498*'Settings'!$C$10)+('Settings'!$C$11*M498)</f>
        <v>-2.92497459857567</v>
      </c>
      <c r="D498" s="48">
        <f>IF('Settings'!$E$12="YES",VLOOKUP(A498,'Player Data'!A1:E734,5,FALSE),82)</f>
        <v>72</v>
      </c>
      <c r="E498" s="46">
        <f>(VLOOKUP($A498,'The List'!$B1:$AH730,17,FALSE)-AVERAGE('The List'!R2:R730))/STDEV('The List'!R2:R730)</f>
        <v>-1.41750453590348</v>
      </c>
      <c r="F498" s="46">
        <f>(VLOOKUP($A498,'The List'!$B1:$AH730,18,FALSE)-AVERAGE('The List'!S2:S730))/STDEV('The List'!S2:S730)</f>
        <v>-0.342835803129485</v>
      </c>
      <c r="G498" s="46">
        <f>(VLOOKUP($A498,'The List'!$B1:$AH730,19,FALSE)-AVERAGE('The List'!T2:T730))/STDEV('The List'!T2:T730)</f>
        <v>-1.02817815393079</v>
      </c>
      <c r="H498" s="46">
        <f>(VLOOKUP($A498,'The List'!$B1:$AH730,20,FALSE)-AVERAGE('The List'!U2:U730))/STDEV('The List'!U2:U730)</f>
        <v>-0.789855484091136</v>
      </c>
      <c r="I498" s="46">
        <f>(VLOOKUP($A498,'The List'!$B1:$AH730,21,FALSE)-AVERAGE('The List'!V2:V730))/STDEV('The List'!V2:V730)</f>
        <v>-0.303260960944541</v>
      </c>
      <c r="J498" s="46">
        <f>(VLOOKUP($A498,'The List'!$B1:$AH730,22,FALSE)-AVERAGE('The List'!W2:W730))/STDEV('The List'!W2:W730)</f>
        <v>-0.699924278821688</v>
      </c>
      <c r="K498" s="46">
        <f>(VLOOKUP($A498,'The List'!$B1:$AH730,23,FALSE)-AVERAGE('The List'!X2:X730))/STDEV('The List'!X2:X730)</f>
        <v>-0.789881774119519</v>
      </c>
      <c r="L498" s="46">
        <f>(VLOOKUP($A498,'The List'!$B1:$AH730,24,FALSE)-AVERAGE('The List'!Y2:Y730))/STDEV('The List'!Y2:Y730)</f>
        <v>-0.454990070817747</v>
      </c>
      <c r="M498" s="46">
        <f>(VLOOKUP($A498,'The List'!$B1:$AH730,25,FALSE)-AVERAGE('The List'!Z2:Z730))/STDEV('The List'!Z2:Z730)</f>
        <v>-0.476347702859299</v>
      </c>
      <c r="N498" s="46">
        <f>(VLOOKUP($A498,'The List'!$B1:$AH730,26,FALSE)-AVERAGE('The List'!AA2:AA730))/STDEV('The List'!AA2:AA730)</f>
        <v>-1.00943057725472</v>
      </c>
      <c r="O498" s="46">
        <f>(VLOOKUP($A498,'The List'!$B1:$AH730,27,FALSE)-AVERAGE('The List'!AB2:AB730))/STDEV('The List'!AB2:AB730)</f>
        <v>0.963465454363067</v>
      </c>
      <c r="P498" s="46">
        <f>(VLOOKUP($A498,'The List'!$B1:$AH730,28,FALSE)-AVERAGE('The List'!AC2:AC730))/STDEV('The List'!AC2:AC730)</f>
        <v>0.548612670803389</v>
      </c>
      <c r="Q498" s="46">
        <f>(VLOOKUP($A498,'The List'!$B1:$AH730,29,FALSE)-AVERAGE('The List'!AD2:AD730))/STDEV('The List'!AD2:AD730)</f>
        <v>1.73588275060479</v>
      </c>
      <c r="R498" s="46">
        <f>(VLOOKUP($A498,'The List'!$B1:$AH730,30,FALSE)-AVERAGE('The List'!AE2:AE730))/STDEV('The List'!AE2:AE730)</f>
        <v>-0.295162834577212</v>
      </c>
      <c r="S498" s="46">
        <f>(VLOOKUP($A498,'The List'!$B1:$AH730,31,FALSE)-AVERAGE('The List'!AF2:AF730))/STDEV('The List'!AF2:AF730)</f>
        <v>-0.520191826747473</v>
      </c>
      <c r="T498" s="46">
        <f>(VLOOKUP($A498,'The List'!$B1:$AH730,32,FALSE)-AVERAGE('The List'!AG2:AG730))/STDEV('The List'!AG2:AG730)</f>
        <v>-0.521621314807439</v>
      </c>
      <c r="U498" s="46">
        <f>(VLOOKUP($A498,'The List'!$B1:$AH730,33,FALSE)-AVERAGE('The List'!AH2:AH730))/STDEV('The List'!AH2:AH730)</f>
        <v>0.243521349530423</v>
      </c>
      <c r="V498" s="46"/>
      <c r="W498" s="50"/>
      <c r="X498" s="48"/>
      <c r="Y498" s="48"/>
      <c r="Z498" s="48"/>
      <c r="AA498" s="48"/>
      <c r="AB498" s="48"/>
      <c r="AC498" s="51"/>
      <c r="AD498" s="52"/>
      <c r="AE498" s="46"/>
    </row>
    <row r="499" ht="21.25" customHeight="1">
      <c r="A499" t="s" s="8">
        <v>530</v>
      </c>
      <c r="B499" t="s" s="42">
        <f>VLOOKUP(A499,'Player Data'!A1:B734,2,FALSE)</f>
        <v>218</v>
      </c>
      <c r="C499" s="44">
        <f>((E499)*'Settings'!$C$12)+(F499*'Settings'!$C$2)+(G499*'Settings'!$C$3)+(H499*'Settings'!$C$4)+(I499*'Settings'!$C$5)+(K499*'Settings'!$C$9)+(N499*'Settings'!$C$6)+(J499*'Settings'!$C$8)+(O499*'Settings'!$C$7)+(P499*'Settings'!$C$14)+(Q499*'Settings'!$C$15)+(R499*'Settings'!$C$16)+(S499*'Settings'!$C$17)+(T499*'Settings'!$C$18)+(U499*'Settings'!$C$19)+(L499*'Settings'!$C$10)+('Settings'!$C$11*M499)</f>
        <v>-0.325516128489579</v>
      </c>
      <c r="D499" s="48">
        <f>IF('Settings'!$E$12="YES",VLOOKUP(A499,'Player Data'!A1:E734,5,FALSE),82)</f>
        <v>74.05285714285711</v>
      </c>
      <c r="E499" s="46">
        <f>(VLOOKUP($A499,'The List'!$B1:$AH730,17,FALSE)-AVERAGE('The List'!R2:R730))/STDEV('The List'!R2:R730)</f>
        <v>0.239885597244302</v>
      </c>
      <c r="F499" s="46">
        <f>(VLOOKUP($A499,'The List'!$B1:$AH730,18,FALSE)-AVERAGE('The List'!S2:S730))/STDEV('The List'!S2:S730)</f>
        <v>-0.697005227579702</v>
      </c>
      <c r="G499" s="46">
        <f>(VLOOKUP($A499,'The List'!$B1:$AH730,19,FALSE)-AVERAGE('The List'!T2:T730))/STDEV('The List'!T2:T730)</f>
        <v>-0.730484814822827</v>
      </c>
      <c r="H499" s="46">
        <f>(VLOOKUP($A499,'The List'!$B1:$AH730,20,FALSE)-AVERAGE('The List'!U2:U730))/STDEV('The List'!U2:U730)</f>
        <v>-0.767485644556702</v>
      </c>
      <c r="I499" s="46">
        <f>(VLOOKUP($A499,'The List'!$B1:$AH730,21,FALSE)-AVERAGE('The List'!V2:V730))/STDEV('The List'!V2:V730)</f>
        <v>-0.717099704184283</v>
      </c>
      <c r="J499" s="46">
        <f>(VLOOKUP($A499,'The List'!$B1:$AH730,22,FALSE)-AVERAGE('The List'!W2:W730))/STDEV('The List'!W2:W730)</f>
        <v>-0.71197125095856</v>
      </c>
      <c r="K499" s="46">
        <f>(VLOOKUP($A499,'The List'!$B1:$AH730,23,FALSE)-AVERAGE('The List'!X2:X730))/STDEV('The List'!X2:X730)</f>
        <v>-0.798247266562557</v>
      </c>
      <c r="L499" s="46">
        <f>(VLOOKUP($A499,'The List'!$B1:$AH730,24,FALSE)-AVERAGE('The List'!Y2:Y730))/STDEV('The List'!Y2:Y730)</f>
        <v>0.0498377701534491</v>
      </c>
      <c r="M499" s="46">
        <f>(VLOOKUP($A499,'The List'!$B1:$AH730,25,FALSE)-AVERAGE('The List'!Z2:Z730))/STDEV('The List'!Z2:Z730)</f>
        <v>-0.244198063702602</v>
      </c>
      <c r="N499" s="46">
        <f>(VLOOKUP($A499,'The List'!$B1:$AH730,26,FALSE)-AVERAGE('The List'!AA2:AA730))/STDEV('The List'!AA2:AA730)</f>
        <v>1.53694790031264</v>
      </c>
      <c r="O499" s="46">
        <f>(VLOOKUP($A499,'The List'!$B1:$AH730,27,FALSE)-AVERAGE('The List'!AB2:AB730))/STDEV('The List'!AB2:AB730)</f>
        <v>0.448411492927126</v>
      </c>
      <c r="P499" s="46">
        <f>(VLOOKUP($A499,'The List'!$B1:$AH730,28,FALSE)-AVERAGE('The List'!AC2:AC730))/STDEV('The List'!AC2:AC730)</f>
        <v>1.08037298434715</v>
      </c>
      <c r="Q499" s="46">
        <f>(VLOOKUP($A499,'The List'!$B1:$AH730,29,FALSE)-AVERAGE('The List'!AD2:AD730))/STDEV('The List'!AD2:AD730)</f>
        <v>0.104812893764174</v>
      </c>
      <c r="R499" s="46">
        <f>(VLOOKUP($A499,'The List'!$B1:$AH730,30,FALSE)-AVERAGE('The List'!AE2:AE730))/STDEV('The List'!AE2:AE730)</f>
        <v>-0.5479673303214559</v>
      </c>
      <c r="S499" s="46">
        <f>(VLOOKUP($A499,'The List'!$B1:$AH730,31,FALSE)-AVERAGE('The List'!AF2:AF730))/STDEV('The List'!AF2:AF730)</f>
        <v>-0.5569063253591</v>
      </c>
      <c r="T499" s="46">
        <f>(VLOOKUP($A499,'The List'!$B1:$AH730,32,FALSE)-AVERAGE('The List'!AG2:AG730))/STDEV('The List'!AG2:AG730)</f>
        <v>-0.600856269042678</v>
      </c>
      <c r="U499" s="46">
        <f>(VLOOKUP($A499,'The List'!$B1:$AH730,33,FALSE)-AVERAGE('The List'!AH2:AH730))/STDEV('The List'!AH2:AH730)</f>
        <v>-1.2363238714826</v>
      </c>
      <c r="V499" s="46"/>
      <c r="W499" s="50"/>
      <c r="X499" s="48"/>
      <c r="Y499" s="48"/>
      <c r="Z499" s="48"/>
      <c r="AA499" s="48"/>
      <c r="AB499" s="48"/>
      <c r="AC499" s="51"/>
      <c r="AD499" s="52"/>
      <c r="AE499" s="46"/>
    </row>
    <row r="500" ht="21.25" customHeight="1">
      <c r="A500" t="s" s="8">
        <v>799</v>
      </c>
      <c r="B500" t="s" s="42">
        <f>VLOOKUP(A500,'Player Data'!A1:B734,2,FALSE)</f>
        <v>225</v>
      </c>
      <c r="C500" s="44">
        <f>((E500)*'Settings'!$C$12)+(F500*'Settings'!$C$2)+(G500*'Settings'!$C$3)+(H500*'Settings'!$C$4)+(I500*'Settings'!$C$5)+(K500*'Settings'!$C$9)+(N500*'Settings'!$C$6)+(J500*'Settings'!$C$8)+(O500*'Settings'!$C$7)+(P500*'Settings'!$C$14)+(Q500*'Settings'!$C$15)+(R500*'Settings'!$C$16)+(S500*'Settings'!$C$17)+(T500*'Settings'!$C$18)+(U500*'Settings'!$C$19)+(L500*'Settings'!$C$10)+('Settings'!$C$11*M500)</f>
        <v>-5.60422188622601</v>
      </c>
      <c r="D500" s="48">
        <f>IF('Settings'!$E$12="YES",VLOOKUP(A500,'Player Data'!A1:E734,5,FALSE),82)</f>
        <v>72.2075</v>
      </c>
      <c r="E500" s="46">
        <f>(VLOOKUP($A500,'The List'!$B1:$AH730,17,FALSE)-AVERAGE('The List'!R2:R730))/STDEV('The List'!R2:R730)</f>
        <v>-1.12930991289321</v>
      </c>
      <c r="F500" s="46">
        <f>(VLOOKUP($A500,'The List'!$B1:$AH730,18,FALSE)-AVERAGE('The List'!S2:S730))/STDEV('The List'!S2:S730)</f>
        <v>-0.655325680454976</v>
      </c>
      <c r="G500" s="46">
        <f>(VLOOKUP($A500,'The List'!$B1:$AH730,19,FALSE)-AVERAGE('The List'!T2:T730))/STDEV('The List'!T2:T730)</f>
        <v>-0.800506969396379</v>
      </c>
      <c r="H500" s="46">
        <f>(VLOOKUP($A500,'The List'!$B1:$AH730,20,FALSE)-AVERAGE('The List'!U2:U730))/STDEV('The List'!U2:U730)</f>
        <v>-0.791688352648434</v>
      </c>
      <c r="I500" s="46">
        <f>(VLOOKUP($A500,'The List'!$B1:$AH730,21,FALSE)-AVERAGE('The List'!V2:V730))/STDEV('The List'!V2:V730)</f>
        <v>-0.848686439324835</v>
      </c>
      <c r="J500" s="46">
        <f>(VLOOKUP($A500,'The List'!$B1:$AH730,22,FALSE)-AVERAGE('The List'!W2:W730))/STDEV('The List'!W2:W730)</f>
        <v>-0.658062707073606</v>
      </c>
      <c r="K500" s="46">
        <f>(VLOOKUP($A500,'The List'!$B1:$AH730,23,FALSE)-AVERAGE('The List'!X2:X730))/STDEV('The List'!X2:X730)</f>
        <v>-0.749407630744591</v>
      </c>
      <c r="L500" s="46">
        <f>(VLOOKUP($A500,'The List'!$B1:$AH730,24,FALSE)-AVERAGE('The List'!Y2:Y730))/STDEV('The List'!Y2:Y730)</f>
        <v>-0.168614602954021</v>
      </c>
      <c r="M500" s="46">
        <f>(VLOOKUP($A500,'The List'!$B1:$AH730,25,FALSE)-AVERAGE('The List'!Z2:Z730))/STDEV('The List'!Z2:Z730)</f>
        <v>0.783369950458523</v>
      </c>
      <c r="N500" s="46">
        <f>(VLOOKUP($A500,'The List'!$B1:$AH730,26,FALSE)-AVERAGE('The List'!AA2:AA730))/STDEV('The List'!AA2:AA730)</f>
        <v>-0.852663277283959</v>
      </c>
      <c r="O500" s="46">
        <f>(VLOOKUP($A500,'The List'!$B1:$AH730,27,FALSE)-AVERAGE('The List'!AB2:AB730))/STDEV('The List'!AB2:AB730)</f>
        <v>0.831492103733193</v>
      </c>
      <c r="P500" s="46">
        <f>(VLOOKUP($A500,'The List'!$B1:$AH730,28,FALSE)-AVERAGE('The List'!AC2:AC730))/STDEV('The List'!AC2:AC730)</f>
        <v>-1.69763188902127</v>
      </c>
      <c r="Q500" s="46">
        <f>(VLOOKUP($A500,'The List'!$B1:$AH730,29,FALSE)-AVERAGE('The List'!AD2:AD730))/STDEV('The List'!AD2:AD730)</f>
        <v>-0.159895640715114</v>
      </c>
      <c r="R500" s="46">
        <f>(VLOOKUP($A500,'The List'!$B1:$AH730,30,FALSE)-AVERAGE('The List'!AE2:AE730))/STDEV('The List'!AE2:AE730)</f>
        <v>-0.696304212905287</v>
      </c>
      <c r="S500" s="46">
        <f>(VLOOKUP($A500,'The List'!$B1:$AH730,31,FALSE)-AVERAGE('The List'!AF2:AF730))/STDEV('The List'!AF2:AF730)</f>
        <v>-0.529832258419335</v>
      </c>
      <c r="T500" s="46">
        <f>(VLOOKUP($A500,'The List'!$B1:$AH730,32,FALSE)-AVERAGE('The List'!AG2:AG730))/STDEV('The List'!AG2:AG730)</f>
        <v>-0.523435401884786</v>
      </c>
      <c r="U500" s="46">
        <f>(VLOOKUP($A500,'The List'!$B1:$AH730,33,FALSE)-AVERAGE('The List'!AH2:AH730))/STDEV('The List'!AH2:AH730)</f>
        <v>-0.0218711568708246</v>
      </c>
      <c r="V500" s="46"/>
      <c r="W500" s="50"/>
      <c r="X500" s="48"/>
      <c r="Y500" s="48"/>
      <c r="Z500" s="48"/>
      <c r="AA500" s="48"/>
      <c r="AB500" s="48"/>
      <c r="AC500" s="51"/>
      <c r="AD500" s="52"/>
      <c r="AE500" s="46"/>
    </row>
    <row r="501" ht="21.25" customHeight="1">
      <c r="A501" t="s" s="8">
        <v>572</v>
      </c>
      <c r="B501" t="s" s="42">
        <f>VLOOKUP(A501,'Player Data'!A1:B734,2,FALSE)</f>
        <v>113</v>
      </c>
      <c r="C501" s="44">
        <f>((E501)*'Settings'!$C$12)+(F501*'Settings'!$C$2)+(G501*'Settings'!$C$3)+(H501*'Settings'!$C$4)+(I501*'Settings'!$C$5)+(K501*'Settings'!$C$9)+(N501*'Settings'!$C$6)+(J501*'Settings'!$C$8)+(O501*'Settings'!$C$7)+(P501*'Settings'!$C$14)+(Q501*'Settings'!$C$15)+(R501*'Settings'!$C$16)+(S501*'Settings'!$C$17)+(T501*'Settings'!$C$18)+(U501*'Settings'!$C$19)+(L501*'Settings'!$C$10)+('Settings'!$C$11*M501)</f>
        <v>-1.6526453413817</v>
      </c>
      <c r="D501" s="48">
        <f>IF('Settings'!$E$12="YES",VLOOKUP(A501,'Player Data'!A1:E734,5,FALSE),82)</f>
        <v>67.6803571428571</v>
      </c>
      <c r="E501" s="46">
        <f>(VLOOKUP($A501,'The List'!$B1:$AH730,17,FALSE)-AVERAGE('The List'!R2:R730))/STDEV('The List'!R2:R730)</f>
        <v>0.27240079398619</v>
      </c>
      <c r="F501" s="46">
        <f>(VLOOKUP($A501,'The List'!$B1:$AH730,18,FALSE)-AVERAGE('The List'!S2:S730))/STDEV('The List'!S2:S730)</f>
        <v>-0.864836869959539</v>
      </c>
      <c r="G501" s="46">
        <f>(VLOOKUP($A501,'The List'!$B1:$AH730,19,FALSE)-AVERAGE('The List'!T2:T730))/STDEV('The List'!T2:T730)</f>
        <v>-0.727991995771694</v>
      </c>
      <c r="H501" s="46">
        <f>(VLOOKUP($A501,'The List'!$B1:$AH730,20,FALSE)-AVERAGE('The List'!U2:U730))/STDEV('The List'!U2:U730)</f>
        <v>-0.842315617640203</v>
      </c>
      <c r="I501" s="46">
        <f>(VLOOKUP($A501,'The List'!$B1:$AH730,21,FALSE)-AVERAGE('The List'!V2:V730))/STDEV('The List'!V2:V730)</f>
        <v>-0.723202122353038</v>
      </c>
      <c r="J501" s="46">
        <f>(VLOOKUP($A501,'The List'!$B1:$AH730,22,FALSE)-AVERAGE('The List'!W2:W730))/STDEV('The List'!W2:W730)</f>
        <v>-0.711819606026265</v>
      </c>
      <c r="K501" s="46">
        <f>(VLOOKUP($A501,'The List'!$B1:$AH730,23,FALSE)-AVERAGE('The List'!X2:X730))/STDEV('The List'!X2:X730)</f>
        <v>-0.797814954394745</v>
      </c>
      <c r="L501" s="46">
        <f>(VLOOKUP($A501,'The List'!$B1:$AH730,24,FALSE)-AVERAGE('The List'!Y2:Y730))/STDEV('The List'!Y2:Y730)</f>
        <v>-0.477551032369972</v>
      </c>
      <c r="M501" s="46">
        <f>(VLOOKUP($A501,'The List'!$B1:$AH730,25,FALSE)-AVERAGE('The List'!Z2:Z730))/STDEV('The List'!Z2:Z730)</f>
        <v>-0.565822285866562</v>
      </c>
      <c r="N501" s="46">
        <f>(VLOOKUP($A501,'The List'!$B1:$AH730,26,FALSE)-AVERAGE('The List'!AA2:AA730))/STDEV('The List'!AA2:AA730)</f>
        <v>0.702788050248134</v>
      </c>
      <c r="O501" s="46">
        <f>(VLOOKUP($A501,'The List'!$B1:$AH730,27,FALSE)-AVERAGE('The List'!AB2:AB730))/STDEV('The List'!AB2:AB730)</f>
        <v>1.02684081920012</v>
      </c>
      <c r="P501" s="46">
        <f>(VLOOKUP($A501,'The List'!$B1:$AH730,28,FALSE)-AVERAGE('The List'!AC2:AC730))/STDEV('The List'!AC2:AC730)</f>
        <v>0.75841255084918</v>
      </c>
      <c r="Q501" s="46">
        <f>(VLOOKUP($A501,'The List'!$B1:$AH730,29,FALSE)-AVERAGE('The List'!AD2:AD730))/STDEV('The List'!AD2:AD730)</f>
        <v>2.44961116561109</v>
      </c>
      <c r="R501" s="46">
        <f>(VLOOKUP($A501,'The List'!$B1:$AH730,30,FALSE)-AVERAGE('The List'!AE2:AE730))/STDEV('The List'!AE2:AE730)</f>
        <v>-0.741054588704929</v>
      </c>
      <c r="S501" s="46">
        <f>(VLOOKUP($A501,'The List'!$B1:$AH730,31,FALSE)-AVERAGE('The List'!AF2:AF730))/STDEV('The List'!AF2:AF730)</f>
        <v>-0.5569063253591</v>
      </c>
      <c r="T501" s="46">
        <f>(VLOOKUP($A501,'The List'!$B1:$AH730,32,FALSE)-AVERAGE('The List'!AG2:AG730))/STDEV('The List'!AG2:AG730)</f>
        <v>-0.600856269042678</v>
      </c>
      <c r="U501" s="46">
        <f>(VLOOKUP($A501,'The List'!$B1:$AH730,33,FALSE)-AVERAGE('The List'!AH2:AH730))/STDEV('The List'!AH2:AH730)</f>
        <v>-1.2363238714826</v>
      </c>
      <c r="V501" s="46"/>
      <c r="W501" s="48"/>
      <c r="X501" s="46"/>
      <c r="Y501" s="46"/>
      <c r="Z501" s="46"/>
      <c r="AA501" s="46"/>
      <c r="AB501" s="46"/>
      <c r="AC501" s="46"/>
      <c r="AD501" s="46"/>
      <c r="AE501" s="46"/>
    </row>
    <row r="502" ht="21.25" customHeight="1">
      <c r="A502" t="s" s="8">
        <v>486</v>
      </c>
      <c r="B502" t="s" s="42">
        <f>VLOOKUP(A502,'Player Data'!A1:B734,2,FALSE)</f>
        <v>238</v>
      </c>
      <c r="C502" s="44">
        <f>((E502)*'Settings'!$C$12)+(F502*'Settings'!$C$2)+(G502*'Settings'!$C$3)+(H502*'Settings'!$C$4)+(I502*'Settings'!$C$5)+(K502*'Settings'!$C$9)+(N502*'Settings'!$C$6)+(J502*'Settings'!$C$8)+(O502*'Settings'!$C$7)+(P502*'Settings'!$C$14)+(Q502*'Settings'!$C$15)+(R502*'Settings'!$C$16)+(S502*'Settings'!$C$17)+(T502*'Settings'!$C$18)+(U502*'Settings'!$C$19)+(L502*'Settings'!$C$10)+('Settings'!$C$11*M502)</f>
        <v>-1.09935244892039</v>
      </c>
      <c r="D502" s="48">
        <f>IF('Settings'!$E$12="YES",VLOOKUP(A502,'Player Data'!A1:E734,5,FALSE),82)</f>
        <v>80.78357142857141</v>
      </c>
      <c r="E502" s="46">
        <f>(VLOOKUP($A502,'The List'!$B1:$AH730,17,FALSE)-AVERAGE('The List'!R2:R730))/STDEV('The List'!R2:R730)</f>
        <v>0.536926910274373</v>
      </c>
      <c r="F502" s="46">
        <f>(VLOOKUP($A502,'The List'!$B1:$AH730,18,FALSE)-AVERAGE('The List'!S2:S730))/STDEV('The List'!S2:S730)</f>
        <v>-0.589984111321736</v>
      </c>
      <c r="G502" s="46">
        <f>(VLOOKUP($A502,'The List'!$B1:$AH730,19,FALSE)-AVERAGE('The List'!T2:T730))/STDEV('The List'!T2:T730)</f>
        <v>-0.703781074507801</v>
      </c>
      <c r="H502" s="46">
        <f>(VLOOKUP($A502,'The List'!$B1:$AH730,20,FALSE)-AVERAGE('The List'!U2:U730))/STDEV('The List'!U2:U730)</f>
        <v>-0.702326385357198</v>
      </c>
      <c r="I502" s="46">
        <f>(VLOOKUP($A502,'The List'!$B1:$AH730,21,FALSE)-AVERAGE('The List'!V2:V730))/STDEV('The List'!V2:V730)</f>
        <v>-0.243735238076265</v>
      </c>
      <c r="J502" s="46">
        <f>(VLOOKUP($A502,'The List'!$B1:$AH730,22,FALSE)-AVERAGE('The List'!W2:W730))/STDEV('The List'!W2:W730)</f>
        <v>-0.704683712518348</v>
      </c>
      <c r="K502" s="46">
        <f>(VLOOKUP($A502,'The List'!$B1:$AH730,23,FALSE)-AVERAGE('The List'!X2:X730))/STDEV('The List'!X2:X730)</f>
        <v>-0.767121625077649</v>
      </c>
      <c r="L502" s="46">
        <f>(VLOOKUP($A502,'The List'!$B1:$AH730,24,FALSE)-AVERAGE('The List'!Y2:Y730))/STDEV('The List'!Y2:Y730)</f>
        <v>-0.493853818086196</v>
      </c>
      <c r="M502" s="46">
        <f>(VLOOKUP($A502,'The List'!$B1:$AH730,25,FALSE)-AVERAGE('The List'!Z2:Z730))/STDEV('The List'!Z2:Z730)</f>
        <v>-0.561661061401085</v>
      </c>
      <c r="N502" s="46">
        <f>(VLOOKUP($A502,'The List'!$B1:$AH730,26,FALSE)-AVERAGE('The List'!AA2:AA730))/STDEV('The List'!AA2:AA730)</f>
        <v>0.605119073206817</v>
      </c>
      <c r="O502" s="46">
        <f>(VLOOKUP($A502,'The List'!$B1:$AH730,27,FALSE)-AVERAGE('The List'!AB2:AB730))/STDEV('The List'!AB2:AB730)</f>
        <v>1.71934988889385</v>
      </c>
      <c r="P502" s="46">
        <f>(VLOOKUP($A502,'The List'!$B1:$AH730,28,FALSE)-AVERAGE('The List'!AC2:AC730))/STDEV('The List'!AC2:AC730)</f>
        <v>0.600150526856248</v>
      </c>
      <c r="Q502" s="46">
        <f>(VLOOKUP($A502,'The List'!$B1:$AH730,29,FALSE)-AVERAGE('The List'!AD2:AD730))/STDEV('The List'!AD2:AD730)</f>
        <v>2.28405854958388</v>
      </c>
      <c r="R502" s="46">
        <f>(VLOOKUP($A502,'The List'!$B1:$AH730,30,FALSE)-AVERAGE('The List'!AE2:AE730))/STDEV('The List'!AE2:AE730)</f>
        <v>-0.417302601222698</v>
      </c>
      <c r="S502" s="46">
        <f>(VLOOKUP($A502,'The List'!$B1:$AH730,31,FALSE)-AVERAGE('The List'!AF2:AF730))/STDEV('The List'!AF2:AF730)</f>
        <v>-0.5569063253591</v>
      </c>
      <c r="T502" s="46">
        <f>(VLOOKUP($A502,'The List'!$B1:$AH730,32,FALSE)-AVERAGE('The List'!AG2:AG730))/STDEV('The List'!AG2:AG730)</f>
        <v>-0.600856269042678</v>
      </c>
      <c r="U502" s="46">
        <f>(VLOOKUP($A502,'The List'!$B1:$AH730,33,FALSE)-AVERAGE('The List'!AH2:AH730))/STDEV('The List'!AH2:AH730)</f>
        <v>-1.2363238714826</v>
      </c>
      <c r="V502" s="46"/>
      <c r="W502" s="50"/>
      <c r="X502" s="48"/>
      <c r="Y502" s="48"/>
      <c r="Z502" s="48"/>
      <c r="AA502" s="48"/>
      <c r="AB502" s="48"/>
      <c r="AC502" s="51"/>
      <c r="AD502" s="52"/>
      <c r="AE502" s="46"/>
    </row>
    <row r="503" ht="21.25" customHeight="1">
      <c r="A503" t="s" s="8">
        <v>538</v>
      </c>
      <c r="B503" t="s" s="42">
        <f>VLOOKUP(A503,'Player Data'!A1:B734,2,FALSE)</f>
        <v>236</v>
      </c>
      <c r="C503" s="44">
        <f>((E503)*'Settings'!$C$12)+(F503*'Settings'!$C$2)+(G503*'Settings'!$C$3)+(H503*'Settings'!$C$4)+(I503*'Settings'!$C$5)+(K503*'Settings'!$C$9)+(N503*'Settings'!$C$6)+(J503*'Settings'!$C$8)+(O503*'Settings'!$C$7)+(P503*'Settings'!$C$14)+(Q503*'Settings'!$C$15)+(R503*'Settings'!$C$16)+(S503*'Settings'!$C$17)+(T503*'Settings'!$C$18)+(U503*'Settings'!$C$19)+(L503*'Settings'!$C$10)+('Settings'!$C$11*M503)</f>
        <v>-3.14854015070972</v>
      </c>
      <c r="D503" s="48">
        <f>IF('Settings'!$E$12="YES",VLOOKUP(A503,'Player Data'!A1:E734,5,FALSE),82)</f>
        <v>68.1321428571429</v>
      </c>
      <c r="E503" s="46">
        <f>(VLOOKUP($A503,'The List'!$B1:$AH730,17,FALSE)-AVERAGE('The List'!R2:R730))/STDEV('The List'!R2:R730)</f>
        <v>-0.066159373766528</v>
      </c>
      <c r="F503" s="46">
        <f>(VLOOKUP($A503,'The List'!$B1:$AH730,18,FALSE)-AVERAGE('The List'!S2:S730))/STDEV('The List'!S2:S730)</f>
        <v>-0.892538807764017</v>
      </c>
      <c r="G503" s="46">
        <f>(VLOOKUP($A503,'The List'!$B1:$AH730,19,FALSE)-AVERAGE('The List'!T2:T730))/STDEV('The List'!T2:T730)</f>
        <v>-0.7094983274858651</v>
      </c>
      <c r="H503" s="46">
        <f>(VLOOKUP($A503,'The List'!$B1:$AH730,20,FALSE)-AVERAGE('The List'!U2:U730))/STDEV('The List'!U2:U730)</f>
        <v>-0.843519451499571</v>
      </c>
      <c r="I503" s="46">
        <f>(VLOOKUP($A503,'The List'!$B1:$AH730,21,FALSE)-AVERAGE('The List'!V2:V730))/STDEV('The List'!V2:V730)</f>
        <v>-0.471392897179256</v>
      </c>
      <c r="J503" s="46">
        <f>(VLOOKUP($A503,'The List'!$B1:$AH730,22,FALSE)-AVERAGE('The List'!W2:W730))/STDEV('The List'!W2:W730)</f>
        <v>-0.708823467429736</v>
      </c>
      <c r="K503" s="46">
        <f>(VLOOKUP($A503,'The List'!$B1:$AH730,23,FALSE)-AVERAGE('The List'!X2:X730))/STDEV('The List'!X2:X730)</f>
        <v>-0.775186372947086</v>
      </c>
      <c r="L503" s="46">
        <f>(VLOOKUP($A503,'The List'!$B1:$AH730,24,FALSE)-AVERAGE('The List'!Y2:Y730))/STDEV('The List'!Y2:Y730)</f>
        <v>-0.517574328843351</v>
      </c>
      <c r="M503" s="46">
        <f>(VLOOKUP($A503,'The List'!$B1:$AH730,25,FALSE)-AVERAGE('The List'!Z2:Z730))/STDEV('The List'!Z2:Z730)</f>
        <v>-0.66362184409349</v>
      </c>
      <c r="N503" s="46">
        <f>(VLOOKUP($A503,'The List'!$B1:$AH730,26,FALSE)-AVERAGE('The List'!AA2:AA730))/STDEV('The List'!AA2:AA730)</f>
        <v>0.966194996541598</v>
      </c>
      <c r="O503" s="46">
        <f>(VLOOKUP($A503,'The List'!$B1:$AH730,27,FALSE)-AVERAGE('The List'!AB2:AB730))/STDEV('The List'!AB2:AB730)</f>
        <v>-0.182417429157741</v>
      </c>
      <c r="P503" s="46">
        <f>(VLOOKUP($A503,'The List'!$B1:$AH730,28,FALSE)-AVERAGE('The List'!AC2:AC730))/STDEV('The List'!AC2:AC730)</f>
        <v>-1.26611874187509</v>
      </c>
      <c r="Q503" s="46">
        <f>(VLOOKUP($A503,'The List'!$B1:$AH730,29,FALSE)-AVERAGE('The List'!AD2:AD730))/STDEV('The List'!AD2:AD730)</f>
        <v>0.07994938609428159</v>
      </c>
      <c r="R503" s="46">
        <f>(VLOOKUP($A503,'The List'!$B1:$AH730,30,FALSE)-AVERAGE('The List'!AE2:AE730))/STDEV('The List'!AE2:AE730)</f>
        <v>-0.876227740887253</v>
      </c>
      <c r="S503" s="46">
        <f>(VLOOKUP($A503,'The List'!$B1:$AH730,31,FALSE)-AVERAGE('The List'!AF2:AF730))/STDEV('The List'!AF2:AF730)</f>
        <v>-0.5569063253591</v>
      </c>
      <c r="T503" s="46">
        <f>(VLOOKUP($A503,'The List'!$B1:$AH730,32,FALSE)-AVERAGE('The List'!AG2:AG730))/STDEV('The List'!AG2:AG730)</f>
        <v>-0.600856269042678</v>
      </c>
      <c r="U503" s="46">
        <f>(VLOOKUP($A503,'The List'!$B1:$AH730,33,FALSE)-AVERAGE('The List'!AH2:AH730))/STDEV('The List'!AH2:AH730)</f>
        <v>-1.2363238714826</v>
      </c>
      <c r="V503" s="46"/>
      <c r="W503" s="50"/>
      <c r="X503" s="48"/>
      <c r="Y503" s="48"/>
      <c r="Z503" s="48"/>
      <c r="AA503" s="48"/>
      <c r="AB503" s="48"/>
      <c r="AC503" s="51"/>
      <c r="AD503" s="52"/>
      <c r="AE503" s="46"/>
    </row>
    <row r="504" ht="21.25" customHeight="1">
      <c r="A504" t="s" s="8">
        <v>533</v>
      </c>
      <c r="B504" t="s" s="42">
        <f>VLOOKUP(A504,'Player Data'!A1:B734,2,FALSE)</f>
        <v>164</v>
      </c>
      <c r="C504" s="44">
        <f>((E504)*'Settings'!$C$12)+(F504*'Settings'!$C$2)+(G504*'Settings'!$C$3)+(H504*'Settings'!$C$4)+(I504*'Settings'!$C$5)+(K504*'Settings'!$C$9)+(N504*'Settings'!$C$6)+(J504*'Settings'!$C$8)+(O504*'Settings'!$C$7)+(P504*'Settings'!$C$14)+(Q504*'Settings'!$C$15)+(R504*'Settings'!$C$16)+(S504*'Settings'!$C$17)+(T504*'Settings'!$C$18)+(U504*'Settings'!$C$19)+(L504*'Settings'!$C$10)+('Settings'!$C$11*M504)</f>
        <v>-1.54272558208927</v>
      </c>
      <c r="D504" s="48">
        <f>IF('Settings'!$E$12="YES",VLOOKUP(A504,'Player Data'!A1:E734,5,FALSE),82)</f>
        <v>81.61750000000001</v>
      </c>
      <c r="E504" s="46">
        <f>(VLOOKUP($A504,'The List'!$B1:$AH730,17,FALSE)-AVERAGE('The List'!R2:R730))/STDEV('The List'!R2:R730)</f>
        <v>0.559272794732251</v>
      </c>
      <c r="F504" s="46">
        <f>(VLOOKUP($A504,'The List'!$B1:$AH730,18,FALSE)-AVERAGE('The List'!S2:S730))/STDEV('The List'!S2:S730)</f>
        <v>-1.06653246671895</v>
      </c>
      <c r="G504" s="46">
        <f>(VLOOKUP($A504,'The List'!$B1:$AH730,19,FALSE)-AVERAGE('The List'!T2:T730))/STDEV('The List'!T2:T730)</f>
        <v>-0.339487762302757</v>
      </c>
      <c r="H504" s="46">
        <f>(VLOOKUP($A504,'The List'!$B1:$AH730,20,FALSE)-AVERAGE('The List'!U2:U730))/STDEV('The List'!U2:U730)</f>
        <v>-0.694583405752901</v>
      </c>
      <c r="I504" s="46">
        <f>(VLOOKUP($A504,'The List'!$B1:$AH730,21,FALSE)-AVERAGE('The List'!V2:V730))/STDEV('The List'!V2:V730)</f>
        <v>-0.845078232766818</v>
      </c>
      <c r="J504" s="46">
        <f>(VLOOKUP($A504,'The List'!$B1:$AH730,22,FALSE)-AVERAGE('The List'!W2:W730))/STDEV('The List'!W2:W730)</f>
        <v>-0.708743997374781</v>
      </c>
      <c r="K504" s="46">
        <f>(VLOOKUP($A504,'The List'!$B1:$AH730,23,FALSE)-AVERAGE('The List'!X2:X730))/STDEV('The List'!X2:X730)</f>
        <v>-0.784322256134006</v>
      </c>
      <c r="L504" s="46">
        <f>(VLOOKUP($A504,'The List'!$B1:$AH730,24,FALSE)-AVERAGE('The List'!Y2:Y730))/STDEV('The List'!Y2:Y730)</f>
        <v>-0.503387183827577</v>
      </c>
      <c r="M504" s="46">
        <f>(VLOOKUP($A504,'The List'!$B1:$AH730,25,FALSE)-AVERAGE('The List'!Z2:Z730))/STDEV('The List'!Z2:Z730)</f>
        <v>0.151738883887193</v>
      </c>
      <c r="N504" s="46">
        <f>(VLOOKUP($A504,'The List'!$B1:$AH730,26,FALSE)-AVERAGE('The List'!AA2:AA730))/STDEV('The List'!AA2:AA730)</f>
        <v>1.26809995095583</v>
      </c>
      <c r="O504" s="46">
        <f>(VLOOKUP($A504,'The List'!$B1:$AH730,27,FALSE)-AVERAGE('The List'!AB2:AB730))/STDEV('The List'!AB2:AB730)</f>
        <v>1.90386946873911</v>
      </c>
      <c r="P504" s="46">
        <f>(VLOOKUP($A504,'The List'!$B1:$AH730,28,FALSE)-AVERAGE('The List'!AC2:AC730))/STDEV('The List'!AC2:AC730)</f>
        <v>0.224595184877434</v>
      </c>
      <c r="Q504" s="46">
        <f>(VLOOKUP($A504,'The List'!$B1:$AH730,29,FALSE)-AVERAGE('The List'!AD2:AD730))/STDEV('The List'!AD2:AD730)</f>
        <v>2.19795673072205</v>
      </c>
      <c r="R504" s="46">
        <f>(VLOOKUP($A504,'The List'!$B1:$AH730,30,FALSE)-AVERAGE('The List'!AE2:AE730))/STDEV('The List'!AE2:AE730)</f>
        <v>-0.952001034520029</v>
      </c>
      <c r="S504" s="46">
        <f>(VLOOKUP($A504,'The List'!$B1:$AH730,31,FALSE)-AVERAGE('The List'!AF2:AF730))/STDEV('The List'!AF2:AF730)</f>
        <v>-0.5569063253591</v>
      </c>
      <c r="T504" s="46">
        <f>(VLOOKUP($A504,'The List'!$B1:$AH730,32,FALSE)-AVERAGE('The List'!AG2:AG730))/STDEV('The List'!AG2:AG730)</f>
        <v>-0.600856269042678</v>
      </c>
      <c r="U504" s="46">
        <f>(VLOOKUP($A504,'The List'!$B1:$AH730,33,FALSE)-AVERAGE('The List'!AH2:AH730))/STDEV('The List'!AH2:AH730)</f>
        <v>-1.2363238714826</v>
      </c>
      <c r="V504" s="46"/>
      <c r="W504" s="48"/>
      <c r="X504" s="48"/>
      <c r="Y504" s="48"/>
      <c r="Z504" s="48"/>
      <c r="AA504" s="48"/>
      <c r="AB504" s="48"/>
      <c r="AC504" s="51"/>
      <c r="AD504" s="52"/>
      <c r="AE504" s="46"/>
    </row>
    <row r="505" ht="21.25" customHeight="1">
      <c r="A505" t="s" s="8">
        <v>570</v>
      </c>
      <c r="B505" t="s" s="42">
        <f>VLOOKUP(A505,'Player Data'!A1:B734,2,FALSE)</f>
        <v>119</v>
      </c>
      <c r="C505" s="44">
        <f>((E505)*'Settings'!$C$12)+(F505*'Settings'!$C$2)+(G505*'Settings'!$C$3)+(H505*'Settings'!$C$4)+(I505*'Settings'!$C$5)+(K505*'Settings'!$C$9)+(N505*'Settings'!$C$6)+(J505*'Settings'!$C$8)+(O505*'Settings'!$C$7)+(P505*'Settings'!$C$14)+(Q505*'Settings'!$C$15)+(R505*'Settings'!$C$16)+(S505*'Settings'!$C$17)+(T505*'Settings'!$C$18)+(U505*'Settings'!$C$19)+(L505*'Settings'!$C$10)+('Settings'!$C$11*M505)</f>
        <v>-2.34611110832877</v>
      </c>
      <c r="D505" s="48">
        <f>IF('Settings'!$E$12="YES",VLOOKUP(A505,'Player Data'!A1:E734,5,FALSE),82)</f>
        <v>67.45357142857139</v>
      </c>
      <c r="E505" s="46">
        <f>(VLOOKUP($A505,'The List'!$B1:$AH730,17,FALSE)-AVERAGE('The List'!R2:R730))/STDEV('The List'!R2:R730)</f>
        <v>-0.0867919638623999</v>
      </c>
      <c r="F505" s="46">
        <f>(VLOOKUP($A505,'The List'!$B1:$AH730,18,FALSE)-AVERAGE('The List'!S2:S730))/STDEV('The List'!S2:S730)</f>
        <v>-1.10379985630485</v>
      </c>
      <c r="G505" s="46">
        <f>(VLOOKUP($A505,'The List'!$B1:$AH730,19,FALSE)-AVERAGE('The List'!T2:T730))/STDEV('The List'!T2:T730)</f>
        <v>-0.568912064461468</v>
      </c>
      <c r="H505" s="46">
        <f>(VLOOKUP($A505,'The List'!$B1:$AH730,20,FALSE)-AVERAGE('The List'!U2:U730))/STDEV('The List'!U2:U730)</f>
        <v>-0.852977882239684</v>
      </c>
      <c r="I505" s="46">
        <f>(VLOOKUP($A505,'The List'!$B1:$AH730,21,FALSE)-AVERAGE('The List'!V2:V730))/STDEV('The List'!V2:V730)</f>
        <v>-0.5897429221910671</v>
      </c>
      <c r="J505" s="46">
        <f>(VLOOKUP($A505,'The List'!$B1:$AH730,22,FALSE)-AVERAGE('The List'!W2:W730))/STDEV('The List'!W2:W730)</f>
        <v>-0.696139423951567</v>
      </c>
      <c r="K505" s="46">
        <f>(VLOOKUP($A505,'The List'!$B1:$AH730,23,FALSE)-AVERAGE('The List'!X2:X730))/STDEV('The List'!X2:X730)</f>
        <v>-0.653618221134194</v>
      </c>
      <c r="L505" s="46">
        <f>(VLOOKUP($A505,'The List'!$B1:$AH730,24,FALSE)-AVERAGE('The List'!Y2:Y730))/STDEV('The List'!Y2:Y730)</f>
        <v>-0.406793711811456</v>
      </c>
      <c r="M505" s="46">
        <f>(VLOOKUP($A505,'The List'!$B1:$AH730,25,FALSE)-AVERAGE('The List'!Z2:Z730))/STDEV('The List'!Z2:Z730)</f>
        <v>-0.606860432901271</v>
      </c>
      <c r="N505" s="46">
        <f>(VLOOKUP($A505,'The List'!$B1:$AH730,26,FALSE)-AVERAGE('The List'!AA2:AA730))/STDEV('The List'!AA2:AA730)</f>
        <v>0.0315699708725015</v>
      </c>
      <c r="O505" s="46">
        <f>(VLOOKUP($A505,'The List'!$B1:$AH730,27,FALSE)-AVERAGE('The List'!AB2:AB730))/STDEV('The List'!AB2:AB730)</f>
        <v>-0.0278504495887271</v>
      </c>
      <c r="P505" s="46">
        <f>(VLOOKUP($A505,'The List'!$B1:$AH730,28,FALSE)-AVERAGE('The List'!AC2:AC730))/STDEV('The List'!AC2:AC730)</f>
        <v>0.53839198489031</v>
      </c>
      <c r="Q505" s="46">
        <f>(VLOOKUP($A505,'The List'!$B1:$AH730,29,FALSE)-AVERAGE('The List'!AD2:AD730))/STDEV('The List'!AD2:AD730)</f>
        <v>-0.413804442807938</v>
      </c>
      <c r="R505" s="46">
        <f>(VLOOKUP($A505,'The List'!$B1:$AH730,30,FALSE)-AVERAGE('The List'!AE2:AE730))/STDEV('The List'!AE2:AE730)</f>
        <v>-1.00549288497658</v>
      </c>
      <c r="S505" s="46">
        <f>(VLOOKUP($A505,'The List'!$B1:$AH730,31,FALSE)-AVERAGE('The List'!AF2:AF730))/STDEV('The List'!AF2:AF730)</f>
        <v>-0.5569063253591</v>
      </c>
      <c r="T505" s="46">
        <f>(VLOOKUP($A505,'The List'!$B1:$AH730,32,FALSE)-AVERAGE('The List'!AG2:AG730))/STDEV('The List'!AG2:AG730)</f>
        <v>-0.600856269042678</v>
      </c>
      <c r="U505" s="46">
        <f>(VLOOKUP($A505,'The List'!$B1:$AH730,33,FALSE)-AVERAGE('The List'!AH2:AH730))/STDEV('The List'!AH2:AH730)</f>
        <v>-1.2363238714826</v>
      </c>
      <c r="V505" s="46"/>
      <c r="W505" s="50"/>
      <c r="X505" s="48"/>
      <c r="Y505" s="48"/>
      <c r="Z505" s="48"/>
      <c r="AA505" s="48"/>
      <c r="AB505" s="48"/>
      <c r="AC505" s="51"/>
      <c r="AD505" s="52"/>
      <c r="AE505" s="46"/>
    </row>
    <row r="506" ht="21.25" customHeight="1">
      <c r="A506" t="s" s="8">
        <v>778</v>
      </c>
      <c r="B506" t="s" s="42">
        <f>VLOOKUP(A506,'Player Data'!A1:B734,2,FALSE)</f>
        <v>141</v>
      </c>
      <c r="C506" s="44">
        <f>((E506)*'Settings'!$C$12)+(F506*'Settings'!$C$2)+(G506*'Settings'!$C$3)+(H506*'Settings'!$C$4)+(I506*'Settings'!$C$5)+(K506*'Settings'!$C$9)+(N506*'Settings'!$C$6)+(J506*'Settings'!$C$8)+(O506*'Settings'!$C$7)+(P506*'Settings'!$C$14)+(Q506*'Settings'!$C$15)+(R506*'Settings'!$C$16)+(S506*'Settings'!$C$17)+(T506*'Settings'!$C$18)+(U506*'Settings'!$C$19)+(L506*'Settings'!$C$10)+('Settings'!$C$11*M506)</f>
        <v>-3.71858211625931</v>
      </c>
      <c r="D506" s="48">
        <f>IF('Settings'!$E$12="YES",VLOOKUP(A506,'Player Data'!A1:E734,5,FALSE),82)</f>
        <v>79.14142857142861</v>
      </c>
      <c r="E506" s="46">
        <f>(VLOOKUP($A506,'The List'!$B1:$AH730,17,FALSE)-AVERAGE('The List'!R2:R730))/STDEV('The List'!R2:R730)</f>
        <v>-1.41071685012403</v>
      </c>
      <c r="F506" s="46">
        <f>(VLOOKUP($A506,'The List'!$B1:$AH730,18,FALSE)-AVERAGE('The List'!S2:S730))/STDEV('The List'!S2:S730)</f>
        <v>-0.417373854532349</v>
      </c>
      <c r="G506" s="46">
        <f>(VLOOKUP($A506,'The List'!$B1:$AH730,19,FALSE)-AVERAGE('The List'!T2:T730))/STDEV('The List'!T2:T730)</f>
        <v>-0.8664296134163459</v>
      </c>
      <c r="H506" s="46">
        <f>(VLOOKUP($A506,'The List'!$B1:$AH730,20,FALSE)-AVERAGE('The List'!U2:U730))/STDEV('The List'!U2:U730)</f>
        <v>-0.72405594313576</v>
      </c>
      <c r="I506" s="46">
        <f>(VLOOKUP($A506,'The List'!$B1:$AH730,21,FALSE)-AVERAGE('The List'!V2:V730))/STDEV('The List'!V2:V730)</f>
        <v>-0.670668534041753</v>
      </c>
      <c r="J506" s="46">
        <f>(VLOOKUP($A506,'The List'!$B1:$AH730,22,FALSE)-AVERAGE('The List'!W2:W730))/STDEV('The List'!W2:W730)</f>
        <v>-0.689560050484448</v>
      </c>
      <c r="K506" s="46">
        <f>(VLOOKUP($A506,'The List'!$B1:$AH730,23,FALSE)-AVERAGE('The List'!X2:X730))/STDEV('The List'!X2:X730)</f>
        <v>-0.764315243372289</v>
      </c>
      <c r="L506" s="46">
        <f>(VLOOKUP($A506,'The List'!$B1:$AH730,24,FALSE)-AVERAGE('The List'!Y2:Y730))/STDEV('The List'!Y2:Y730)</f>
        <v>-0.440621430017184</v>
      </c>
      <c r="M506" s="46">
        <f>(VLOOKUP($A506,'The List'!$B1:$AH730,25,FALSE)-AVERAGE('The List'!Z2:Z730))/STDEV('The List'!Z2:Z730)</f>
        <v>-0.606275319025336</v>
      </c>
      <c r="N506" s="46">
        <f>(VLOOKUP($A506,'The List'!$B1:$AH730,26,FALSE)-AVERAGE('The List'!AA2:AA730))/STDEV('The List'!AA2:AA730)</f>
        <v>-0.666690271768126</v>
      </c>
      <c r="O506" s="46">
        <f>(VLOOKUP($A506,'The List'!$B1:$AH730,27,FALSE)-AVERAGE('The List'!AB2:AB730))/STDEV('The List'!AB2:AB730)</f>
        <v>-0.177522207589949</v>
      </c>
      <c r="P506" s="46">
        <f>(VLOOKUP($A506,'The List'!$B1:$AH730,28,FALSE)-AVERAGE('The List'!AC2:AC730))/STDEV('The List'!AC2:AC730)</f>
        <v>-0.333104599128449</v>
      </c>
      <c r="Q506" s="46">
        <f>(VLOOKUP($A506,'The List'!$B1:$AH730,29,FALSE)-AVERAGE('The List'!AD2:AD730))/STDEV('The List'!AD2:AD730)</f>
        <v>-0.86616332848398</v>
      </c>
      <c r="R506" s="46">
        <f>(VLOOKUP($A506,'The List'!$B1:$AH730,30,FALSE)-AVERAGE('The List'!AE2:AE730))/STDEV('The List'!AE2:AE730)</f>
        <v>-0.475009232747726</v>
      </c>
      <c r="S506" s="46">
        <f>(VLOOKUP($A506,'The List'!$B1:$AH730,31,FALSE)-AVERAGE('The List'!AF2:AF730))/STDEV('The List'!AF2:AF730)</f>
        <v>-0.514165564453799</v>
      </c>
      <c r="T506" s="46">
        <f>(VLOOKUP($A506,'The List'!$B1:$AH730,32,FALSE)-AVERAGE('The List'!AG2:AG730))/STDEV('The List'!AG2:AG730)</f>
        <v>-0.5457336839689541</v>
      </c>
      <c r="U506" s="46">
        <f>(VLOOKUP($A506,'The List'!$B1:$AH730,33,FALSE)-AVERAGE('The List'!AH2:AH730))/STDEV('The List'!AH2:AH730)</f>
        <v>0.792390338297712</v>
      </c>
      <c r="V506" s="46"/>
      <c r="W506" s="50"/>
      <c r="X506" s="48"/>
      <c r="Y506" s="48"/>
      <c r="Z506" s="48"/>
      <c r="AA506" s="48"/>
      <c r="AB506" s="48"/>
      <c r="AC506" s="51"/>
      <c r="AD506" s="52"/>
      <c r="AE506" s="46"/>
    </row>
    <row r="507" ht="21.25" customHeight="1">
      <c r="A507" t="s" s="8">
        <v>485</v>
      </c>
      <c r="B507" t="s" s="42">
        <f>VLOOKUP(A507,'Player Data'!A1:B734,2,FALSE)</f>
        <v>218</v>
      </c>
      <c r="C507" s="44">
        <f>((E507)*'Settings'!$C$12)+(F507*'Settings'!$C$2)+(G507*'Settings'!$C$3)+(H507*'Settings'!$C$4)+(I507*'Settings'!$C$5)+(K507*'Settings'!$C$9)+(N507*'Settings'!$C$6)+(J507*'Settings'!$C$8)+(O507*'Settings'!$C$7)+(P507*'Settings'!$C$14)+(Q507*'Settings'!$C$15)+(R507*'Settings'!$C$16)+(S507*'Settings'!$C$17)+(T507*'Settings'!$C$18)+(U507*'Settings'!$C$19)+(L507*'Settings'!$C$10)+('Settings'!$C$11*M507)</f>
        <v>1.91444934342597</v>
      </c>
      <c r="D507" s="48">
        <f>IF('Settings'!$E$12="YES",VLOOKUP(A507,'Player Data'!A1:E734,5,FALSE),82)</f>
        <v>73.00321428571429</v>
      </c>
      <c r="E507" s="46">
        <f>(VLOOKUP($A507,'The List'!$B1:$AH730,17,FALSE)-AVERAGE('The List'!R2:R730))/STDEV('The List'!R2:R730)</f>
        <v>0.824231169993655</v>
      </c>
      <c r="F507" s="46">
        <f>(VLOOKUP($A507,'The List'!$B1:$AH730,18,FALSE)-AVERAGE('The List'!S2:S730))/STDEV('The List'!S2:S730)</f>
        <v>-0.858106430598132</v>
      </c>
      <c r="G507" s="46">
        <f>(VLOOKUP($A507,'The List'!$B1:$AH730,19,FALSE)-AVERAGE('The List'!T2:T730))/STDEV('The List'!T2:T730)</f>
        <v>-0.651303563017791</v>
      </c>
      <c r="H507" s="46">
        <f>(VLOOKUP($A507,'The List'!$B1:$AH730,20,FALSE)-AVERAGE('The List'!U2:U730))/STDEV('The List'!U2:U730)</f>
        <v>-0.791975721922394</v>
      </c>
      <c r="I507" s="46">
        <f>(VLOOKUP($A507,'The List'!$B1:$AH730,21,FALSE)-AVERAGE('The List'!V2:V730))/STDEV('The List'!V2:V730)</f>
        <v>-0.8346746322373489</v>
      </c>
      <c r="J507" s="46">
        <f>(VLOOKUP($A507,'The List'!$B1:$AH730,22,FALSE)-AVERAGE('The List'!W2:W730))/STDEV('The List'!W2:W730)</f>
        <v>-0.685989190544428</v>
      </c>
      <c r="K507" s="46">
        <f>(VLOOKUP($A507,'The List'!$B1:$AH730,23,FALSE)-AVERAGE('The List'!X2:X730))/STDEV('The List'!X2:X730)</f>
        <v>-0.762844827693798</v>
      </c>
      <c r="L507" s="46">
        <f>(VLOOKUP($A507,'The List'!$B1:$AH730,24,FALSE)-AVERAGE('The List'!Y2:Y730))/STDEV('The List'!Y2:Y730)</f>
        <v>-0.484192037641278</v>
      </c>
      <c r="M507" s="46">
        <f>(VLOOKUP($A507,'The List'!$B1:$AH730,25,FALSE)-AVERAGE('The List'!Z2:Z730))/STDEV('The List'!Z2:Z730)</f>
        <v>-0.578315179057203</v>
      </c>
      <c r="N507" s="46">
        <f>(VLOOKUP($A507,'The List'!$B1:$AH730,26,FALSE)-AVERAGE('The List'!AA2:AA730))/STDEV('The List'!AA2:AA730)</f>
        <v>3.67501671830885</v>
      </c>
      <c r="O507" s="46">
        <f>(VLOOKUP($A507,'The List'!$B1:$AH730,27,FALSE)-AVERAGE('The List'!AB2:AB730))/STDEV('The List'!AB2:AB730)</f>
        <v>-0.54587471181203</v>
      </c>
      <c r="P507" s="46">
        <f>(VLOOKUP($A507,'The List'!$B1:$AH730,28,FALSE)-AVERAGE('The List'!AC2:AC730))/STDEV('The List'!AC2:AC730)</f>
        <v>1.34636207866419</v>
      </c>
      <c r="Q507" s="46">
        <f>(VLOOKUP($A507,'The List'!$B1:$AH730,29,FALSE)-AVERAGE('The List'!AD2:AD730))/STDEV('The List'!AD2:AD730)</f>
        <v>-0.481474481004788</v>
      </c>
      <c r="R507" s="46">
        <f>(VLOOKUP($A507,'The List'!$B1:$AH730,30,FALSE)-AVERAGE('The List'!AE2:AE730))/STDEV('The List'!AE2:AE730)</f>
        <v>-0.719288857287021</v>
      </c>
      <c r="S507" s="46">
        <f>(VLOOKUP($A507,'The List'!$B1:$AH730,31,FALSE)-AVERAGE('The List'!AF2:AF730))/STDEV('The List'!AF2:AF730)</f>
        <v>-0.5569063253591</v>
      </c>
      <c r="T507" s="46">
        <f>(VLOOKUP($A507,'The List'!$B1:$AH730,32,FALSE)-AVERAGE('The List'!AG2:AG730))/STDEV('The List'!AG2:AG730)</f>
        <v>-0.600856269042678</v>
      </c>
      <c r="U507" s="46">
        <f>(VLOOKUP($A507,'The List'!$B1:$AH730,33,FALSE)-AVERAGE('The List'!AH2:AH730))/STDEV('The List'!AH2:AH730)</f>
        <v>-1.2363238714826</v>
      </c>
      <c r="V507" s="46"/>
      <c r="W507" s="50"/>
      <c r="X507" s="48"/>
      <c r="Y507" s="48"/>
      <c r="Z507" s="48"/>
      <c r="AA507" s="48"/>
      <c r="AB507" s="48"/>
      <c r="AC507" s="51"/>
      <c r="AD507" s="52"/>
      <c r="AE507" s="46"/>
    </row>
    <row r="508" ht="21.25" customHeight="1">
      <c r="A508" t="s" s="8">
        <v>847</v>
      </c>
      <c r="B508" t="s" s="42">
        <f>VLOOKUP(A508,'Player Data'!A1:B734,2,FALSE)</f>
        <v>194</v>
      </c>
      <c r="C508" s="44">
        <f>((E508)*'Settings'!$C$12)+(F508*'Settings'!$C$2)+(G508*'Settings'!$C$3)+(H508*'Settings'!$C$4)+(I508*'Settings'!$C$5)+(K508*'Settings'!$C$9)+(N508*'Settings'!$C$6)+(J508*'Settings'!$C$8)+(O508*'Settings'!$C$7)+(P508*'Settings'!$C$14)+(Q508*'Settings'!$C$15)+(R508*'Settings'!$C$16)+(S508*'Settings'!$C$17)+(T508*'Settings'!$C$18)+(U508*'Settings'!$C$19)+(L508*'Settings'!$C$10)+('Settings'!$C$11*M508)</f>
        <v>-5.29258333862174</v>
      </c>
      <c r="D508" s="48">
        <f>IF('Settings'!$E$12="YES",VLOOKUP(A508,'Player Data'!A1:E734,5,FALSE),82)</f>
        <v>59.62</v>
      </c>
      <c r="E508" s="46">
        <f>(VLOOKUP($A508,'The List'!$B1:$AH730,17,FALSE)-AVERAGE('The List'!R2:R730))/STDEV('The List'!R2:R730)</f>
        <v>-1.84266187192624</v>
      </c>
      <c r="F508" s="46">
        <f>(VLOOKUP($A508,'The List'!$B1:$AH730,18,FALSE)-AVERAGE('The List'!S2:S730))/STDEV('The List'!S2:S730)</f>
        <v>-0.668958899034696</v>
      </c>
      <c r="G508" s="46">
        <f>(VLOOKUP($A508,'The List'!$B1:$AH730,19,FALSE)-AVERAGE('The List'!T2:T730))/STDEV('The List'!T2:T730)</f>
        <v>-1.03233929198387</v>
      </c>
      <c r="H508" s="46">
        <f>(VLOOKUP($A508,'The List'!$B1:$AH730,20,FALSE)-AVERAGE('The List'!U2:U730))/STDEV('The List'!U2:U730)</f>
        <v>-0.940813320271686</v>
      </c>
      <c r="I508" s="46">
        <f>(VLOOKUP($A508,'The List'!$B1:$AH730,21,FALSE)-AVERAGE('The List'!V2:V730))/STDEV('The List'!V2:V730)</f>
        <v>-1.22280961218399</v>
      </c>
      <c r="J508" s="46">
        <f>(VLOOKUP($A508,'The List'!$B1:$AH730,22,FALSE)-AVERAGE('The List'!W2:W730))/STDEV('The List'!W2:W730)</f>
        <v>-0.700823043451006</v>
      </c>
      <c r="K508" s="46">
        <f>(VLOOKUP($A508,'The List'!$B1:$AH730,23,FALSE)-AVERAGE('The List'!X2:X730))/STDEV('The List'!X2:X730)</f>
        <v>-0.790837410200005</v>
      </c>
      <c r="L508" s="46">
        <f>(VLOOKUP($A508,'The List'!$B1:$AH730,24,FALSE)-AVERAGE('The List'!Y2:Y730))/STDEV('The List'!Y2:Y730)</f>
        <v>-0.471350981073795</v>
      </c>
      <c r="M508" s="46">
        <f>(VLOOKUP($A508,'The List'!$B1:$AH730,25,FALSE)-AVERAGE('The List'!Z2:Z730))/STDEV('The List'!Z2:Z730)</f>
        <v>-0.641826736047323</v>
      </c>
      <c r="N508" s="46">
        <f>(VLOOKUP($A508,'The List'!$B1:$AH730,26,FALSE)-AVERAGE('The List'!AA2:AA730))/STDEV('The List'!AA2:AA730)</f>
        <v>-0.863602415609514</v>
      </c>
      <c r="O508" s="46">
        <f>(VLOOKUP($A508,'The List'!$B1:$AH730,27,FALSE)-AVERAGE('The List'!AB2:AB730))/STDEV('The List'!AB2:AB730)</f>
        <v>-0.414053276077762</v>
      </c>
      <c r="P508" s="46">
        <f>(VLOOKUP($A508,'The List'!$B1:$AH730,28,FALSE)-AVERAGE('The List'!AC2:AC730))/STDEV('The List'!AC2:AC730)</f>
        <v>-0.714035709609669</v>
      </c>
      <c r="Q508" s="46">
        <f>(VLOOKUP($A508,'The List'!$B1:$AH730,29,FALSE)-AVERAGE('The List'!AD2:AD730))/STDEV('The List'!AD2:AD730)</f>
        <v>-1.12688856041135</v>
      </c>
      <c r="R508" s="46">
        <f>(VLOOKUP($A508,'The List'!$B1:$AH730,30,FALSE)-AVERAGE('The List'!AE2:AE730))/STDEV('The List'!AE2:AE730)</f>
        <v>-0.715298038721242</v>
      </c>
      <c r="S508" s="46">
        <f>(VLOOKUP($A508,'The List'!$B1:$AH730,31,FALSE)-AVERAGE('The List'!AF2:AF730))/STDEV('The List'!AF2:AF730)</f>
        <v>-0.0106856535037168</v>
      </c>
      <c r="T508" s="46">
        <f>(VLOOKUP($A508,'The List'!$B1:$AH730,32,FALSE)-AVERAGE('The List'!AG2:AG730))/STDEV('The List'!AG2:AG730)</f>
        <v>0.450587707275095</v>
      </c>
      <c r="U508" s="46">
        <f>(VLOOKUP($A508,'The List'!$B1:$AH730,33,FALSE)-AVERAGE('The List'!AH2:AH730))/STDEV('The List'!AH2:AH730)</f>
        <v>0.359451632834441</v>
      </c>
      <c r="V508" s="46"/>
      <c r="W508" s="50"/>
      <c r="X508" s="48"/>
      <c r="Y508" s="48"/>
      <c r="Z508" s="48"/>
      <c r="AA508" s="48"/>
      <c r="AB508" s="48"/>
      <c r="AC508" s="51"/>
      <c r="AD508" s="52"/>
      <c r="AE508" s="46"/>
    </row>
    <row r="509" ht="21.25" customHeight="1">
      <c r="A509" t="s" s="8">
        <v>506</v>
      </c>
      <c r="B509" t="s" s="42">
        <f>VLOOKUP(A509,'Player Data'!A1:B734,2,FALSE)</f>
        <v>115</v>
      </c>
      <c r="C509" s="44">
        <f>((E509)*'Settings'!$C$12)+(F509*'Settings'!$C$2)+(G509*'Settings'!$C$3)+(H509*'Settings'!$C$4)+(I509*'Settings'!$C$5)+(K509*'Settings'!$C$9)+(N509*'Settings'!$C$6)+(J509*'Settings'!$C$8)+(O509*'Settings'!$C$7)+(P509*'Settings'!$C$14)+(Q509*'Settings'!$C$15)+(R509*'Settings'!$C$16)+(S509*'Settings'!$C$17)+(T509*'Settings'!$C$18)+(U509*'Settings'!$C$19)+(L509*'Settings'!$C$10)+('Settings'!$C$11*M509)</f>
        <v>0.208111427983253</v>
      </c>
      <c r="D509" s="48">
        <f>IF('Settings'!$E$12="YES",VLOOKUP(A509,'Player Data'!A1:E734,5,FALSE),82)</f>
        <v>74</v>
      </c>
      <c r="E509" s="46">
        <f>(VLOOKUP($A509,'The List'!$B1:$AH730,17,FALSE)-AVERAGE('The List'!R2:R730))/STDEV('The List'!R2:R730)</f>
        <v>0.254666943872477</v>
      </c>
      <c r="F509" s="46">
        <f>(VLOOKUP($A509,'The List'!$B1:$AH730,18,FALSE)-AVERAGE('The List'!S2:S730))/STDEV('The List'!S2:S730)</f>
        <v>-0.877474839886052</v>
      </c>
      <c r="G509" s="46">
        <f>(VLOOKUP($A509,'The List'!$B1:$AH730,19,FALSE)-AVERAGE('The List'!T2:T730))/STDEV('The List'!T2:T730)</f>
        <v>-0.6233012331585021</v>
      </c>
      <c r="H509" s="46">
        <f>(VLOOKUP($A509,'The List'!$B1:$AH730,20,FALSE)-AVERAGE('The List'!U2:U730))/STDEV('The List'!U2:U730)</f>
        <v>-0.783525668290744</v>
      </c>
      <c r="I509" s="46">
        <f>(VLOOKUP($A509,'The List'!$B1:$AH730,21,FALSE)-AVERAGE('The List'!V2:V730))/STDEV('The List'!V2:V730)</f>
        <v>-0.526257556482534</v>
      </c>
      <c r="J509" s="46">
        <f>(VLOOKUP($A509,'The List'!$B1:$AH730,22,FALSE)-AVERAGE('The List'!W2:W730))/STDEV('The List'!W2:W730)</f>
        <v>-0.70042713207791</v>
      </c>
      <c r="K509" s="46">
        <f>(VLOOKUP($A509,'The List'!$B1:$AH730,23,FALSE)-AVERAGE('The List'!X2:X730))/STDEV('The List'!X2:X730)</f>
        <v>-0.770850771541149</v>
      </c>
      <c r="L509" s="46">
        <f>(VLOOKUP($A509,'The List'!$B1:$AH730,24,FALSE)-AVERAGE('The List'!Y2:Y730))/STDEV('The List'!Y2:Y730)</f>
        <v>0.8968088407692369</v>
      </c>
      <c r="M509" s="46">
        <f>(VLOOKUP($A509,'The List'!$B1:$AH730,25,FALSE)-AVERAGE('The List'!Z2:Z730))/STDEV('The List'!Z2:Z730)</f>
        <v>0.322455374579185</v>
      </c>
      <c r="N509" s="46">
        <f>(VLOOKUP($A509,'The List'!$B1:$AH730,26,FALSE)-AVERAGE('The List'!AA2:AA730))/STDEV('The List'!AA2:AA730)</f>
        <v>1.67940877474788</v>
      </c>
      <c r="O509" s="46">
        <f>(VLOOKUP($A509,'The List'!$B1:$AH730,27,FALSE)-AVERAGE('The List'!AB2:AB730))/STDEV('The List'!AB2:AB730)</f>
        <v>-0.514380533085956</v>
      </c>
      <c r="P509" s="46">
        <f>(VLOOKUP($A509,'The List'!$B1:$AH730,28,FALSE)-AVERAGE('The List'!AC2:AC730))/STDEV('The List'!AC2:AC730)</f>
        <v>1.32658705430361</v>
      </c>
      <c r="Q509" s="46">
        <f>(VLOOKUP($A509,'The List'!$B1:$AH730,29,FALSE)-AVERAGE('The List'!AD2:AD730))/STDEV('The List'!AD2:AD730)</f>
        <v>0.338772487202039</v>
      </c>
      <c r="R509" s="46">
        <f>(VLOOKUP($A509,'The List'!$B1:$AH730,30,FALSE)-AVERAGE('The List'!AE2:AE730))/STDEV('The List'!AE2:AE730)</f>
        <v>-0.747442244661549</v>
      </c>
      <c r="S509" s="46">
        <f>(VLOOKUP($A509,'The List'!$B1:$AH730,31,FALSE)-AVERAGE('The List'!AF2:AF730))/STDEV('The List'!AF2:AF730)</f>
        <v>-0.5569063253591</v>
      </c>
      <c r="T509" s="46">
        <f>(VLOOKUP($A509,'The List'!$B1:$AH730,32,FALSE)-AVERAGE('The List'!AG2:AG730))/STDEV('The List'!AG2:AG730)</f>
        <v>-0.600856269042678</v>
      </c>
      <c r="U509" s="46">
        <f>(VLOOKUP($A509,'The List'!$B1:$AH730,33,FALSE)-AVERAGE('The List'!AH2:AH730))/STDEV('The List'!AH2:AH730)</f>
        <v>-1.2363238714826</v>
      </c>
      <c r="V509" s="46"/>
      <c r="W509" s="50"/>
      <c r="X509" s="48"/>
      <c r="Y509" s="48"/>
      <c r="Z509" s="48"/>
      <c r="AA509" s="48"/>
      <c r="AB509" s="48"/>
      <c r="AC509" s="51"/>
      <c r="AD509" s="52"/>
      <c r="AE509" s="46"/>
    </row>
    <row r="510" ht="21.25" customHeight="1">
      <c r="A510" t="s" s="8">
        <v>495</v>
      </c>
      <c r="B510" t="s" s="42">
        <f>VLOOKUP(A510,'Player Data'!A1:B734,2,FALSE)</f>
        <v>127</v>
      </c>
      <c r="C510" s="44">
        <f>((E510)*'Settings'!$C$12)+(F510*'Settings'!$C$2)+(G510*'Settings'!$C$3)+(H510*'Settings'!$C$4)+(I510*'Settings'!$C$5)+(K510*'Settings'!$C$9)+(N510*'Settings'!$C$6)+(J510*'Settings'!$C$8)+(O510*'Settings'!$C$7)+(P510*'Settings'!$C$14)+(Q510*'Settings'!$C$15)+(R510*'Settings'!$C$16)+(S510*'Settings'!$C$17)+(T510*'Settings'!$C$18)+(U510*'Settings'!$C$19)+(L510*'Settings'!$C$10)+('Settings'!$C$11*M510)</f>
        <v>-0.644850906325151</v>
      </c>
      <c r="D510" s="48">
        <f>IF('Settings'!$E$12="YES",VLOOKUP(A510,'Player Data'!A1:E734,5,FALSE),82)</f>
        <v>78.825</v>
      </c>
      <c r="E510" s="46">
        <f>(VLOOKUP($A510,'The List'!$B1:$AH730,17,FALSE)-AVERAGE('The List'!R2:R730))/STDEV('The List'!R2:R730)</f>
        <v>1.07840103176157</v>
      </c>
      <c r="F510" s="46">
        <f>(VLOOKUP($A510,'The List'!$B1:$AH730,18,FALSE)-AVERAGE('The List'!S2:S730))/STDEV('The List'!S2:S730)</f>
        <v>-1.00313481813364</v>
      </c>
      <c r="G510" s="46">
        <f>(VLOOKUP($A510,'The List'!$B1:$AH730,19,FALSE)-AVERAGE('The List'!T2:T730))/STDEV('The List'!T2:T730)</f>
        <v>-0.446664230279468</v>
      </c>
      <c r="H510" s="46">
        <f>(VLOOKUP($A510,'The List'!$B1:$AH730,20,FALSE)-AVERAGE('The List'!U2:U730))/STDEV('The List'!U2:U730)</f>
        <v>-0.731809087977076</v>
      </c>
      <c r="I510" s="46">
        <f>(VLOOKUP($A510,'The List'!$B1:$AH730,21,FALSE)-AVERAGE('The List'!V2:V730))/STDEV('The List'!V2:V730)</f>
        <v>-0.663426272579794</v>
      </c>
      <c r="J510" s="46">
        <f>(VLOOKUP($A510,'The List'!$B1:$AH730,22,FALSE)-AVERAGE('The List'!W2:W730))/STDEV('The List'!W2:W730)</f>
        <v>-0.661830676795382</v>
      </c>
      <c r="K510" s="46">
        <f>(VLOOKUP($A510,'The List'!$B1:$AH730,23,FALSE)-AVERAGE('The List'!X2:X730))/STDEV('The List'!X2:X730)</f>
        <v>-0.756968411094407</v>
      </c>
      <c r="L510" s="46">
        <f>(VLOOKUP($A510,'The List'!$B1:$AH730,24,FALSE)-AVERAGE('The List'!Y2:Y730))/STDEV('The List'!Y2:Y730)</f>
        <v>-0.488225917919326</v>
      </c>
      <c r="M510" s="46">
        <f>(VLOOKUP($A510,'The List'!$B1:$AH730,25,FALSE)-AVERAGE('The List'!Z2:Z730))/STDEV('The List'!Z2:Z730)</f>
        <v>-0.167657819511227</v>
      </c>
      <c r="N510" s="46">
        <f>(VLOOKUP($A510,'The List'!$B1:$AH730,26,FALSE)-AVERAGE('The List'!AA2:AA730))/STDEV('The List'!AA2:AA730)</f>
        <v>2.13967328699867</v>
      </c>
      <c r="O510" s="46">
        <f>(VLOOKUP($A510,'The List'!$B1:$AH730,27,FALSE)-AVERAGE('The List'!AB2:AB730))/STDEV('The List'!AB2:AB730)</f>
        <v>0.378119460596353</v>
      </c>
      <c r="P510" s="46">
        <f>(VLOOKUP($A510,'The List'!$B1:$AH730,28,FALSE)-AVERAGE('The List'!AC2:AC730))/STDEV('The List'!AC2:AC730)</f>
        <v>0.08566953876348769</v>
      </c>
      <c r="Q510" s="46">
        <f>(VLOOKUP($A510,'The List'!$B1:$AH730,29,FALSE)-AVERAGE('The List'!AD2:AD730))/STDEV('The List'!AD2:AD730)</f>
        <v>0.893793861520715</v>
      </c>
      <c r="R510" s="46">
        <f>(VLOOKUP($A510,'The List'!$B1:$AH730,30,FALSE)-AVERAGE('The List'!AE2:AE730))/STDEV('The List'!AE2:AE730)</f>
        <v>-0.90481737972344</v>
      </c>
      <c r="S510" s="46">
        <f>(VLOOKUP($A510,'The List'!$B1:$AH730,31,FALSE)-AVERAGE('The List'!AF2:AF730))/STDEV('The List'!AF2:AF730)</f>
        <v>-0.5569063253591</v>
      </c>
      <c r="T510" s="46">
        <f>(VLOOKUP($A510,'The List'!$B1:$AH730,32,FALSE)-AVERAGE('The List'!AG2:AG730))/STDEV('The List'!AG2:AG730)</f>
        <v>-0.600856269042678</v>
      </c>
      <c r="U510" s="46">
        <f>(VLOOKUP($A510,'The List'!$B1:$AH730,33,FALSE)-AVERAGE('The List'!AH2:AH730))/STDEV('The List'!AH2:AH730)</f>
        <v>-1.2363238714826</v>
      </c>
      <c r="V510" s="46"/>
      <c r="W510" s="50"/>
      <c r="X510" s="48"/>
      <c r="Y510" s="48"/>
      <c r="Z510" s="48"/>
      <c r="AA510" s="48"/>
      <c r="AB510" s="48"/>
      <c r="AC510" s="51"/>
      <c r="AD510" s="52"/>
      <c r="AE510" s="46"/>
    </row>
    <row r="511" ht="21.25" customHeight="1">
      <c r="A511" t="s" s="8">
        <v>448</v>
      </c>
      <c r="B511" t="s" s="42">
        <f>VLOOKUP(A511,'Player Data'!A1:B734,2,FALSE)</f>
        <v>234</v>
      </c>
      <c r="C511" s="44">
        <f>((E511)*'Settings'!$C$12)+(F511*'Settings'!$C$2)+(G511*'Settings'!$C$3)+(H511*'Settings'!$C$4)+(I511*'Settings'!$C$5)+(K511*'Settings'!$C$9)+(N511*'Settings'!$C$6)+(J511*'Settings'!$C$8)+(O511*'Settings'!$C$7)+(P511*'Settings'!$C$14)+(Q511*'Settings'!$C$15)+(R511*'Settings'!$C$16)+(S511*'Settings'!$C$17)+(T511*'Settings'!$C$18)+(U511*'Settings'!$C$19)+(L511*'Settings'!$C$10)+('Settings'!$C$11*M511)</f>
        <v>-1.15729951286364</v>
      </c>
      <c r="D511" s="48">
        <f>IF('Settings'!$E$12="YES",VLOOKUP(A511,'Player Data'!A1:E734,5,FALSE),82)</f>
        <v>79.27464285714289</v>
      </c>
      <c r="E511" s="46">
        <f>(VLOOKUP($A511,'The List'!$B1:$AH730,17,FALSE)-AVERAGE('The List'!R2:R730))/STDEV('The List'!R2:R730)</f>
        <v>0.949538848423537</v>
      </c>
      <c r="F511" s="46">
        <f>(VLOOKUP($A511,'The List'!$B1:$AH730,18,FALSE)-AVERAGE('The List'!S2:S730))/STDEV('The List'!S2:S730)</f>
        <v>-1.00375290584159</v>
      </c>
      <c r="G511" s="46">
        <f>(VLOOKUP($A511,'The List'!$B1:$AH730,19,FALSE)-AVERAGE('The List'!T2:T730))/STDEV('The List'!T2:T730)</f>
        <v>-0.441797493350198</v>
      </c>
      <c r="H511" s="46">
        <f>(VLOOKUP($A511,'The List'!$B1:$AH730,20,FALSE)-AVERAGE('The List'!U2:U730))/STDEV('The List'!U2:U730)</f>
        <v>-0.7290900509303</v>
      </c>
      <c r="I511" s="46">
        <f>(VLOOKUP($A511,'The List'!$B1:$AH730,21,FALSE)-AVERAGE('The List'!V2:V730))/STDEV('The List'!V2:V730)</f>
        <v>-0.0135162106016818</v>
      </c>
      <c r="J511" s="46">
        <f>(VLOOKUP($A511,'The List'!$B1:$AH730,22,FALSE)-AVERAGE('The List'!W2:W730))/STDEV('The List'!W2:W730)</f>
        <v>-0.700166332194469</v>
      </c>
      <c r="K511" s="46">
        <f>(VLOOKUP($A511,'The List'!$B1:$AH730,23,FALSE)-AVERAGE('The List'!X2:X730))/STDEV('The List'!X2:X730)</f>
        <v>-0.764217503097391</v>
      </c>
      <c r="L511" s="46">
        <f>(VLOOKUP($A511,'The List'!$B1:$AH730,24,FALSE)-AVERAGE('The List'!Y2:Y730))/STDEV('The List'!Y2:Y730)</f>
        <v>-0.08629237348117789</v>
      </c>
      <c r="M511" s="46">
        <f>(VLOOKUP($A511,'The List'!$B1:$AH730,25,FALSE)-AVERAGE('The List'!Z2:Z730))/STDEV('The List'!Z2:Z730)</f>
        <v>-0.306687710547806</v>
      </c>
      <c r="N511" s="46">
        <f>(VLOOKUP($A511,'The List'!$B1:$AH730,26,FALSE)-AVERAGE('The List'!AA2:AA730))/STDEV('The List'!AA2:AA730)</f>
        <v>2.23679982949307</v>
      </c>
      <c r="O511" s="46">
        <f>(VLOOKUP($A511,'The List'!$B1:$AH730,27,FALSE)-AVERAGE('The List'!AB2:AB730))/STDEV('The List'!AB2:AB730)</f>
        <v>5.25705573464409</v>
      </c>
      <c r="P511" s="46">
        <f>(VLOOKUP($A511,'The List'!$B1:$AH730,28,FALSE)-AVERAGE('The List'!AC2:AC730))/STDEV('The List'!AC2:AC730)</f>
        <v>-1.17081522946585</v>
      </c>
      <c r="Q511" s="46">
        <f>(VLOOKUP($A511,'The List'!$B1:$AH730,29,FALSE)-AVERAGE('The List'!AD2:AD730))/STDEV('The List'!AD2:AD730)</f>
        <v>3.96792333220387</v>
      </c>
      <c r="R511" s="46">
        <f>(VLOOKUP($A511,'The List'!$B1:$AH730,30,FALSE)-AVERAGE('The List'!AE2:AE730))/STDEV('The List'!AE2:AE730)</f>
        <v>-1.00246367160528</v>
      </c>
      <c r="S511" s="46">
        <f>(VLOOKUP($A511,'The List'!$B1:$AH730,31,FALSE)-AVERAGE('The List'!AF2:AF730))/STDEV('The List'!AF2:AF730)</f>
        <v>-0.5569063253591</v>
      </c>
      <c r="T511" s="46">
        <f>(VLOOKUP($A511,'The List'!$B1:$AH730,32,FALSE)-AVERAGE('The List'!AG2:AG730))/STDEV('The List'!AG2:AG730)</f>
        <v>-0.600856269042678</v>
      </c>
      <c r="U511" s="46">
        <f>(VLOOKUP($A511,'The List'!$B1:$AH730,33,FALSE)-AVERAGE('The List'!AH2:AH730))/STDEV('The List'!AH2:AH730)</f>
        <v>-1.2363238714826</v>
      </c>
      <c r="V511" s="46"/>
      <c r="W511" s="50"/>
      <c r="X511" s="48"/>
      <c r="Y511" s="48"/>
      <c r="Z511" s="48"/>
      <c r="AA511" s="48"/>
      <c r="AB511" s="48"/>
      <c r="AC511" s="51"/>
      <c r="AD511" s="52"/>
      <c r="AE511" s="46"/>
    </row>
    <row r="512" ht="21.25" customHeight="1">
      <c r="A512" t="s" s="8">
        <v>823</v>
      </c>
      <c r="B512" t="s" s="42">
        <f>VLOOKUP(A512,'Player Data'!A1:B734,2,FALSE)</f>
        <v>202</v>
      </c>
      <c r="C512" s="44">
        <f>((E512)*'Settings'!$C$12)+(F512*'Settings'!$C$2)+(G512*'Settings'!$C$3)+(H512*'Settings'!$C$4)+(I512*'Settings'!$C$5)+(K512*'Settings'!$C$9)+(N512*'Settings'!$C$6)+(J512*'Settings'!$C$8)+(O512*'Settings'!$C$7)+(P512*'Settings'!$C$14)+(Q512*'Settings'!$C$15)+(R512*'Settings'!$C$16)+(S512*'Settings'!$C$17)+(T512*'Settings'!$C$18)+(U512*'Settings'!$C$19)+(L512*'Settings'!$C$10)+('Settings'!$C$11*M512)</f>
        <v>-3.17873674930907</v>
      </c>
      <c r="D512" s="48">
        <f>IF('Settings'!$E$12="YES",VLOOKUP(A512,'Player Data'!A1:E734,5,FALSE),82)</f>
        <v>55.02</v>
      </c>
      <c r="E512" s="46">
        <f>(VLOOKUP($A512,'The List'!$B1:$AH730,17,FALSE)-AVERAGE('The List'!R2:R730))/STDEV('The List'!R2:R730)</f>
        <v>-1.64218923197926</v>
      </c>
      <c r="F512" s="46">
        <f>(VLOOKUP($A512,'The List'!$B1:$AH730,18,FALSE)-AVERAGE('The List'!S2:S730))/STDEV('The List'!S2:S730)</f>
        <v>-0.746232850348831</v>
      </c>
      <c r="G512" s="46">
        <f>(VLOOKUP($A512,'The List'!$B1:$AH730,19,FALSE)-AVERAGE('The List'!T2:T730))/STDEV('The List'!T2:T730)</f>
        <v>-1.06400253449776</v>
      </c>
      <c r="H512" s="46">
        <f>(VLOOKUP($A512,'The List'!$B1:$AH730,20,FALSE)-AVERAGE('The List'!U2:U730))/STDEV('The List'!U2:U730)</f>
        <v>-0.995494490741065</v>
      </c>
      <c r="I512" s="46">
        <f>(VLOOKUP($A512,'The List'!$B1:$AH730,21,FALSE)-AVERAGE('The List'!V2:V730))/STDEV('The List'!V2:V730)</f>
        <v>-0.779163568251057</v>
      </c>
      <c r="J512" s="46">
        <f>(VLOOKUP($A512,'The List'!$B1:$AH730,22,FALSE)-AVERAGE('The List'!W2:W730))/STDEV('The List'!W2:W730)</f>
        <v>-0.643099814344103</v>
      </c>
      <c r="K512" s="46">
        <f>(VLOOKUP($A512,'The List'!$B1:$AH730,23,FALSE)-AVERAGE('The List'!X2:X730))/STDEV('The List'!X2:X730)</f>
        <v>-0.707023217767584</v>
      </c>
      <c r="L512" s="46">
        <f>(VLOOKUP($A512,'The List'!$B1:$AH730,24,FALSE)-AVERAGE('The List'!Y2:Y730))/STDEV('The List'!Y2:Y730)</f>
        <v>-0.410626527422805</v>
      </c>
      <c r="M512" s="46">
        <f>(VLOOKUP($A512,'The List'!$B1:$AH730,25,FALSE)-AVERAGE('The List'!Z2:Z730))/STDEV('The List'!Z2:Z730)</f>
        <v>-0.57415504197934</v>
      </c>
      <c r="N512" s="46">
        <f>(VLOOKUP($A512,'The List'!$B1:$AH730,26,FALSE)-AVERAGE('The List'!AA2:AA730))/STDEV('The List'!AA2:AA730)</f>
        <v>-0.926895839504814</v>
      </c>
      <c r="O512" s="46">
        <f>(VLOOKUP($A512,'The List'!$B1:$AH730,27,FALSE)-AVERAGE('The List'!AB2:AB730))/STDEV('The List'!AB2:AB730)</f>
        <v>-1.04834880295816</v>
      </c>
      <c r="P512" s="46">
        <f>(VLOOKUP($A512,'The List'!$B1:$AH730,28,FALSE)-AVERAGE('The List'!AC2:AC730))/STDEV('The List'!AC2:AC730)</f>
        <v>1.04458126106098</v>
      </c>
      <c r="Q512" s="46">
        <f>(VLOOKUP($A512,'The List'!$B1:$AH730,29,FALSE)-AVERAGE('The List'!AD2:AD730))/STDEV('The List'!AD2:AD730)</f>
        <v>-1.00047682169737</v>
      </c>
      <c r="R512" s="46">
        <f>(VLOOKUP($A512,'The List'!$B1:$AH730,30,FALSE)-AVERAGE('The List'!AE2:AE730))/STDEV('The List'!AE2:AE730)</f>
        <v>-0.543143857600623</v>
      </c>
      <c r="S512" s="46">
        <f>(VLOOKUP($A512,'The List'!$B1:$AH730,31,FALSE)-AVERAGE('The List'!AF2:AF730))/STDEV('The List'!AF2:AF730)</f>
        <v>-0.078548606271756</v>
      </c>
      <c r="T512" s="46">
        <f>(VLOOKUP($A512,'The List'!$B1:$AH730,32,FALSE)-AVERAGE('The List'!AG2:AG730))/STDEV('The List'!AG2:AG730)</f>
        <v>-0.185911272577955</v>
      </c>
      <c r="U512" s="46">
        <f>(VLOOKUP($A512,'The List'!$B1:$AH730,33,FALSE)-AVERAGE('The List'!AH2:AH730))/STDEV('The List'!AH2:AH730)</f>
        <v>1.23874249281226</v>
      </c>
      <c r="V512" s="46"/>
      <c r="W512" s="50"/>
      <c r="X512" s="48"/>
      <c r="Y512" s="48"/>
      <c r="Z512" s="48"/>
      <c r="AA512" s="48"/>
      <c r="AB512" s="48"/>
      <c r="AC512" s="51"/>
      <c r="AD512" s="52"/>
      <c r="AE512" s="46"/>
    </row>
    <row r="513" ht="21.25" customHeight="1">
      <c r="A513" t="s" s="8">
        <v>548</v>
      </c>
      <c r="B513" t="s" s="42">
        <f>VLOOKUP(A513,'Player Data'!A1:B734,2,FALSE)</f>
        <v>258</v>
      </c>
      <c r="C513" s="44">
        <f>((E513)*'Settings'!$C$12)+(F513*'Settings'!$C$2)+(G513*'Settings'!$C$3)+(H513*'Settings'!$C$4)+(I513*'Settings'!$C$5)+(K513*'Settings'!$C$9)+(N513*'Settings'!$C$6)+(J513*'Settings'!$C$8)+(O513*'Settings'!$C$7)+(P513*'Settings'!$C$14)+(Q513*'Settings'!$C$15)+(R513*'Settings'!$C$16)+(S513*'Settings'!$C$17)+(T513*'Settings'!$C$18)+(U513*'Settings'!$C$19)+(L513*'Settings'!$C$10)+('Settings'!$C$11*M513)</f>
        <v>-3.45599435676374</v>
      </c>
      <c r="D513" s="48">
        <f>IF('Settings'!$E$12="YES",VLOOKUP(A513,'Player Data'!A1:E734,5,FALSE),82)</f>
        <v>74.97499999999999</v>
      </c>
      <c r="E513" s="46">
        <f>(VLOOKUP($A513,'The List'!$B1:$AH730,17,FALSE)-AVERAGE('The List'!R2:R730))/STDEV('The List'!R2:R730)</f>
        <v>0.197447925554826</v>
      </c>
      <c r="F513" s="46">
        <f>(VLOOKUP($A513,'The List'!$B1:$AH730,18,FALSE)-AVERAGE('The List'!S2:S730))/STDEV('The List'!S2:S730)</f>
        <v>-0.834762951834124</v>
      </c>
      <c r="G513" s="46">
        <f>(VLOOKUP($A513,'The List'!$B1:$AH730,19,FALSE)-AVERAGE('The List'!T2:T730))/STDEV('The List'!T2:T730)</f>
        <v>-0.650892679674713</v>
      </c>
      <c r="H513" s="46">
        <f>(VLOOKUP($A513,'The List'!$B1:$AH730,20,FALSE)-AVERAGE('The List'!U2:U730))/STDEV('The List'!U2:U730)</f>
        <v>-0.781100666734501</v>
      </c>
      <c r="I513" s="46">
        <f>(VLOOKUP($A513,'The List'!$B1:$AH730,21,FALSE)-AVERAGE('The List'!V2:V730))/STDEV('The List'!V2:V730)</f>
        <v>-0.782844674231536</v>
      </c>
      <c r="J513" s="46">
        <f>(VLOOKUP($A513,'The List'!$B1:$AH730,22,FALSE)-AVERAGE('The List'!W2:W730))/STDEV('The List'!W2:W730)</f>
        <v>-0.708193300027262</v>
      </c>
      <c r="K513" s="46">
        <f>(VLOOKUP($A513,'The List'!$B1:$AH730,23,FALSE)-AVERAGE('The List'!X2:X730))/STDEV('The List'!X2:X730)</f>
        <v>-0.780741596205374</v>
      </c>
      <c r="L513" s="46">
        <f>(VLOOKUP($A513,'The List'!$B1:$AH730,24,FALSE)-AVERAGE('The List'!Y2:Y730))/STDEV('The List'!Y2:Y730)</f>
        <v>-0.497743792829604</v>
      </c>
      <c r="M513" s="46">
        <f>(VLOOKUP($A513,'The List'!$B1:$AH730,25,FALSE)-AVERAGE('The List'!Z2:Z730))/STDEV('The List'!Z2:Z730)</f>
        <v>-0.6178698790442509</v>
      </c>
      <c r="N513" s="46">
        <f>(VLOOKUP($A513,'The List'!$B1:$AH730,26,FALSE)-AVERAGE('The List'!AA2:AA730))/STDEV('The List'!AA2:AA730)</f>
        <v>1.21325678910281</v>
      </c>
      <c r="O513" s="46">
        <f>(VLOOKUP($A513,'The List'!$B1:$AH730,27,FALSE)-AVERAGE('The List'!AB2:AB730))/STDEV('The List'!AB2:AB730)</f>
        <v>-0.351794122557638</v>
      </c>
      <c r="P513" s="46">
        <f>(VLOOKUP($A513,'The List'!$B1:$AH730,28,FALSE)-AVERAGE('The List'!AC2:AC730))/STDEV('The List'!AC2:AC730)</f>
        <v>-1.6200092439208</v>
      </c>
      <c r="Q513" s="46">
        <f>(VLOOKUP($A513,'The List'!$B1:$AH730,29,FALSE)-AVERAGE('The List'!AD2:AD730))/STDEV('The List'!AD2:AD730)</f>
        <v>0.0133954950076898</v>
      </c>
      <c r="R513" s="46">
        <f>(VLOOKUP($A513,'The List'!$B1:$AH730,30,FALSE)-AVERAGE('The List'!AE2:AE730))/STDEV('The List'!AE2:AE730)</f>
        <v>-0.87732237189658</v>
      </c>
      <c r="S513" s="46">
        <f>(VLOOKUP($A513,'The List'!$B1:$AH730,31,FALSE)-AVERAGE('The List'!AF2:AF730))/STDEV('The List'!AF2:AF730)</f>
        <v>-0.5569063253591</v>
      </c>
      <c r="T513" s="46">
        <f>(VLOOKUP($A513,'The List'!$B1:$AH730,32,FALSE)-AVERAGE('The List'!AG2:AG730))/STDEV('The List'!AG2:AG730)</f>
        <v>-0.600856269042678</v>
      </c>
      <c r="U513" s="46">
        <f>(VLOOKUP($A513,'The List'!$B1:$AH730,33,FALSE)-AVERAGE('The List'!AH2:AH730))/STDEV('The List'!AH2:AH730)</f>
        <v>-1.2363238714826</v>
      </c>
      <c r="V513" s="46"/>
      <c r="W513" s="48"/>
      <c r="X513" s="46"/>
      <c r="Y513" s="46"/>
      <c r="Z513" s="46"/>
      <c r="AA513" s="46"/>
      <c r="AB513" s="46"/>
      <c r="AC513" s="46"/>
      <c r="AD513" s="46"/>
      <c r="AE513" s="46"/>
    </row>
    <row r="514" ht="21.25" customHeight="1">
      <c r="A514" t="s" s="8">
        <v>540</v>
      </c>
      <c r="B514" t="s" s="42">
        <f>VLOOKUP(A514,'Player Data'!A1:B734,2,FALSE)</f>
        <v>127</v>
      </c>
      <c r="C514" s="44">
        <f>((E514)*'Settings'!$C$12)+(F514*'Settings'!$C$2)+(G514*'Settings'!$C$3)+(H514*'Settings'!$C$4)+(I514*'Settings'!$C$5)+(K514*'Settings'!$C$9)+(N514*'Settings'!$C$6)+(J514*'Settings'!$C$8)+(O514*'Settings'!$C$7)+(P514*'Settings'!$C$14)+(Q514*'Settings'!$C$15)+(R514*'Settings'!$C$16)+(S514*'Settings'!$C$17)+(T514*'Settings'!$C$18)+(U514*'Settings'!$C$19)+(L514*'Settings'!$C$10)+('Settings'!$C$11*M514)</f>
        <v>-2.21718603528827</v>
      </c>
      <c r="D514" s="48">
        <f>IF('Settings'!$E$12="YES",VLOOKUP(A514,'Player Data'!A1:E734,5,FALSE),82)</f>
        <v>78.6760714285714</v>
      </c>
      <c r="E514" s="46">
        <f>(VLOOKUP($A514,'The List'!$B1:$AH730,17,FALSE)-AVERAGE('The List'!R2:R730))/STDEV('The List'!R2:R730)</f>
        <v>0.0770929410101957</v>
      </c>
      <c r="F514" s="46">
        <f>(VLOOKUP($A514,'The List'!$B1:$AH730,18,FALSE)-AVERAGE('The List'!S2:S730))/STDEV('The List'!S2:S730)</f>
        <v>-0.849230668751644</v>
      </c>
      <c r="G514" s="46">
        <f>(VLOOKUP($A514,'The List'!$B1:$AH730,19,FALSE)-AVERAGE('The List'!T2:T730))/STDEV('The List'!T2:T730)</f>
        <v>-0.580316132052504</v>
      </c>
      <c r="H514" s="46">
        <f>(VLOOKUP($A514,'The List'!$B1:$AH730,20,FALSE)-AVERAGE('The List'!U2:U730))/STDEV('The List'!U2:U730)</f>
        <v>-0.744174254118481</v>
      </c>
      <c r="I514" s="46">
        <f>(VLOOKUP($A514,'The List'!$B1:$AH730,21,FALSE)-AVERAGE('The List'!V2:V730))/STDEV('The List'!V2:V730)</f>
        <v>-0.60290676428569</v>
      </c>
      <c r="J514" s="46">
        <f>(VLOOKUP($A514,'The List'!$B1:$AH730,22,FALSE)-AVERAGE('The List'!W2:W730))/STDEV('The List'!W2:W730)</f>
        <v>-0.67078833135661</v>
      </c>
      <c r="K514" s="46">
        <f>(VLOOKUP($A514,'The List'!$B1:$AH730,23,FALSE)-AVERAGE('The List'!X2:X730))/STDEV('The List'!X2:X730)</f>
        <v>-0.736568291860907</v>
      </c>
      <c r="L514" s="46">
        <f>(VLOOKUP($A514,'The List'!$B1:$AH730,24,FALSE)-AVERAGE('The List'!Y2:Y730))/STDEV('The List'!Y2:Y730)</f>
        <v>-0.510323558736522</v>
      </c>
      <c r="M514" s="46">
        <f>(VLOOKUP($A514,'The List'!$B1:$AH730,25,FALSE)-AVERAGE('The List'!Z2:Z730))/STDEV('The List'!Z2:Z730)</f>
        <v>-0.64641267002725</v>
      </c>
      <c r="N514" s="46">
        <f>(VLOOKUP($A514,'The List'!$B1:$AH730,26,FALSE)-AVERAGE('The List'!AA2:AA730))/STDEV('The List'!AA2:AA730)</f>
        <v>0.462838050544068</v>
      </c>
      <c r="O514" s="46">
        <f>(VLOOKUP($A514,'The List'!$B1:$AH730,27,FALSE)-AVERAGE('The List'!AB2:AB730))/STDEV('The List'!AB2:AB730)</f>
        <v>0.347944459855156</v>
      </c>
      <c r="P514" s="46">
        <f>(VLOOKUP($A514,'The List'!$B1:$AH730,28,FALSE)-AVERAGE('The List'!AC2:AC730))/STDEV('The List'!AC2:AC730)</f>
        <v>0.0889977711184113</v>
      </c>
      <c r="Q514" s="46">
        <f>(VLOOKUP($A514,'The List'!$B1:$AH730,29,FALSE)-AVERAGE('The List'!AD2:AD730))/STDEV('The List'!AD2:AD730)</f>
        <v>0.426892543975472</v>
      </c>
      <c r="R514" s="46">
        <f>(VLOOKUP($A514,'The List'!$B1:$AH730,30,FALSE)-AVERAGE('The List'!AE2:AE730))/STDEV('The List'!AE2:AE730)</f>
        <v>-0.757623011450542</v>
      </c>
      <c r="S514" s="46">
        <f>(VLOOKUP($A514,'The List'!$B1:$AH730,31,FALSE)-AVERAGE('The List'!AF2:AF730))/STDEV('The List'!AF2:AF730)</f>
        <v>-0.5569063253591</v>
      </c>
      <c r="T514" s="46">
        <f>(VLOOKUP($A514,'The List'!$B1:$AH730,32,FALSE)-AVERAGE('The List'!AG2:AG730))/STDEV('The List'!AG2:AG730)</f>
        <v>-0.600856269042678</v>
      </c>
      <c r="U514" s="46">
        <f>(VLOOKUP($A514,'The List'!$B1:$AH730,33,FALSE)-AVERAGE('The List'!AH2:AH730))/STDEV('The List'!AH2:AH730)</f>
        <v>-1.2363238714826</v>
      </c>
      <c r="V514" s="46"/>
      <c r="W514" s="50"/>
      <c r="X514" s="48"/>
      <c r="Y514" s="48"/>
      <c r="Z514" s="48"/>
      <c r="AA514" s="48"/>
      <c r="AB514" s="48"/>
      <c r="AC514" s="51"/>
      <c r="AD514" s="52"/>
      <c r="AE514" s="46"/>
    </row>
    <row r="515" ht="21.25" customHeight="1">
      <c r="A515" t="s" s="8">
        <v>546</v>
      </c>
      <c r="B515" t="s" s="42">
        <f>VLOOKUP(A515,'Player Data'!A1:B734,2,FALSE)</f>
        <v>131</v>
      </c>
      <c r="C515" s="44">
        <f>((E515)*'Settings'!$C$12)+(F515*'Settings'!$C$2)+(G515*'Settings'!$C$3)+(H515*'Settings'!$C$4)+(I515*'Settings'!$C$5)+(K515*'Settings'!$C$9)+(N515*'Settings'!$C$6)+(J515*'Settings'!$C$8)+(O515*'Settings'!$C$7)+(P515*'Settings'!$C$14)+(Q515*'Settings'!$C$15)+(R515*'Settings'!$C$16)+(S515*'Settings'!$C$17)+(T515*'Settings'!$C$18)+(U515*'Settings'!$C$19)+(L515*'Settings'!$C$10)+('Settings'!$C$11*M515)</f>
        <v>-2.13946648445519</v>
      </c>
      <c r="D515" s="48">
        <f>IF('Settings'!$E$12="YES",VLOOKUP(A515,'Player Data'!A1:E734,5,FALSE),82)</f>
        <v>75.0642857142857</v>
      </c>
      <c r="E515" s="46">
        <f>(VLOOKUP($A515,'The List'!$B1:$AH730,17,FALSE)-AVERAGE('The List'!R2:R730))/STDEV('The List'!R2:R730)</f>
        <v>0.0451104462280188</v>
      </c>
      <c r="F515" s="46">
        <f>(VLOOKUP($A515,'The List'!$B1:$AH730,18,FALSE)-AVERAGE('The List'!S2:S730))/STDEV('The List'!S2:S730)</f>
        <v>-0.8808055792564951</v>
      </c>
      <c r="G515" s="46">
        <f>(VLOOKUP($A515,'The List'!$B1:$AH730,19,FALSE)-AVERAGE('The List'!T2:T730))/STDEV('The List'!T2:T730)</f>
        <v>-0.622247716996424</v>
      </c>
      <c r="H515" s="46">
        <f>(VLOOKUP($A515,'The List'!$B1:$AH730,20,FALSE)-AVERAGE('The List'!U2:U730))/STDEV('The List'!U2:U730)</f>
        <v>-0.784391742637755</v>
      </c>
      <c r="I515" s="46">
        <f>(VLOOKUP($A515,'The List'!$B1:$AH730,21,FALSE)-AVERAGE('The List'!V2:V730))/STDEV('The List'!V2:V730)</f>
        <v>-0.722466301302065</v>
      </c>
      <c r="J515" s="46">
        <f>(VLOOKUP($A515,'The List'!$B1:$AH730,22,FALSE)-AVERAGE('The List'!W2:W730))/STDEV('The List'!W2:W730)</f>
        <v>-0.70835352744657</v>
      </c>
      <c r="K515" s="46">
        <f>(VLOOKUP($A515,'The List'!$B1:$AH730,23,FALSE)-AVERAGE('The List'!X2:X730))/STDEV('The List'!X2:X730)</f>
        <v>-0.788407532380709</v>
      </c>
      <c r="L515" s="46">
        <f>(VLOOKUP($A515,'The List'!$B1:$AH730,24,FALSE)-AVERAGE('The List'!Y2:Y730))/STDEV('The List'!Y2:Y730)</f>
        <v>-0.483257318382772</v>
      </c>
      <c r="M515" s="46">
        <f>(VLOOKUP($A515,'The List'!$B1:$AH730,25,FALSE)-AVERAGE('The List'!Z2:Z730))/STDEV('The List'!Z2:Z730)</f>
        <v>-0.57726482803127</v>
      </c>
      <c r="N515" s="46">
        <f>(VLOOKUP($A515,'The List'!$B1:$AH730,26,FALSE)-AVERAGE('The List'!AA2:AA730))/STDEV('The List'!AA2:AA730)</f>
        <v>1.16141612740629</v>
      </c>
      <c r="O515" s="46">
        <f>(VLOOKUP($A515,'The List'!$B1:$AH730,27,FALSE)-AVERAGE('The List'!AB2:AB730))/STDEV('The List'!AB2:AB730)</f>
        <v>3.86109851489433</v>
      </c>
      <c r="P515" s="46">
        <f>(VLOOKUP($A515,'The List'!$B1:$AH730,28,FALSE)-AVERAGE('The List'!AC2:AC730))/STDEV('The List'!AC2:AC730)</f>
        <v>-0.286955481925786</v>
      </c>
      <c r="Q515" s="46">
        <f>(VLOOKUP($A515,'The List'!$B1:$AH730,29,FALSE)-AVERAGE('The List'!AD2:AD730))/STDEV('The List'!AD2:AD730)</f>
        <v>2.87456405933825</v>
      </c>
      <c r="R515" s="46">
        <f>(VLOOKUP($A515,'The List'!$B1:$AH730,30,FALSE)-AVERAGE('The List'!AE2:AE730))/STDEV('The List'!AE2:AE730)</f>
        <v>-0.790390131726635</v>
      </c>
      <c r="S515" s="46">
        <f>(VLOOKUP($A515,'The List'!$B1:$AH730,31,FALSE)-AVERAGE('The List'!AF2:AF730))/STDEV('The List'!AF2:AF730)</f>
        <v>-0.5569063253591</v>
      </c>
      <c r="T515" s="46">
        <f>(VLOOKUP($A515,'The List'!$B1:$AH730,32,FALSE)-AVERAGE('The List'!AG2:AG730))/STDEV('The List'!AG2:AG730)</f>
        <v>-0.600856269042678</v>
      </c>
      <c r="U515" s="46">
        <f>(VLOOKUP($A515,'The List'!$B1:$AH730,33,FALSE)-AVERAGE('The List'!AH2:AH730))/STDEV('The List'!AH2:AH730)</f>
        <v>-1.2363238714826</v>
      </c>
      <c r="V515" s="46"/>
      <c r="W515" s="50"/>
      <c r="X515" s="48"/>
      <c r="Y515" s="48"/>
      <c r="Z515" s="48"/>
      <c r="AA515" s="48"/>
      <c r="AB515" s="48"/>
      <c r="AC515" s="51"/>
      <c r="AD515" s="52"/>
      <c r="AE515" s="46"/>
    </row>
    <row r="516" ht="21.25" customHeight="1">
      <c r="A516" t="s" s="8">
        <v>819</v>
      </c>
      <c r="B516" t="s" s="42">
        <f>VLOOKUP(A516,'Player Data'!A1:B734,2,FALSE)</f>
        <v>173</v>
      </c>
      <c r="C516" s="44">
        <f>((E516)*'Settings'!$C$12)+(F516*'Settings'!$C$2)+(G516*'Settings'!$C$3)+(H516*'Settings'!$C$4)+(I516*'Settings'!$C$5)+(K516*'Settings'!$C$9)+(N516*'Settings'!$C$6)+(J516*'Settings'!$C$8)+(O516*'Settings'!$C$7)+(P516*'Settings'!$C$14)+(Q516*'Settings'!$C$15)+(R516*'Settings'!$C$16)+(S516*'Settings'!$C$17)+(T516*'Settings'!$C$18)+(U516*'Settings'!$C$19)+(L516*'Settings'!$C$10)+('Settings'!$C$11*M516)</f>
        <v>-4.05330785930687</v>
      </c>
      <c r="D516" s="48">
        <f>IF('Settings'!$E$12="YES",VLOOKUP(A516,'Player Data'!A1:E734,5,FALSE),82)</f>
        <v>60.83</v>
      </c>
      <c r="E516" s="46">
        <f>(VLOOKUP($A516,'The List'!$B1:$AH730,17,FALSE)-AVERAGE('The List'!R2:R730))/STDEV('The List'!R2:R730)</f>
        <v>-1.54013860086002</v>
      </c>
      <c r="F516" s="46">
        <f>(VLOOKUP($A516,'The List'!$B1:$AH730,18,FALSE)-AVERAGE('The List'!S2:S730))/STDEV('The List'!S2:S730)</f>
        <v>-0.680326177758339</v>
      </c>
      <c r="G516" s="46">
        <f>(VLOOKUP($A516,'The List'!$B1:$AH730,19,FALSE)-AVERAGE('The List'!T2:T730))/STDEV('The List'!T2:T730)</f>
        <v>-1.02065580004516</v>
      </c>
      <c r="H516" s="46">
        <f>(VLOOKUP($A516,'The List'!$B1:$AH730,20,FALSE)-AVERAGE('The List'!U2:U730))/STDEV('The List'!U2:U730)</f>
        <v>-0.938782940853505</v>
      </c>
      <c r="I516" s="46">
        <f>(VLOOKUP($A516,'The List'!$B1:$AH730,21,FALSE)-AVERAGE('The List'!V2:V730))/STDEV('The List'!V2:V730)</f>
        <v>-1.04435302552456</v>
      </c>
      <c r="J516" s="46">
        <f>(VLOOKUP($A516,'The List'!$B1:$AH730,22,FALSE)-AVERAGE('The List'!W2:W730))/STDEV('The List'!W2:W730)</f>
        <v>-0.262884866881666</v>
      </c>
      <c r="K516" s="46">
        <f>(VLOOKUP($A516,'The List'!$B1:$AH730,23,FALSE)-AVERAGE('The List'!X2:X730))/STDEV('The List'!X2:X730)</f>
        <v>-0.460374351061864</v>
      </c>
      <c r="L516" s="46">
        <f>(VLOOKUP($A516,'The List'!$B1:$AH730,24,FALSE)-AVERAGE('The List'!Y2:Y730))/STDEV('The List'!Y2:Y730)</f>
        <v>-0.542843480388394</v>
      </c>
      <c r="M516" s="46">
        <f>(VLOOKUP($A516,'The List'!$B1:$AH730,25,FALSE)-AVERAGE('The List'!Z2:Z730))/STDEV('The List'!Z2:Z730)</f>
        <v>-0.72177514995105</v>
      </c>
      <c r="N516" s="46">
        <f>(VLOOKUP($A516,'The List'!$B1:$AH730,26,FALSE)-AVERAGE('The List'!AA2:AA730))/STDEV('The List'!AA2:AA730)</f>
        <v>-0.753893743901326</v>
      </c>
      <c r="O516" s="46">
        <f>(VLOOKUP($A516,'The List'!$B1:$AH730,27,FALSE)-AVERAGE('The List'!AB2:AB730))/STDEV('The List'!AB2:AB730)</f>
        <v>-0.467554787928784</v>
      </c>
      <c r="P516" s="46">
        <f>(VLOOKUP($A516,'The List'!$B1:$AH730,28,FALSE)-AVERAGE('The List'!AC2:AC730))/STDEV('The List'!AC2:AC730)</f>
        <v>-0.0937047610156215</v>
      </c>
      <c r="Q516" s="46">
        <f>(VLOOKUP($A516,'The List'!$B1:$AH730,29,FALSE)-AVERAGE('The List'!AD2:AD730))/STDEV('The List'!AD2:AD730)</f>
        <v>-1.16570460056177</v>
      </c>
      <c r="R516" s="46">
        <f>(VLOOKUP($A516,'The List'!$B1:$AH730,30,FALSE)-AVERAGE('The List'!AE2:AE730))/STDEV('The List'!AE2:AE730)</f>
        <v>-0.582439190243022</v>
      </c>
      <c r="S516" s="46">
        <f>(VLOOKUP($A516,'The List'!$B1:$AH730,31,FALSE)-AVERAGE('The List'!AF2:AF730))/STDEV('The List'!AF2:AF730)</f>
        <v>-0.536666855455609</v>
      </c>
      <c r="T516" s="46">
        <f>(VLOOKUP($A516,'The List'!$B1:$AH730,32,FALSE)-AVERAGE('The List'!AG2:AG730))/STDEV('The List'!AG2:AG730)</f>
        <v>-0.5702387662241299</v>
      </c>
      <c r="U516" s="46">
        <f>(VLOOKUP($A516,'The List'!$B1:$AH730,33,FALSE)-AVERAGE('The List'!AH2:AH730))/STDEV('The List'!AH2:AH730)</f>
        <v>0.615930497652164</v>
      </c>
      <c r="V516" s="46"/>
      <c r="W516" s="50"/>
      <c r="X516" s="48"/>
      <c r="Y516" s="48"/>
      <c r="Z516" s="48"/>
      <c r="AA516" s="48"/>
      <c r="AB516" s="48"/>
      <c r="AC516" s="51"/>
      <c r="AD516" s="52"/>
      <c r="AE516" s="46"/>
    </row>
    <row r="517" ht="21.25" customHeight="1">
      <c r="A517" t="s" s="8">
        <v>657</v>
      </c>
      <c r="B517" t="s" s="42">
        <f>VLOOKUP(A517,'Player Data'!A1:B734,2,FALSE)</f>
        <v>225</v>
      </c>
      <c r="C517" s="44">
        <f>((E517)*'Settings'!$C$12)+(F517*'Settings'!$C$2)+(G517*'Settings'!$C$3)+(H517*'Settings'!$C$4)+(I517*'Settings'!$C$5)+(K517*'Settings'!$C$9)+(N517*'Settings'!$C$6)+(J517*'Settings'!$C$8)+(O517*'Settings'!$C$7)+(P517*'Settings'!$C$14)+(Q517*'Settings'!$C$15)+(R517*'Settings'!$C$16)+(S517*'Settings'!$C$17)+(T517*'Settings'!$C$18)+(U517*'Settings'!$C$19)+(L517*'Settings'!$C$10)+('Settings'!$C$11*M517)</f>
        <v>-4.83870390882053</v>
      </c>
      <c r="D517" s="48">
        <f>IF('Settings'!$E$12="YES",VLOOKUP(A517,'Player Data'!A1:E734,5,FALSE),82)</f>
        <v>51.0175</v>
      </c>
      <c r="E517" s="46">
        <f>(VLOOKUP($A517,'The List'!$B1:$AH730,17,FALSE)-AVERAGE('The List'!R2:R730))/STDEV('The List'!R2:R730)</f>
        <v>-0.0754184358279737</v>
      </c>
      <c r="F517" s="46">
        <f>(VLOOKUP($A517,'The List'!$B1:$AH730,18,FALSE)-AVERAGE('The List'!S2:S730))/STDEV('The List'!S2:S730)</f>
        <v>-1.00434479141858</v>
      </c>
      <c r="G517" s="46">
        <f>(VLOOKUP($A517,'The List'!$B1:$AH730,19,FALSE)-AVERAGE('The List'!T2:T730))/STDEV('The List'!T2:T730)</f>
        <v>-0.955230370738293</v>
      </c>
      <c r="H517" s="46">
        <f>(VLOOKUP($A517,'The List'!$B1:$AH730,20,FALSE)-AVERAGE('The List'!U2:U730))/STDEV('The List'!U2:U730)</f>
        <v>-1.04588399125177</v>
      </c>
      <c r="I517" s="46">
        <f>(VLOOKUP($A517,'The List'!$B1:$AH730,21,FALSE)-AVERAGE('The List'!V2:V730))/STDEV('The List'!V2:V730)</f>
        <v>-1.20905112201103</v>
      </c>
      <c r="J517" s="46">
        <f>(VLOOKUP($A517,'The List'!$B1:$AH730,22,FALSE)-AVERAGE('The List'!W2:W730))/STDEV('The List'!W2:W730)</f>
        <v>-0.658563683385483</v>
      </c>
      <c r="K517" s="46">
        <f>(VLOOKUP($A517,'The List'!$B1:$AH730,23,FALSE)-AVERAGE('The List'!X2:X730))/STDEV('The List'!X2:X730)</f>
        <v>-0.658245531440529</v>
      </c>
      <c r="L517" s="46">
        <f>(VLOOKUP($A517,'The List'!$B1:$AH730,24,FALSE)-AVERAGE('The List'!Y2:Y730))/STDEV('The List'!Y2:Y730)</f>
        <v>-0.498937267284819</v>
      </c>
      <c r="M517" s="46">
        <f>(VLOOKUP($A517,'The List'!$B1:$AH730,25,FALSE)-AVERAGE('The List'!Z2:Z730))/STDEV('The List'!Z2:Z730)</f>
        <v>-0.621173005397063</v>
      </c>
      <c r="N517" s="46">
        <f>(VLOOKUP($A517,'The List'!$B1:$AH730,26,FALSE)-AVERAGE('The List'!AA2:AA730))/STDEV('The List'!AA2:AA730)</f>
        <v>-0.00676209834423282</v>
      </c>
      <c r="O517" s="46">
        <f>(VLOOKUP($A517,'The List'!$B1:$AH730,27,FALSE)-AVERAGE('The List'!AB2:AB730))/STDEV('The List'!AB2:AB730)</f>
        <v>-0.707349602873979</v>
      </c>
      <c r="P517" s="46">
        <f>(VLOOKUP($A517,'The List'!$B1:$AH730,28,FALSE)-AVERAGE('The List'!AC2:AC730))/STDEV('The List'!AC2:AC730)</f>
        <v>-1.00506999486787</v>
      </c>
      <c r="Q517" s="46">
        <f>(VLOOKUP($A517,'The List'!$B1:$AH730,29,FALSE)-AVERAGE('The List'!AD2:AD730))/STDEV('The List'!AD2:AD730)</f>
        <v>-0.936072285274069</v>
      </c>
      <c r="R517" s="46">
        <f>(VLOOKUP($A517,'The List'!$B1:$AH730,30,FALSE)-AVERAGE('The List'!AE2:AE730))/STDEV('The List'!AE2:AE730)</f>
        <v>-0.962436178285958</v>
      </c>
      <c r="S517" s="46">
        <f>(VLOOKUP($A517,'The List'!$B1:$AH730,31,FALSE)-AVERAGE('The List'!AF2:AF730))/STDEV('The List'!AF2:AF730)</f>
        <v>-0.5569063253591</v>
      </c>
      <c r="T517" s="46">
        <f>(VLOOKUP($A517,'The List'!$B1:$AH730,32,FALSE)-AVERAGE('The List'!AG2:AG730))/STDEV('The List'!AG2:AG730)</f>
        <v>-0.600856269042678</v>
      </c>
      <c r="U517" s="46">
        <f>(VLOOKUP($A517,'The List'!$B1:$AH730,33,FALSE)-AVERAGE('The List'!AH2:AH730))/STDEV('The List'!AH2:AH730)</f>
        <v>-1.2363238714826</v>
      </c>
      <c r="V517" s="46"/>
      <c r="W517" s="50"/>
      <c r="X517" s="48"/>
      <c r="Y517" s="48"/>
      <c r="Z517" s="48"/>
      <c r="AA517" s="48"/>
      <c r="AB517" s="48"/>
      <c r="AC517" s="51"/>
      <c r="AD517" s="52"/>
      <c r="AE517" s="46"/>
    </row>
    <row r="518" ht="21.25" customHeight="1">
      <c r="A518" t="s" s="8">
        <v>832</v>
      </c>
      <c r="B518" t="s" s="42">
        <f>VLOOKUP(A518,'Player Data'!A1:B734,2,FALSE)</f>
        <v>204</v>
      </c>
      <c r="C518" s="44">
        <f>((E518)*'Settings'!$C$12)+(F518*'Settings'!$C$2)+(G518*'Settings'!$C$3)+(H518*'Settings'!$C$4)+(I518*'Settings'!$C$5)+(K518*'Settings'!$C$9)+(N518*'Settings'!$C$6)+(J518*'Settings'!$C$8)+(O518*'Settings'!$C$7)+(P518*'Settings'!$C$14)+(Q518*'Settings'!$C$15)+(R518*'Settings'!$C$16)+(S518*'Settings'!$C$17)+(T518*'Settings'!$C$18)+(U518*'Settings'!$C$19)+(L518*'Settings'!$C$10)+('Settings'!$C$11*M518)</f>
        <v>-4.36052995461832</v>
      </c>
      <c r="D518" s="48">
        <f>IF('Settings'!$E$12="YES",VLOOKUP(A518,'Player Data'!A1:E734,5,FALSE),82)</f>
        <v>62.1060714285714</v>
      </c>
      <c r="E518" s="46">
        <f>(VLOOKUP($A518,'The List'!$B1:$AH730,17,FALSE)-AVERAGE('The List'!R2:R730))/STDEV('The List'!R2:R730)</f>
        <v>-1.63309990378957</v>
      </c>
      <c r="F518" s="46">
        <f>(VLOOKUP($A518,'The List'!$B1:$AH730,18,FALSE)-AVERAGE('The List'!S2:S730))/STDEV('The List'!S2:S730)</f>
        <v>-0.48854946594584</v>
      </c>
      <c r="G518" s="46">
        <f>(VLOOKUP($A518,'The List'!$B1:$AH730,19,FALSE)-AVERAGE('The List'!T2:T730))/STDEV('The List'!T2:T730)</f>
        <v>-1.14240254476242</v>
      </c>
      <c r="H518" s="46">
        <f>(VLOOKUP($A518,'The List'!$B1:$AH730,20,FALSE)-AVERAGE('The List'!U2:U730))/STDEV('The List'!U2:U730)</f>
        <v>-0.926575958680989</v>
      </c>
      <c r="I518" s="46">
        <f>(VLOOKUP($A518,'The List'!$B1:$AH730,21,FALSE)-AVERAGE('The List'!V2:V730))/STDEV('The List'!V2:V730)</f>
        <v>-1.07513757371935</v>
      </c>
      <c r="J518" s="46">
        <f>(VLOOKUP($A518,'The List'!$B1:$AH730,22,FALSE)-AVERAGE('The List'!W2:W730))/STDEV('The List'!W2:W730)</f>
        <v>-0.673442646483263</v>
      </c>
      <c r="K518" s="46">
        <f>(VLOOKUP($A518,'The List'!$B1:$AH730,23,FALSE)-AVERAGE('The List'!X2:X730))/STDEV('The List'!X2:X730)</f>
        <v>-0.757949471714325</v>
      </c>
      <c r="L518" s="46">
        <f>(VLOOKUP($A518,'The List'!$B1:$AH730,24,FALSE)-AVERAGE('The List'!Y2:Y730))/STDEV('The List'!Y2:Y730)</f>
        <v>-0.463181089097669</v>
      </c>
      <c r="M518" s="46">
        <f>(VLOOKUP($A518,'The List'!$B1:$AH730,25,FALSE)-AVERAGE('The List'!Z2:Z730))/STDEV('The List'!Z2:Z730)</f>
        <v>-0.631200624005933</v>
      </c>
      <c r="N518" s="46">
        <f>(VLOOKUP($A518,'The List'!$B1:$AH730,26,FALSE)-AVERAGE('The List'!AA2:AA730))/STDEV('The List'!AA2:AA730)</f>
        <v>-0.64453821005013</v>
      </c>
      <c r="O518" s="46">
        <f>(VLOOKUP($A518,'The List'!$B1:$AH730,27,FALSE)-AVERAGE('The List'!AB2:AB730))/STDEV('The List'!AB2:AB730)</f>
        <v>-0.0968155159577221</v>
      </c>
      <c r="P518" s="46">
        <f>(VLOOKUP($A518,'The List'!$B1:$AH730,28,FALSE)-AVERAGE('The List'!AC2:AC730))/STDEV('The List'!AC2:AC730)</f>
        <v>-0.251952688426259</v>
      </c>
      <c r="Q518" s="46">
        <f>(VLOOKUP($A518,'The List'!$B1:$AH730,29,FALSE)-AVERAGE('The List'!AD2:AD730))/STDEV('The List'!AD2:AD730)</f>
        <v>-1.46169601639689</v>
      </c>
      <c r="R518" s="46">
        <f>(VLOOKUP($A518,'The List'!$B1:$AH730,30,FALSE)-AVERAGE('The List'!AE2:AE730))/STDEV('The List'!AE2:AE730)</f>
        <v>-0.406978981042517</v>
      </c>
      <c r="S518" s="46">
        <f>(VLOOKUP($A518,'The List'!$B1:$AH730,31,FALSE)-AVERAGE('The List'!AF2:AF730))/STDEV('The List'!AF2:AF730)</f>
        <v>-0.25964021519266</v>
      </c>
      <c r="T518" s="46">
        <f>(VLOOKUP($A518,'The List'!$B1:$AH730,32,FALSE)-AVERAGE('The List'!AG2:AG730))/STDEV('The List'!AG2:AG730)</f>
        <v>-0.332324091654582</v>
      </c>
      <c r="U518" s="46">
        <f>(VLOOKUP($A518,'The List'!$B1:$AH730,33,FALSE)-AVERAGE('The List'!AH2:AH730))/STDEV('The List'!AH2:AH730)</f>
        <v>1.19329155932111</v>
      </c>
      <c r="V518" s="46"/>
      <c r="W518" s="48"/>
      <c r="X518" s="46"/>
      <c r="Y518" s="46"/>
      <c r="Z518" s="46"/>
      <c r="AA518" s="46"/>
      <c r="AB518" s="46"/>
      <c r="AC518" s="46"/>
      <c r="AD518" s="46"/>
      <c r="AE518" s="46"/>
    </row>
    <row r="519" ht="21.25" customHeight="1">
      <c r="A519" t="s" s="8">
        <v>586</v>
      </c>
      <c r="B519" t="s" s="42">
        <f>VLOOKUP(A519,'Player Data'!A1:B734,2,FALSE)</f>
        <v>151</v>
      </c>
      <c r="C519" s="44">
        <f>((E519)*'Settings'!$C$12)+(F519*'Settings'!$C$2)+(G519*'Settings'!$C$3)+(H519*'Settings'!$C$4)+(I519*'Settings'!$C$5)+(K519*'Settings'!$C$9)+(N519*'Settings'!$C$6)+(J519*'Settings'!$C$8)+(O519*'Settings'!$C$7)+(P519*'Settings'!$C$14)+(Q519*'Settings'!$C$15)+(R519*'Settings'!$C$16)+(S519*'Settings'!$C$17)+(T519*'Settings'!$C$18)+(U519*'Settings'!$C$19)+(L519*'Settings'!$C$10)+('Settings'!$C$11*M519)</f>
        <v>-1.53711298115874</v>
      </c>
      <c r="D519" s="48">
        <f>IF('Settings'!$E$12="YES",VLOOKUP(A519,'Player Data'!A1:E734,5,FALSE),82)</f>
        <v>72.29000000000001</v>
      </c>
      <c r="E519" s="46">
        <f>(VLOOKUP($A519,'The List'!$B1:$AH730,17,FALSE)-AVERAGE('The List'!R2:R730))/STDEV('The List'!R2:R730)</f>
        <v>-0.192282418233997</v>
      </c>
      <c r="F519" s="46">
        <f>(VLOOKUP($A519,'The List'!$B1:$AH730,18,FALSE)-AVERAGE('The List'!S2:S730))/STDEV('The List'!S2:S730)</f>
        <v>-0.875951061253617</v>
      </c>
      <c r="G519" s="46">
        <f>(VLOOKUP($A519,'The List'!$B1:$AH730,19,FALSE)-AVERAGE('The List'!T2:T730))/STDEV('The List'!T2:T730)</f>
        <v>-0.6796068785721781</v>
      </c>
      <c r="H519" s="46">
        <f>(VLOOKUP($A519,'The List'!$B1:$AH730,20,FALSE)-AVERAGE('The List'!U2:U730))/STDEV('The List'!U2:U730)</f>
        <v>-0.817544008786788</v>
      </c>
      <c r="I519" s="46">
        <f>(VLOOKUP($A519,'The List'!$B1:$AH730,21,FALSE)-AVERAGE('The List'!V2:V730))/STDEV('The List'!V2:V730)</f>
        <v>-1.06158894235379</v>
      </c>
      <c r="J519" s="46">
        <f>(VLOOKUP($A519,'The List'!$B1:$AH730,22,FALSE)-AVERAGE('The List'!W2:W730))/STDEV('The List'!W2:W730)</f>
        <v>-0.707725285139338</v>
      </c>
      <c r="K519" s="46">
        <f>(VLOOKUP($A519,'The List'!$B1:$AH730,23,FALSE)-AVERAGE('The List'!X2:X730))/STDEV('The List'!X2:X730)</f>
        <v>-0.781612438327431</v>
      </c>
      <c r="L519" s="46">
        <f>(VLOOKUP($A519,'The List'!$B1:$AH730,24,FALSE)-AVERAGE('The List'!Y2:Y730))/STDEV('The List'!Y2:Y730)</f>
        <v>-0.490992521831575</v>
      </c>
      <c r="M519" s="46">
        <f>(VLOOKUP($A519,'The List'!$B1:$AH730,25,FALSE)-AVERAGE('The List'!Z2:Z730))/STDEV('The List'!Z2:Z730)</f>
        <v>-0.603272395880846</v>
      </c>
      <c r="N519" s="46">
        <f>(VLOOKUP($A519,'The List'!$B1:$AH730,26,FALSE)-AVERAGE('The List'!AA2:AA730))/STDEV('The List'!AA2:AA730)</f>
        <v>1.16165791571988</v>
      </c>
      <c r="O519" s="46">
        <f>(VLOOKUP($A519,'The List'!$B1:$AH730,27,FALSE)-AVERAGE('The List'!AB2:AB730))/STDEV('The List'!AB2:AB730)</f>
        <v>0.567989407081677</v>
      </c>
      <c r="P519" s="46">
        <f>(VLOOKUP($A519,'The List'!$B1:$AH730,28,FALSE)-AVERAGE('The List'!AC2:AC730))/STDEV('The List'!AC2:AC730)</f>
        <v>0.699988423628392</v>
      </c>
      <c r="Q519" s="46">
        <f>(VLOOKUP($A519,'The List'!$B1:$AH730,29,FALSE)-AVERAGE('The List'!AD2:AD730))/STDEV('The List'!AD2:AD730)</f>
        <v>-0.808264410067009</v>
      </c>
      <c r="R519" s="46">
        <f>(VLOOKUP($A519,'The List'!$B1:$AH730,30,FALSE)-AVERAGE('The List'!AE2:AE730))/STDEV('The List'!AE2:AE730)</f>
        <v>-0.719232468128442</v>
      </c>
      <c r="S519" s="46">
        <f>(VLOOKUP($A519,'The List'!$B1:$AH730,31,FALSE)-AVERAGE('The List'!AF2:AF730))/STDEV('The List'!AF2:AF730)</f>
        <v>-0.5569063253591</v>
      </c>
      <c r="T519" s="46">
        <f>(VLOOKUP($A519,'The List'!$B1:$AH730,32,FALSE)-AVERAGE('The List'!AG2:AG730))/STDEV('The List'!AG2:AG730)</f>
        <v>-0.600856269042678</v>
      </c>
      <c r="U519" s="46">
        <f>(VLOOKUP($A519,'The List'!$B1:$AH730,33,FALSE)-AVERAGE('The List'!AH2:AH730))/STDEV('The List'!AH2:AH730)</f>
        <v>-1.2363238714826</v>
      </c>
      <c r="V519" s="46"/>
      <c r="W519" s="50"/>
      <c r="X519" s="48"/>
      <c r="Y519" s="48"/>
      <c r="Z519" s="48"/>
      <c r="AA519" s="48"/>
      <c r="AB519" s="48"/>
      <c r="AC519" s="51"/>
      <c r="AD519" s="52"/>
      <c r="AE519" s="46"/>
    </row>
    <row r="520" ht="21.25" customHeight="1">
      <c r="A520" t="s" s="8">
        <v>624</v>
      </c>
      <c r="B520" t="s" s="42">
        <f>VLOOKUP(A520,'Player Data'!A1:B734,2,FALSE)</f>
        <v>292</v>
      </c>
      <c r="C520" s="44">
        <f>((E520)*'Settings'!$C$12)+(F520*'Settings'!$C$2)+(G520*'Settings'!$C$3)+(H520*'Settings'!$C$4)+(I520*'Settings'!$C$5)+(K520*'Settings'!$C$9)+(N520*'Settings'!$C$6)+(J520*'Settings'!$C$8)+(O520*'Settings'!$C$7)+(P520*'Settings'!$C$14)+(Q520*'Settings'!$C$15)+(R520*'Settings'!$C$16)+(S520*'Settings'!$C$17)+(T520*'Settings'!$C$18)+(U520*'Settings'!$C$19)+(L520*'Settings'!$C$10)+('Settings'!$C$11*M520)</f>
        <v>-3.53220172732904</v>
      </c>
      <c r="D520" s="48">
        <f>IF('Settings'!$E$12="YES",VLOOKUP(A520,'Player Data'!A1:E734,5,FALSE),82)</f>
        <v>60</v>
      </c>
      <c r="E520" s="46">
        <f>(VLOOKUP($A520,'The List'!$B1:$AH730,17,FALSE)-AVERAGE('The List'!R2:R730))/STDEV('The List'!R2:R730)</f>
        <v>-0.173005206099193</v>
      </c>
      <c r="F520" s="46">
        <f>(VLOOKUP($A520,'The List'!$B1:$AH730,18,FALSE)-AVERAGE('The List'!S2:S730))/STDEV('The List'!S2:S730)</f>
        <v>-0.93511158420824</v>
      </c>
      <c r="G520" s="46">
        <f>(VLOOKUP($A520,'The List'!$B1:$AH730,19,FALSE)-AVERAGE('The List'!T2:T730))/STDEV('The List'!T2:T730)</f>
        <v>-0.856166198657202</v>
      </c>
      <c r="H520" s="46">
        <f>(VLOOKUP($A520,'The List'!$B1:$AH730,20,FALSE)-AVERAGE('The List'!U2:U730))/STDEV('The List'!U2:U730)</f>
        <v>-0.953309733430314</v>
      </c>
      <c r="I520" s="46">
        <f>(VLOOKUP($A520,'The List'!$B1:$AH730,21,FALSE)-AVERAGE('The List'!V2:V730))/STDEV('The List'!V2:V730)</f>
        <v>-0.950365447840865</v>
      </c>
      <c r="J520" s="46">
        <f>(VLOOKUP($A520,'The List'!$B1:$AH730,22,FALSE)-AVERAGE('The List'!W2:W730))/STDEV('The List'!W2:W730)</f>
        <v>-0.711076672653749</v>
      </c>
      <c r="K520" s="46">
        <f>(VLOOKUP($A520,'The List'!$B1:$AH730,23,FALSE)-AVERAGE('The List'!X2:X730))/STDEV('The List'!X2:X730)</f>
        <v>-0.79331247723573</v>
      </c>
      <c r="L520" s="46">
        <f>(VLOOKUP($A520,'The List'!$B1:$AH730,24,FALSE)-AVERAGE('The List'!Y2:Y730))/STDEV('The List'!Y2:Y730)</f>
        <v>-0.542843480388394</v>
      </c>
      <c r="M520" s="46">
        <f>(VLOOKUP($A520,'The List'!$B1:$AH730,25,FALSE)-AVERAGE('The List'!Z2:Z730))/STDEV('The List'!Z2:Z730)</f>
        <v>-0.72177514995105</v>
      </c>
      <c r="N520" s="46">
        <f>(VLOOKUP($A520,'The List'!$B1:$AH730,26,FALSE)-AVERAGE('The List'!AA2:AA730))/STDEV('The List'!AA2:AA730)</f>
        <v>0.0097281662522452</v>
      </c>
      <c r="O520" s="46">
        <f>(VLOOKUP($A520,'The List'!$B1:$AH730,27,FALSE)-AVERAGE('The List'!AB2:AB730))/STDEV('The List'!AB2:AB730)</f>
        <v>-0.863500395526748</v>
      </c>
      <c r="P520" s="46">
        <f>(VLOOKUP($A520,'The List'!$B1:$AH730,28,FALSE)-AVERAGE('The List'!AC2:AC730))/STDEV('The List'!AC2:AC730)</f>
        <v>-0.00697418563925153</v>
      </c>
      <c r="Q520" s="46">
        <f>(VLOOKUP($A520,'The List'!$B1:$AH730,29,FALSE)-AVERAGE('The List'!AD2:AD730))/STDEV('The List'!AD2:AD730)</f>
        <v>-0.681837747947459</v>
      </c>
      <c r="R520" s="46">
        <f>(VLOOKUP($A520,'The List'!$B1:$AH730,30,FALSE)-AVERAGE('The List'!AE2:AE730))/STDEV('The List'!AE2:AE730)</f>
        <v>-1.18448477237391</v>
      </c>
      <c r="S520" s="46">
        <f>(VLOOKUP($A520,'The List'!$B1:$AH730,31,FALSE)-AVERAGE('The List'!AF2:AF730))/STDEV('The List'!AF2:AF730)</f>
        <v>-0.5569063253591</v>
      </c>
      <c r="T520" s="46">
        <f>(VLOOKUP($A520,'The List'!$B1:$AH730,32,FALSE)-AVERAGE('The List'!AG2:AG730))/STDEV('The List'!AG2:AG730)</f>
        <v>-0.600856269042678</v>
      </c>
      <c r="U520" s="46">
        <f>(VLOOKUP($A520,'The List'!$B1:$AH730,33,FALSE)-AVERAGE('The List'!AH2:AH730))/STDEV('The List'!AH2:AH730)</f>
        <v>-1.2363238714826</v>
      </c>
      <c r="V520" s="46"/>
      <c r="W520" s="50"/>
      <c r="X520" s="48"/>
      <c r="Y520" s="48"/>
      <c r="Z520" s="48"/>
      <c r="AA520" s="48"/>
      <c r="AB520" s="48"/>
      <c r="AC520" s="51"/>
      <c r="AD520" s="52"/>
      <c r="AE520" s="46"/>
    </row>
    <row r="521" ht="21.25" customHeight="1">
      <c r="A521" t="s" s="8">
        <v>807</v>
      </c>
      <c r="B521" t="s" s="42">
        <f>VLOOKUP(A521,'Player Data'!A1:B734,2,FALSE)</f>
        <v>127</v>
      </c>
      <c r="C521" s="44">
        <f>((E521)*'Settings'!$C$12)+(F521*'Settings'!$C$2)+(G521*'Settings'!$C$3)+(H521*'Settings'!$C$4)+(I521*'Settings'!$C$5)+(K521*'Settings'!$C$9)+(N521*'Settings'!$C$6)+(J521*'Settings'!$C$8)+(O521*'Settings'!$C$7)+(P521*'Settings'!$C$14)+(Q521*'Settings'!$C$15)+(R521*'Settings'!$C$16)+(S521*'Settings'!$C$17)+(T521*'Settings'!$C$18)+(U521*'Settings'!$C$19)+(L521*'Settings'!$C$10)+('Settings'!$C$11*M521)</f>
        <v>-4.07147223915417</v>
      </c>
      <c r="D521" s="48">
        <f>IF('Settings'!$E$12="YES",VLOOKUP(A521,'Player Data'!A1:E734,5,FALSE),82)</f>
        <v>70</v>
      </c>
      <c r="E521" s="46">
        <f>(VLOOKUP($A521,'The List'!$B1:$AH730,17,FALSE)-AVERAGE('The List'!R2:R730))/STDEV('The List'!R2:R730)</f>
        <v>-1.05501159685544</v>
      </c>
      <c r="F521" s="46">
        <f>(VLOOKUP($A521,'The List'!$B1:$AH730,18,FALSE)-AVERAGE('The List'!S2:S730))/STDEV('The List'!S2:S730)</f>
        <v>-0.724433032311666</v>
      </c>
      <c r="G521" s="46">
        <f>(VLOOKUP($A521,'The List'!$B1:$AH730,19,FALSE)-AVERAGE('The List'!T2:T730))/STDEV('The List'!T2:T730)</f>
        <v>-0.8411977600123161</v>
      </c>
      <c r="H521" s="46">
        <f>(VLOOKUP($A521,'The List'!$B1:$AH730,20,FALSE)-AVERAGE('The List'!U2:U730))/STDEV('The List'!U2:U730)</f>
        <v>-0.848218921327539</v>
      </c>
      <c r="I521" s="46">
        <f>(VLOOKUP($A521,'The List'!$B1:$AH730,21,FALSE)-AVERAGE('The List'!V2:V730))/STDEV('The List'!V2:V730)</f>
        <v>-0.908341760837908</v>
      </c>
      <c r="J521" s="46">
        <f>(VLOOKUP($A521,'The List'!$B1:$AH730,22,FALSE)-AVERAGE('The List'!W2:W730))/STDEV('The List'!W2:W730)</f>
        <v>-0.704920017010301</v>
      </c>
      <c r="K521" s="46">
        <f>(VLOOKUP($A521,'The List'!$B1:$AH730,23,FALSE)-AVERAGE('The List'!X2:X730))/STDEV('The List'!X2:X730)</f>
        <v>-0.7931110824987621</v>
      </c>
      <c r="L521" s="46">
        <f>(VLOOKUP($A521,'The List'!$B1:$AH730,24,FALSE)-AVERAGE('The List'!Y2:Y730))/STDEV('The List'!Y2:Y730)</f>
        <v>0.574672150016529</v>
      </c>
      <c r="M521" s="46">
        <f>(VLOOKUP($A521,'The List'!$B1:$AH730,25,FALSE)-AVERAGE('The List'!Z2:Z730))/STDEV('The List'!Z2:Z730)</f>
        <v>0.452182346825945</v>
      </c>
      <c r="N521" s="46">
        <f>(VLOOKUP($A521,'The List'!$B1:$AH730,26,FALSE)-AVERAGE('The List'!AA2:AA730))/STDEV('The List'!AA2:AA730)</f>
        <v>-0.665082260824246</v>
      </c>
      <c r="O521" s="46">
        <f>(VLOOKUP($A521,'The List'!$B1:$AH730,27,FALSE)-AVERAGE('The List'!AB2:AB730))/STDEV('The List'!AB2:AB730)</f>
        <v>-0.231206658183747</v>
      </c>
      <c r="P521" s="46">
        <f>(VLOOKUP($A521,'The List'!$B1:$AH730,28,FALSE)-AVERAGE('The List'!AC2:AC730))/STDEV('The List'!AC2:AC730)</f>
        <v>-0.139306342669271</v>
      </c>
      <c r="Q521" s="46">
        <f>(VLOOKUP($A521,'The List'!$B1:$AH730,29,FALSE)-AVERAGE('The List'!AD2:AD730))/STDEV('The List'!AD2:AD730)</f>
        <v>-0.102843233772835</v>
      </c>
      <c r="R521" s="46">
        <f>(VLOOKUP($A521,'The List'!$B1:$AH730,30,FALSE)-AVERAGE('The List'!AE2:AE730))/STDEV('The List'!AE2:AE730)</f>
        <v>-0.638266195331579</v>
      </c>
      <c r="S521" s="46">
        <f>(VLOOKUP($A521,'The List'!$B1:$AH730,31,FALSE)-AVERAGE('The List'!AF2:AF730))/STDEV('The List'!AF2:AF730)</f>
        <v>1.1771650210367</v>
      </c>
      <c r="T521" s="46">
        <f>(VLOOKUP($A521,'The List'!$B1:$AH730,32,FALSE)-AVERAGE('The List'!AG2:AG730))/STDEV('The List'!AG2:AG730)</f>
        <v>0.8397951662201421</v>
      </c>
      <c r="U521" s="46">
        <f>(VLOOKUP($A521,'The List'!$B1:$AH730,33,FALSE)-AVERAGE('The List'!AH2:AH730))/STDEV('The List'!AH2:AH730)</f>
        <v>1.28692118307182</v>
      </c>
      <c r="V521" s="46"/>
      <c r="W521" s="48"/>
      <c r="X521" s="46"/>
      <c r="Y521" s="46"/>
      <c r="Z521" s="46"/>
      <c r="AA521" s="46"/>
      <c r="AB521" s="46"/>
      <c r="AC521" s="46"/>
      <c r="AD521" s="46"/>
      <c r="AE521" s="46"/>
    </row>
    <row r="522" ht="21.25" customHeight="1">
      <c r="A522" t="s" s="8">
        <v>509</v>
      </c>
      <c r="B522" t="s" s="42">
        <f>VLOOKUP(A522,'Player Data'!A1:B734,2,FALSE)</f>
        <v>131</v>
      </c>
      <c r="C522" s="44">
        <f>((E522)*'Settings'!$C$12)+(F522*'Settings'!$C$2)+(G522*'Settings'!$C$3)+(H522*'Settings'!$C$4)+(I522*'Settings'!$C$5)+(K522*'Settings'!$C$9)+(N522*'Settings'!$C$6)+(J522*'Settings'!$C$8)+(O522*'Settings'!$C$7)+(P522*'Settings'!$C$14)+(Q522*'Settings'!$C$15)+(R522*'Settings'!$C$16)+(S522*'Settings'!$C$17)+(T522*'Settings'!$C$18)+(U522*'Settings'!$C$19)+(L522*'Settings'!$C$10)+('Settings'!$C$11*M522)</f>
        <v>-1.65234371709426</v>
      </c>
      <c r="D522" s="48">
        <f>IF('Settings'!$E$12="YES",VLOOKUP(A522,'Player Data'!A1:E734,5,FALSE),82)</f>
        <v>76.9546428571429</v>
      </c>
      <c r="E522" s="46">
        <f>(VLOOKUP($A522,'The List'!$B1:$AH730,17,FALSE)-AVERAGE('The List'!R2:R730))/STDEV('The List'!R2:R730)</f>
        <v>0.364931850117325</v>
      </c>
      <c r="F522" s="46">
        <f>(VLOOKUP($A522,'The List'!$B1:$AH730,18,FALSE)-AVERAGE('The List'!S2:S730))/STDEV('The List'!S2:S730)</f>
        <v>-1.00497090864001</v>
      </c>
      <c r="G522" s="46">
        <f>(VLOOKUP($A522,'The List'!$B1:$AH730,19,FALSE)-AVERAGE('The List'!T2:T730))/STDEV('The List'!T2:T730)</f>
        <v>-0.517069549515528</v>
      </c>
      <c r="H522" s="46">
        <f>(VLOOKUP($A522,'The List'!$B1:$AH730,20,FALSE)-AVERAGE('The List'!U2:U730))/STDEV('The List'!U2:U730)</f>
        <v>-0.776048499905729</v>
      </c>
      <c r="I522" s="46">
        <f>(VLOOKUP($A522,'The List'!$B1:$AH730,21,FALSE)-AVERAGE('The List'!V2:V730))/STDEV('The List'!V2:V730)</f>
        <v>-0.52783153815358</v>
      </c>
      <c r="J522" s="46">
        <f>(VLOOKUP($A522,'The List'!$B1:$AH730,22,FALSE)-AVERAGE('The List'!W2:W730))/STDEV('The List'!W2:W730)</f>
        <v>-0.680951677292652</v>
      </c>
      <c r="K522" s="46">
        <f>(VLOOKUP($A522,'The List'!$B1:$AH730,23,FALSE)-AVERAGE('The List'!X2:X730))/STDEV('The List'!X2:X730)</f>
        <v>-0.748247398366696</v>
      </c>
      <c r="L522" s="46">
        <f>(VLOOKUP($A522,'The List'!$B1:$AH730,24,FALSE)-AVERAGE('The List'!Y2:Y730))/STDEV('The List'!Y2:Y730)</f>
        <v>-0.494189112260765</v>
      </c>
      <c r="M522" s="46">
        <f>(VLOOKUP($A522,'The List'!$B1:$AH730,25,FALSE)-AVERAGE('The List'!Z2:Z730))/STDEV('The List'!Z2:Z730)</f>
        <v>-0.611735922829923</v>
      </c>
      <c r="N522" s="46">
        <f>(VLOOKUP($A522,'The List'!$B1:$AH730,26,FALSE)-AVERAGE('The List'!AA2:AA730))/STDEV('The List'!AA2:AA730)</f>
        <v>1.4861846220514</v>
      </c>
      <c r="O522" s="46">
        <f>(VLOOKUP($A522,'The List'!$B1:$AH730,27,FALSE)-AVERAGE('The List'!AB2:AB730))/STDEV('The List'!AB2:AB730)</f>
        <v>0.273882029674719</v>
      </c>
      <c r="P522" s="46">
        <f>(VLOOKUP($A522,'The List'!$B1:$AH730,28,FALSE)-AVERAGE('The List'!AC2:AC730))/STDEV('The List'!AC2:AC730)</f>
        <v>-0.340408944469841</v>
      </c>
      <c r="Q522" s="46">
        <f>(VLOOKUP($A522,'The List'!$B1:$AH730,29,FALSE)-AVERAGE('The List'!AD2:AD730))/STDEV('The List'!AD2:AD730)</f>
        <v>0.589937378598331</v>
      </c>
      <c r="R522" s="46">
        <f>(VLOOKUP($A522,'The List'!$B1:$AH730,30,FALSE)-AVERAGE('The List'!AE2:AE730))/STDEV('The List'!AE2:AE730)</f>
        <v>-0.908373171135364</v>
      </c>
      <c r="S522" s="46">
        <f>(VLOOKUP($A522,'The List'!$B1:$AH730,31,FALSE)-AVERAGE('The List'!AF2:AF730))/STDEV('The List'!AF2:AF730)</f>
        <v>-0.5569063253591</v>
      </c>
      <c r="T522" s="46">
        <f>(VLOOKUP($A522,'The List'!$B1:$AH730,32,FALSE)-AVERAGE('The List'!AG2:AG730))/STDEV('The List'!AG2:AG730)</f>
        <v>-0.600856269042678</v>
      </c>
      <c r="U522" s="46">
        <f>(VLOOKUP($A522,'The List'!$B1:$AH730,33,FALSE)-AVERAGE('The List'!AH2:AH730))/STDEV('The List'!AH2:AH730)</f>
        <v>-1.2363238714826</v>
      </c>
      <c r="V522" s="46"/>
      <c r="W522" s="50"/>
      <c r="X522" s="48"/>
      <c r="Y522" s="48"/>
      <c r="Z522" s="48"/>
      <c r="AA522" s="48"/>
      <c r="AB522" s="48"/>
      <c r="AC522" s="51"/>
      <c r="AD522" s="52"/>
      <c r="AE522" s="46"/>
    </row>
    <row r="523" ht="21.25" customHeight="1">
      <c r="A523" t="s" s="8">
        <v>771</v>
      </c>
      <c r="B523" t="s" s="42">
        <f>VLOOKUP(A523,'Player Data'!A1:B734,2,FALSE)</f>
        <v>170</v>
      </c>
      <c r="C523" s="44">
        <f>((E523)*'Settings'!$C$12)+(F523*'Settings'!$C$2)+(G523*'Settings'!$C$3)+(H523*'Settings'!$C$4)+(I523*'Settings'!$C$5)+(K523*'Settings'!$C$9)+(N523*'Settings'!$C$6)+(J523*'Settings'!$C$8)+(O523*'Settings'!$C$7)+(P523*'Settings'!$C$14)+(Q523*'Settings'!$C$15)+(R523*'Settings'!$C$16)+(S523*'Settings'!$C$17)+(T523*'Settings'!$C$18)+(U523*'Settings'!$C$19)+(L523*'Settings'!$C$10)+('Settings'!$C$11*M523)</f>
        <v>-3.17007332356928</v>
      </c>
      <c r="D523" s="48">
        <f>IF('Settings'!$E$12="YES",VLOOKUP(A523,'Player Data'!A1:E734,5,FALSE),82)</f>
        <v>76.10250000000001</v>
      </c>
      <c r="E523" s="46">
        <f>(VLOOKUP($A523,'The List'!$B1:$AH730,17,FALSE)-AVERAGE('The List'!R2:R730))/STDEV('The List'!R2:R730)</f>
        <v>-0.9073528853273209</v>
      </c>
      <c r="F523" s="46">
        <f>(VLOOKUP($A523,'The List'!$B1:$AH730,18,FALSE)-AVERAGE('The List'!S2:S730))/STDEV('The List'!S2:S730)</f>
        <v>-0.473574145214846</v>
      </c>
      <c r="G523" s="46">
        <f>(VLOOKUP($A523,'The List'!$B1:$AH730,19,FALSE)-AVERAGE('The List'!T2:T730))/STDEV('The List'!T2:T730)</f>
        <v>-0.9254857080240459</v>
      </c>
      <c r="H523" s="46">
        <f>(VLOOKUP($A523,'The List'!$B1:$AH730,20,FALSE)-AVERAGE('The List'!U2:U730))/STDEV('The List'!U2:U730)</f>
        <v>-0.786035508643751</v>
      </c>
      <c r="I523" s="46">
        <f>(VLOOKUP($A523,'The List'!$B1:$AH730,21,FALSE)-AVERAGE('The List'!V2:V730))/STDEV('The List'!V2:V730)</f>
        <v>-0.528239676497925</v>
      </c>
      <c r="J523" s="46">
        <f>(VLOOKUP($A523,'The List'!$B1:$AH730,22,FALSE)-AVERAGE('The List'!W2:W730))/STDEV('The List'!W2:W730)</f>
        <v>-0.661182389639642</v>
      </c>
      <c r="K523" s="46">
        <f>(VLOOKUP($A523,'The List'!$B1:$AH730,23,FALSE)-AVERAGE('The List'!X2:X730))/STDEV('The List'!X2:X730)</f>
        <v>-0.730279524035186</v>
      </c>
      <c r="L523" s="46">
        <f>(VLOOKUP($A523,'The List'!$B1:$AH730,24,FALSE)-AVERAGE('The List'!Y2:Y730))/STDEV('The List'!Y2:Y730)</f>
        <v>-0.401972549270569</v>
      </c>
      <c r="M523" s="46">
        <f>(VLOOKUP($A523,'The List'!$B1:$AH730,25,FALSE)-AVERAGE('The List'!Z2:Z730))/STDEV('The List'!Z2:Z730)</f>
        <v>-0.541838584702118</v>
      </c>
      <c r="N523" s="46">
        <f>(VLOOKUP($A523,'The List'!$B1:$AH730,26,FALSE)-AVERAGE('The List'!AA2:AA730))/STDEV('The List'!AA2:AA730)</f>
        <v>-0.607485946205555</v>
      </c>
      <c r="O523" s="46">
        <f>(VLOOKUP($A523,'The List'!$B1:$AH730,27,FALSE)-AVERAGE('The List'!AB2:AB730))/STDEV('The List'!AB2:AB730)</f>
        <v>-0.569829458193097</v>
      </c>
      <c r="P523" s="46">
        <f>(VLOOKUP($A523,'The List'!$B1:$AH730,28,FALSE)-AVERAGE('The List'!AC2:AC730))/STDEV('The List'!AC2:AC730)</f>
        <v>0.0949916764082771</v>
      </c>
      <c r="Q523" s="46">
        <f>(VLOOKUP($A523,'The List'!$B1:$AH730,29,FALSE)-AVERAGE('The List'!AD2:AD730))/STDEV('The List'!AD2:AD730)</f>
        <v>-0.9572797149362841</v>
      </c>
      <c r="R523" s="46">
        <f>(VLOOKUP($A523,'The List'!$B1:$AH730,30,FALSE)-AVERAGE('The List'!AE2:AE730))/STDEV('The List'!AE2:AE730)</f>
        <v>-0.325911752732441</v>
      </c>
      <c r="S523" s="46">
        <f>(VLOOKUP($A523,'The List'!$B1:$AH730,31,FALSE)-AVERAGE('The List'!AF2:AF730))/STDEV('The List'!AF2:AF730)</f>
        <v>-0.527520080586963</v>
      </c>
      <c r="T523" s="46">
        <f>(VLOOKUP($A523,'The List'!$B1:$AH730,32,FALSE)-AVERAGE('The List'!AG2:AG730))/STDEV('The List'!AG2:AG730)</f>
        <v>-0.549070059143972</v>
      </c>
      <c r="U523" s="46">
        <f>(VLOOKUP($A523,'The List'!$B1:$AH730,33,FALSE)-AVERAGE('The List'!AH2:AH730))/STDEV('The List'!AH2:AH730)</f>
        <v>0.451705736243923</v>
      </c>
      <c r="V523" s="46"/>
      <c r="W523" s="50"/>
      <c r="X523" s="48"/>
      <c r="Y523" s="48"/>
      <c r="Z523" s="48"/>
      <c r="AA523" s="48"/>
      <c r="AB523" s="48"/>
      <c r="AC523" s="51"/>
      <c r="AD523" s="52"/>
      <c r="AE523" s="46"/>
    </row>
    <row r="524" ht="21.25" customHeight="1">
      <c r="A524" t="s" s="8">
        <v>520</v>
      </c>
      <c r="B524" t="s" s="42">
        <f>VLOOKUP(A524,'Player Data'!A1:B734,2,FALSE)</f>
        <v>166</v>
      </c>
      <c r="C524" s="44">
        <f>((E524)*'Settings'!$C$12)+(F524*'Settings'!$C$2)+(G524*'Settings'!$C$3)+(H524*'Settings'!$C$4)+(I524*'Settings'!$C$5)+(K524*'Settings'!$C$9)+(N524*'Settings'!$C$6)+(J524*'Settings'!$C$8)+(O524*'Settings'!$C$7)+(P524*'Settings'!$C$14)+(Q524*'Settings'!$C$15)+(R524*'Settings'!$C$16)+(S524*'Settings'!$C$17)+(T524*'Settings'!$C$18)+(U524*'Settings'!$C$19)+(L524*'Settings'!$C$10)+('Settings'!$C$11*M524)</f>
        <v>-1.53000265632153</v>
      </c>
      <c r="D524" s="48">
        <f>IF('Settings'!$E$12="YES",VLOOKUP(A524,'Player Data'!A1:E734,5,FALSE),82)</f>
        <v>74.14107142857139</v>
      </c>
      <c r="E524" s="46">
        <f>(VLOOKUP($A524,'The List'!$B1:$AH730,17,FALSE)-AVERAGE('The List'!R2:R730))/STDEV('The List'!R2:R730)</f>
        <v>0.441422850688565</v>
      </c>
      <c r="F524" s="46">
        <f>(VLOOKUP($A524,'The List'!$B1:$AH730,18,FALSE)-AVERAGE('The List'!S2:S730))/STDEV('The List'!S2:S730)</f>
        <v>-0.942346870432357</v>
      </c>
      <c r="G524" s="46">
        <f>(VLOOKUP($A524,'The List'!$B1:$AH730,19,FALSE)-AVERAGE('The List'!T2:T730))/STDEV('The List'!T2:T730)</f>
        <v>-0.61582893506672</v>
      </c>
      <c r="H524" s="46">
        <f>(VLOOKUP($A524,'The List'!$B1:$AH730,20,FALSE)-AVERAGE('The List'!U2:U730))/STDEV('The List'!U2:U730)</f>
        <v>-0.808437169683119</v>
      </c>
      <c r="I524" s="46">
        <f>(VLOOKUP($A524,'The List'!$B1:$AH730,21,FALSE)-AVERAGE('The List'!V2:V730))/STDEV('The List'!V2:V730)</f>
        <v>-0.724320209882463</v>
      </c>
      <c r="J524" s="46">
        <f>(VLOOKUP($A524,'The List'!$B1:$AH730,22,FALSE)-AVERAGE('The List'!W2:W730))/STDEV('The List'!W2:W730)</f>
        <v>-0.703043125369508</v>
      </c>
      <c r="K524" s="46">
        <f>(VLOOKUP($A524,'The List'!$B1:$AH730,23,FALSE)-AVERAGE('The List'!X2:X730))/STDEV('The List'!X2:X730)</f>
        <v>-0.751616686458476</v>
      </c>
      <c r="L524" s="46">
        <f>(VLOOKUP($A524,'The List'!$B1:$AH730,24,FALSE)-AVERAGE('The List'!Y2:Y730))/STDEV('The List'!Y2:Y730)</f>
        <v>-0.500571820049121</v>
      </c>
      <c r="M524" s="46">
        <f>(VLOOKUP($A524,'The List'!$B1:$AH730,25,FALSE)-AVERAGE('The List'!Z2:Z730))/STDEV('The List'!Z2:Z730)</f>
        <v>-0.270524099735106</v>
      </c>
      <c r="N524" s="46">
        <f>(VLOOKUP($A524,'The List'!$B1:$AH730,26,FALSE)-AVERAGE('The List'!AA2:AA730))/STDEV('The List'!AA2:AA730)</f>
        <v>2.04830026591244</v>
      </c>
      <c r="O524" s="46">
        <f>(VLOOKUP($A524,'The List'!$B1:$AH730,27,FALSE)-AVERAGE('The List'!AB2:AB730))/STDEV('The List'!AB2:AB730)</f>
        <v>-1.05336559591185</v>
      </c>
      <c r="P524" s="46">
        <f>(VLOOKUP($A524,'The List'!$B1:$AH730,28,FALSE)-AVERAGE('The List'!AC2:AC730))/STDEV('The List'!AC2:AC730)</f>
        <v>-0.544190220393958</v>
      </c>
      <c r="Q524" s="46">
        <f>(VLOOKUP($A524,'The List'!$B1:$AH730,29,FALSE)-AVERAGE('The List'!AD2:AD730))/STDEV('The List'!AD2:AD730)</f>
        <v>-0.610177808888606</v>
      </c>
      <c r="R524" s="46">
        <f>(VLOOKUP($A524,'The List'!$B1:$AH730,30,FALSE)-AVERAGE('The List'!AE2:AE730))/STDEV('The List'!AE2:AE730)</f>
        <v>-0.90177560126423</v>
      </c>
      <c r="S524" s="46">
        <f>(VLOOKUP($A524,'The List'!$B1:$AH730,31,FALSE)-AVERAGE('The List'!AF2:AF730))/STDEV('The List'!AF2:AF730)</f>
        <v>-0.5569063253591</v>
      </c>
      <c r="T524" s="46">
        <f>(VLOOKUP($A524,'The List'!$B1:$AH730,32,FALSE)-AVERAGE('The List'!AG2:AG730))/STDEV('The List'!AG2:AG730)</f>
        <v>-0.600856269042678</v>
      </c>
      <c r="U524" s="46">
        <f>(VLOOKUP($A524,'The List'!$B1:$AH730,33,FALSE)-AVERAGE('The List'!AH2:AH730))/STDEV('The List'!AH2:AH730)</f>
        <v>-1.2363238714826</v>
      </c>
      <c r="V524" s="46"/>
      <c r="W524" s="50"/>
      <c r="X524" s="48"/>
      <c r="Y524" s="48"/>
      <c r="Z524" s="48"/>
      <c r="AA524" s="48"/>
      <c r="AB524" s="48"/>
      <c r="AC524" s="51"/>
      <c r="AD524" s="52"/>
      <c r="AE524" s="46"/>
    </row>
    <row r="525" ht="21.25" customHeight="1">
      <c r="A525" t="s" s="8">
        <v>631</v>
      </c>
      <c r="B525" t="s" s="42">
        <f>VLOOKUP(A525,'Player Data'!A1:B734,2,FALSE)</f>
        <v>149</v>
      </c>
      <c r="C525" s="44">
        <f>((E525)*'Settings'!$C$12)+(F525*'Settings'!$C$2)+(G525*'Settings'!$C$3)+(H525*'Settings'!$C$4)+(I525*'Settings'!$C$5)+(K525*'Settings'!$C$9)+(N525*'Settings'!$C$6)+(J525*'Settings'!$C$8)+(O525*'Settings'!$C$7)+(P525*'Settings'!$C$14)+(Q525*'Settings'!$C$15)+(R525*'Settings'!$C$16)+(S525*'Settings'!$C$17)+(T525*'Settings'!$C$18)+(U525*'Settings'!$C$19)+(L525*'Settings'!$C$10)+('Settings'!$C$11*M525)</f>
        <v>-3.53453143373498</v>
      </c>
      <c r="D525" s="48">
        <f>IF('Settings'!$E$12="YES",VLOOKUP(A525,'Player Data'!A1:E734,5,FALSE),82)</f>
        <v>55.055</v>
      </c>
      <c r="E525" s="46">
        <f>(VLOOKUP($A525,'The List'!$B1:$AH730,17,FALSE)-AVERAGE('The List'!R2:R730))/STDEV('The List'!R2:R730)</f>
        <v>-0.532619904298042</v>
      </c>
      <c r="F525" s="46">
        <f>(VLOOKUP($A525,'The List'!$B1:$AH730,18,FALSE)-AVERAGE('The List'!S2:S730))/STDEV('The List'!S2:S730)</f>
        <v>-0.89127019440579</v>
      </c>
      <c r="G525" s="46">
        <f>(VLOOKUP($A525,'The List'!$B1:$AH730,19,FALSE)-AVERAGE('The List'!T2:T730))/STDEV('The List'!T2:T730)</f>
        <v>-0.986148550861632</v>
      </c>
      <c r="H525" s="46">
        <f>(VLOOKUP($A525,'The List'!$B1:$AH730,20,FALSE)-AVERAGE('The List'!U2:U730))/STDEV('The List'!U2:U730)</f>
        <v>-1.01349343348831</v>
      </c>
      <c r="I525" s="46">
        <f>(VLOOKUP($A525,'The List'!$B1:$AH730,21,FALSE)-AVERAGE('The List'!V2:V730))/STDEV('The List'!V2:V730)</f>
        <v>-1.15018109978673</v>
      </c>
      <c r="J525" s="46">
        <f>(VLOOKUP($A525,'The List'!$B1:$AH730,22,FALSE)-AVERAGE('The List'!W2:W730))/STDEV('The List'!W2:W730)</f>
        <v>-0.522378260259439</v>
      </c>
      <c r="K525" s="46">
        <f>(VLOOKUP($A525,'The List'!$B1:$AH730,23,FALSE)-AVERAGE('The List'!X2:X730))/STDEV('The List'!X2:X730)</f>
        <v>-0.402593851745917</v>
      </c>
      <c r="L525" s="46">
        <f>(VLOOKUP($A525,'The List'!$B1:$AH730,24,FALSE)-AVERAGE('The List'!Y2:Y730))/STDEV('The List'!Y2:Y730)</f>
        <v>-0.5398029062956901</v>
      </c>
      <c r="M525" s="46">
        <f>(VLOOKUP($A525,'The List'!$B1:$AH730,25,FALSE)-AVERAGE('The List'!Z2:Z730))/STDEV('The List'!Z2:Z730)</f>
        <v>-0.71477245228901</v>
      </c>
      <c r="N525" s="46">
        <f>(VLOOKUP($A525,'The List'!$B1:$AH730,26,FALSE)-AVERAGE('The List'!AA2:AA730))/STDEV('The List'!AA2:AA730)</f>
        <v>-0.141145394559583</v>
      </c>
      <c r="O525" s="46">
        <f>(VLOOKUP($A525,'The List'!$B1:$AH730,27,FALSE)-AVERAGE('The List'!AB2:AB730))/STDEV('The List'!AB2:AB730)</f>
        <v>-0.333075635366714</v>
      </c>
      <c r="P525" s="46">
        <f>(VLOOKUP($A525,'The List'!$B1:$AH730,28,FALSE)-AVERAGE('The List'!AC2:AC730))/STDEV('The List'!AC2:AC730)</f>
        <v>0.0368076576246742</v>
      </c>
      <c r="Q525" s="46">
        <f>(VLOOKUP($A525,'The List'!$B1:$AH730,29,FALSE)-AVERAGE('The List'!AD2:AD730))/STDEV('The List'!AD2:AD730)</f>
        <v>-1.07288046523867</v>
      </c>
      <c r="R525" s="46">
        <f>(VLOOKUP($A525,'The List'!$B1:$AH730,30,FALSE)-AVERAGE('The List'!AE2:AE730))/STDEV('The List'!AE2:AE730)</f>
        <v>-0.777984055138813</v>
      </c>
      <c r="S525" s="46">
        <f>(VLOOKUP($A525,'The List'!$B1:$AH730,31,FALSE)-AVERAGE('The List'!AF2:AF730))/STDEV('The List'!AF2:AF730)</f>
        <v>-0.5569063253591</v>
      </c>
      <c r="T525" s="46">
        <f>(VLOOKUP($A525,'The List'!$B1:$AH730,32,FALSE)-AVERAGE('The List'!AG2:AG730))/STDEV('The List'!AG2:AG730)</f>
        <v>-0.600856269042678</v>
      </c>
      <c r="U525" s="46">
        <f>(VLOOKUP($A525,'The List'!$B1:$AH730,33,FALSE)-AVERAGE('The List'!AH2:AH730))/STDEV('The List'!AH2:AH730)</f>
        <v>-1.2363238714826</v>
      </c>
      <c r="V525" s="46"/>
      <c r="W525" s="48"/>
      <c r="X525" s="46"/>
      <c r="Y525" s="46"/>
      <c r="Z525" s="46"/>
      <c r="AA525" s="46"/>
      <c r="AB525" s="46"/>
      <c r="AC525" s="46"/>
      <c r="AD525" s="46"/>
      <c r="AE525" s="46"/>
    </row>
    <row r="526" ht="21.25" customHeight="1">
      <c r="A526" t="s" s="8">
        <v>865</v>
      </c>
      <c r="B526" t="s" s="42">
        <f>VLOOKUP(A526,'Player Data'!A1:B734,2,FALSE)</f>
        <v>127</v>
      </c>
      <c r="C526" s="44">
        <f>((E526)*'Settings'!$C$12)+(F526*'Settings'!$C$2)+(G526*'Settings'!$C$3)+(H526*'Settings'!$C$4)+(I526*'Settings'!$C$5)+(K526*'Settings'!$C$9)+(N526*'Settings'!$C$6)+(J526*'Settings'!$C$8)+(O526*'Settings'!$C$7)+(P526*'Settings'!$C$14)+(Q526*'Settings'!$C$15)+(R526*'Settings'!$C$16)+(S526*'Settings'!$C$17)+(T526*'Settings'!$C$18)+(U526*'Settings'!$C$19)+(L526*'Settings'!$C$10)+('Settings'!$C$11*M526)</f>
        <v>-5.24709286113394</v>
      </c>
      <c r="D526" s="48">
        <f>IF('Settings'!$E$12="YES",VLOOKUP(A526,'Player Data'!A1:E734,5,FALSE),82)</f>
        <v>50</v>
      </c>
      <c r="E526" s="46">
        <f>(VLOOKUP($A526,'The List'!$B1:$AH730,17,FALSE)-AVERAGE('The List'!R2:R730))/STDEV('The List'!R2:R730)</f>
        <v>-2.17756211270544</v>
      </c>
      <c r="F526" s="46">
        <f>(VLOOKUP($A526,'The List'!$B1:$AH730,18,FALSE)-AVERAGE('The List'!S2:S730))/STDEV('The List'!S2:S730)</f>
        <v>-0.644820301677289</v>
      </c>
      <c r="G526" s="46">
        <f>(VLOOKUP($A526,'The List'!$B1:$AH730,19,FALSE)-AVERAGE('The List'!T2:T730))/STDEV('The List'!T2:T730)</f>
        <v>-1.2569835194448</v>
      </c>
      <c r="H526" s="46">
        <f>(VLOOKUP($A526,'The List'!$B1:$AH730,20,FALSE)-AVERAGE('The List'!U2:U730))/STDEV('The List'!U2:U730)</f>
        <v>-1.06831998793586</v>
      </c>
      <c r="I526" s="46">
        <f>(VLOOKUP($A526,'The List'!$B1:$AH730,21,FALSE)-AVERAGE('The List'!V2:V730))/STDEV('The List'!V2:V730)</f>
        <v>-1.45227024841303</v>
      </c>
      <c r="J526" s="46">
        <f>(VLOOKUP($A526,'The List'!$B1:$AH730,22,FALSE)-AVERAGE('The List'!W2:W730))/STDEV('The List'!W2:W730)</f>
        <v>-0.713010990749065</v>
      </c>
      <c r="K526" s="46">
        <f>(VLOOKUP($A526,'The List'!$B1:$AH730,23,FALSE)-AVERAGE('The List'!X2:X730))/STDEV('The List'!X2:X730)</f>
        <v>-0.802621375337027</v>
      </c>
      <c r="L526" s="46">
        <f>(VLOOKUP($A526,'The List'!$B1:$AH730,24,FALSE)-AVERAGE('The List'!Y2:Y730))/STDEV('The List'!Y2:Y730)</f>
        <v>-0.542843480388394</v>
      </c>
      <c r="M526" s="46">
        <f>(VLOOKUP($A526,'The List'!$B1:$AH730,25,FALSE)-AVERAGE('The List'!Z2:Z730))/STDEV('The List'!Z2:Z730)</f>
        <v>-0.72177514995105</v>
      </c>
      <c r="N526" s="46">
        <f>(VLOOKUP($A526,'The List'!$B1:$AH730,26,FALSE)-AVERAGE('The List'!AA2:AA730))/STDEV('The List'!AA2:AA730)</f>
        <v>-1.07952502394854</v>
      </c>
      <c r="O526" s="46">
        <f>(VLOOKUP($A526,'The List'!$B1:$AH730,27,FALSE)-AVERAGE('The List'!AB2:AB730))/STDEV('The List'!AB2:AB730)</f>
        <v>-0.675526371799502</v>
      </c>
      <c r="P526" s="46">
        <f>(VLOOKUP($A526,'The List'!$B1:$AH730,28,FALSE)-AVERAGE('The List'!AC2:AC730))/STDEV('The List'!AC2:AC730)</f>
        <v>-0.0108723923132545</v>
      </c>
      <c r="Q526" s="46">
        <f>(VLOOKUP($A526,'The List'!$B1:$AH730,29,FALSE)-AVERAGE('The List'!AD2:AD730))/STDEV('The List'!AD2:AD730)</f>
        <v>-1.59657538336836</v>
      </c>
      <c r="R526" s="46">
        <f>(VLOOKUP($A526,'The List'!$B1:$AH730,30,FALSE)-AVERAGE('The List'!AE2:AE730))/STDEV('The List'!AE2:AE730)</f>
        <v>-0.562124352247663</v>
      </c>
      <c r="S526" s="46">
        <f>(VLOOKUP($A526,'The List'!$B1:$AH730,31,FALSE)-AVERAGE('The List'!AF2:AF730))/STDEV('The List'!AF2:AF730)</f>
        <v>-0.5569063253591</v>
      </c>
      <c r="T526" s="46">
        <f>(VLOOKUP($A526,'The List'!$B1:$AH730,32,FALSE)-AVERAGE('The List'!AG2:AG730))/STDEV('The List'!AG2:AG730)</f>
        <v>-0.507016819717085</v>
      </c>
      <c r="U526" s="46">
        <f>(VLOOKUP($A526,'The List'!$B1:$AH730,33,FALSE)-AVERAGE('The List'!AH2:AH730))/STDEV('The List'!AH2:AH730)</f>
        <v>-1.2363238714826</v>
      </c>
      <c r="V526" s="46"/>
      <c r="W526" s="48"/>
      <c r="X526" s="46"/>
      <c r="Y526" s="46"/>
      <c r="Z526" s="46"/>
      <c r="AA526" s="46"/>
      <c r="AB526" s="46"/>
      <c r="AC526" s="46"/>
      <c r="AD526" s="46"/>
      <c r="AE526" s="46"/>
    </row>
    <row r="527" ht="21.25" customHeight="1">
      <c r="A527" t="s" s="8">
        <v>639</v>
      </c>
      <c r="B527" t="s" s="42">
        <f>VLOOKUP(A527,'Player Data'!A1:B734,2,FALSE)</f>
        <v>196</v>
      </c>
      <c r="C527" s="44">
        <f>((E527)*'Settings'!$C$12)+(F527*'Settings'!$C$2)+(G527*'Settings'!$C$3)+(H527*'Settings'!$C$4)+(I527*'Settings'!$C$5)+(K527*'Settings'!$C$9)+(N527*'Settings'!$C$6)+(J527*'Settings'!$C$8)+(O527*'Settings'!$C$7)+(P527*'Settings'!$C$14)+(Q527*'Settings'!$C$15)+(R527*'Settings'!$C$16)+(S527*'Settings'!$C$17)+(T527*'Settings'!$C$18)+(U527*'Settings'!$C$19)+(L527*'Settings'!$C$10)+('Settings'!$C$11*M527)</f>
        <v>-4.16206506240518</v>
      </c>
      <c r="D527" s="48">
        <f>IF('Settings'!$E$12="YES",VLOOKUP(A527,'Player Data'!A1:E734,5,FALSE),82)</f>
        <v>56.1107142857143</v>
      </c>
      <c r="E527" s="46">
        <f>(VLOOKUP($A527,'The List'!$B1:$AH730,17,FALSE)-AVERAGE('The List'!R2:R730))/STDEV('The List'!R2:R730)</f>
        <v>0.0109316422576984</v>
      </c>
      <c r="F527" s="46">
        <f>(VLOOKUP($A527,'The List'!$B1:$AH730,18,FALSE)-AVERAGE('The List'!S2:S730))/STDEV('The List'!S2:S730)</f>
        <v>-1.11223465842014</v>
      </c>
      <c r="G527" s="46">
        <f>(VLOOKUP($A527,'The List'!$B1:$AH730,19,FALSE)-AVERAGE('The List'!T2:T730))/STDEV('The List'!T2:T730)</f>
        <v>-0.807997766716533</v>
      </c>
      <c r="H527" s="46">
        <f>(VLOOKUP($A527,'The List'!$B1:$AH730,20,FALSE)-AVERAGE('The List'!U2:U730))/STDEV('The List'!U2:U730)</f>
        <v>-1.00420907934272</v>
      </c>
      <c r="I527" s="46">
        <f>(VLOOKUP($A527,'The List'!$B1:$AH730,21,FALSE)-AVERAGE('The List'!V2:V730))/STDEV('The List'!V2:V730)</f>
        <v>-1.1838355598925</v>
      </c>
      <c r="J527" s="46">
        <f>(VLOOKUP($A527,'The List'!$B1:$AH730,22,FALSE)-AVERAGE('The List'!W2:W730))/STDEV('The List'!W2:W730)</f>
        <v>-0.690399682810844</v>
      </c>
      <c r="K527" s="46">
        <f>(VLOOKUP($A527,'The List'!$B1:$AH730,23,FALSE)-AVERAGE('The List'!X2:X730))/STDEV('The List'!X2:X730)</f>
        <v>-0.656175457866069</v>
      </c>
      <c r="L527" s="46">
        <f>(VLOOKUP($A527,'The List'!$B1:$AH730,24,FALSE)-AVERAGE('The List'!Y2:Y730))/STDEV('The List'!Y2:Y730)</f>
        <v>-0.518643213270802</v>
      </c>
      <c r="M527" s="46">
        <f>(VLOOKUP($A527,'The List'!$B1:$AH730,25,FALSE)-AVERAGE('The List'!Z2:Z730))/STDEV('The List'!Z2:Z730)</f>
        <v>-0.66843704838943</v>
      </c>
      <c r="N527" s="46">
        <f>(VLOOKUP($A527,'The List'!$B1:$AH730,26,FALSE)-AVERAGE('The List'!AA2:AA730))/STDEV('The List'!AA2:AA730)</f>
        <v>0.312600202947523</v>
      </c>
      <c r="O527" s="46">
        <f>(VLOOKUP($A527,'The List'!$B1:$AH730,27,FALSE)-AVERAGE('The List'!AB2:AB730))/STDEV('The List'!AB2:AB730)</f>
        <v>-0.754464307143983</v>
      </c>
      <c r="P527" s="46">
        <f>(VLOOKUP($A527,'The List'!$B1:$AH730,28,FALSE)-AVERAGE('The List'!AC2:AC730))/STDEV('The List'!AC2:AC730)</f>
        <v>-0.714421822457463</v>
      </c>
      <c r="Q527" s="46">
        <f>(VLOOKUP($A527,'The List'!$B1:$AH730,29,FALSE)-AVERAGE('The List'!AD2:AD730))/STDEV('The List'!AD2:AD730)</f>
        <v>-0.0132360537969852</v>
      </c>
      <c r="R527" s="46">
        <f>(VLOOKUP($A527,'The List'!$B1:$AH730,30,FALSE)-AVERAGE('The List'!AE2:AE730))/STDEV('The List'!AE2:AE730)</f>
        <v>-1.03395003665594</v>
      </c>
      <c r="S527" s="46">
        <f>(VLOOKUP($A527,'The List'!$B1:$AH730,31,FALSE)-AVERAGE('The List'!AF2:AF730))/STDEV('The List'!AF2:AF730)</f>
        <v>-0.5569063253591</v>
      </c>
      <c r="T527" s="46">
        <f>(VLOOKUP($A527,'The List'!$B1:$AH730,32,FALSE)-AVERAGE('The List'!AG2:AG730))/STDEV('The List'!AG2:AG730)</f>
        <v>-0.600856269042678</v>
      </c>
      <c r="U527" s="46">
        <f>(VLOOKUP($A527,'The List'!$B1:$AH730,33,FALSE)-AVERAGE('The List'!AH2:AH730))/STDEV('The List'!AH2:AH730)</f>
        <v>-1.2363238714826</v>
      </c>
      <c r="V527" s="46"/>
      <c r="W527" s="50"/>
      <c r="X527" s="48"/>
      <c r="Y527" s="48"/>
      <c r="Z527" s="48"/>
      <c r="AA527" s="48"/>
      <c r="AB527" s="48"/>
      <c r="AC527" s="51"/>
      <c r="AD527" s="52"/>
      <c r="AE527" s="46"/>
    </row>
    <row r="528" ht="21.25" customHeight="1">
      <c r="A528" t="s" s="8">
        <v>602</v>
      </c>
      <c r="B528" t="s" s="42">
        <f>VLOOKUP(A528,'Player Data'!A1:B734,2,FALSE)</f>
        <v>119</v>
      </c>
      <c r="C528" s="44">
        <f>((E528)*'Settings'!$C$12)+(F528*'Settings'!$C$2)+(G528*'Settings'!$C$3)+(H528*'Settings'!$C$4)+(I528*'Settings'!$C$5)+(K528*'Settings'!$C$9)+(N528*'Settings'!$C$6)+(J528*'Settings'!$C$8)+(O528*'Settings'!$C$7)+(P528*'Settings'!$C$14)+(Q528*'Settings'!$C$15)+(R528*'Settings'!$C$16)+(S528*'Settings'!$C$17)+(T528*'Settings'!$C$18)+(U528*'Settings'!$C$19)+(L528*'Settings'!$C$10)+('Settings'!$C$11*M528)</f>
        <v>-2.08803043291649</v>
      </c>
      <c r="D528" s="48">
        <f>IF('Settings'!$E$12="YES",VLOOKUP(A528,'Player Data'!A1:E734,5,FALSE),82)</f>
        <v>69.6835714285714</v>
      </c>
      <c r="E528" s="46">
        <f>(VLOOKUP($A528,'The List'!$B1:$AH730,17,FALSE)-AVERAGE('The List'!R2:R730))/STDEV('The List'!R2:R730)</f>
        <v>-0.161346439807973</v>
      </c>
      <c r="F528" s="46">
        <f>(VLOOKUP($A528,'The List'!$B1:$AH730,18,FALSE)-AVERAGE('The List'!S2:S730))/STDEV('The List'!S2:S730)</f>
        <v>-0.866171322688156</v>
      </c>
      <c r="G528" s="46">
        <f>(VLOOKUP($A528,'The List'!$B1:$AH730,19,FALSE)-AVERAGE('The List'!T2:T730))/STDEV('The List'!T2:T730)</f>
        <v>-0.762539151380128</v>
      </c>
      <c r="H528" s="46">
        <f>(VLOOKUP($A528,'The List'!$B1:$AH730,20,FALSE)-AVERAGE('The List'!U2:U730))/STDEV('The List'!U2:U730)</f>
        <v>-0.864220687751007</v>
      </c>
      <c r="I528" s="46">
        <f>(VLOOKUP($A528,'The List'!$B1:$AH730,21,FALSE)-AVERAGE('The List'!V2:V730))/STDEV('The List'!V2:V730)</f>
        <v>-0.911835578790663</v>
      </c>
      <c r="J528" s="46">
        <f>(VLOOKUP($A528,'The List'!$B1:$AH730,22,FALSE)-AVERAGE('The List'!W2:W730))/STDEV('The List'!W2:W730)</f>
        <v>-0.708913446188402</v>
      </c>
      <c r="K528" s="46">
        <f>(VLOOKUP($A528,'The List'!$B1:$AH730,23,FALSE)-AVERAGE('The List'!X2:X730))/STDEV('The List'!X2:X730)</f>
        <v>-0.790231488643334</v>
      </c>
      <c r="L528" s="46">
        <f>(VLOOKUP($A528,'The List'!$B1:$AH730,24,FALSE)-AVERAGE('The List'!Y2:Y730))/STDEV('The List'!Y2:Y730)</f>
        <v>-0.511871773283699</v>
      </c>
      <c r="M528" s="46">
        <f>(VLOOKUP($A528,'The List'!$B1:$AH730,25,FALSE)-AVERAGE('The List'!Z2:Z730))/STDEV('The List'!Z2:Z730)</f>
        <v>-0.65069854764852</v>
      </c>
      <c r="N528" s="46">
        <f>(VLOOKUP($A528,'The List'!$B1:$AH730,26,FALSE)-AVERAGE('The List'!AA2:AA730))/STDEV('The List'!AA2:AA730)</f>
        <v>0.409968519300614</v>
      </c>
      <c r="O528" s="46">
        <f>(VLOOKUP($A528,'The List'!$B1:$AH730,27,FALSE)-AVERAGE('The List'!AB2:AB730))/STDEV('The List'!AB2:AB730)</f>
        <v>0.165972187066962</v>
      </c>
      <c r="P528" s="46">
        <f>(VLOOKUP($A528,'The List'!$B1:$AH730,28,FALSE)-AVERAGE('The List'!AC2:AC730))/STDEV('The List'!AC2:AC730)</f>
        <v>0.832778589285175</v>
      </c>
      <c r="Q528" s="46">
        <f>(VLOOKUP($A528,'The List'!$B1:$AH730,29,FALSE)-AVERAGE('The List'!AD2:AD730))/STDEV('The List'!AD2:AD730)</f>
        <v>-0.328851776643983</v>
      </c>
      <c r="R528" s="46">
        <f>(VLOOKUP($A528,'The List'!$B1:$AH730,30,FALSE)-AVERAGE('The List'!AE2:AE730))/STDEV('The List'!AE2:AE730)</f>
        <v>-0.783675983697309</v>
      </c>
      <c r="S528" s="46">
        <f>(VLOOKUP($A528,'The List'!$B1:$AH730,31,FALSE)-AVERAGE('The List'!AF2:AF730))/STDEV('The List'!AF2:AF730)</f>
        <v>-0.5569063253591</v>
      </c>
      <c r="T528" s="46">
        <f>(VLOOKUP($A528,'The List'!$B1:$AH730,32,FALSE)-AVERAGE('The List'!AG2:AG730))/STDEV('The List'!AG2:AG730)</f>
        <v>-0.600856269042678</v>
      </c>
      <c r="U528" s="46">
        <f>(VLOOKUP($A528,'The List'!$B1:$AH730,33,FALSE)-AVERAGE('The List'!AH2:AH730))/STDEV('The List'!AH2:AH730)</f>
        <v>-1.2363238714826</v>
      </c>
      <c r="V528" s="46"/>
      <c r="W528" s="50"/>
      <c r="X528" s="48"/>
      <c r="Y528" s="48"/>
      <c r="Z528" s="48"/>
      <c r="AA528" s="48"/>
      <c r="AB528" s="48"/>
      <c r="AC528" s="51"/>
      <c r="AD528" s="52"/>
      <c r="AE528" s="46"/>
    </row>
    <row r="529" ht="21.25" customHeight="1">
      <c r="A529" t="s" s="8">
        <v>576</v>
      </c>
      <c r="B529" t="s" s="42">
        <f>VLOOKUP(A529,'Player Data'!A1:B734,2,FALSE)</f>
        <v>194</v>
      </c>
      <c r="C529" s="44">
        <f>((E529)*'Settings'!$C$12)+(F529*'Settings'!$C$2)+(G529*'Settings'!$C$3)+(H529*'Settings'!$C$4)+(I529*'Settings'!$C$5)+(K529*'Settings'!$C$9)+(N529*'Settings'!$C$6)+(J529*'Settings'!$C$8)+(O529*'Settings'!$C$7)+(P529*'Settings'!$C$14)+(Q529*'Settings'!$C$15)+(R529*'Settings'!$C$16)+(S529*'Settings'!$C$17)+(T529*'Settings'!$C$18)+(U529*'Settings'!$C$19)+(L529*'Settings'!$C$10)+('Settings'!$C$11*M529)</f>
        <v>-3.92946631454729</v>
      </c>
      <c r="D529" s="48">
        <f>IF('Settings'!$E$12="YES",VLOOKUP(A529,'Player Data'!A1:E734,5,FALSE),82)</f>
        <v>80.3575</v>
      </c>
      <c r="E529" s="46">
        <f>(VLOOKUP($A529,'The List'!$B1:$AH730,17,FALSE)-AVERAGE('The List'!R2:R730))/STDEV('The List'!R2:R730)</f>
        <v>0.321252256113596</v>
      </c>
      <c r="F529" s="46">
        <f>(VLOOKUP($A529,'The List'!$B1:$AH730,18,FALSE)-AVERAGE('The List'!S2:S730))/STDEV('The List'!S2:S730)</f>
        <v>-1.09967885605525</v>
      </c>
      <c r="G529" s="46">
        <f>(VLOOKUP($A529,'The List'!$B1:$AH730,19,FALSE)-AVERAGE('The List'!T2:T730))/STDEV('The List'!T2:T730)</f>
        <v>-0.407878584610101</v>
      </c>
      <c r="H529" s="46">
        <f>(VLOOKUP($A529,'The List'!$B1:$AH730,20,FALSE)-AVERAGE('The List'!U2:U730))/STDEV('The List'!U2:U730)</f>
        <v>-0.751827720720443</v>
      </c>
      <c r="I529" s="46">
        <f>(VLOOKUP($A529,'The List'!$B1:$AH730,21,FALSE)-AVERAGE('The List'!V2:V730))/STDEV('The List'!V2:V730)</f>
        <v>-1.02918348954107</v>
      </c>
      <c r="J529" s="46">
        <f>(VLOOKUP($A529,'The List'!$B1:$AH730,22,FALSE)-AVERAGE('The List'!W2:W730))/STDEV('The List'!W2:W730)</f>
        <v>-0.698537243287546</v>
      </c>
      <c r="K529" s="46">
        <f>(VLOOKUP($A529,'The List'!$B1:$AH730,23,FALSE)-AVERAGE('The List'!X2:X730))/STDEV('The List'!X2:X730)</f>
        <v>-0.704546804588896</v>
      </c>
      <c r="L529" s="46">
        <f>(VLOOKUP($A529,'The List'!$B1:$AH730,24,FALSE)-AVERAGE('The List'!Y2:Y730))/STDEV('The List'!Y2:Y730)</f>
        <v>-0.484145438205836</v>
      </c>
      <c r="M529" s="46">
        <f>(VLOOKUP($A529,'The List'!$B1:$AH730,25,FALSE)-AVERAGE('The List'!Z2:Z730))/STDEV('The List'!Z2:Z730)</f>
        <v>-0.564268747708809</v>
      </c>
      <c r="N529" s="46">
        <f>(VLOOKUP($A529,'The List'!$B1:$AH730,26,FALSE)-AVERAGE('The List'!AA2:AA730))/STDEV('The List'!AA2:AA730)</f>
        <v>0.673225639711633</v>
      </c>
      <c r="O529" s="46">
        <f>(VLOOKUP($A529,'The List'!$B1:$AH730,27,FALSE)-AVERAGE('The List'!AB2:AB730))/STDEV('The List'!AB2:AB730)</f>
        <v>-0.791273996248678</v>
      </c>
      <c r="P529" s="46">
        <f>(VLOOKUP($A529,'The List'!$B1:$AH730,28,FALSE)-AVERAGE('The List'!AC2:AC730))/STDEV('The List'!AC2:AC730)</f>
        <v>-1.36140421946361</v>
      </c>
      <c r="Q529" s="46">
        <f>(VLOOKUP($A529,'The List'!$B1:$AH730,29,FALSE)-AVERAGE('The List'!AD2:AD730))/STDEV('The List'!AD2:AD730)</f>
        <v>-0.806380687754488</v>
      </c>
      <c r="R529" s="46">
        <f>(VLOOKUP($A529,'The List'!$B1:$AH730,30,FALSE)-AVERAGE('The List'!AE2:AE730))/STDEV('The List'!AE2:AE730)</f>
        <v>-1.03781755920545</v>
      </c>
      <c r="S529" s="46">
        <f>(VLOOKUP($A529,'The List'!$B1:$AH730,31,FALSE)-AVERAGE('The List'!AF2:AF730))/STDEV('The List'!AF2:AF730)</f>
        <v>-0.5569063253591</v>
      </c>
      <c r="T529" s="46">
        <f>(VLOOKUP($A529,'The List'!$B1:$AH730,32,FALSE)-AVERAGE('The List'!AG2:AG730))/STDEV('The List'!AG2:AG730)</f>
        <v>-0.600856269042678</v>
      </c>
      <c r="U529" s="46">
        <f>(VLOOKUP($A529,'The List'!$B1:$AH730,33,FALSE)-AVERAGE('The List'!AH2:AH730))/STDEV('The List'!AH2:AH730)</f>
        <v>-1.2363238714826</v>
      </c>
      <c r="V529" s="46"/>
      <c r="W529" s="48"/>
      <c r="X529" s="46"/>
      <c r="Y529" s="46"/>
      <c r="Z529" s="46"/>
      <c r="AA529" s="46"/>
      <c r="AB529" s="46"/>
      <c r="AC529" s="46"/>
      <c r="AD529" s="46"/>
      <c r="AE529" s="46"/>
    </row>
    <row r="530" ht="21.25" customHeight="1">
      <c r="A530" t="s" s="8">
        <v>522</v>
      </c>
      <c r="B530" t="s" s="42">
        <f>VLOOKUP(A530,'Player Data'!A1:B734,2,FALSE)</f>
        <v>108</v>
      </c>
      <c r="C530" s="44">
        <f>((E530)*'Settings'!$C$12)+(F530*'Settings'!$C$2)+(G530*'Settings'!$C$3)+(H530*'Settings'!$C$4)+(I530*'Settings'!$C$5)+(K530*'Settings'!$C$9)+(N530*'Settings'!$C$6)+(J530*'Settings'!$C$8)+(O530*'Settings'!$C$7)+(P530*'Settings'!$C$14)+(Q530*'Settings'!$C$15)+(R530*'Settings'!$C$16)+(S530*'Settings'!$C$17)+(T530*'Settings'!$C$18)+(U530*'Settings'!$C$19)+(L530*'Settings'!$C$10)+('Settings'!$C$11*M530)</f>
        <v>-0.8049977205278031</v>
      </c>
      <c r="D530" s="48">
        <f>IF('Settings'!$E$12="YES",VLOOKUP(A530,'Player Data'!A1:E734,5,FALSE),82)</f>
        <v>79.4657142857143</v>
      </c>
      <c r="E530" s="46">
        <f>(VLOOKUP($A530,'The List'!$B1:$AH730,17,FALSE)-AVERAGE('The List'!R2:R730))/STDEV('The List'!R2:R730)</f>
        <v>0.0688101149525782</v>
      </c>
      <c r="F530" s="46">
        <f>(VLOOKUP($A530,'The List'!$B1:$AH730,18,FALSE)-AVERAGE('The List'!S2:S730))/STDEV('The List'!S2:S730)</f>
        <v>-0.927543172360688</v>
      </c>
      <c r="G530" s="46">
        <f>(VLOOKUP($A530,'The List'!$B1:$AH730,19,FALSE)-AVERAGE('The List'!T2:T730))/STDEV('The List'!T2:T730)</f>
        <v>-0.550320676040726</v>
      </c>
      <c r="H530" s="46">
        <f>(VLOOKUP($A530,'The List'!$B1:$AH730,20,FALSE)-AVERAGE('The List'!U2:U730))/STDEV('The List'!U2:U730)</f>
        <v>-0.761316209491947</v>
      </c>
      <c r="I530" s="46">
        <f>(VLOOKUP($A530,'The List'!$B1:$AH730,21,FALSE)-AVERAGE('The List'!V2:V730))/STDEV('The List'!V2:V730)</f>
        <v>-0.489890586050965</v>
      </c>
      <c r="J530" s="46">
        <f>(VLOOKUP($A530,'The List'!$B1:$AH730,22,FALSE)-AVERAGE('The List'!W2:W730))/STDEV('The List'!W2:W730)</f>
        <v>-0.708710858407548</v>
      </c>
      <c r="K530" s="46">
        <f>(VLOOKUP($A530,'The List'!$B1:$AH730,23,FALSE)-AVERAGE('The List'!X2:X730))/STDEV('The List'!X2:X730)</f>
        <v>-0.7895111073369721</v>
      </c>
      <c r="L530" s="46">
        <f>(VLOOKUP($A530,'The List'!$B1:$AH730,24,FALSE)-AVERAGE('The List'!Y2:Y730))/STDEV('The List'!Y2:Y730)</f>
        <v>-0.5049680073585781</v>
      </c>
      <c r="M530" s="46">
        <f>(VLOOKUP($A530,'The List'!$B1:$AH730,25,FALSE)-AVERAGE('The List'!Z2:Z730))/STDEV('The List'!Z2:Z730)</f>
        <v>0.284509747924006</v>
      </c>
      <c r="N530" s="46">
        <f>(VLOOKUP($A530,'The List'!$B1:$AH730,26,FALSE)-AVERAGE('The List'!AA2:AA730))/STDEV('The List'!AA2:AA730)</f>
        <v>0.805610551385148</v>
      </c>
      <c r="O530" s="46">
        <f>(VLOOKUP($A530,'The List'!$B1:$AH730,27,FALSE)-AVERAGE('The List'!AB2:AB730))/STDEV('The List'!AB2:AB730)</f>
        <v>0.202566298717654</v>
      </c>
      <c r="P530" s="46">
        <f>(VLOOKUP($A530,'The List'!$B1:$AH730,28,FALSE)-AVERAGE('The List'!AC2:AC730))/STDEV('The List'!AC2:AC730)</f>
        <v>1.1466572698764</v>
      </c>
      <c r="Q530" s="46">
        <f>(VLOOKUP($A530,'The List'!$B1:$AH730,29,FALSE)-AVERAGE('The List'!AD2:AD730))/STDEV('The List'!AD2:AD730)</f>
        <v>0.562147029832211</v>
      </c>
      <c r="R530" s="46">
        <f>(VLOOKUP($A530,'The List'!$B1:$AH730,30,FALSE)-AVERAGE('The List'!AE2:AE730))/STDEV('The List'!AE2:AE730)</f>
        <v>-0.8054345460421241</v>
      </c>
      <c r="S530" s="46">
        <f>(VLOOKUP($A530,'The List'!$B1:$AH730,31,FALSE)-AVERAGE('The List'!AF2:AF730))/STDEV('The List'!AF2:AF730)</f>
        <v>-0.5569063253591</v>
      </c>
      <c r="T530" s="46">
        <f>(VLOOKUP($A530,'The List'!$B1:$AH730,32,FALSE)-AVERAGE('The List'!AG2:AG730))/STDEV('The List'!AG2:AG730)</f>
        <v>-0.600856269042678</v>
      </c>
      <c r="U530" s="46">
        <f>(VLOOKUP($A530,'The List'!$B1:$AH730,33,FALSE)-AVERAGE('The List'!AH2:AH730))/STDEV('The List'!AH2:AH730)</f>
        <v>-1.2363238714826</v>
      </c>
      <c r="V530" s="46"/>
      <c r="W530" s="50"/>
      <c r="X530" s="48"/>
      <c r="Y530" s="48"/>
      <c r="Z530" s="48"/>
      <c r="AA530" s="48"/>
      <c r="AB530" s="48"/>
      <c r="AC530" s="51"/>
      <c r="AD530" s="52"/>
      <c r="AE530" s="46"/>
    </row>
    <row r="531" ht="21.25" customHeight="1">
      <c r="A531" t="s" s="8">
        <v>482</v>
      </c>
      <c r="B531" t="s" s="42">
        <f>VLOOKUP(A531,'Player Data'!A1:B734,2,FALSE)</f>
        <v>218</v>
      </c>
      <c r="C531" s="44">
        <f>((E531)*'Settings'!$C$12)+(F531*'Settings'!$C$2)+(G531*'Settings'!$C$3)+(H531*'Settings'!$C$4)+(I531*'Settings'!$C$5)+(K531*'Settings'!$C$9)+(N531*'Settings'!$C$6)+(J531*'Settings'!$C$8)+(O531*'Settings'!$C$7)+(P531*'Settings'!$C$14)+(Q531*'Settings'!$C$15)+(R531*'Settings'!$C$16)+(S531*'Settings'!$C$17)+(T531*'Settings'!$C$18)+(U531*'Settings'!$C$19)+(L531*'Settings'!$C$10)+('Settings'!$C$11*M531)</f>
        <v>1.35467805191633</v>
      </c>
      <c r="D531" s="48">
        <f>IF('Settings'!$E$12="YES",VLOOKUP(A531,'Player Data'!A1:E734,5,FALSE),82)</f>
        <v>78.04607142857139</v>
      </c>
      <c r="E531" s="46">
        <f>(VLOOKUP($A531,'The List'!$B1:$AH730,17,FALSE)-AVERAGE('The List'!R2:R730))/STDEV('The List'!R2:R730)</f>
        <v>0.974236459565875</v>
      </c>
      <c r="F531" s="46">
        <f>(VLOOKUP($A531,'The List'!$B1:$AH730,18,FALSE)-AVERAGE('The List'!S2:S730))/STDEV('The List'!S2:S730)</f>
        <v>-1.04743063101331</v>
      </c>
      <c r="G531" s="46">
        <f>(VLOOKUP($A531,'The List'!$B1:$AH730,19,FALSE)-AVERAGE('The List'!T2:T730))/STDEV('The List'!T2:T730)</f>
        <v>-0.486109358233861</v>
      </c>
      <c r="H531" s="46">
        <f>(VLOOKUP($A531,'The List'!$B1:$AH730,20,FALSE)-AVERAGE('The List'!U2:U730))/STDEV('The List'!U2:U730)</f>
        <v>-0.7762819741506271</v>
      </c>
      <c r="I531" s="46">
        <f>(VLOOKUP($A531,'The List'!$B1:$AH730,21,FALSE)-AVERAGE('The List'!V2:V730))/STDEV('The List'!V2:V730)</f>
        <v>-0.658290398941063</v>
      </c>
      <c r="J531" s="46">
        <f>(VLOOKUP($A531,'The List'!$B1:$AH730,22,FALSE)-AVERAGE('The List'!W2:W730))/STDEV('The List'!W2:W730)</f>
        <v>-0.708726427823912</v>
      </c>
      <c r="K531" s="46">
        <f>(VLOOKUP($A531,'The List'!$B1:$AH730,23,FALSE)-AVERAGE('The List'!X2:X730))/STDEV('The List'!X2:X730)</f>
        <v>-0.788512044656841</v>
      </c>
      <c r="L531" s="46">
        <f>(VLOOKUP($A531,'The List'!$B1:$AH730,24,FALSE)-AVERAGE('The List'!Y2:Y730))/STDEV('The List'!Y2:Y730)</f>
        <v>-0.506262148442547</v>
      </c>
      <c r="M531" s="46">
        <f>(VLOOKUP($A531,'The List'!$B1:$AH730,25,FALSE)-AVERAGE('The List'!Z2:Z730))/STDEV('The List'!Z2:Z730)</f>
        <v>0.389021778539681</v>
      </c>
      <c r="N531" s="46">
        <f>(VLOOKUP($A531,'The List'!$B1:$AH730,26,FALSE)-AVERAGE('The List'!AA2:AA730))/STDEV('The List'!AA2:AA730)</f>
        <v>3.1269234170721</v>
      </c>
      <c r="O531" s="46">
        <f>(VLOOKUP($A531,'The List'!$B1:$AH730,27,FALSE)-AVERAGE('The List'!AB2:AB730))/STDEV('The List'!AB2:AB730)</f>
        <v>1.82535599890614</v>
      </c>
      <c r="P531" s="46">
        <f>(VLOOKUP($A531,'The List'!$B1:$AH730,28,FALSE)-AVERAGE('The List'!AC2:AC730))/STDEV('The List'!AC2:AC730)</f>
        <v>1.2080970676893</v>
      </c>
      <c r="Q531" s="46">
        <f>(VLOOKUP($A531,'The List'!$B1:$AH730,29,FALSE)-AVERAGE('The List'!AD2:AD730))/STDEV('The List'!AD2:AD730)</f>
        <v>0.693502378639787</v>
      </c>
      <c r="R531" s="46">
        <f>(VLOOKUP($A531,'The List'!$B1:$AH730,30,FALSE)-AVERAGE('The List'!AE2:AE730))/STDEV('The List'!AE2:AE730)</f>
        <v>-0.920623859750986</v>
      </c>
      <c r="S531" s="46">
        <f>(VLOOKUP($A531,'The List'!$B1:$AH730,31,FALSE)-AVERAGE('The List'!AF2:AF730))/STDEV('The List'!AF2:AF730)</f>
        <v>-0.5569063253591</v>
      </c>
      <c r="T531" s="46">
        <f>(VLOOKUP($A531,'The List'!$B1:$AH730,32,FALSE)-AVERAGE('The List'!AG2:AG730))/STDEV('The List'!AG2:AG730)</f>
        <v>-0.600856269042678</v>
      </c>
      <c r="U531" s="46">
        <f>(VLOOKUP($A531,'The List'!$B1:$AH730,33,FALSE)-AVERAGE('The List'!AH2:AH730))/STDEV('The List'!AH2:AH730)</f>
        <v>-1.2363238714826</v>
      </c>
      <c r="V531" s="46"/>
      <c r="W531" s="48"/>
      <c r="X531" s="46"/>
      <c r="Y531" s="46"/>
      <c r="Z531" s="46"/>
      <c r="AA531" s="46"/>
      <c r="AB531" s="46"/>
      <c r="AC531" s="46"/>
      <c r="AD531" s="46"/>
      <c r="AE531" s="46"/>
    </row>
    <row r="532" ht="21.25" customHeight="1">
      <c r="A532" t="s" s="8">
        <v>816</v>
      </c>
      <c r="B532" t="s" s="42">
        <f>VLOOKUP(A532,'Player Data'!A1:B734,2,FALSE)</f>
        <v>131</v>
      </c>
      <c r="C532" s="44">
        <f>((E532)*'Settings'!$C$12)+(F532*'Settings'!$C$2)+(G532*'Settings'!$C$3)+(H532*'Settings'!$C$4)+(I532*'Settings'!$C$5)+(K532*'Settings'!$C$9)+(N532*'Settings'!$C$6)+(J532*'Settings'!$C$8)+(O532*'Settings'!$C$7)+(P532*'Settings'!$C$14)+(Q532*'Settings'!$C$15)+(R532*'Settings'!$C$16)+(S532*'Settings'!$C$17)+(T532*'Settings'!$C$18)+(U532*'Settings'!$C$19)+(L532*'Settings'!$C$10)+('Settings'!$C$11*M532)</f>
        <v>-4.9415542254457</v>
      </c>
      <c r="D532" s="48">
        <f>IF('Settings'!$E$12="YES",VLOOKUP(A532,'Player Data'!A1:E734,5,FALSE),82)</f>
        <v>69.1725</v>
      </c>
      <c r="E532" s="46">
        <f>(VLOOKUP($A532,'The List'!$B1:$AH730,17,FALSE)-AVERAGE('The List'!R2:R730))/STDEV('The List'!R2:R730)</f>
        <v>-1.14005132447993</v>
      </c>
      <c r="F532" s="46">
        <f>(VLOOKUP($A532,'The List'!$B1:$AH730,18,FALSE)-AVERAGE('The List'!S2:S730))/STDEV('The List'!S2:S730)</f>
        <v>-0.820072782857308</v>
      </c>
      <c r="G532" s="46">
        <f>(VLOOKUP($A532,'The List'!$B1:$AH730,19,FALSE)-AVERAGE('The List'!T2:T730))/STDEV('The List'!T2:T730)</f>
        <v>-0.806641205306173</v>
      </c>
      <c r="H532" s="46">
        <f>(VLOOKUP($A532,'The List'!$B1:$AH730,20,FALSE)-AVERAGE('The List'!U2:U730))/STDEV('The List'!U2:U730)</f>
        <v>-0.870433264171744</v>
      </c>
      <c r="I532" s="46">
        <f>(VLOOKUP($A532,'The List'!$B1:$AH730,21,FALSE)-AVERAGE('The List'!V2:V730))/STDEV('The List'!V2:V730)</f>
        <v>-1.09410182671665</v>
      </c>
      <c r="J532" s="46">
        <f>(VLOOKUP($A532,'The List'!$B1:$AH730,22,FALSE)-AVERAGE('The List'!W2:W730))/STDEV('The List'!W2:W730)</f>
        <v>-0.699569967107767</v>
      </c>
      <c r="K532" s="46">
        <f>(VLOOKUP($A532,'The List'!$B1:$AH730,23,FALSE)-AVERAGE('The List'!X2:X730))/STDEV('The List'!X2:X730)</f>
        <v>-0.789316901204604</v>
      </c>
      <c r="L532" s="46">
        <f>(VLOOKUP($A532,'The List'!$B1:$AH730,24,FALSE)-AVERAGE('The List'!Y2:Y730))/STDEV('The List'!Y2:Y730)</f>
        <v>-0.26793375213709</v>
      </c>
      <c r="M532" s="46">
        <f>(VLOOKUP($A532,'The List'!$B1:$AH730,25,FALSE)-AVERAGE('The List'!Z2:Z730))/STDEV('The List'!Z2:Z730)</f>
        <v>0.9304430338749</v>
      </c>
      <c r="N532" s="46">
        <f>(VLOOKUP($A532,'The List'!$B1:$AH730,26,FALSE)-AVERAGE('The List'!AA2:AA730))/STDEV('The List'!AA2:AA730)</f>
        <v>-0.855314337141691</v>
      </c>
      <c r="O532" s="46">
        <f>(VLOOKUP($A532,'The List'!$B1:$AH730,27,FALSE)-AVERAGE('The List'!AB2:AB730))/STDEV('The List'!AB2:AB730)</f>
        <v>1.91610769356407</v>
      </c>
      <c r="P532" s="46">
        <f>(VLOOKUP($A532,'The List'!$B1:$AH730,28,FALSE)-AVERAGE('The List'!AC2:AC730))/STDEV('The List'!AC2:AC730)</f>
        <v>-0.576107172219272</v>
      </c>
      <c r="Q532" s="46">
        <f>(VLOOKUP($A532,'The List'!$B1:$AH730,29,FALSE)-AVERAGE('The List'!AD2:AD730))/STDEV('The List'!AD2:AD730)</f>
        <v>0.771176659363163</v>
      </c>
      <c r="R532" s="46">
        <f>(VLOOKUP($A532,'The List'!$B1:$AH730,30,FALSE)-AVERAGE('The List'!AE2:AE730))/STDEV('The List'!AE2:AE730)</f>
        <v>-0.7326812693047</v>
      </c>
      <c r="S532" s="46">
        <f>(VLOOKUP($A532,'The List'!$B1:$AH730,31,FALSE)-AVERAGE('The List'!AF2:AF730))/STDEV('The List'!AF2:AF730)</f>
        <v>-0.5569063253591</v>
      </c>
      <c r="T532" s="46">
        <f>(VLOOKUP($A532,'The List'!$B1:$AH730,32,FALSE)-AVERAGE('The List'!AG2:AG730))/STDEV('The List'!AG2:AG730)</f>
        <v>-0.575301855608264</v>
      </c>
      <c r="U532" s="46">
        <f>(VLOOKUP($A532,'The List'!$B1:$AH730,33,FALSE)-AVERAGE('The List'!AH2:AH730))/STDEV('The List'!AH2:AH730)</f>
        <v>-1.2363238714826</v>
      </c>
      <c r="V532" s="46"/>
      <c r="W532" s="50"/>
      <c r="X532" s="48"/>
      <c r="Y532" s="48"/>
      <c r="Z532" s="48"/>
      <c r="AA532" s="48"/>
      <c r="AB532" s="48"/>
      <c r="AC532" s="51"/>
      <c r="AD532" s="52"/>
      <c r="AE532" s="46"/>
    </row>
    <row r="533" ht="21.25" customHeight="1">
      <c r="A533" t="s" s="8">
        <v>582</v>
      </c>
      <c r="B533" t="s" s="42">
        <f>VLOOKUP(A533,'Player Data'!A1:B734,2,FALSE)</f>
        <v>136</v>
      </c>
      <c r="C533" s="44">
        <f>((E533)*'Settings'!$C$12)+(F533*'Settings'!$C$2)+(G533*'Settings'!$C$3)+(H533*'Settings'!$C$4)+(I533*'Settings'!$C$5)+(K533*'Settings'!$C$9)+(N533*'Settings'!$C$6)+(J533*'Settings'!$C$8)+(O533*'Settings'!$C$7)+(P533*'Settings'!$C$14)+(Q533*'Settings'!$C$15)+(R533*'Settings'!$C$16)+(S533*'Settings'!$C$17)+(T533*'Settings'!$C$18)+(U533*'Settings'!$C$19)+(L533*'Settings'!$C$10)+('Settings'!$C$11*M533)</f>
        <v>-1.93814856865248</v>
      </c>
      <c r="D533" s="48">
        <f>IF('Settings'!$E$12="YES",VLOOKUP(A533,'Player Data'!A1:E734,5,FALSE),82)</f>
        <v>66.3875</v>
      </c>
      <c r="E533" s="46">
        <f>(VLOOKUP($A533,'The List'!$B1:$AH730,17,FALSE)-AVERAGE('The List'!R2:R730))/STDEV('The List'!R2:R730)</f>
        <v>-0.277166134280303</v>
      </c>
      <c r="F533" s="46">
        <f>(VLOOKUP($A533,'The List'!$B1:$AH730,18,FALSE)-AVERAGE('The List'!S2:S730))/STDEV('The List'!S2:S730)</f>
        <v>-0.834771405529196</v>
      </c>
      <c r="G533" s="46">
        <f>(VLOOKUP($A533,'The List'!$B1:$AH730,19,FALSE)-AVERAGE('The List'!T2:T730))/STDEV('The List'!T2:T730)</f>
        <v>-0.846194131379742</v>
      </c>
      <c r="H533" s="46">
        <f>(VLOOKUP($A533,'The List'!$B1:$AH730,20,FALSE)-AVERAGE('The List'!U2:U730))/STDEV('The List'!U2:U730)</f>
        <v>-0.9015052913320269</v>
      </c>
      <c r="I533" s="46">
        <f>(VLOOKUP($A533,'The List'!$B1:$AH730,21,FALSE)-AVERAGE('The List'!V2:V730))/STDEV('The List'!V2:V730)</f>
        <v>-0.686850302116022</v>
      </c>
      <c r="J533" s="46">
        <f>(VLOOKUP($A533,'The List'!$B1:$AH730,22,FALSE)-AVERAGE('The List'!W2:W730))/STDEV('The List'!W2:W730)</f>
        <v>-0.586550176541318</v>
      </c>
      <c r="K533" s="46">
        <f>(VLOOKUP($A533,'The List'!$B1:$AH730,23,FALSE)-AVERAGE('The List'!X2:X730))/STDEV('The List'!X2:X730)</f>
        <v>-0.642921715886914</v>
      </c>
      <c r="L533" s="46">
        <f>(VLOOKUP($A533,'The List'!$B1:$AH730,24,FALSE)-AVERAGE('The List'!Y2:Y730))/STDEV('The List'!Y2:Y730)</f>
        <v>-0.538635056795334</v>
      </c>
      <c r="M533" s="46">
        <f>(VLOOKUP($A533,'The List'!$B1:$AH730,25,FALSE)-AVERAGE('The List'!Z2:Z730))/STDEV('The List'!Z2:Z730)</f>
        <v>-0.712075130522501</v>
      </c>
      <c r="N533" s="46">
        <f>(VLOOKUP($A533,'The List'!$B1:$AH730,26,FALSE)-AVERAGE('The List'!AA2:AA730))/STDEV('The List'!AA2:AA730)</f>
        <v>0.300655496404105</v>
      </c>
      <c r="O533" s="46">
        <f>(VLOOKUP($A533,'The List'!$B1:$AH730,27,FALSE)-AVERAGE('The List'!AB2:AB730))/STDEV('The List'!AB2:AB730)</f>
        <v>-0.603880665013438</v>
      </c>
      <c r="P533" s="46">
        <f>(VLOOKUP($A533,'The List'!$B1:$AH730,28,FALSE)-AVERAGE('The List'!AC2:AC730))/STDEV('The List'!AC2:AC730)</f>
        <v>0.771933489855294</v>
      </c>
      <c r="Q533" s="46">
        <f>(VLOOKUP($A533,'The List'!$B1:$AH730,29,FALSE)-AVERAGE('The List'!AD2:AD730))/STDEV('The List'!AD2:AD730)</f>
        <v>-0.577398595736018</v>
      </c>
      <c r="R533" s="46">
        <f>(VLOOKUP($A533,'The List'!$B1:$AH730,30,FALSE)-AVERAGE('The List'!AE2:AE730))/STDEV('The List'!AE2:AE730)</f>
        <v>-0.7047708853251839</v>
      </c>
      <c r="S533" s="46">
        <f>(VLOOKUP($A533,'The List'!$B1:$AH730,31,FALSE)-AVERAGE('The List'!AF2:AF730))/STDEV('The List'!AF2:AF730)</f>
        <v>-0.5569063253591</v>
      </c>
      <c r="T533" s="46">
        <f>(VLOOKUP($A533,'The List'!$B1:$AH730,32,FALSE)-AVERAGE('The List'!AG2:AG730))/STDEV('The List'!AG2:AG730)</f>
        <v>-0.600856269042678</v>
      </c>
      <c r="U533" s="46">
        <f>(VLOOKUP($A533,'The List'!$B1:$AH730,33,FALSE)-AVERAGE('The List'!AH2:AH730))/STDEV('The List'!AH2:AH730)</f>
        <v>-1.2363238714826</v>
      </c>
      <c r="V533" s="46"/>
      <c r="W533" s="50"/>
      <c r="X533" s="48"/>
      <c r="Y533" s="48"/>
      <c r="Z533" s="48"/>
      <c r="AA533" s="48"/>
      <c r="AB533" s="48"/>
      <c r="AC533" s="51"/>
      <c r="AD533" s="52"/>
      <c r="AE533" s="46"/>
    </row>
    <row r="534" ht="21.25" customHeight="1">
      <c r="A534" t="s" s="8">
        <v>861</v>
      </c>
      <c r="B534" t="s" s="42">
        <f>VLOOKUP(A534,'Player Data'!A1:B734,2,FALSE)</f>
        <v>124</v>
      </c>
      <c r="C534" s="44">
        <f>((E534)*'Settings'!$C$12)+(F534*'Settings'!$C$2)+(G534*'Settings'!$C$3)+(H534*'Settings'!$C$4)+(I534*'Settings'!$C$5)+(K534*'Settings'!$C$9)+(N534*'Settings'!$C$6)+(J534*'Settings'!$C$8)+(O534*'Settings'!$C$7)+(P534*'Settings'!$C$14)+(Q534*'Settings'!$C$15)+(R534*'Settings'!$C$16)+(S534*'Settings'!$C$17)+(T534*'Settings'!$C$18)+(U534*'Settings'!$C$19)+(L534*'Settings'!$C$10)+('Settings'!$C$11*M534)</f>
        <v>-5.2224401871683</v>
      </c>
      <c r="D534" s="48">
        <f>IF('Settings'!$E$12="YES",VLOOKUP(A534,'Player Data'!A1:E734,5,FALSE),82)</f>
        <v>58.8339285714286</v>
      </c>
      <c r="E534" s="46">
        <f>(VLOOKUP($A534,'The List'!$B1:$AH730,17,FALSE)-AVERAGE('The List'!R2:R730))/STDEV('The List'!R2:R730)</f>
        <v>-1.79559526632808</v>
      </c>
      <c r="F534" s="46">
        <f>(VLOOKUP($A534,'The List'!$B1:$AH730,18,FALSE)-AVERAGE('The List'!S2:S730))/STDEV('The List'!S2:S730)</f>
        <v>-0.769286223783307</v>
      </c>
      <c r="G534" s="46">
        <f>(VLOOKUP($A534,'The List'!$B1:$AH730,19,FALSE)-AVERAGE('The List'!T2:T730))/STDEV('The List'!T2:T730)</f>
        <v>-1.0282811042716</v>
      </c>
      <c r="H534" s="46">
        <f>(VLOOKUP($A534,'The List'!$B1:$AH730,20,FALSE)-AVERAGE('The List'!U2:U730))/STDEV('The List'!U2:U730)</f>
        <v>-0.983962445781824</v>
      </c>
      <c r="I534" s="46">
        <f>(VLOOKUP($A534,'The List'!$B1:$AH730,21,FALSE)-AVERAGE('The List'!V2:V730))/STDEV('The List'!V2:V730)</f>
        <v>-1.42905137024363</v>
      </c>
      <c r="J534" s="46">
        <f>(VLOOKUP($A534,'The List'!$B1:$AH730,22,FALSE)-AVERAGE('The List'!W2:W730))/STDEV('The List'!W2:W730)</f>
        <v>-0.6697257141140019</v>
      </c>
      <c r="K534" s="46">
        <f>(VLOOKUP($A534,'The List'!$B1:$AH730,23,FALSE)-AVERAGE('The List'!X2:X730))/STDEV('The List'!X2:X730)</f>
        <v>-0.7505905608944961</v>
      </c>
      <c r="L534" s="46">
        <f>(VLOOKUP($A534,'The List'!$B1:$AH730,24,FALSE)-AVERAGE('The List'!Y2:Y730))/STDEV('The List'!Y2:Y730)</f>
        <v>-0.536473591797453</v>
      </c>
      <c r="M534" s="46">
        <f>(VLOOKUP($A534,'The List'!$B1:$AH730,25,FALSE)-AVERAGE('The List'!Z2:Z730))/STDEV('The List'!Z2:Z730)</f>
        <v>-0.714635856079061</v>
      </c>
      <c r="N534" s="46">
        <f>(VLOOKUP($A534,'The List'!$B1:$AH730,26,FALSE)-AVERAGE('The List'!AA2:AA730))/STDEV('The List'!AA2:AA730)</f>
        <v>-1.06135124831758</v>
      </c>
      <c r="O534" s="46">
        <f>(VLOOKUP($A534,'The List'!$B1:$AH730,27,FALSE)-AVERAGE('The List'!AB2:AB730))/STDEV('The List'!AB2:AB730)</f>
        <v>-0.783176828735752</v>
      </c>
      <c r="P534" s="46">
        <f>(VLOOKUP($A534,'The List'!$B1:$AH730,28,FALSE)-AVERAGE('The List'!AC2:AC730))/STDEV('The List'!AC2:AC730)</f>
        <v>-0.183879679657691</v>
      </c>
      <c r="Q534" s="46">
        <f>(VLOOKUP($A534,'The List'!$B1:$AH730,29,FALSE)-AVERAGE('The List'!AD2:AD730))/STDEV('The List'!AD2:AD730)</f>
        <v>-1.18527717528586</v>
      </c>
      <c r="R534" s="46">
        <f>(VLOOKUP($A534,'The List'!$B1:$AH730,30,FALSE)-AVERAGE('The List'!AE2:AE730))/STDEV('The List'!AE2:AE730)</f>
        <v>-0.648554857247163</v>
      </c>
      <c r="S534" s="46">
        <f>(VLOOKUP($A534,'The List'!$B1:$AH730,31,FALSE)-AVERAGE('The List'!AF2:AF730))/STDEV('The List'!AF2:AF730)</f>
        <v>-0.0212168437352656</v>
      </c>
      <c r="T534" s="46">
        <f>(VLOOKUP($A534,'The List'!$B1:$AH730,32,FALSE)-AVERAGE('The List'!AG2:AG730))/STDEV('The List'!AG2:AG730)</f>
        <v>0.373241459621631</v>
      </c>
      <c r="U534" s="46">
        <f>(VLOOKUP($A534,'The List'!$B1:$AH730,33,FALSE)-AVERAGE('The List'!AH2:AH730))/STDEV('The List'!AH2:AH730)</f>
        <v>0.418688374355848</v>
      </c>
      <c r="V534" s="46"/>
      <c r="W534" s="50"/>
      <c r="X534" s="48"/>
      <c r="Y534" s="48"/>
      <c r="Z534" s="48"/>
      <c r="AA534" s="48"/>
      <c r="AB534" s="48"/>
      <c r="AC534" s="51"/>
      <c r="AD534" s="52"/>
      <c r="AE534" s="46"/>
    </row>
    <row r="535" ht="21.25" customHeight="1">
      <c r="A535" t="s" s="8">
        <v>614</v>
      </c>
      <c r="B535" t="s" s="42">
        <f>VLOOKUP(A535,'Player Data'!A1:B734,2,FALSE)</f>
        <v>248</v>
      </c>
      <c r="C535" s="44">
        <f>((E535)*'Settings'!$C$12)+(F535*'Settings'!$C$2)+(G535*'Settings'!$C$3)+(H535*'Settings'!$C$4)+(I535*'Settings'!$C$5)+(K535*'Settings'!$C$9)+(N535*'Settings'!$C$6)+(J535*'Settings'!$C$8)+(O535*'Settings'!$C$7)+(P535*'Settings'!$C$14)+(Q535*'Settings'!$C$15)+(R535*'Settings'!$C$16)+(S535*'Settings'!$C$17)+(T535*'Settings'!$C$18)+(U535*'Settings'!$C$19)+(L535*'Settings'!$C$10)+('Settings'!$C$11*M535)</f>
        <v>-3.17345272731374</v>
      </c>
      <c r="D535" s="48">
        <f>IF('Settings'!$E$12="YES",VLOOKUP(A535,'Player Data'!A1:E734,5,FALSE),82)</f>
        <v>68.9692857142857</v>
      </c>
      <c r="E535" s="46">
        <f>(VLOOKUP($A535,'The List'!$B1:$AH730,17,FALSE)-AVERAGE('The List'!R2:R730))/STDEV('The List'!R2:R730)</f>
        <v>-0.0540766006743138</v>
      </c>
      <c r="F535" s="46">
        <f>(VLOOKUP($A535,'The List'!$B1:$AH730,18,FALSE)-AVERAGE('The List'!S2:S730))/STDEV('The List'!S2:S730)</f>
        <v>-1.00180724507764</v>
      </c>
      <c r="G535" s="46">
        <f>(VLOOKUP($A535,'The List'!$B1:$AH730,19,FALSE)-AVERAGE('The List'!T2:T730))/STDEV('The List'!T2:T730)</f>
        <v>-0.691694288667098</v>
      </c>
      <c r="H535" s="46">
        <f>(VLOOKUP($A535,'The List'!$B1:$AH730,20,FALSE)-AVERAGE('The List'!U2:U730))/STDEV('The List'!U2:U730)</f>
        <v>-0.882262826010935</v>
      </c>
      <c r="I535" s="46">
        <f>(VLOOKUP($A535,'The List'!$B1:$AH730,21,FALSE)-AVERAGE('The List'!V2:V730))/STDEV('The List'!V2:V730)</f>
        <v>-1.02785756710337</v>
      </c>
      <c r="J535" s="46">
        <f>(VLOOKUP($A535,'The List'!$B1:$AH730,22,FALSE)-AVERAGE('The List'!W2:W730))/STDEV('The List'!W2:W730)</f>
        <v>-0.708323296119625</v>
      </c>
      <c r="K535" s="46">
        <f>(VLOOKUP($A535,'The List'!$B1:$AH730,23,FALSE)-AVERAGE('The List'!X2:X730))/STDEV('The List'!X2:X730)</f>
        <v>-0.788736336466114</v>
      </c>
      <c r="L535" s="46">
        <f>(VLOOKUP($A535,'The List'!$B1:$AH730,24,FALSE)-AVERAGE('The List'!Y2:Y730))/STDEV('The List'!Y2:Y730)</f>
        <v>-0.484389785391262</v>
      </c>
      <c r="M535" s="46">
        <f>(VLOOKUP($A535,'The List'!$B1:$AH730,25,FALSE)-AVERAGE('The List'!Z2:Z730))/STDEV('The List'!Z2:Z730)</f>
        <v>-0.583817978272557</v>
      </c>
      <c r="N535" s="46">
        <f>(VLOOKUP($A535,'The List'!$B1:$AH730,26,FALSE)-AVERAGE('The List'!AA2:AA730))/STDEV('The List'!AA2:AA730)</f>
        <v>0.474132261738941</v>
      </c>
      <c r="O535" s="46">
        <f>(VLOOKUP($A535,'The List'!$B1:$AH730,27,FALSE)-AVERAGE('The List'!AB2:AB730))/STDEV('The List'!AB2:AB730)</f>
        <v>1.26660330511274</v>
      </c>
      <c r="P535" s="46">
        <f>(VLOOKUP($A535,'The List'!$B1:$AH730,28,FALSE)-AVERAGE('The List'!AC2:AC730))/STDEV('The List'!AC2:AC730)</f>
        <v>-0.137489551738455</v>
      </c>
      <c r="Q535" s="46">
        <f>(VLOOKUP($A535,'The List'!$B1:$AH730,29,FALSE)-AVERAGE('The List'!AD2:AD730))/STDEV('The List'!AD2:AD730)</f>
        <v>0.573859126601044</v>
      </c>
      <c r="R535" s="46">
        <f>(VLOOKUP($A535,'The List'!$B1:$AH730,30,FALSE)-AVERAGE('The List'!AE2:AE730))/STDEV('The List'!AE2:AE730)</f>
        <v>-0.915813295415935</v>
      </c>
      <c r="S535" s="46">
        <f>(VLOOKUP($A535,'The List'!$B1:$AH730,31,FALSE)-AVERAGE('The List'!AF2:AF730))/STDEV('The List'!AF2:AF730)</f>
        <v>-0.5569063253591</v>
      </c>
      <c r="T535" s="46">
        <f>(VLOOKUP($A535,'The List'!$B1:$AH730,32,FALSE)-AVERAGE('The List'!AG2:AG730))/STDEV('The List'!AG2:AG730)</f>
        <v>-0.600856269042678</v>
      </c>
      <c r="U535" s="46">
        <f>(VLOOKUP($A535,'The List'!$B1:$AH730,33,FALSE)-AVERAGE('The List'!AH2:AH730))/STDEV('The List'!AH2:AH730)</f>
        <v>-1.2363238714826</v>
      </c>
      <c r="V535" s="46"/>
      <c r="W535" s="50"/>
      <c r="X535" s="48"/>
      <c r="Y535" s="48"/>
      <c r="Z535" s="48"/>
      <c r="AA535" s="48"/>
      <c r="AB535" s="48"/>
      <c r="AC535" s="51"/>
      <c r="AD535" s="52"/>
      <c r="AE535" s="46"/>
    </row>
    <row r="536" ht="21.25" customHeight="1">
      <c r="A536" t="s" s="8">
        <v>846</v>
      </c>
      <c r="B536" t="s" s="42">
        <f>VLOOKUP(A536,'Player Data'!A1:B734,2,FALSE)</f>
        <v>119</v>
      </c>
      <c r="C536" s="44">
        <f>((E536)*'Settings'!$C$12)+(F536*'Settings'!$C$2)+(G536*'Settings'!$C$3)+(H536*'Settings'!$C$4)+(I536*'Settings'!$C$5)+(K536*'Settings'!$C$9)+(N536*'Settings'!$C$6)+(J536*'Settings'!$C$8)+(O536*'Settings'!$C$7)+(P536*'Settings'!$C$14)+(Q536*'Settings'!$C$15)+(R536*'Settings'!$C$16)+(S536*'Settings'!$C$17)+(T536*'Settings'!$C$18)+(U536*'Settings'!$C$19)+(L536*'Settings'!$C$10)+('Settings'!$C$11*M536)</f>
        <v>-4.53126288614689</v>
      </c>
      <c r="D536" s="48">
        <f>IF('Settings'!$E$12="YES",VLOOKUP(A536,'Player Data'!A1:E734,5,FALSE),82)</f>
        <v>60</v>
      </c>
      <c r="E536" s="46">
        <f>(VLOOKUP($A536,'The List'!$B1:$AH730,17,FALSE)-AVERAGE('The List'!R2:R730))/STDEV('The List'!R2:R730)</f>
        <v>-1.50595880902477</v>
      </c>
      <c r="F536" s="46">
        <f>(VLOOKUP($A536,'The List'!$B1:$AH730,18,FALSE)-AVERAGE('The List'!S2:S730))/STDEV('The List'!S2:S730)</f>
        <v>-0.841545991017546</v>
      </c>
      <c r="G536" s="46">
        <f>(VLOOKUP($A536,'The List'!$B1:$AH730,19,FALSE)-AVERAGE('The List'!T2:T730))/STDEV('The List'!T2:T730)</f>
        <v>-0.963464442746182</v>
      </c>
      <c r="H536" s="46">
        <f>(VLOOKUP($A536,'The List'!$B1:$AH730,20,FALSE)-AVERAGE('The List'!U2:U730))/STDEV('The List'!U2:U730)</f>
        <v>-0.9768834691924529</v>
      </c>
      <c r="I536" s="46">
        <f>(VLOOKUP($A536,'The List'!$B1:$AH730,21,FALSE)-AVERAGE('The List'!V2:V730))/STDEV('The List'!V2:V730)</f>
        <v>-1.04103506548792</v>
      </c>
      <c r="J536" s="46">
        <f>(VLOOKUP($A536,'The List'!$B1:$AH730,22,FALSE)-AVERAGE('The List'!W2:W730))/STDEV('The List'!W2:W730)</f>
        <v>-0.6974206616498499</v>
      </c>
      <c r="K536" s="46">
        <f>(VLOOKUP($A536,'The List'!$B1:$AH730,23,FALSE)-AVERAGE('The List'!X2:X730))/STDEV('The List'!X2:X730)</f>
        <v>-0.789353114646713</v>
      </c>
      <c r="L536" s="46">
        <f>(VLOOKUP($A536,'The List'!$B1:$AH730,24,FALSE)-AVERAGE('The List'!Y2:Y730))/STDEV('The List'!Y2:Y730)</f>
        <v>0.9180487528668489</v>
      </c>
      <c r="M536" s="46">
        <f>(VLOOKUP($A536,'The List'!$B1:$AH730,25,FALSE)-AVERAGE('The List'!Z2:Z730))/STDEV('The List'!Z2:Z730)</f>
        <v>0.262884960949141</v>
      </c>
      <c r="N536" s="46">
        <f>(VLOOKUP($A536,'The List'!$B1:$AH730,26,FALSE)-AVERAGE('The List'!AA2:AA730))/STDEV('The List'!AA2:AA730)</f>
        <v>-1.14287618422602</v>
      </c>
      <c r="O536" s="46">
        <f>(VLOOKUP($A536,'The List'!$B1:$AH730,27,FALSE)-AVERAGE('The List'!AB2:AB730))/STDEV('The List'!AB2:AB730)</f>
        <v>-1.13553440197847</v>
      </c>
      <c r="P536" s="46">
        <f>(VLOOKUP($A536,'The List'!$B1:$AH730,28,FALSE)-AVERAGE('The List'!AC2:AC730))/STDEV('The List'!AC2:AC730)</f>
        <v>0.247011911977491</v>
      </c>
      <c r="Q536" s="46">
        <f>(VLOOKUP($A536,'The List'!$B1:$AH730,29,FALSE)-AVERAGE('The List'!AD2:AD730))/STDEV('The List'!AD2:AD730)</f>
        <v>-1.64779820017073</v>
      </c>
      <c r="R536" s="46">
        <f>(VLOOKUP($A536,'The List'!$B1:$AH730,30,FALSE)-AVERAGE('The List'!AE2:AE730))/STDEV('The List'!AE2:AE730)</f>
        <v>-0.76068920394905</v>
      </c>
      <c r="S536" s="46">
        <f>(VLOOKUP($A536,'The List'!$B1:$AH730,31,FALSE)-AVERAGE('The List'!AF2:AF730))/STDEV('The List'!AF2:AF730)</f>
        <v>-0.440191758462314</v>
      </c>
      <c r="T536" s="46">
        <f>(VLOOKUP($A536,'The List'!$B1:$AH730,32,FALSE)-AVERAGE('The List'!AG2:AG730))/STDEV('The List'!AG2:AG730)</f>
        <v>-0.427295167072833</v>
      </c>
      <c r="U536" s="46">
        <f>(VLOOKUP($A536,'The List'!$B1:$AH730,33,FALSE)-AVERAGE('The List'!AH2:AH730))/STDEV('The List'!AH2:AH730)</f>
        <v>0.6346848661394831</v>
      </c>
      <c r="V536" s="46"/>
      <c r="W536" s="50"/>
      <c r="X536" s="48"/>
      <c r="Y536" s="48"/>
      <c r="Z536" s="48"/>
      <c r="AA536" s="48"/>
      <c r="AB536" s="48"/>
      <c r="AC536" s="51"/>
      <c r="AD536" s="52"/>
      <c r="AE536" s="46"/>
    </row>
    <row r="537" ht="21.25" customHeight="1">
      <c r="A537" t="s" s="8">
        <v>558</v>
      </c>
      <c r="B537" t="s" s="42">
        <f>VLOOKUP(A537,'Player Data'!A1:B734,2,FALSE)</f>
        <v>248</v>
      </c>
      <c r="C537" s="44">
        <f>((E537)*'Settings'!$C$12)+(F537*'Settings'!$C$2)+(G537*'Settings'!$C$3)+(H537*'Settings'!$C$4)+(I537*'Settings'!$C$5)+(K537*'Settings'!$C$9)+(N537*'Settings'!$C$6)+(J537*'Settings'!$C$8)+(O537*'Settings'!$C$7)+(P537*'Settings'!$C$14)+(Q537*'Settings'!$C$15)+(R537*'Settings'!$C$16)+(S537*'Settings'!$C$17)+(T537*'Settings'!$C$18)+(U537*'Settings'!$C$19)+(L537*'Settings'!$C$10)+('Settings'!$C$11*M537)</f>
        <v>-2.36173731909545</v>
      </c>
      <c r="D537" s="48">
        <f>IF('Settings'!$E$12="YES",VLOOKUP(A537,'Player Data'!A1:E734,5,FALSE),82)</f>
        <v>79.0085714285714</v>
      </c>
      <c r="E537" s="46">
        <f>(VLOOKUP($A537,'The List'!$B1:$AH730,17,FALSE)-AVERAGE('The List'!R2:R730))/STDEV('The List'!R2:R730)</f>
        <v>0.370145610800094</v>
      </c>
      <c r="F537" s="46">
        <f>(VLOOKUP($A537,'The List'!$B1:$AH730,18,FALSE)-AVERAGE('The List'!S2:S730))/STDEV('The List'!S2:S730)</f>
        <v>-1.06366667804049</v>
      </c>
      <c r="G537" s="46">
        <f>(VLOOKUP($A537,'The List'!$B1:$AH730,19,FALSE)-AVERAGE('The List'!T2:T730))/STDEV('The List'!T2:T730)</f>
        <v>-0.484374591770843</v>
      </c>
      <c r="H537" s="46">
        <f>(VLOOKUP($A537,'The List'!$B1:$AH730,20,FALSE)-AVERAGE('The List'!U2:U730))/STDEV('The List'!U2:U730)</f>
        <v>-0.782600240450027</v>
      </c>
      <c r="I537" s="46">
        <f>(VLOOKUP($A537,'The List'!$B1:$AH730,21,FALSE)-AVERAGE('The List'!V2:V730))/STDEV('The List'!V2:V730)</f>
        <v>-0.943077914472722</v>
      </c>
      <c r="J537" s="46">
        <f>(VLOOKUP($A537,'The List'!$B1:$AH730,22,FALSE)-AVERAGE('The List'!W2:W730))/STDEV('The List'!W2:W730)</f>
        <v>-0.708812222203659</v>
      </c>
      <c r="K537" s="46">
        <f>(VLOOKUP($A537,'The List'!$B1:$AH730,23,FALSE)-AVERAGE('The List'!X2:X730))/STDEV('The List'!X2:X730)</f>
        <v>-0.7889806665594959</v>
      </c>
      <c r="L537" s="46">
        <f>(VLOOKUP($A537,'The List'!$B1:$AH730,24,FALSE)-AVERAGE('The List'!Y2:Y730))/STDEV('The List'!Y2:Y730)</f>
        <v>-0.514094984327954</v>
      </c>
      <c r="M537" s="46">
        <f>(VLOOKUP($A537,'The List'!$B1:$AH730,25,FALSE)-AVERAGE('The List'!Z2:Z730))/STDEV('The List'!Z2:Z730)</f>
        <v>0.26969246395416</v>
      </c>
      <c r="N537" s="46">
        <f>(VLOOKUP($A537,'The List'!$B1:$AH730,26,FALSE)-AVERAGE('The List'!AA2:AA730))/STDEV('The List'!AA2:AA730)</f>
        <v>1.43157920784203</v>
      </c>
      <c r="O537" s="46">
        <f>(VLOOKUP($A537,'The List'!$B1:$AH730,27,FALSE)-AVERAGE('The List'!AB2:AB730))/STDEV('The List'!AB2:AB730)</f>
        <v>0.166947266603444</v>
      </c>
      <c r="P537" s="46">
        <f>(VLOOKUP($A537,'The List'!$B1:$AH730,28,FALSE)-AVERAGE('The List'!AC2:AC730))/STDEV('The List'!AC2:AC730)</f>
        <v>-0.513216676093924</v>
      </c>
      <c r="Q537" s="46">
        <f>(VLOOKUP($A537,'The List'!$B1:$AH730,29,FALSE)-AVERAGE('The List'!AD2:AD730))/STDEV('The List'!AD2:AD730)</f>
        <v>-0.790715859978639</v>
      </c>
      <c r="R537" s="46">
        <f>(VLOOKUP($A537,'The List'!$B1:$AH730,30,FALSE)-AVERAGE('The List'!AE2:AE730))/STDEV('The List'!AE2:AE730)</f>
        <v>-0.972392819109514</v>
      </c>
      <c r="S537" s="46">
        <f>(VLOOKUP($A537,'The List'!$B1:$AH730,31,FALSE)-AVERAGE('The List'!AF2:AF730))/STDEV('The List'!AF2:AF730)</f>
        <v>-0.5569063253591</v>
      </c>
      <c r="T537" s="46">
        <f>(VLOOKUP($A537,'The List'!$B1:$AH730,32,FALSE)-AVERAGE('The List'!AG2:AG730))/STDEV('The List'!AG2:AG730)</f>
        <v>-0.600856269042678</v>
      </c>
      <c r="U537" s="46">
        <f>(VLOOKUP($A537,'The List'!$B1:$AH730,33,FALSE)-AVERAGE('The List'!AH2:AH730))/STDEV('The List'!AH2:AH730)</f>
        <v>-1.2363238714826</v>
      </c>
      <c r="V537" s="46"/>
      <c r="W537" s="50"/>
      <c r="X537" s="48"/>
      <c r="Y537" s="48"/>
      <c r="Z537" s="48"/>
      <c r="AA537" s="48"/>
      <c r="AB537" s="48"/>
      <c r="AC537" s="51"/>
      <c r="AD537" s="52"/>
      <c r="AE537" s="46"/>
    </row>
    <row r="538" ht="21.25" customHeight="1">
      <c r="A538" t="s" s="8">
        <v>812</v>
      </c>
      <c r="B538" t="s" s="42">
        <f>VLOOKUP(A538,'Player Data'!A1:B734,2,FALSE)</f>
        <v>184</v>
      </c>
      <c r="C538" s="44">
        <f>((E538)*'Settings'!$C$12)+(F538*'Settings'!$C$2)+(G538*'Settings'!$C$3)+(H538*'Settings'!$C$4)+(I538*'Settings'!$C$5)+(K538*'Settings'!$C$9)+(N538*'Settings'!$C$6)+(J538*'Settings'!$C$8)+(O538*'Settings'!$C$7)+(P538*'Settings'!$C$14)+(Q538*'Settings'!$C$15)+(R538*'Settings'!$C$16)+(S538*'Settings'!$C$17)+(T538*'Settings'!$C$18)+(U538*'Settings'!$C$19)+(L538*'Settings'!$C$10)+('Settings'!$C$11*M538)</f>
        <v>-4.79671633651121</v>
      </c>
      <c r="D538" s="48">
        <f>IF('Settings'!$E$12="YES",VLOOKUP(A538,'Player Data'!A1:E734,5,FALSE),82)</f>
        <v>72</v>
      </c>
      <c r="E538" s="46">
        <f>(VLOOKUP($A538,'The List'!$B1:$AH730,17,FALSE)-AVERAGE('The List'!R2:R730))/STDEV('The List'!R2:R730)</f>
        <v>-1.324706381347</v>
      </c>
      <c r="F538" s="46">
        <f>(VLOOKUP($A538,'The List'!$B1:$AH730,18,FALSE)-AVERAGE('The List'!S2:S730))/STDEV('The List'!S2:S730)</f>
        <v>-0.512789056826421</v>
      </c>
      <c r="G538" s="46">
        <f>(VLOOKUP($A538,'The List'!$B1:$AH730,19,FALSE)-AVERAGE('The List'!T2:T730))/STDEV('The List'!T2:T730)</f>
        <v>-1.00834969456542</v>
      </c>
      <c r="H538" s="46">
        <f>(VLOOKUP($A538,'The List'!$B1:$AH730,20,FALSE)-AVERAGE('The List'!U2:U730))/STDEV('The List'!U2:U730)</f>
        <v>-0.8549636384746639</v>
      </c>
      <c r="I538" s="46">
        <f>(VLOOKUP($A538,'The List'!$B1:$AH730,21,FALSE)-AVERAGE('The List'!V2:V730))/STDEV('The List'!V2:V730)</f>
        <v>-1.01862177484835</v>
      </c>
      <c r="J538" s="46">
        <f>(VLOOKUP($A538,'The List'!$B1:$AH730,22,FALSE)-AVERAGE('The List'!W2:W730))/STDEV('The List'!W2:W730)</f>
        <v>-0.595642429481401</v>
      </c>
      <c r="K538" s="46">
        <f>(VLOOKUP($A538,'The List'!$B1:$AH730,23,FALSE)-AVERAGE('The List'!X2:X730))/STDEV('The List'!X2:X730)</f>
        <v>-0.668594050497465</v>
      </c>
      <c r="L538" s="46">
        <f>(VLOOKUP($A538,'The List'!$B1:$AH730,24,FALSE)-AVERAGE('The List'!Y2:Y730))/STDEV('The List'!Y2:Y730)</f>
        <v>-0.380649021157708</v>
      </c>
      <c r="M538" s="46">
        <f>(VLOOKUP($A538,'The List'!$B1:$AH730,25,FALSE)-AVERAGE('The List'!Z2:Z730))/STDEV('The List'!Z2:Z730)</f>
        <v>-0.538386630774731</v>
      </c>
      <c r="N538" s="46">
        <f>(VLOOKUP($A538,'The List'!$B1:$AH730,26,FALSE)-AVERAGE('The List'!AA2:AA730))/STDEV('The List'!AA2:AA730)</f>
        <v>-0.671594971084277</v>
      </c>
      <c r="O538" s="46">
        <f>(VLOOKUP($A538,'The List'!$B1:$AH730,27,FALSE)-AVERAGE('The List'!AB2:AB730))/STDEV('The List'!AB2:AB730)</f>
        <v>0.635308650367357</v>
      </c>
      <c r="P538" s="46">
        <f>(VLOOKUP($A538,'The List'!$B1:$AH730,28,FALSE)-AVERAGE('The List'!AC2:AC730))/STDEV('The List'!AC2:AC730)</f>
        <v>-0.916766788689278</v>
      </c>
      <c r="Q538" s="46">
        <f>(VLOOKUP($A538,'The List'!$B1:$AH730,29,FALSE)-AVERAGE('The List'!AD2:AD730))/STDEV('The List'!AD2:AD730)</f>
        <v>-0.586571809955647</v>
      </c>
      <c r="R538" s="46">
        <f>(VLOOKUP($A538,'The List'!$B1:$AH730,30,FALSE)-AVERAGE('The List'!AE2:AE730))/STDEV('The List'!AE2:AE730)</f>
        <v>-0.510429248941961</v>
      </c>
      <c r="S538" s="46">
        <f>(VLOOKUP($A538,'The List'!$B1:$AH730,31,FALSE)-AVERAGE('The List'!AF2:AF730))/STDEV('The List'!AF2:AF730)</f>
        <v>0.571670293178591</v>
      </c>
      <c r="T538" s="46">
        <f>(VLOOKUP($A538,'The List'!$B1:$AH730,32,FALSE)-AVERAGE('The List'!AG2:AG730))/STDEV('The List'!AG2:AG730)</f>
        <v>0.8536242528056009</v>
      </c>
      <c r="U538" s="46">
        <f>(VLOOKUP($A538,'The List'!$B1:$AH730,33,FALSE)-AVERAGE('The List'!AH2:AH730))/STDEV('The List'!AH2:AH730)</f>
        <v>0.793189187487472</v>
      </c>
      <c r="V538" s="46"/>
      <c r="W538" s="50"/>
      <c r="X538" s="48"/>
      <c r="Y538" s="48"/>
      <c r="Z538" s="48"/>
      <c r="AA538" s="48"/>
      <c r="AB538" s="48"/>
      <c r="AC538" s="51"/>
      <c r="AD538" s="52"/>
      <c r="AE538" s="46"/>
    </row>
    <row r="539" ht="21.25" customHeight="1">
      <c r="A539" t="s" s="8">
        <v>817</v>
      </c>
      <c r="B539" t="s" s="42">
        <f>VLOOKUP(A539,'Player Data'!A1:B734,2,FALSE)</f>
        <v>134</v>
      </c>
      <c r="C539" s="44">
        <f>((E539)*'Settings'!$C$12)+(F539*'Settings'!$C$2)+(G539*'Settings'!$C$3)+(H539*'Settings'!$C$4)+(I539*'Settings'!$C$5)+(K539*'Settings'!$C$9)+(N539*'Settings'!$C$6)+(J539*'Settings'!$C$8)+(O539*'Settings'!$C$7)+(P539*'Settings'!$C$14)+(Q539*'Settings'!$C$15)+(R539*'Settings'!$C$16)+(S539*'Settings'!$C$17)+(T539*'Settings'!$C$18)+(U539*'Settings'!$C$19)+(L539*'Settings'!$C$10)+('Settings'!$C$11*M539)</f>
        <v>-3.85337731331215</v>
      </c>
      <c r="D539" s="48">
        <f>IF('Settings'!$E$12="YES",VLOOKUP(A539,'Player Data'!A1:E734,5,FALSE),82)</f>
        <v>67.19</v>
      </c>
      <c r="E539" s="46">
        <f>(VLOOKUP($A539,'The List'!$B1:$AH730,17,FALSE)-AVERAGE('The List'!R2:R730))/STDEV('The List'!R2:R730)</f>
        <v>-1.49767626041412</v>
      </c>
      <c r="F539" s="46">
        <f>(VLOOKUP($A539,'The List'!$B1:$AH730,18,FALSE)-AVERAGE('The List'!S2:S730))/STDEV('The List'!S2:S730)</f>
        <v>-0.707701247460594</v>
      </c>
      <c r="G539" s="46">
        <f>(VLOOKUP($A539,'The List'!$B1:$AH730,19,FALSE)-AVERAGE('The List'!T2:T730))/STDEV('The List'!T2:T730)</f>
        <v>-0.94581197877349</v>
      </c>
      <c r="H539" s="46">
        <f>(VLOOKUP($A539,'The List'!$B1:$AH730,20,FALSE)-AVERAGE('The List'!U2:U730))/STDEV('The List'!U2:U730)</f>
        <v>-0.905098914503301</v>
      </c>
      <c r="I539" s="46">
        <f>(VLOOKUP($A539,'The List'!$B1:$AH730,21,FALSE)-AVERAGE('The List'!V2:V730))/STDEV('The List'!V2:V730)</f>
        <v>-0.945979847379473</v>
      </c>
      <c r="J539" s="46">
        <f>(VLOOKUP($A539,'The List'!$B1:$AH730,22,FALSE)-AVERAGE('The List'!W2:W730))/STDEV('The List'!W2:W730)</f>
        <v>-0.6995010231169591</v>
      </c>
      <c r="K539" s="46">
        <f>(VLOOKUP($A539,'The List'!$B1:$AH730,23,FALSE)-AVERAGE('The List'!X2:X730))/STDEV('The List'!X2:X730)</f>
        <v>-0.786318851023982</v>
      </c>
      <c r="L539" s="46">
        <f>(VLOOKUP($A539,'The List'!$B1:$AH730,24,FALSE)-AVERAGE('The List'!Y2:Y730))/STDEV('The List'!Y2:Y730)</f>
        <v>3.23547722155918</v>
      </c>
      <c r="M539" s="46">
        <f>(VLOOKUP($A539,'The List'!$B1:$AH730,25,FALSE)-AVERAGE('The List'!Z2:Z730))/STDEV('The List'!Z2:Z730)</f>
        <v>2.43825669840271</v>
      </c>
      <c r="N539" s="46">
        <f>(VLOOKUP($A539,'The List'!$B1:$AH730,26,FALSE)-AVERAGE('The List'!AA2:AA730))/STDEV('The List'!AA2:AA730)</f>
        <v>-0.494279269486953</v>
      </c>
      <c r="O539" s="46">
        <f>(VLOOKUP($A539,'The List'!$B1:$AH730,27,FALSE)-AVERAGE('The List'!AB2:AB730))/STDEV('The List'!AB2:AB730)</f>
        <v>0.228476020900274</v>
      </c>
      <c r="P539" s="46">
        <f>(VLOOKUP($A539,'The List'!$B1:$AH730,28,FALSE)-AVERAGE('The List'!AC2:AC730))/STDEV('The List'!AC2:AC730)</f>
        <v>0.0267138808123385</v>
      </c>
      <c r="Q539" s="46">
        <f>(VLOOKUP($A539,'The List'!$B1:$AH730,29,FALSE)-AVERAGE('The List'!AD2:AD730))/STDEV('The List'!AD2:AD730)</f>
        <v>-0.524722427960553</v>
      </c>
      <c r="R539" s="46">
        <f>(VLOOKUP($A539,'The List'!$B1:$AH730,30,FALSE)-AVERAGE('The List'!AE2:AE730))/STDEV('The List'!AE2:AE730)</f>
        <v>-0.570247069059426</v>
      </c>
      <c r="S539" s="46">
        <f>(VLOOKUP($A539,'The List'!$B1:$AH730,31,FALSE)-AVERAGE('The List'!AF2:AF730))/STDEV('The List'!AF2:AF730)</f>
        <v>0.337786043229143</v>
      </c>
      <c r="T539" s="46">
        <f>(VLOOKUP($A539,'The List'!$B1:$AH730,32,FALSE)-AVERAGE('The List'!AG2:AG730))/STDEV('The List'!AG2:AG730)</f>
        <v>0.56134001303873</v>
      </c>
      <c r="U539" s="46">
        <f>(VLOOKUP($A539,'The List'!$B1:$AH730,33,FALSE)-AVERAGE('The List'!AH2:AH730))/STDEV('The List'!AH2:AH730)</f>
        <v>0.784369679526122</v>
      </c>
      <c r="V539" s="46"/>
      <c r="W539" s="48"/>
      <c r="X539" s="46"/>
      <c r="Y539" s="46"/>
      <c r="Z539" s="46"/>
      <c r="AA539" s="46"/>
      <c r="AB539" s="46"/>
      <c r="AC539" s="46"/>
      <c r="AD539" s="46"/>
      <c r="AE539" s="46"/>
    </row>
    <row r="540" ht="21.25" customHeight="1">
      <c r="A540" t="s" s="8">
        <v>803</v>
      </c>
      <c r="B540" t="s" s="42">
        <f>VLOOKUP(A540,'Player Data'!A1:B734,2,FALSE)</f>
        <v>122</v>
      </c>
      <c r="C540" s="44">
        <f>((E540)*'Settings'!$C$12)+(F540*'Settings'!$C$2)+(G540*'Settings'!$C$3)+(H540*'Settings'!$C$4)+(I540*'Settings'!$C$5)+(K540*'Settings'!$C$9)+(N540*'Settings'!$C$6)+(J540*'Settings'!$C$8)+(O540*'Settings'!$C$7)+(P540*'Settings'!$C$14)+(Q540*'Settings'!$C$15)+(R540*'Settings'!$C$16)+(S540*'Settings'!$C$17)+(T540*'Settings'!$C$18)+(U540*'Settings'!$C$19)+(L540*'Settings'!$C$10)+('Settings'!$C$11*M540)</f>
        <v>-3.19533699507031</v>
      </c>
      <c r="D540" s="48">
        <f>IF('Settings'!$E$12="YES",VLOOKUP(A540,'Player Data'!A1:E734,5,FALSE),82)</f>
        <v>66</v>
      </c>
      <c r="E540" s="46">
        <f>(VLOOKUP($A540,'The List'!$B1:$AH730,17,FALSE)-AVERAGE('The List'!R2:R730))/STDEV('The List'!R2:R730)</f>
        <v>-1.67377150411759</v>
      </c>
      <c r="F540" s="46">
        <f>(VLOOKUP($A540,'The List'!$B1:$AH730,18,FALSE)-AVERAGE('The List'!S2:S730))/STDEV('The List'!S2:S730)</f>
        <v>-0.66241858447973</v>
      </c>
      <c r="G540" s="46">
        <f>(VLOOKUP($A540,'The List'!$B1:$AH730,19,FALSE)-AVERAGE('The List'!T2:T730))/STDEV('The List'!T2:T730)</f>
        <v>-1.00519262500946</v>
      </c>
      <c r="H540" s="46">
        <f>(VLOOKUP($A540,'The List'!$B1:$AH730,20,FALSE)-AVERAGE('The List'!U2:U730))/STDEV('The List'!U2:U730)</f>
        <v>-0.921101782595926</v>
      </c>
      <c r="I540" s="46">
        <f>(VLOOKUP($A540,'The List'!$B1:$AH730,21,FALSE)-AVERAGE('The List'!V2:V730))/STDEV('The List'!V2:V730)</f>
        <v>-0.694860791920228</v>
      </c>
      <c r="J540" s="46">
        <f>(VLOOKUP($A540,'The List'!$B1:$AH730,22,FALSE)-AVERAGE('The List'!W2:W730))/STDEV('The List'!W2:W730)</f>
        <v>-0.701564345945767</v>
      </c>
      <c r="K540" s="46">
        <f>(VLOOKUP($A540,'The List'!$B1:$AH730,23,FALSE)-AVERAGE('The List'!X2:X730))/STDEV('The List'!X2:X730)</f>
        <v>-0.79157974523812</v>
      </c>
      <c r="L540" s="46">
        <f>(VLOOKUP($A540,'The List'!$B1:$AH730,24,FALSE)-AVERAGE('The List'!Y2:Y730))/STDEV('The List'!Y2:Y730)</f>
        <v>-0.504746440254799</v>
      </c>
      <c r="M540" s="46">
        <f>(VLOOKUP($A540,'The List'!$B1:$AH730,25,FALSE)-AVERAGE('The List'!Z2:Z730))/STDEV('The List'!Z2:Z730)</f>
        <v>-0.679259321918992</v>
      </c>
      <c r="N540" s="46">
        <f>(VLOOKUP($A540,'The List'!$B1:$AH730,26,FALSE)-AVERAGE('The List'!AA2:AA730))/STDEV('The List'!AA2:AA730)</f>
        <v>-0.693115088916036</v>
      </c>
      <c r="O540" s="46">
        <f>(VLOOKUP($A540,'The List'!$B1:$AH730,27,FALSE)-AVERAGE('The List'!AB2:AB730))/STDEV('The List'!AB2:AB730)</f>
        <v>0.725327433006061</v>
      </c>
      <c r="P540" s="46">
        <f>(VLOOKUP($A540,'The List'!$B1:$AH730,28,FALSE)-AVERAGE('The List'!AC2:AC730))/STDEV('The List'!AC2:AC730)</f>
        <v>0.651829840493263</v>
      </c>
      <c r="Q540" s="46">
        <f>(VLOOKUP($A540,'The List'!$B1:$AH730,29,FALSE)-AVERAGE('The List'!AD2:AD730))/STDEV('The List'!AD2:AD730)</f>
        <v>1.2203359192962</v>
      </c>
      <c r="R540" s="46">
        <f>(VLOOKUP($A540,'The List'!$B1:$AH730,30,FALSE)-AVERAGE('The List'!AE2:AE730))/STDEV('The List'!AE2:AE730)</f>
        <v>-0.492840592378225</v>
      </c>
      <c r="S540" s="46">
        <f>(VLOOKUP($A540,'The List'!$B1:$AH730,31,FALSE)-AVERAGE('The List'!AF2:AF730))/STDEV('The List'!AF2:AF730)</f>
        <v>-0.542939629830881</v>
      </c>
      <c r="T540" s="46">
        <f>(VLOOKUP($A540,'The List'!$B1:$AH730,32,FALSE)-AVERAGE('The List'!AG2:AG730))/STDEV('The List'!AG2:AG730)</f>
        <v>-0.5933309648105149</v>
      </c>
      <c r="U540" s="46">
        <f>(VLOOKUP($A540,'The List'!$B1:$AH730,33,FALSE)-AVERAGE('The List'!AH2:AH730))/STDEV('The List'!AH2:AH730)</f>
        <v>1.75012225918623</v>
      </c>
      <c r="V540" s="46"/>
      <c r="W540" s="50"/>
      <c r="X540" s="48"/>
      <c r="Y540" s="48"/>
      <c r="Z540" s="48"/>
      <c r="AA540" s="48"/>
      <c r="AB540" s="48"/>
      <c r="AC540" s="51"/>
      <c r="AD540" s="52"/>
      <c r="AE540" s="46"/>
    </row>
    <row r="541" ht="21.25" customHeight="1">
      <c r="A541" t="s" s="8">
        <v>483</v>
      </c>
      <c r="B541" t="s" s="42">
        <f>VLOOKUP(A541,'Player Data'!A1:B734,2,FALSE)</f>
        <v>184</v>
      </c>
      <c r="C541" s="44">
        <f>((E541)*'Settings'!$C$12)+(F541*'Settings'!$C$2)+(G541*'Settings'!$C$3)+(H541*'Settings'!$C$4)+(I541*'Settings'!$C$5)+(K541*'Settings'!$C$9)+(N541*'Settings'!$C$6)+(J541*'Settings'!$C$8)+(O541*'Settings'!$C$7)+(P541*'Settings'!$C$14)+(Q541*'Settings'!$C$15)+(R541*'Settings'!$C$16)+(S541*'Settings'!$C$17)+(T541*'Settings'!$C$18)+(U541*'Settings'!$C$19)+(L541*'Settings'!$C$10)+('Settings'!$C$11*M541)</f>
        <v>-2.04151069853442</v>
      </c>
      <c r="D541" s="48">
        <f>IF('Settings'!$E$12="YES",VLOOKUP(A541,'Player Data'!A1:E734,5,FALSE),82)</f>
        <v>77.6685714285714</v>
      </c>
      <c r="E541" s="46">
        <f>(VLOOKUP($A541,'The List'!$B1:$AH730,17,FALSE)-AVERAGE('The List'!R2:R730))/STDEV('The List'!R2:R730)</f>
        <v>0.72110743066213</v>
      </c>
      <c r="F541" s="46">
        <f>(VLOOKUP($A541,'The List'!$B1:$AH730,18,FALSE)-AVERAGE('The List'!S2:S730))/STDEV('The List'!S2:S730)</f>
        <v>-0.862442081782744</v>
      </c>
      <c r="G541" s="46">
        <f>(VLOOKUP($A541,'The List'!$B1:$AH730,19,FALSE)-AVERAGE('The List'!T2:T730))/STDEV('The List'!T2:T730)</f>
        <v>-0.66984636138315</v>
      </c>
      <c r="H541" s="46">
        <f>(VLOOKUP($A541,'The List'!$B1:$AH730,20,FALSE)-AVERAGE('The List'!U2:U730))/STDEV('The List'!U2:U730)</f>
        <v>-0.805379921637575</v>
      </c>
      <c r="I541" s="46">
        <f>(VLOOKUP($A541,'The List'!$B1:$AH730,21,FALSE)-AVERAGE('The List'!V2:V730))/STDEV('The List'!V2:V730)</f>
        <v>-0.337833357921237</v>
      </c>
      <c r="J541" s="46">
        <f>(VLOOKUP($A541,'The List'!$B1:$AH730,22,FALSE)-AVERAGE('The List'!W2:W730))/STDEV('The List'!W2:W730)</f>
        <v>-0.680818280629219</v>
      </c>
      <c r="K541" s="46">
        <f>(VLOOKUP($A541,'The List'!$B1:$AH730,23,FALSE)-AVERAGE('The List'!X2:X730))/STDEV('The List'!X2:X730)</f>
        <v>-0.775849114982521</v>
      </c>
      <c r="L541" s="46">
        <f>(VLOOKUP($A541,'The List'!$B1:$AH730,24,FALSE)-AVERAGE('The List'!Y2:Y730))/STDEV('The List'!Y2:Y730)</f>
        <v>-0.508040613099925</v>
      </c>
      <c r="M541" s="46">
        <f>(VLOOKUP($A541,'The List'!$B1:$AH730,25,FALSE)-AVERAGE('The List'!Z2:Z730))/STDEV('The List'!Z2:Z730)</f>
        <v>-0.605688194572655</v>
      </c>
      <c r="N541" s="46">
        <f>(VLOOKUP($A541,'The List'!$B1:$AH730,26,FALSE)-AVERAGE('The List'!AA2:AA730))/STDEV('The List'!AA2:AA730)</f>
        <v>2.03054518765941</v>
      </c>
      <c r="O541" s="46">
        <f>(VLOOKUP($A541,'The List'!$B1:$AH730,27,FALSE)-AVERAGE('The List'!AB2:AB730))/STDEV('The List'!AB2:AB730)</f>
        <v>0.986480262159356</v>
      </c>
      <c r="P541" s="46">
        <f>(VLOOKUP($A541,'The List'!$B1:$AH730,28,FALSE)-AVERAGE('The List'!AC2:AC730))/STDEV('The List'!AC2:AC730)</f>
        <v>-1.42608497012418</v>
      </c>
      <c r="Q541" s="46">
        <f>(VLOOKUP($A541,'The List'!$B1:$AH730,29,FALSE)-AVERAGE('The List'!AD2:AD730))/STDEV('The List'!AD2:AD730)</f>
        <v>1.30565949568548</v>
      </c>
      <c r="R541" s="46">
        <f>(VLOOKUP($A541,'The List'!$B1:$AH730,30,FALSE)-AVERAGE('The List'!AE2:AE730))/STDEV('The List'!AE2:AE730)</f>
        <v>-0.811524163869871</v>
      </c>
      <c r="S541" s="46">
        <f>(VLOOKUP($A541,'The List'!$B1:$AH730,31,FALSE)-AVERAGE('The List'!AF2:AF730))/STDEV('The List'!AF2:AF730)</f>
        <v>-0.5569063253591</v>
      </c>
      <c r="T541" s="46">
        <f>(VLOOKUP($A541,'The List'!$B1:$AH730,32,FALSE)-AVERAGE('The List'!AG2:AG730))/STDEV('The List'!AG2:AG730)</f>
        <v>-0.600856269042678</v>
      </c>
      <c r="U541" s="46">
        <f>(VLOOKUP($A541,'The List'!$B1:$AH730,33,FALSE)-AVERAGE('The List'!AH2:AH730))/STDEV('The List'!AH2:AH730)</f>
        <v>-1.2363238714826</v>
      </c>
      <c r="V541" s="46"/>
      <c r="W541" s="50"/>
      <c r="X541" s="48"/>
      <c r="Y541" s="48"/>
      <c r="Z541" s="48"/>
      <c r="AA541" s="48"/>
      <c r="AB541" s="48"/>
      <c r="AC541" s="51"/>
      <c r="AD541" s="52"/>
      <c r="AE541" s="46"/>
    </row>
    <row r="542" ht="21.25" customHeight="1">
      <c r="A542" t="s" s="8">
        <v>770</v>
      </c>
      <c r="B542" t="s" s="42">
        <f>VLOOKUP(A542,'Player Data'!A1:B734,2,FALSE)</f>
        <v>151</v>
      </c>
      <c r="C542" s="44">
        <f>((E542)*'Settings'!$C$12)+(F542*'Settings'!$C$2)+(G542*'Settings'!$C$3)+(H542*'Settings'!$C$4)+(I542*'Settings'!$C$5)+(K542*'Settings'!$C$9)+(N542*'Settings'!$C$6)+(J542*'Settings'!$C$8)+(O542*'Settings'!$C$7)+(P542*'Settings'!$C$14)+(Q542*'Settings'!$C$15)+(R542*'Settings'!$C$16)+(S542*'Settings'!$C$17)+(T542*'Settings'!$C$18)+(U542*'Settings'!$C$19)+(L542*'Settings'!$C$10)+('Settings'!$C$11*M542)</f>
        <v>-2.40807900966274</v>
      </c>
      <c r="D542" s="48">
        <f>IF('Settings'!$E$12="YES",VLOOKUP(A542,'Player Data'!A1:E734,5,FALSE),82)</f>
        <v>79.0489285714286</v>
      </c>
      <c r="E542" s="46">
        <f>(VLOOKUP($A542,'The List'!$B1:$AH730,17,FALSE)-AVERAGE('The List'!R2:R730))/STDEV('The List'!R2:R730)</f>
        <v>-1.15029137257039</v>
      </c>
      <c r="F542" s="46">
        <f>(VLOOKUP($A542,'The List'!$B1:$AH730,18,FALSE)-AVERAGE('The List'!S2:S730))/STDEV('The List'!S2:S730)</f>
        <v>-0.495203650693598</v>
      </c>
      <c r="G542" s="46">
        <f>(VLOOKUP($A542,'The List'!$B1:$AH730,19,FALSE)-AVERAGE('The List'!T2:T730))/STDEV('The List'!T2:T730)</f>
        <v>-0.918130860433072</v>
      </c>
      <c r="H542" s="46">
        <f>(VLOOKUP($A542,'The List'!$B1:$AH730,20,FALSE)-AVERAGE('The List'!U2:U730))/STDEV('The List'!U2:U730)</f>
        <v>-0.791343200561346</v>
      </c>
      <c r="I542" s="46">
        <f>(VLOOKUP($A542,'The List'!$B1:$AH730,21,FALSE)-AVERAGE('The List'!V2:V730))/STDEV('The List'!V2:V730)</f>
        <v>-0.430517140687907</v>
      </c>
      <c r="J542" s="46">
        <f>(VLOOKUP($A542,'The List'!$B1:$AH730,22,FALSE)-AVERAGE('The List'!W2:W730))/STDEV('The List'!W2:W730)</f>
        <v>-0.702407030969938</v>
      </c>
      <c r="K542" s="46">
        <f>(VLOOKUP($A542,'The List'!$B1:$AH730,23,FALSE)-AVERAGE('The List'!X2:X730))/STDEV('The List'!X2:X730)</f>
        <v>-0.792161410803414</v>
      </c>
      <c r="L542" s="46">
        <f>(VLOOKUP($A542,'The List'!$B1:$AH730,24,FALSE)-AVERAGE('The List'!Y2:Y730))/STDEV('The List'!Y2:Y730)</f>
        <v>0.929563387559839</v>
      </c>
      <c r="M542" s="46">
        <f>(VLOOKUP($A542,'The List'!$B1:$AH730,25,FALSE)-AVERAGE('The List'!Z2:Z730))/STDEV('The List'!Z2:Z730)</f>
        <v>0.406483544237637</v>
      </c>
      <c r="N542" s="46">
        <f>(VLOOKUP($A542,'The List'!$B1:$AH730,26,FALSE)-AVERAGE('The List'!AA2:AA730))/STDEV('The List'!AA2:AA730)</f>
        <v>-0.639566426520754</v>
      </c>
      <c r="O542" s="46">
        <f>(VLOOKUP($A542,'The List'!$B1:$AH730,27,FALSE)-AVERAGE('The List'!AB2:AB730))/STDEV('The List'!AB2:AB730)</f>
        <v>0.042750499573048</v>
      </c>
      <c r="P542" s="46">
        <f>(VLOOKUP($A542,'The List'!$B1:$AH730,28,FALSE)-AVERAGE('The List'!AC2:AC730))/STDEV('The List'!AC2:AC730)</f>
        <v>0.8675004794760049</v>
      </c>
      <c r="Q542" s="46">
        <f>(VLOOKUP($A542,'The List'!$B1:$AH730,29,FALSE)-AVERAGE('The List'!AD2:AD730))/STDEV('The List'!AD2:AD730)</f>
        <v>-0.994071069923136</v>
      </c>
      <c r="R542" s="46">
        <f>(VLOOKUP($A542,'The List'!$B1:$AH730,30,FALSE)-AVERAGE('The List'!AE2:AE730))/STDEV('The List'!AE2:AE730)</f>
        <v>-0.297059543318852</v>
      </c>
      <c r="S542" s="46">
        <f>(VLOOKUP($A542,'The List'!$B1:$AH730,31,FALSE)-AVERAGE('The List'!AF2:AF730))/STDEV('The List'!AF2:AF730)</f>
        <v>-0.529236965481124</v>
      </c>
      <c r="T542" s="46">
        <f>(VLOOKUP($A542,'The List'!$B1:$AH730,32,FALSE)-AVERAGE('The List'!AG2:AG730))/STDEV('The List'!AG2:AG730)</f>
        <v>-0.514768474283491</v>
      </c>
      <c r="U542" s="46">
        <f>(VLOOKUP($A542,'The List'!$B1:$AH730,33,FALSE)-AVERAGE('The List'!AH2:AH730))/STDEV('The List'!AH2:AH730)</f>
        <v>-0.0952997334620161</v>
      </c>
      <c r="V542" s="46"/>
      <c r="W542" s="50"/>
      <c r="X542" s="48"/>
      <c r="Y542" s="48"/>
      <c r="Z542" s="48"/>
      <c r="AA542" s="48"/>
      <c r="AB542" s="48"/>
      <c r="AC542" s="51"/>
      <c r="AD542" s="52"/>
      <c r="AE542" s="46"/>
    </row>
    <row r="543" ht="21.25" customHeight="1">
      <c r="A543" t="s" s="8">
        <v>504</v>
      </c>
      <c r="B543" t="s" s="42">
        <f>VLOOKUP(A543,'Player Data'!A1:B734,2,FALSE)</f>
        <v>149</v>
      </c>
      <c r="C543" s="44">
        <f>((E543)*'Settings'!$C$12)+(F543*'Settings'!$C$2)+(G543*'Settings'!$C$3)+(H543*'Settings'!$C$4)+(I543*'Settings'!$C$5)+(K543*'Settings'!$C$9)+(N543*'Settings'!$C$6)+(J543*'Settings'!$C$8)+(O543*'Settings'!$C$7)+(P543*'Settings'!$C$14)+(Q543*'Settings'!$C$15)+(R543*'Settings'!$C$16)+(S543*'Settings'!$C$17)+(T543*'Settings'!$C$18)+(U543*'Settings'!$C$19)+(L543*'Settings'!$C$10)+('Settings'!$C$11*M543)</f>
        <v>-1.3425221548522</v>
      </c>
      <c r="D543" s="48">
        <f>IF('Settings'!$E$12="YES",VLOOKUP(A543,'Player Data'!A1:E734,5,FALSE),82)</f>
        <v>80.25964285714289</v>
      </c>
      <c r="E543" s="46">
        <f>(VLOOKUP($A543,'The List'!$B1:$AH730,17,FALSE)-AVERAGE('The List'!R2:R730))/STDEV('The List'!R2:R730)</f>
        <v>0.5500073757073241</v>
      </c>
      <c r="F543" s="46">
        <f>(VLOOKUP($A543,'The List'!$B1:$AH730,18,FALSE)-AVERAGE('The List'!S2:S730))/STDEV('The List'!S2:S730)</f>
        <v>-1.02067454100977</v>
      </c>
      <c r="G543" s="46">
        <f>(VLOOKUP($A543,'The List'!$B1:$AH730,19,FALSE)-AVERAGE('The List'!T2:T730))/STDEV('The List'!T2:T730)</f>
        <v>-0.5175598875170661</v>
      </c>
      <c r="H543" s="46">
        <f>(VLOOKUP($A543,'The List'!$B1:$AH730,20,FALSE)-AVERAGE('The List'!U2:U730))/STDEV('The List'!U2:U730)</f>
        <v>-0.783496254514396</v>
      </c>
      <c r="I543" s="46">
        <f>(VLOOKUP($A543,'The List'!$B1:$AH730,21,FALSE)-AVERAGE('The List'!V2:V730))/STDEV('The List'!V2:V730)</f>
        <v>-0.518074205510944</v>
      </c>
      <c r="J543" s="46">
        <f>(VLOOKUP($A543,'The List'!$B1:$AH730,22,FALSE)-AVERAGE('The List'!W2:W730))/STDEV('The List'!W2:W730)</f>
        <v>-0.710813623370073</v>
      </c>
      <c r="K543" s="46">
        <f>(VLOOKUP($A543,'The List'!$B1:$AH730,23,FALSE)-AVERAGE('The List'!X2:X730))/STDEV('The List'!X2:X730)</f>
        <v>-0.793454665500416</v>
      </c>
      <c r="L543" s="46">
        <f>(VLOOKUP($A543,'The List'!$B1:$AH730,24,FALSE)-AVERAGE('The List'!Y2:Y730))/STDEV('The List'!Y2:Y730)</f>
        <v>-0.496150375096685</v>
      </c>
      <c r="M543" s="46">
        <f>(VLOOKUP($A543,'The List'!$B1:$AH730,25,FALSE)-AVERAGE('The List'!Z2:Z730))/STDEV('The List'!Z2:Z730)</f>
        <v>-0.573955904262467</v>
      </c>
      <c r="N543" s="46">
        <f>(VLOOKUP($A543,'The List'!$B1:$AH730,26,FALSE)-AVERAGE('The List'!AA2:AA730))/STDEV('The List'!AA2:AA730)</f>
        <v>1.75811411282498</v>
      </c>
      <c r="O543" s="46">
        <f>(VLOOKUP($A543,'The List'!$B1:$AH730,27,FALSE)-AVERAGE('The List'!AB2:AB730))/STDEV('The List'!AB2:AB730)</f>
        <v>2.03413405850386</v>
      </c>
      <c r="P543" s="46">
        <f>(VLOOKUP($A543,'The List'!$B1:$AH730,28,FALSE)-AVERAGE('The List'!AC2:AC730))/STDEV('The List'!AC2:AC730)</f>
        <v>-0.250872968138984</v>
      </c>
      <c r="Q543" s="46">
        <f>(VLOOKUP($A543,'The List'!$B1:$AH730,29,FALSE)-AVERAGE('The List'!AD2:AD730))/STDEV('The List'!AD2:AD730)</f>
        <v>0.672217402521139</v>
      </c>
      <c r="R543" s="46">
        <f>(VLOOKUP($A543,'The List'!$B1:$AH730,30,FALSE)-AVERAGE('The List'!AE2:AE730))/STDEV('The List'!AE2:AE730)</f>
        <v>-0.908099056837944</v>
      </c>
      <c r="S543" s="46">
        <f>(VLOOKUP($A543,'The List'!$B1:$AH730,31,FALSE)-AVERAGE('The List'!AF2:AF730))/STDEV('The List'!AF2:AF730)</f>
        <v>-0.5569063253591</v>
      </c>
      <c r="T543" s="46">
        <f>(VLOOKUP($A543,'The List'!$B1:$AH730,32,FALSE)-AVERAGE('The List'!AG2:AG730))/STDEV('The List'!AG2:AG730)</f>
        <v>-0.600856269042678</v>
      </c>
      <c r="U543" s="46">
        <f>(VLOOKUP($A543,'The List'!$B1:$AH730,33,FALSE)-AVERAGE('The List'!AH2:AH730))/STDEV('The List'!AH2:AH730)</f>
        <v>-1.2363238714826</v>
      </c>
      <c r="V543" s="46"/>
      <c r="W543" s="48"/>
      <c r="X543" s="46"/>
      <c r="Y543" s="46"/>
      <c r="Z543" s="46"/>
      <c r="AA543" s="46"/>
      <c r="AB543" s="46"/>
      <c r="AC543" s="46"/>
      <c r="AD543" s="46"/>
      <c r="AE543" s="46"/>
    </row>
    <row r="544" ht="21.25" customHeight="1">
      <c r="A544" t="s" s="8">
        <v>815</v>
      </c>
      <c r="B544" t="s" s="42">
        <f>VLOOKUP(A544,'Player Data'!A1:B734,2,FALSE)</f>
        <v>156</v>
      </c>
      <c r="C544" s="44">
        <f>((E544)*'Settings'!$C$12)+(F544*'Settings'!$C$2)+(G544*'Settings'!$C$3)+(H544*'Settings'!$C$4)+(I544*'Settings'!$C$5)+(K544*'Settings'!$C$9)+(N544*'Settings'!$C$6)+(J544*'Settings'!$C$8)+(O544*'Settings'!$C$7)+(P544*'Settings'!$C$14)+(Q544*'Settings'!$C$15)+(R544*'Settings'!$C$16)+(S544*'Settings'!$C$17)+(T544*'Settings'!$C$18)+(U544*'Settings'!$C$19)+(L544*'Settings'!$C$10)+('Settings'!$C$11*M544)</f>
        <v>-3.95567914849376</v>
      </c>
      <c r="D544" s="48">
        <f>IF('Settings'!$E$12="YES",VLOOKUP(A544,'Player Data'!A1:E734,5,FALSE),82)</f>
        <v>61.1342857142857</v>
      </c>
      <c r="E544" s="46">
        <f>(VLOOKUP($A544,'The List'!$B1:$AH730,17,FALSE)-AVERAGE('The List'!R2:R730))/STDEV('The List'!R2:R730)</f>
        <v>-1.55127430533009</v>
      </c>
      <c r="F544" s="46">
        <f>(VLOOKUP($A544,'The List'!$B1:$AH730,18,FALSE)-AVERAGE('The List'!S2:S730))/STDEV('The List'!S2:S730)</f>
        <v>-0.575402602065998</v>
      </c>
      <c r="G544" s="46">
        <f>(VLOOKUP($A544,'The List'!$B1:$AH730,19,FALSE)-AVERAGE('The List'!T2:T730))/STDEV('The List'!T2:T730)</f>
        <v>-1.18463302421423</v>
      </c>
      <c r="H544" s="46">
        <f>(VLOOKUP($A544,'The List'!$B1:$AH730,20,FALSE)-AVERAGE('The List'!U2:U730))/STDEV('The List'!U2:U730)</f>
        <v>-0.992130413034219</v>
      </c>
      <c r="I544" s="46">
        <f>(VLOOKUP($A544,'The List'!$B1:$AH730,21,FALSE)-AVERAGE('The List'!V2:V730))/STDEV('The List'!V2:V730)</f>
        <v>-0.833829243231838</v>
      </c>
      <c r="J544" s="46">
        <f>(VLOOKUP($A544,'The List'!$B1:$AH730,22,FALSE)-AVERAGE('The List'!W2:W730))/STDEV('The List'!W2:W730)</f>
        <v>-0.276606082817054</v>
      </c>
      <c r="K544" s="46">
        <f>(VLOOKUP($A544,'The List'!$B1:$AH730,23,FALSE)-AVERAGE('The List'!X2:X730))/STDEV('The List'!X2:X730)</f>
        <v>-0.558681759037467</v>
      </c>
      <c r="L544" s="46">
        <f>(VLOOKUP($A544,'The List'!$B1:$AH730,24,FALSE)-AVERAGE('The List'!Y2:Y730))/STDEV('The List'!Y2:Y730)</f>
        <v>0.0121579466918827</v>
      </c>
      <c r="M544" s="46">
        <f>(VLOOKUP($A544,'The List'!$B1:$AH730,25,FALSE)-AVERAGE('The List'!Z2:Z730))/STDEV('The List'!Z2:Z730)</f>
        <v>-0.329003418835886</v>
      </c>
      <c r="N544" s="46">
        <f>(VLOOKUP($A544,'The List'!$B1:$AH730,26,FALSE)-AVERAGE('The List'!AA2:AA730))/STDEV('The List'!AA2:AA730)</f>
        <v>-0.637242246060347</v>
      </c>
      <c r="O544" s="46">
        <f>(VLOOKUP($A544,'The List'!$B1:$AH730,27,FALSE)-AVERAGE('The List'!AB2:AB730))/STDEV('The List'!AB2:AB730)</f>
        <v>-0.199599973509456</v>
      </c>
      <c r="P544" s="46">
        <f>(VLOOKUP($A544,'The List'!$B1:$AH730,28,FALSE)-AVERAGE('The List'!AC2:AC730))/STDEV('The List'!AC2:AC730)</f>
        <v>-0.16589027388388</v>
      </c>
      <c r="Q544" s="46">
        <f>(VLOOKUP($A544,'The List'!$B1:$AH730,29,FALSE)-AVERAGE('The List'!AD2:AD730))/STDEV('The List'!AD2:AD730)</f>
        <v>-0.679122513066681</v>
      </c>
      <c r="R544" s="46">
        <f>(VLOOKUP($A544,'The List'!$B1:$AH730,30,FALSE)-AVERAGE('The List'!AE2:AE730))/STDEV('The List'!AE2:AE730)</f>
        <v>-0.521123845012893</v>
      </c>
      <c r="S544" s="46">
        <f>(VLOOKUP($A544,'The List'!$B1:$AH730,31,FALSE)-AVERAGE('The List'!AF2:AF730))/STDEV('The List'!AF2:AF730)</f>
        <v>0.404057789102279</v>
      </c>
      <c r="T544" s="46">
        <f>(VLOOKUP($A544,'The List'!$B1:$AH730,32,FALSE)-AVERAGE('The List'!AG2:AG730))/STDEV('The List'!AG2:AG730)</f>
        <v>0.529596862905039</v>
      </c>
      <c r="U544" s="46">
        <f>(VLOOKUP($A544,'The List'!$B1:$AH730,33,FALSE)-AVERAGE('The List'!AH2:AH730))/STDEV('The List'!AH2:AH730)</f>
        <v>0.895569308728293</v>
      </c>
      <c r="V544" s="46"/>
      <c r="W544" s="50"/>
      <c r="X544" s="48"/>
      <c r="Y544" s="48"/>
      <c r="Z544" s="48"/>
      <c r="AA544" s="48"/>
      <c r="AB544" s="48"/>
      <c r="AC544" s="51"/>
      <c r="AD544" s="52"/>
      <c r="AE544" s="46"/>
    </row>
    <row r="545" ht="21.25" customHeight="1">
      <c r="A545" t="s" s="8">
        <v>597</v>
      </c>
      <c r="B545" t="s" s="42">
        <f>VLOOKUP(A545,'Player Data'!A1:B734,2,FALSE)</f>
        <v>166</v>
      </c>
      <c r="C545" s="44">
        <f>((E545)*'Settings'!$C$12)+(F545*'Settings'!$C$2)+(G545*'Settings'!$C$3)+(H545*'Settings'!$C$4)+(I545*'Settings'!$C$5)+(K545*'Settings'!$C$9)+(N545*'Settings'!$C$6)+(J545*'Settings'!$C$8)+(O545*'Settings'!$C$7)+(P545*'Settings'!$C$14)+(Q545*'Settings'!$C$15)+(R545*'Settings'!$C$16)+(S545*'Settings'!$C$17)+(T545*'Settings'!$C$18)+(U545*'Settings'!$C$19)+(L545*'Settings'!$C$10)+('Settings'!$C$11*M545)</f>
        <v>-3.13719796633447</v>
      </c>
      <c r="D545" s="48">
        <f>IF('Settings'!$E$12="YES",VLOOKUP(A545,'Player Data'!A1:E734,5,FALSE),82)</f>
        <v>62.4</v>
      </c>
      <c r="E545" s="46">
        <f>(VLOOKUP($A545,'The List'!$B1:$AH730,17,FALSE)-AVERAGE('The List'!R2:R730))/STDEV('The List'!R2:R730)</f>
        <v>0.696995128479131</v>
      </c>
      <c r="F545" s="46">
        <f>(VLOOKUP($A545,'The List'!$B1:$AH730,18,FALSE)-AVERAGE('The List'!S2:S730))/STDEV('The List'!S2:S730)</f>
        <v>-0.9813715187307031</v>
      </c>
      <c r="G545" s="46">
        <f>(VLOOKUP($A545,'The List'!$B1:$AH730,19,FALSE)-AVERAGE('The List'!T2:T730))/STDEV('The List'!T2:T730)</f>
        <v>-0.86573197276456</v>
      </c>
      <c r="H545" s="46">
        <f>(VLOOKUP($A545,'The List'!$B1:$AH730,20,FALSE)-AVERAGE('The List'!U2:U730))/STDEV('The List'!U2:U730)</f>
        <v>-0.980256105421082</v>
      </c>
      <c r="I545" s="46">
        <f>(VLOOKUP($A545,'The List'!$B1:$AH730,21,FALSE)-AVERAGE('The List'!V2:V730))/STDEV('The List'!V2:V730)</f>
        <v>-0.970611038557612</v>
      </c>
      <c r="J545" s="46">
        <f>(VLOOKUP($A545,'The List'!$B1:$AH730,22,FALSE)-AVERAGE('The List'!W2:W730))/STDEV('The List'!W2:W730)</f>
        <v>-0.709620280165243</v>
      </c>
      <c r="K545" s="46">
        <f>(VLOOKUP($A545,'The List'!$B1:$AH730,23,FALSE)-AVERAGE('The List'!X2:X730))/STDEV('The List'!X2:X730)</f>
        <v>-0.791883026582208</v>
      </c>
      <c r="L545" s="46">
        <f>(VLOOKUP($A545,'The List'!$B1:$AH730,24,FALSE)-AVERAGE('The List'!Y2:Y730))/STDEV('The List'!Y2:Y730)</f>
        <v>-0.49829044327862</v>
      </c>
      <c r="M545" s="46">
        <f>(VLOOKUP($A545,'The List'!$B1:$AH730,25,FALSE)-AVERAGE('The List'!Z2:Z730))/STDEV('The List'!Z2:Z730)</f>
        <v>-0.0151946424830239</v>
      </c>
      <c r="N545" s="46">
        <f>(VLOOKUP($A545,'The List'!$B1:$AH730,26,FALSE)-AVERAGE('The List'!AA2:AA730))/STDEV('The List'!AA2:AA730)</f>
        <v>1.75938733502331</v>
      </c>
      <c r="O545" s="46">
        <f>(VLOOKUP($A545,'The List'!$B1:$AH730,27,FALSE)-AVERAGE('The List'!AB2:AB730))/STDEV('The List'!AB2:AB730)</f>
        <v>0.423910001409156</v>
      </c>
      <c r="P545" s="46">
        <f>(VLOOKUP($A545,'The List'!$B1:$AH730,28,FALSE)-AVERAGE('The List'!AC2:AC730))/STDEV('The List'!AC2:AC730)</f>
        <v>-1.2869877447227</v>
      </c>
      <c r="Q545" s="46">
        <f>(VLOOKUP($A545,'The List'!$B1:$AH730,29,FALSE)-AVERAGE('The List'!AD2:AD730))/STDEV('The List'!AD2:AD730)</f>
        <v>0.40431717135592</v>
      </c>
      <c r="R545" s="46">
        <f>(VLOOKUP($A545,'The List'!$B1:$AH730,30,FALSE)-AVERAGE('The List'!AE2:AE730))/STDEV('The List'!AE2:AE730)</f>
        <v>-0.933011462263192</v>
      </c>
      <c r="S545" s="46">
        <f>(VLOOKUP($A545,'The List'!$B1:$AH730,31,FALSE)-AVERAGE('The List'!AF2:AF730))/STDEV('The List'!AF2:AF730)</f>
        <v>-0.5569063253591</v>
      </c>
      <c r="T545" s="46">
        <f>(VLOOKUP($A545,'The List'!$B1:$AH730,32,FALSE)-AVERAGE('The List'!AG2:AG730))/STDEV('The List'!AG2:AG730)</f>
        <v>-0.600856269042678</v>
      </c>
      <c r="U545" s="46">
        <f>(VLOOKUP($A545,'The List'!$B1:$AH730,33,FALSE)-AVERAGE('The List'!AH2:AH730))/STDEV('The List'!AH2:AH730)</f>
        <v>-1.2363238714826</v>
      </c>
      <c r="V545" s="46"/>
      <c r="W545" s="48"/>
      <c r="X545" s="46"/>
      <c r="Y545" s="46"/>
      <c r="Z545" s="46"/>
      <c r="AA545" s="46"/>
      <c r="AB545" s="46"/>
      <c r="AC545" s="46"/>
      <c r="AD545" s="46"/>
      <c r="AE545" s="46"/>
    </row>
    <row r="546" ht="21.25" customHeight="1">
      <c r="A546" t="s" s="8">
        <v>797</v>
      </c>
      <c r="B546" t="s" s="42">
        <f>VLOOKUP(A546,'Player Data'!A1:B734,2,FALSE)</f>
        <v>151</v>
      </c>
      <c r="C546" s="44">
        <f>((E546)*'Settings'!$C$12)+(F546*'Settings'!$C$2)+(G546*'Settings'!$C$3)+(H546*'Settings'!$C$4)+(I546*'Settings'!$C$5)+(K546*'Settings'!$C$9)+(N546*'Settings'!$C$6)+(J546*'Settings'!$C$8)+(O546*'Settings'!$C$7)+(P546*'Settings'!$C$14)+(Q546*'Settings'!$C$15)+(R546*'Settings'!$C$16)+(S546*'Settings'!$C$17)+(T546*'Settings'!$C$18)+(U546*'Settings'!$C$19)+(L546*'Settings'!$C$10)+('Settings'!$C$11*M546)</f>
        <v>-1.92395676921217</v>
      </c>
      <c r="D546" s="48">
        <f>IF('Settings'!$E$12="YES",VLOOKUP(A546,'Player Data'!A1:E734,5,FALSE),82)</f>
        <v>72</v>
      </c>
      <c r="E546" s="46">
        <f>(VLOOKUP($A546,'The List'!$B1:$AH730,17,FALSE)-AVERAGE('The List'!R2:R730))/STDEV('The List'!R2:R730)</f>
        <v>-0.956487573873766</v>
      </c>
      <c r="F546" s="46">
        <f>(VLOOKUP($A546,'The List'!$B1:$AH730,18,FALSE)-AVERAGE('The List'!S2:S730))/STDEV('The List'!S2:S730)</f>
        <v>-0.445097124731703</v>
      </c>
      <c r="G546" s="46">
        <f>(VLOOKUP($A546,'The List'!$B1:$AH730,19,FALSE)-AVERAGE('The List'!T2:T730))/STDEV('The List'!T2:T730)</f>
        <v>-1.11035375502629</v>
      </c>
      <c r="H546" s="46">
        <f>(VLOOKUP($A546,'The List'!$B1:$AH730,20,FALSE)-AVERAGE('The List'!U2:U730))/STDEV('The List'!U2:U730)</f>
        <v>-0.887046614328139</v>
      </c>
      <c r="I546" s="46">
        <f>(VLOOKUP($A546,'The List'!$B1:$AH730,21,FALSE)-AVERAGE('The List'!V2:V730))/STDEV('The List'!V2:V730)</f>
        <v>-0.7387473359430859</v>
      </c>
      <c r="J546" s="46">
        <f>(VLOOKUP($A546,'The List'!$B1:$AH730,22,FALSE)-AVERAGE('The List'!W2:W730))/STDEV('The List'!W2:W730)</f>
        <v>-0.658027478402775</v>
      </c>
      <c r="K546" s="46">
        <f>(VLOOKUP($A546,'The List'!$B1:$AH730,23,FALSE)-AVERAGE('The List'!X2:X730))/STDEV('The List'!X2:X730)</f>
        <v>-0.74890512069503</v>
      </c>
      <c r="L546" s="46">
        <f>(VLOOKUP($A546,'The List'!$B1:$AH730,24,FALSE)-AVERAGE('The List'!Y2:Y730))/STDEV('The List'!Y2:Y730)</f>
        <v>-0.00352348062409919</v>
      </c>
      <c r="M546" s="46">
        <f>(VLOOKUP($A546,'The List'!$B1:$AH730,25,FALSE)-AVERAGE('The List'!Z2:Z730))/STDEV('The List'!Z2:Z730)</f>
        <v>-0.322521272061468</v>
      </c>
      <c r="N546" s="46">
        <f>(VLOOKUP($A546,'The List'!$B1:$AH730,26,FALSE)-AVERAGE('The List'!AA2:AA730))/STDEV('The List'!AA2:AA730)</f>
        <v>0.356345110407515</v>
      </c>
      <c r="O546" s="46">
        <f>(VLOOKUP($A546,'The List'!$B1:$AH730,27,FALSE)-AVERAGE('The List'!AB2:AB730))/STDEV('The List'!AB2:AB730)</f>
        <v>-1.26766858154687</v>
      </c>
      <c r="P546" s="46">
        <f>(VLOOKUP($A546,'The List'!$B1:$AH730,28,FALSE)-AVERAGE('The List'!AC2:AC730))/STDEV('The List'!AC2:AC730)</f>
        <v>0.762801456776426</v>
      </c>
      <c r="Q546" s="46">
        <f>(VLOOKUP($A546,'The List'!$B1:$AH730,29,FALSE)-AVERAGE('The List'!AD2:AD730))/STDEV('The List'!AD2:AD730)</f>
        <v>-1.00522227310374</v>
      </c>
      <c r="R546" s="46">
        <f>(VLOOKUP($A546,'The List'!$B1:$AH730,30,FALSE)-AVERAGE('The List'!AE2:AE730))/STDEV('The List'!AE2:AE730)</f>
        <v>-0.241501401541163</v>
      </c>
      <c r="S546" s="46">
        <f>(VLOOKUP($A546,'The List'!$B1:$AH730,31,FALSE)-AVERAGE('The List'!AF2:AF730))/STDEV('The List'!AF2:AF730)</f>
        <v>0.708944549161494</v>
      </c>
      <c r="T546" s="46">
        <f>(VLOOKUP($A546,'The List'!$B1:$AH730,32,FALSE)-AVERAGE('The List'!AG2:AG730))/STDEV('The List'!AG2:AG730)</f>
        <v>0.708042447358859</v>
      </c>
      <c r="U546" s="46">
        <f>(VLOOKUP($A546,'The List'!$B1:$AH730,33,FALSE)-AVERAGE('The List'!AH2:AH730))/STDEV('The List'!AH2:AH730)</f>
        <v>1.04108367356845</v>
      </c>
      <c r="V546" s="46"/>
      <c r="W546" s="50"/>
      <c r="X546" s="48"/>
      <c r="Y546" s="48"/>
      <c r="Z546" s="48"/>
      <c r="AA546" s="48"/>
      <c r="AB546" s="48"/>
      <c r="AC546" s="51"/>
      <c r="AD546" s="52"/>
      <c r="AE546" s="46"/>
    </row>
    <row r="547" ht="21.25" customHeight="1">
      <c r="A547" t="s" s="8">
        <v>781</v>
      </c>
      <c r="B547" t="s" s="42">
        <f>VLOOKUP(A547,'Player Data'!A1:B734,2,FALSE)</f>
        <v>149</v>
      </c>
      <c r="C547" s="44">
        <f>((E547)*'Settings'!$C$12)+(F547*'Settings'!$C$2)+(G547*'Settings'!$C$3)+(H547*'Settings'!$C$4)+(I547*'Settings'!$C$5)+(K547*'Settings'!$C$9)+(N547*'Settings'!$C$6)+(J547*'Settings'!$C$8)+(O547*'Settings'!$C$7)+(P547*'Settings'!$C$14)+(Q547*'Settings'!$C$15)+(R547*'Settings'!$C$16)+(S547*'Settings'!$C$17)+(T547*'Settings'!$C$18)+(U547*'Settings'!$C$19)+(L547*'Settings'!$C$10)+('Settings'!$C$11*M547)</f>
        <v>-3.45756952301306</v>
      </c>
      <c r="D547" s="48">
        <f>IF('Settings'!$E$12="YES",VLOOKUP(A547,'Player Data'!A1:E734,5,FALSE),82)</f>
        <v>80.7525</v>
      </c>
      <c r="E547" s="46">
        <f>(VLOOKUP($A547,'The List'!$B1:$AH730,17,FALSE)-AVERAGE('The List'!R2:R730))/STDEV('The List'!R2:R730)</f>
        <v>-0.751254354789094</v>
      </c>
      <c r="F547" s="46">
        <f>(VLOOKUP($A547,'The List'!$B1:$AH730,18,FALSE)-AVERAGE('The List'!S2:S730))/STDEV('The List'!S2:S730)</f>
        <v>-0.606054067000907</v>
      </c>
      <c r="G547" s="46">
        <f>(VLOOKUP($A547,'The List'!$B1:$AH730,19,FALSE)-AVERAGE('The List'!T2:T730))/STDEV('The List'!T2:T730)</f>
        <v>-0.856010186078631</v>
      </c>
      <c r="H547" s="46">
        <f>(VLOOKUP($A547,'The List'!$B1:$AH730,20,FALSE)-AVERAGE('The List'!U2:U730))/STDEV('The List'!U2:U730)</f>
        <v>-0.80348578391838</v>
      </c>
      <c r="I547" s="46">
        <f>(VLOOKUP($A547,'The List'!$B1:$AH730,21,FALSE)-AVERAGE('The List'!V2:V730))/STDEV('The List'!V2:V730)</f>
        <v>-0.453760535884701</v>
      </c>
      <c r="J547" s="46">
        <f>(VLOOKUP($A547,'The List'!$B1:$AH730,22,FALSE)-AVERAGE('The List'!W2:W730))/STDEV('The List'!W2:W730)</f>
        <v>-0.701802241706372</v>
      </c>
      <c r="K547" s="46">
        <f>(VLOOKUP($A547,'The List'!$B1:$AH730,23,FALSE)-AVERAGE('The List'!X2:X730))/STDEV('The List'!X2:X730)</f>
        <v>-0.791266999751977</v>
      </c>
      <c r="L547" s="46">
        <f>(VLOOKUP($A547,'The List'!$B1:$AH730,24,FALSE)-AVERAGE('The List'!Y2:Y730))/STDEV('The List'!Y2:Y730)</f>
        <v>0.147425959849004</v>
      </c>
      <c r="M547" s="46">
        <f>(VLOOKUP($A547,'The List'!$B1:$AH730,25,FALSE)-AVERAGE('The List'!Z2:Z730))/STDEV('The List'!Z2:Z730)</f>
        <v>0.353401746221575</v>
      </c>
      <c r="N547" s="46">
        <f>(VLOOKUP($A547,'The List'!$B1:$AH730,26,FALSE)-AVERAGE('The List'!AA2:AA730))/STDEV('The List'!AA2:AA730)</f>
        <v>-0.193836688339683</v>
      </c>
      <c r="O547" s="46">
        <f>(VLOOKUP($A547,'The List'!$B1:$AH730,27,FALSE)-AVERAGE('The List'!AB2:AB730))/STDEV('The List'!AB2:AB730)</f>
        <v>1.48424601235174</v>
      </c>
      <c r="P547" s="46">
        <f>(VLOOKUP($A547,'The List'!$B1:$AH730,28,FALSE)-AVERAGE('The List'!AC2:AC730))/STDEV('The List'!AC2:AC730)</f>
        <v>-0.556641045957159</v>
      </c>
      <c r="Q547" s="46">
        <f>(VLOOKUP($A547,'The List'!$B1:$AH730,29,FALSE)-AVERAGE('The List'!AD2:AD730))/STDEV('The List'!AD2:AD730)</f>
        <v>0.6987628617635659</v>
      </c>
      <c r="R547" s="46">
        <f>(VLOOKUP($A547,'The List'!$B1:$AH730,30,FALSE)-AVERAGE('The List'!AE2:AE730))/STDEV('The List'!AE2:AE730)</f>
        <v>-0.491201594766934</v>
      </c>
      <c r="S547" s="46">
        <f>(VLOOKUP($A547,'The List'!$B1:$AH730,31,FALSE)-AVERAGE('The List'!AF2:AF730))/STDEV('The List'!AF2:AF730)</f>
        <v>1.86186220861826</v>
      </c>
      <c r="T547" s="46">
        <f>(VLOOKUP($A547,'The List'!$B1:$AH730,32,FALSE)-AVERAGE('The List'!AG2:AG730))/STDEV('The List'!AG2:AG730)</f>
        <v>1.55916227266411</v>
      </c>
      <c r="U547" s="46">
        <f>(VLOOKUP($A547,'The List'!$B1:$AH730,33,FALSE)-AVERAGE('The List'!AH2:AH730))/STDEV('The List'!AH2:AH730)</f>
        <v>1.206178333161</v>
      </c>
      <c r="V547" s="46"/>
      <c r="W547" s="50"/>
      <c r="X547" s="48"/>
      <c r="Y547" s="48"/>
      <c r="Z547" s="48"/>
      <c r="AA547" s="48"/>
      <c r="AB547" s="48"/>
      <c r="AC547" s="51"/>
      <c r="AD547" s="52"/>
      <c r="AE547" s="46"/>
    </row>
    <row r="548" ht="21.25" customHeight="1">
      <c r="A548" t="s" s="8">
        <v>805</v>
      </c>
      <c r="B548" t="s" s="42">
        <f>VLOOKUP(A548,'Player Data'!A1:B734,2,FALSE)</f>
        <v>122</v>
      </c>
      <c r="C548" s="44">
        <f>((E548)*'Settings'!$C$12)+(F548*'Settings'!$C$2)+(G548*'Settings'!$C$3)+(H548*'Settings'!$C$4)+(I548*'Settings'!$C$5)+(K548*'Settings'!$C$9)+(N548*'Settings'!$C$6)+(J548*'Settings'!$C$8)+(O548*'Settings'!$C$7)+(P548*'Settings'!$C$14)+(Q548*'Settings'!$C$15)+(R548*'Settings'!$C$16)+(S548*'Settings'!$C$17)+(T548*'Settings'!$C$18)+(U548*'Settings'!$C$19)+(L548*'Settings'!$C$10)+('Settings'!$C$11*M548)</f>
        <v>-4.1433613707542</v>
      </c>
      <c r="D548" s="48">
        <f>IF('Settings'!$E$12="YES",VLOOKUP(A548,'Player Data'!A1:E734,5,FALSE),82)</f>
        <v>81.1425</v>
      </c>
      <c r="E548" s="46">
        <f>(VLOOKUP($A548,'The List'!$B1:$AH730,17,FALSE)-AVERAGE('The List'!R2:R730))/STDEV('The List'!R2:R730)</f>
        <v>-1.43991981833724</v>
      </c>
      <c r="F548" s="46">
        <f>(VLOOKUP($A548,'The List'!$B1:$AH730,18,FALSE)-AVERAGE('The List'!S2:S730))/STDEV('The List'!S2:S730)</f>
        <v>-0.622904741568483</v>
      </c>
      <c r="G548" s="46">
        <f>(VLOOKUP($A548,'The List'!$B1:$AH730,19,FALSE)-AVERAGE('The List'!T2:T730))/STDEV('The List'!T2:T730)</f>
        <v>-0.838895985737628</v>
      </c>
      <c r="H548" s="46">
        <f>(VLOOKUP($A548,'The List'!$B1:$AH730,20,FALSE)-AVERAGE('The List'!U2:U730))/STDEV('The List'!U2:U730)</f>
        <v>-0.800602499231995</v>
      </c>
      <c r="I548" s="46">
        <f>(VLOOKUP($A548,'The List'!$B1:$AH730,21,FALSE)-AVERAGE('The List'!V2:V730))/STDEV('The List'!V2:V730)</f>
        <v>-0.9174723551595571</v>
      </c>
      <c r="J548" s="46">
        <f>(VLOOKUP($A548,'The List'!$B1:$AH730,22,FALSE)-AVERAGE('The List'!W2:W730))/STDEV('The List'!W2:W730)</f>
        <v>-0.695884184069019</v>
      </c>
      <c r="K548" s="46">
        <f>(VLOOKUP($A548,'The List'!$B1:$AH730,23,FALSE)-AVERAGE('The List'!X2:X730))/STDEV('The List'!X2:X730)</f>
        <v>-0.7909393835392799</v>
      </c>
      <c r="L548" s="46">
        <f>(VLOOKUP($A548,'The List'!$B1:$AH730,24,FALSE)-AVERAGE('The List'!Y2:Y730))/STDEV('The List'!Y2:Y730)</f>
        <v>-0.5384949102004301</v>
      </c>
      <c r="M548" s="46">
        <f>(VLOOKUP($A548,'The List'!$B1:$AH730,25,FALSE)-AVERAGE('The List'!Z2:Z730))/STDEV('The List'!Z2:Z730)</f>
        <v>-0.7166704825885351</v>
      </c>
      <c r="N548" s="46">
        <f>(VLOOKUP($A548,'The List'!$B1:$AH730,26,FALSE)-AVERAGE('The List'!AA2:AA730))/STDEV('The List'!AA2:AA730)</f>
        <v>-1.0306956742948</v>
      </c>
      <c r="O548" s="46">
        <f>(VLOOKUP($A548,'The List'!$B1:$AH730,27,FALSE)-AVERAGE('The List'!AB2:AB730))/STDEV('The List'!AB2:AB730)</f>
        <v>1.65976994906055</v>
      </c>
      <c r="P548" s="46">
        <f>(VLOOKUP($A548,'The List'!$B1:$AH730,28,FALSE)-AVERAGE('The List'!AC2:AC730))/STDEV('The List'!AC2:AC730)</f>
        <v>0.0575467695455456</v>
      </c>
      <c r="Q548" s="46">
        <f>(VLOOKUP($A548,'The List'!$B1:$AH730,29,FALSE)-AVERAGE('The List'!AD2:AD730))/STDEV('The List'!AD2:AD730)</f>
        <v>0.993932702190169</v>
      </c>
      <c r="R548" s="46">
        <f>(VLOOKUP($A548,'The List'!$B1:$AH730,30,FALSE)-AVERAGE('The List'!AE2:AE730))/STDEV('The List'!AE2:AE730)</f>
        <v>-0.449675005819998</v>
      </c>
      <c r="S548" s="46">
        <f>(VLOOKUP($A548,'The List'!$B1:$AH730,31,FALSE)-AVERAGE('The List'!AF2:AF730))/STDEV('The List'!AF2:AF730)</f>
        <v>-0.471275528981936</v>
      </c>
      <c r="T548" s="46">
        <f>(VLOOKUP($A548,'The List'!$B1:$AH730,32,FALSE)-AVERAGE('The List'!AG2:AG730))/STDEV('The List'!AG2:AG730)</f>
        <v>-0.49057623867365</v>
      </c>
      <c r="U548" s="46">
        <f>(VLOOKUP($A548,'The List'!$B1:$AH730,33,FALSE)-AVERAGE('The List'!AH2:AH730))/STDEV('The List'!AH2:AH730)</f>
        <v>0.79398681163439</v>
      </c>
      <c r="V548" s="46"/>
      <c r="W548" s="50"/>
      <c r="X548" s="48"/>
      <c r="Y548" s="48"/>
      <c r="Z548" s="48"/>
      <c r="AA548" s="48"/>
      <c r="AB548" s="48"/>
      <c r="AC548" s="51"/>
      <c r="AD548" s="52"/>
      <c r="AE548" s="46"/>
    </row>
    <row r="549" ht="21.25" customHeight="1">
      <c r="A549" t="s" s="8">
        <v>787</v>
      </c>
      <c r="B549" t="s" s="42">
        <f>VLOOKUP(A549,'Player Data'!A1:B734,2,FALSE)</f>
        <v>134</v>
      </c>
      <c r="C549" s="44">
        <f>((E549)*'Settings'!$C$12)+(F549*'Settings'!$C$2)+(G549*'Settings'!$C$3)+(H549*'Settings'!$C$4)+(I549*'Settings'!$C$5)+(K549*'Settings'!$C$9)+(N549*'Settings'!$C$6)+(J549*'Settings'!$C$8)+(O549*'Settings'!$C$7)+(P549*'Settings'!$C$14)+(Q549*'Settings'!$C$15)+(R549*'Settings'!$C$16)+(S549*'Settings'!$C$17)+(T549*'Settings'!$C$18)+(U549*'Settings'!$C$19)+(L549*'Settings'!$C$10)+('Settings'!$C$11*M549)</f>
        <v>-3.67846451766992</v>
      </c>
      <c r="D549" s="48">
        <f>IF('Settings'!$E$12="YES",VLOOKUP(A549,'Player Data'!A1:E734,5,FALSE),82)</f>
        <v>68.05249999999999</v>
      </c>
      <c r="E549" s="46">
        <f>(VLOOKUP($A549,'The List'!$B1:$AH730,17,FALSE)-AVERAGE('The List'!R2:R730))/STDEV('The List'!R2:R730)</f>
        <v>-1.52835351150827</v>
      </c>
      <c r="F549" s="46">
        <f>(VLOOKUP($A549,'The List'!$B1:$AH730,18,FALSE)-AVERAGE('The List'!S2:S730))/STDEV('The List'!S2:S730)</f>
        <v>-0.471429824469952</v>
      </c>
      <c r="G549" s="46">
        <f>(VLOOKUP($A549,'The List'!$B1:$AH730,19,FALSE)-AVERAGE('The List'!T2:T730))/STDEV('The List'!T2:T730)</f>
        <v>-1.16125012132589</v>
      </c>
      <c r="H549" s="46">
        <f>(VLOOKUP($A549,'The List'!$B1:$AH730,20,FALSE)-AVERAGE('The List'!U2:U730))/STDEV('The List'!U2:U730)</f>
        <v>-0.930405461687985</v>
      </c>
      <c r="I549" s="46">
        <f>(VLOOKUP($A549,'The List'!$B1:$AH730,21,FALSE)-AVERAGE('The List'!V2:V730))/STDEV('The List'!V2:V730)</f>
        <v>-0.615014364926482</v>
      </c>
      <c r="J549" s="46">
        <f>(VLOOKUP($A549,'The List'!$B1:$AH730,22,FALSE)-AVERAGE('The List'!W2:W730))/STDEV('The List'!W2:W730)</f>
        <v>-0.699471204034525</v>
      </c>
      <c r="K549" s="46">
        <f>(VLOOKUP($A549,'The List'!$B1:$AH730,23,FALSE)-AVERAGE('The List'!X2:X730))/STDEV('The List'!X2:X730)</f>
        <v>-0.789367532255823</v>
      </c>
      <c r="L549" s="46">
        <f>(VLOOKUP($A549,'The List'!$B1:$AH730,24,FALSE)-AVERAGE('The List'!Y2:Y730))/STDEV('The List'!Y2:Y730)</f>
        <v>0.765453999777689</v>
      </c>
      <c r="M549" s="46">
        <f>(VLOOKUP($A549,'The List'!$B1:$AH730,25,FALSE)-AVERAGE('The List'!Z2:Z730))/STDEV('The List'!Z2:Z730)</f>
        <v>0.210001150654043</v>
      </c>
      <c r="N549" s="46">
        <f>(VLOOKUP($A549,'The List'!$B1:$AH730,26,FALSE)-AVERAGE('The List'!AA2:AA730))/STDEV('The List'!AA2:AA730)</f>
        <v>-0.922143075745838</v>
      </c>
      <c r="O549" s="46">
        <f>(VLOOKUP($A549,'The List'!$B1:$AH730,27,FALSE)-AVERAGE('The List'!AB2:AB730))/STDEV('The List'!AB2:AB730)</f>
        <v>1.71572305765158</v>
      </c>
      <c r="P549" s="46">
        <f>(VLOOKUP($A549,'The List'!$B1:$AH730,28,FALSE)-AVERAGE('The List'!AC2:AC730))/STDEV('The List'!AC2:AC730)</f>
        <v>0.280740401054065</v>
      </c>
      <c r="Q549" s="46">
        <f>(VLOOKUP($A549,'The List'!$B1:$AH730,29,FALSE)-AVERAGE('The List'!AD2:AD730))/STDEV('The List'!AD2:AD730)</f>
        <v>1.77086263748639</v>
      </c>
      <c r="R549" s="46">
        <f>(VLOOKUP($A549,'The List'!$B1:$AH730,30,FALSE)-AVERAGE('The List'!AE2:AE730))/STDEV('The List'!AE2:AE730)</f>
        <v>-0.32336955029186</v>
      </c>
      <c r="S549" s="46">
        <f>(VLOOKUP($A549,'The List'!$B1:$AH730,31,FALSE)-AVERAGE('The List'!AF2:AF730))/STDEV('The List'!AF2:AF730)</f>
        <v>-0.528353983711178</v>
      </c>
      <c r="T549" s="46">
        <f>(VLOOKUP($A549,'The List'!$B1:$AH730,32,FALSE)-AVERAGE('The List'!AG2:AG730))/STDEV('The List'!AG2:AG730)</f>
        <v>-0.525779792758463</v>
      </c>
      <c r="U549" s="46">
        <f>(VLOOKUP($A549,'The List'!$B1:$AH730,33,FALSE)-AVERAGE('The List'!AH2:AH730))/STDEV('The List'!AH2:AH730)</f>
        <v>0.0540606333559802</v>
      </c>
      <c r="V549" s="46"/>
      <c r="W549" s="48"/>
      <c r="X549" s="46"/>
      <c r="Y549" s="46"/>
      <c r="Z549" s="46"/>
      <c r="AA549" s="46"/>
      <c r="AB549" s="46"/>
      <c r="AC549" s="46"/>
      <c r="AD549" s="46"/>
      <c r="AE549" s="46"/>
    </row>
    <row r="550" ht="21.25" customHeight="1">
      <c r="A550" t="s" s="8">
        <v>650</v>
      </c>
      <c r="B550" t="s" s="42">
        <f>VLOOKUP(A550,'Player Data'!A1:B734,2,FALSE)</f>
        <v>156</v>
      </c>
      <c r="C550" s="44">
        <f>((E550)*'Settings'!$C$12)+(F550*'Settings'!$C$2)+(G550*'Settings'!$C$3)+(H550*'Settings'!$C$4)+(I550*'Settings'!$C$5)+(K550*'Settings'!$C$9)+(N550*'Settings'!$C$6)+(J550*'Settings'!$C$8)+(O550*'Settings'!$C$7)+(P550*'Settings'!$C$14)+(Q550*'Settings'!$C$15)+(R550*'Settings'!$C$16)+(S550*'Settings'!$C$17)+(T550*'Settings'!$C$18)+(U550*'Settings'!$C$19)+(L550*'Settings'!$C$10)+('Settings'!$C$11*M550)</f>
        <v>-3.84444457352819</v>
      </c>
      <c r="D550" s="48">
        <f>IF('Settings'!$E$12="YES",VLOOKUP(A550,'Player Data'!A1:E734,5,FALSE),82)</f>
        <v>58.9382142857143</v>
      </c>
      <c r="E550" s="46">
        <f>(VLOOKUP($A550,'The List'!$B1:$AH730,17,FALSE)-AVERAGE('The List'!R2:R730))/STDEV('The List'!R2:R730)</f>
        <v>-0.30856281085872</v>
      </c>
      <c r="F550" s="46">
        <f>(VLOOKUP($A550,'The List'!$B1:$AH730,18,FALSE)-AVERAGE('The List'!S2:S730))/STDEV('The List'!S2:S730)</f>
        <v>-1.06228682626309</v>
      </c>
      <c r="G550" s="46">
        <f>(VLOOKUP($A550,'The List'!$B1:$AH730,19,FALSE)-AVERAGE('The List'!T2:T730))/STDEV('The List'!T2:T730)</f>
        <v>-0.8708876529842891</v>
      </c>
      <c r="H550" s="46">
        <f>(VLOOKUP($A550,'The List'!$B1:$AH730,20,FALSE)-AVERAGE('The List'!U2:U730))/STDEV('The List'!U2:U730)</f>
        <v>-1.02025260225222</v>
      </c>
      <c r="I550" s="46">
        <f>(VLOOKUP($A550,'The List'!$B1:$AH730,21,FALSE)-AVERAGE('The List'!V2:V730))/STDEV('The List'!V2:V730)</f>
        <v>-1.17053984321182</v>
      </c>
      <c r="J550" s="46">
        <f>(VLOOKUP($A550,'The List'!$B1:$AH730,22,FALSE)-AVERAGE('The List'!W2:W730))/STDEV('The List'!W2:W730)</f>
        <v>-0.6810674843761469</v>
      </c>
      <c r="K550" s="46">
        <f>(VLOOKUP($A550,'The List'!$B1:$AH730,23,FALSE)-AVERAGE('The List'!X2:X730))/STDEV('The List'!X2:X730)</f>
        <v>-0.673078696750976</v>
      </c>
      <c r="L550" s="46">
        <f>(VLOOKUP($A550,'The List'!$B1:$AH730,24,FALSE)-AVERAGE('The List'!Y2:Y730))/STDEV('The List'!Y2:Y730)</f>
        <v>-0.531134003711497</v>
      </c>
      <c r="M550" s="46">
        <f>(VLOOKUP($A550,'The List'!$B1:$AH730,25,FALSE)-AVERAGE('The List'!Z2:Z730))/STDEV('The List'!Z2:Z730)</f>
        <v>-0.694598182491005</v>
      </c>
      <c r="N550" s="46">
        <f>(VLOOKUP($A550,'The List'!$B1:$AH730,26,FALSE)-AVERAGE('The List'!AA2:AA730))/STDEV('The List'!AA2:AA730)</f>
        <v>-0.0576218203309438</v>
      </c>
      <c r="O550" s="46">
        <f>(VLOOKUP($A550,'The List'!$B1:$AH730,27,FALSE)-AVERAGE('The List'!AB2:AB730))/STDEV('The List'!AB2:AB730)</f>
        <v>-0.838366700860962</v>
      </c>
      <c r="P550" s="46">
        <f>(VLOOKUP($A550,'The List'!$B1:$AH730,28,FALSE)-AVERAGE('The List'!AC2:AC730))/STDEV('The List'!AC2:AC730)</f>
        <v>-0.0100297339870689</v>
      </c>
      <c r="Q550" s="46">
        <f>(VLOOKUP($A550,'The List'!$B1:$AH730,29,FALSE)-AVERAGE('The List'!AD2:AD730))/STDEV('The List'!AD2:AD730)</f>
        <v>-0.723948481327511</v>
      </c>
      <c r="R550" s="46">
        <f>(VLOOKUP($A550,'The List'!$B1:$AH730,30,FALSE)-AVERAGE('The List'!AE2:AE730))/STDEV('The List'!AE2:AE730)</f>
        <v>-0.969614881562209</v>
      </c>
      <c r="S550" s="46">
        <f>(VLOOKUP($A550,'The List'!$B1:$AH730,31,FALSE)-AVERAGE('The List'!AF2:AF730))/STDEV('The List'!AF2:AF730)</f>
        <v>-0.5569063253591</v>
      </c>
      <c r="T550" s="46">
        <f>(VLOOKUP($A550,'The List'!$B1:$AH730,32,FALSE)-AVERAGE('The List'!AG2:AG730))/STDEV('The List'!AG2:AG730)</f>
        <v>-0.600856269042678</v>
      </c>
      <c r="U550" s="46">
        <f>(VLOOKUP($A550,'The List'!$B1:$AH730,33,FALSE)-AVERAGE('The List'!AH2:AH730))/STDEV('The List'!AH2:AH730)</f>
        <v>-1.2363238714826</v>
      </c>
      <c r="V550" s="46"/>
      <c r="W550" s="48"/>
      <c r="X550" s="46"/>
      <c r="Y550" s="46"/>
      <c r="Z550" s="46"/>
      <c r="AA550" s="46"/>
      <c r="AB550" s="46"/>
      <c r="AC550" s="46"/>
      <c r="AD550" s="46"/>
      <c r="AE550" s="46"/>
    </row>
    <row r="551" ht="21.25" customHeight="1">
      <c r="A551" t="s" s="8">
        <v>791</v>
      </c>
      <c r="B551" t="s" s="42">
        <f>VLOOKUP(A551,'Player Data'!A1:B734,2,FALSE)</f>
        <v>136</v>
      </c>
      <c r="C551" s="44">
        <f>((E551)*'Settings'!$C$12)+(F551*'Settings'!$C$2)+(G551*'Settings'!$C$3)+(H551*'Settings'!$C$4)+(I551*'Settings'!$C$5)+(K551*'Settings'!$C$9)+(N551*'Settings'!$C$6)+(J551*'Settings'!$C$8)+(O551*'Settings'!$C$7)+(P551*'Settings'!$C$14)+(Q551*'Settings'!$C$15)+(R551*'Settings'!$C$16)+(S551*'Settings'!$C$17)+(T551*'Settings'!$C$18)+(U551*'Settings'!$C$19)+(L551*'Settings'!$C$10)+('Settings'!$C$11*M551)</f>
        <v>-2.26670468918279</v>
      </c>
      <c r="D551" s="48">
        <f>IF('Settings'!$E$12="YES",VLOOKUP(A551,'Player Data'!A1:E734,5,FALSE),82)</f>
        <v>81.01857142857141</v>
      </c>
      <c r="E551" s="46">
        <f>(VLOOKUP($A551,'The List'!$B1:$AH730,17,FALSE)-AVERAGE('The List'!R2:R730))/STDEV('The List'!R2:R730)</f>
        <v>-0.900524638612075</v>
      </c>
      <c r="F551" s="46">
        <f>(VLOOKUP($A551,'The List'!$B1:$AH730,18,FALSE)-AVERAGE('The List'!S2:S730))/STDEV('The List'!S2:S730)</f>
        <v>-0.562077411997297</v>
      </c>
      <c r="G551" s="46">
        <f>(VLOOKUP($A551,'The List'!$B1:$AH730,19,FALSE)-AVERAGE('The List'!T2:T730))/STDEV('The List'!T2:T730)</f>
        <v>-0.89085840151681</v>
      </c>
      <c r="H551" s="46">
        <f>(VLOOKUP($A551,'The List'!$B1:$AH730,20,FALSE)-AVERAGE('The List'!U2:U730))/STDEV('The List'!U2:U730)</f>
        <v>-0.804958990693098</v>
      </c>
      <c r="I551" s="46">
        <f>(VLOOKUP($A551,'The List'!$B1:$AH730,21,FALSE)-AVERAGE('The List'!V2:V730))/STDEV('The List'!V2:V730)</f>
        <v>-0.753520168934266</v>
      </c>
      <c r="J551" s="46">
        <f>(VLOOKUP($A551,'The List'!$B1:$AH730,22,FALSE)-AVERAGE('The List'!W2:W730))/STDEV('The List'!W2:W730)</f>
        <v>-0.696816447540152</v>
      </c>
      <c r="K551" s="46">
        <f>(VLOOKUP($A551,'The List'!$B1:$AH730,23,FALSE)-AVERAGE('The List'!X2:X730))/STDEV('The List'!X2:X730)</f>
        <v>-0.7903012252493919</v>
      </c>
      <c r="L551" s="46">
        <f>(VLOOKUP($A551,'The List'!$B1:$AH730,24,FALSE)-AVERAGE('The List'!Y2:Y730))/STDEV('The List'!Y2:Y730)</f>
        <v>1.34229183048518</v>
      </c>
      <c r="M551" s="46">
        <f>(VLOOKUP($A551,'The List'!$B1:$AH730,25,FALSE)-AVERAGE('The List'!Z2:Z730))/STDEV('The List'!Z2:Z730)</f>
        <v>1.46006156269494</v>
      </c>
      <c r="N551" s="46">
        <f>(VLOOKUP($A551,'The List'!$B1:$AH730,26,FALSE)-AVERAGE('The List'!AA2:AA730))/STDEV('The List'!AA2:AA730)</f>
        <v>0.0631398341021073</v>
      </c>
      <c r="O551" s="46">
        <f>(VLOOKUP($A551,'The List'!$B1:$AH730,27,FALSE)-AVERAGE('The List'!AB2:AB730))/STDEV('The List'!AB2:AB730)</f>
        <v>0.0991356996227573</v>
      </c>
      <c r="P551" s="46">
        <f>(VLOOKUP($A551,'The List'!$B1:$AH730,28,FALSE)-AVERAGE('The List'!AC2:AC730))/STDEV('The List'!AC2:AC730)</f>
        <v>0.666912684412864</v>
      </c>
      <c r="Q551" s="46">
        <f>(VLOOKUP($A551,'The List'!$B1:$AH730,29,FALSE)-AVERAGE('The List'!AD2:AD730))/STDEV('The List'!AD2:AD730)</f>
        <v>0.41630715898928</v>
      </c>
      <c r="R551" s="46">
        <f>(VLOOKUP($A551,'The List'!$B1:$AH730,30,FALSE)-AVERAGE('The List'!AE2:AE730))/STDEV('The List'!AE2:AE730)</f>
        <v>-0.42087120727476</v>
      </c>
      <c r="S551" s="46">
        <f>(VLOOKUP($A551,'The List'!$B1:$AH730,31,FALSE)-AVERAGE('The List'!AF2:AF730))/STDEV('The List'!AF2:AF730)</f>
        <v>1.03765581941374</v>
      </c>
      <c r="T551" s="46">
        <f>(VLOOKUP($A551,'The List'!$B1:$AH730,32,FALSE)-AVERAGE('The List'!AG2:AG730))/STDEV('The List'!AG2:AG730)</f>
        <v>0.737784842197051</v>
      </c>
      <c r="U551" s="46">
        <f>(VLOOKUP($A551,'The List'!$B1:$AH730,33,FALSE)-AVERAGE('The List'!AH2:AH730))/STDEV('The List'!AH2:AH730)</f>
        <v>1.27529733855009</v>
      </c>
      <c r="V551" s="46"/>
      <c r="W551" s="50"/>
      <c r="X551" s="48"/>
      <c r="Y551" s="48"/>
      <c r="Z551" s="48"/>
      <c r="AA551" s="48"/>
      <c r="AB551" s="48"/>
      <c r="AC551" s="51"/>
      <c r="AD551" s="52"/>
      <c r="AE551" s="46"/>
    </row>
    <row r="552" ht="21.25" customHeight="1">
      <c r="A552" t="s" s="8">
        <v>827</v>
      </c>
      <c r="B552" t="s" s="42">
        <f>VLOOKUP(A552,'Player Data'!A1:B734,2,FALSE)</f>
        <v>108</v>
      </c>
      <c r="C552" s="44">
        <f>((E552)*'Settings'!$C$12)+(F552*'Settings'!$C$2)+(G552*'Settings'!$C$3)+(H552*'Settings'!$C$4)+(I552*'Settings'!$C$5)+(K552*'Settings'!$C$9)+(N552*'Settings'!$C$6)+(J552*'Settings'!$C$8)+(O552*'Settings'!$C$7)+(P552*'Settings'!$C$14)+(Q552*'Settings'!$C$15)+(R552*'Settings'!$C$16)+(S552*'Settings'!$C$17)+(T552*'Settings'!$C$18)+(U552*'Settings'!$C$19)+(L552*'Settings'!$C$10)+('Settings'!$C$11*M552)</f>
        <v>-3.5480491756528</v>
      </c>
      <c r="D552" s="48">
        <f>IF('Settings'!$E$12="YES",VLOOKUP(A552,'Player Data'!A1:E734,5,FALSE),82)</f>
        <v>69.16500000000001</v>
      </c>
      <c r="E552" s="46">
        <f>(VLOOKUP($A552,'The List'!$B1:$AH730,17,FALSE)-AVERAGE('The List'!R2:R730))/STDEV('The List'!R2:R730)</f>
        <v>-1.90565458570554</v>
      </c>
      <c r="F552" s="46">
        <f>(VLOOKUP($A552,'The List'!$B1:$AH730,18,FALSE)-AVERAGE('The List'!S2:S730))/STDEV('The List'!S2:S730)</f>
        <v>-0.722222171080296</v>
      </c>
      <c r="G552" s="46">
        <f>(VLOOKUP($A552,'The List'!$B1:$AH730,19,FALSE)-AVERAGE('The List'!T2:T730))/STDEV('The List'!T2:T730)</f>
        <v>-0.964041114269262</v>
      </c>
      <c r="H552" s="46">
        <f>(VLOOKUP($A552,'The List'!$B1:$AH730,20,FALSE)-AVERAGE('The List'!U2:U730))/STDEV('The List'!U2:U730)</f>
        <v>-0.922944248412793</v>
      </c>
      <c r="I552" s="46">
        <f>(VLOOKUP($A552,'The List'!$B1:$AH730,21,FALSE)-AVERAGE('The List'!V2:V730))/STDEV('The List'!V2:V730)</f>
        <v>-1.17313744615647</v>
      </c>
      <c r="J552" s="46">
        <f>(VLOOKUP($A552,'The List'!$B1:$AH730,22,FALSE)-AVERAGE('The List'!W2:W730))/STDEV('The List'!W2:W730)</f>
        <v>-0.603904107968656</v>
      </c>
      <c r="K552" s="46">
        <f>(VLOOKUP($A552,'The List'!$B1:$AH730,23,FALSE)-AVERAGE('The List'!X2:X730))/STDEV('The List'!X2:X730)</f>
        <v>-0.698499795613184</v>
      </c>
      <c r="L552" s="46">
        <f>(VLOOKUP($A552,'The List'!$B1:$AH730,24,FALSE)-AVERAGE('The List'!Y2:Y730))/STDEV('The List'!Y2:Y730)</f>
        <v>-0.537566750568783</v>
      </c>
      <c r="M552" s="46">
        <f>(VLOOKUP($A552,'The List'!$B1:$AH730,25,FALSE)-AVERAGE('The List'!Z2:Z730))/STDEV('The List'!Z2:Z730)</f>
        <v>-0.715956960649632</v>
      </c>
      <c r="N552" s="46">
        <f>(VLOOKUP($A552,'The List'!$B1:$AH730,26,FALSE)-AVERAGE('The List'!AA2:AA730))/STDEV('The List'!AA2:AA730)</f>
        <v>-0.938380589572728</v>
      </c>
      <c r="O552" s="46">
        <f>(VLOOKUP($A552,'The List'!$B1:$AH730,27,FALSE)-AVERAGE('The List'!AB2:AB730))/STDEV('The List'!AB2:AB730)</f>
        <v>0.343988222402665</v>
      </c>
      <c r="P552" s="46">
        <f>(VLOOKUP($A552,'The List'!$B1:$AH730,28,FALSE)-AVERAGE('The List'!AC2:AC730))/STDEV('The List'!AC2:AC730)</f>
        <v>0.948231941039142</v>
      </c>
      <c r="Q552" s="46">
        <f>(VLOOKUP($A552,'The List'!$B1:$AH730,29,FALSE)-AVERAGE('The List'!AD2:AD730))/STDEV('The List'!AD2:AD730)</f>
        <v>-0.39959751562861</v>
      </c>
      <c r="R552" s="46">
        <f>(VLOOKUP($A552,'The List'!$B1:$AH730,30,FALSE)-AVERAGE('The List'!AE2:AE730))/STDEV('The List'!AE2:AE730)</f>
        <v>-0.593952539621963</v>
      </c>
      <c r="S552" s="46">
        <f>(VLOOKUP($A552,'The List'!$B1:$AH730,31,FALSE)-AVERAGE('The List'!AF2:AF730))/STDEV('The List'!AF2:AF730)</f>
        <v>-0.412659493229028</v>
      </c>
      <c r="T552" s="46">
        <f>(VLOOKUP($A552,'The List'!$B1:$AH730,32,FALSE)-AVERAGE('The List'!AG2:AG730))/STDEV('The List'!AG2:AG730)</f>
        <v>-0.325010875916792</v>
      </c>
      <c r="U552" s="46">
        <f>(VLOOKUP($A552,'The List'!$B1:$AH730,33,FALSE)-AVERAGE('The List'!AH2:AH730))/STDEV('The List'!AH2:AH730)</f>
        <v>0.366250432913698</v>
      </c>
      <c r="V552" s="46"/>
      <c r="W552" s="50"/>
      <c r="X552" s="48"/>
      <c r="Y552" s="48"/>
      <c r="Z552" s="48"/>
      <c r="AA552" s="48"/>
      <c r="AB552" s="48"/>
      <c r="AC552" s="51"/>
      <c r="AD552" s="52"/>
      <c r="AE552" s="46"/>
    </row>
    <row r="553" ht="21.25" customHeight="1">
      <c r="A553" t="s" s="8">
        <v>814</v>
      </c>
      <c r="B553" t="s" s="42">
        <f>VLOOKUP(A553,'Player Data'!A1:B734,2,FALSE)</f>
        <v>122</v>
      </c>
      <c r="C553" s="44">
        <f>((E553)*'Settings'!$C$12)+(F553*'Settings'!$C$2)+(G553*'Settings'!$C$3)+(H553*'Settings'!$C$4)+(I553*'Settings'!$C$5)+(K553*'Settings'!$C$9)+(N553*'Settings'!$C$6)+(J553*'Settings'!$C$8)+(O553*'Settings'!$C$7)+(P553*'Settings'!$C$14)+(Q553*'Settings'!$C$15)+(R553*'Settings'!$C$16)+(S553*'Settings'!$C$17)+(T553*'Settings'!$C$18)+(U553*'Settings'!$C$19)+(L553*'Settings'!$C$10)+('Settings'!$C$11*M553)</f>
        <v>-3.41198316589757</v>
      </c>
      <c r="D553" s="48">
        <f>IF('Settings'!$E$12="YES",VLOOKUP(A553,'Player Data'!A1:E734,5,FALSE),82)</f>
        <v>68.2</v>
      </c>
      <c r="E553" s="46">
        <f>(VLOOKUP($A553,'The List'!$B1:$AH730,17,FALSE)-AVERAGE('The List'!R2:R730))/STDEV('The List'!R2:R730)</f>
        <v>-1.11798207867067</v>
      </c>
      <c r="F553" s="46">
        <f>(VLOOKUP($A553,'The List'!$B1:$AH730,18,FALSE)-AVERAGE('The List'!S2:S730))/STDEV('The List'!S2:S730)</f>
        <v>-0.754821740159515</v>
      </c>
      <c r="G553" s="46">
        <f>(VLOOKUP($A553,'The List'!$B1:$AH730,19,FALSE)-AVERAGE('The List'!T2:T730))/STDEV('The List'!T2:T730)</f>
        <v>-0.9553810657811</v>
      </c>
      <c r="H553" s="46">
        <f>(VLOOKUP($A553,'The List'!$B1:$AH730,20,FALSE)-AVERAGE('The List'!U2:U730))/STDEV('The List'!U2:U730)</f>
        <v>-0.932438900082916</v>
      </c>
      <c r="I553" s="46">
        <f>(VLOOKUP($A553,'The List'!$B1:$AH730,21,FALSE)-AVERAGE('The List'!V2:V730))/STDEV('The List'!V2:V730)</f>
        <v>-0.902853422000236</v>
      </c>
      <c r="J553" s="46">
        <f>(VLOOKUP($A553,'The List'!$B1:$AH730,22,FALSE)-AVERAGE('The List'!W2:W730))/STDEV('The List'!W2:W730)</f>
        <v>-0.70105664777132</v>
      </c>
      <c r="K553" s="46">
        <f>(VLOOKUP($A553,'The List'!$B1:$AH730,23,FALSE)-AVERAGE('The List'!X2:X730))/STDEV('The List'!X2:X730)</f>
        <v>-0.7905205217857471</v>
      </c>
      <c r="L553" s="46">
        <f>(VLOOKUP($A553,'The List'!$B1:$AH730,24,FALSE)-AVERAGE('The List'!Y2:Y730))/STDEV('The List'!Y2:Y730)</f>
        <v>0.383026517551161</v>
      </c>
      <c r="M553" s="46">
        <f>(VLOOKUP($A553,'The List'!$B1:$AH730,25,FALSE)-AVERAGE('The List'!Z2:Z730))/STDEV('The List'!Z2:Z730)</f>
        <v>-0.0415863474763138</v>
      </c>
      <c r="N553" s="46">
        <f>(VLOOKUP($A553,'The List'!$B1:$AH730,26,FALSE)-AVERAGE('The List'!AA2:AA730))/STDEV('The List'!AA2:AA730)</f>
        <v>-0.300580988053178</v>
      </c>
      <c r="O553" s="46">
        <f>(VLOOKUP($A553,'The List'!$B1:$AH730,27,FALSE)-AVERAGE('The List'!AB2:AB730))/STDEV('The List'!AB2:AB730)</f>
        <v>1.78331536822114</v>
      </c>
      <c r="P553" s="46">
        <f>(VLOOKUP($A553,'The List'!$B1:$AH730,28,FALSE)-AVERAGE('The List'!AC2:AC730))/STDEV('The List'!AC2:AC730)</f>
        <v>0.292174571882211</v>
      </c>
      <c r="Q553" s="46">
        <f>(VLOOKUP($A553,'The List'!$B1:$AH730,29,FALSE)-AVERAGE('The List'!AD2:AD730))/STDEV('The List'!AD2:AD730)</f>
        <v>-0.165809547443031</v>
      </c>
      <c r="R553" s="46">
        <f>(VLOOKUP($A553,'The List'!$B1:$AH730,30,FALSE)-AVERAGE('The List'!AE2:AE730))/STDEV('The List'!AE2:AE730)</f>
        <v>-0.593783353721607</v>
      </c>
      <c r="S553" s="46">
        <f>(VLOOKUP($A553,'The List'!$B1:$AH730,31,FALSE)-AVERAGE('The List'!AF2:AF730))/STDEV('The List'!AF2:AF730)</f>
        <v>0.647341767621271</v>
      </c>
      <c r="T553" s="46">
        <f>(VLOOKUP($A553,'The List'!$B1:$AH730,32,FALSE)-AVERAGE('The List'!AG2:AG730))/STDEV('The List'!AG2:AG730)</f>
        <v>0.430122998160587</v>
      </c>
      <c r="U553" s="46">
        <f>(VLOOKUP($A553,'The List'!$B1:$AH730,33,FALSE)-AVERAGE('The List'!AH2:AH730))/STDEV('The List'!AH2:AH730)</f>
        <v>1.25342501238899</v>
      </c>
      <c r="V553" s="46"/>
      <c r="W553" s="48"/>
      <c r="X553" s="46"/>
      <c r="Y553" s="46"/>
      <c r="Z553" s="46"/>
      <c r="AA553" s="46"/>
      <c r="AB553" s="46"/>
      <c r="AC553" s="46"/>
      <c r="AD553" s="46"/>
      <c r="AE553" s="46"/>
    </row>
    <row r="554" ht="21.25" customHeight="1">
      <c r="A554" t="s" s="8">
        <v>860</v>
      </c>
      <c r="B554" t="s" s="42">
        <f>VLOOKUP(A554,'Player Data'!A1:B734,2,FALSE)</f>
        <v>119</v>
      </c>
      <c r="C554" s="44">
        <f>((E554)*'Settings'!$C$12)+(F554*'Settings'!$C$2)+(G554*'Settings'!$C$3)+(H554*'Settings'!$C$4)+(I554*'Settings'!$C$5)+(K554*'Settings'!$C$9)+(N554*'Settings'!$C$6)+(J554*'Settings'!$C$8)+(O554*'Settings'!$C$7)+(P554*'Settings'!$C$14)+(Q554*'Settings'!$C$15)+(R554*'Settings'!$C$16)+(S554*'Settings'!$C$17)+(T554*'Settings'!$C$18)+(U554*'Settings'!$C$19)+(L554*'Settings'!$C$10)+('Settings'!$C$11*M554)</f>
        <v>-4.9719457275656</v>
      </c>
      <c r="D554" s="48">
        <f>IF('Settings'!$E$12="YES",VLOOKUP(A554,'Player Data'!A1:E734,5,FALSE),82)</f>
        <v>52.3575</v>
      </c>
      <c r="E554" s="46">
        <f>(VLOOKUP($A554,'The List'!$B1:$AH730,17,FALSE)-AVERAGE('The List'!R2:R730))/STDEV('The List'!R2:R730)</f>
        <v>-1.8491657756022</v>
      </c>
      <c r="F554" s="46">
        <f>(VLOOKUP($A554,'The List'!$B1:$AH730,18,FALSE)-AVERAGE('The List'!S2:S730))/STDEV('The List'!S2:S730)</f>
        <v>-0.967313813711838</v>
      </c>
      <c r="G554" s="46">
        <f>(VLOOKUP($A554,'The List'!$B1:$AH730,19,FALSE)-AVERAGE('The List'!T2:T730))/STDEV('The List'!T2:T730)</f>
        <v>-1.05129814245904</v>
      </c>
      <c r="H554" s="46">
        <f>(VLOOKUP($A554,'The List'!$B1:$AH730,20,FALSE)-AVERAGE('The List'!U2:U730))/STDEV('The List'!U2:U730)</f>
        <v>-1.08825867229503</v>
      </c>
      <c r="I554" s="46">
        <f>(VLOOKUP($A554,'The List'!$B1:$AH730,21,FALSE)-AVERAGE('The List'!V2:V730))/STDEV('The List'!V2:V730)</f>
        <v>-1.37790145220106</v>
      </c>
      <c r="J554" s="46">
        <f>(VLOOKUP($A554,'The List'!$B1:$AH730,22,FALSE)-AVERAGE('The List'!W2:W730))/STDEV('The List'!W2:W730)</f>
        <v>-0.688983637104705</v>
      </c>
      <c r="K554" s="46">
        <f>(VLOOKUP($A554,'The List'!$B1:$AH730,23,FALSE)-AVERAGE('The List'!X2:X730))/STDEV('The List'!X2:X730)</f>
        <v>-0.780184985172793</v>
      </c>
      <c r="L554" s="46">
        <f>(VLOOKUP($A554,'The List'!$B1:$AH730,24,FALSE)-AVERAGE('The List'!Y2:Y730))/STDEV('The List'!Y2:Y730)</f>
        <v>-0.542843480388394</v>
      </c>
      <c r="M554" s="46">
        <f>(VLOOKUP($A554,'The List'!$B1:$AH730,25,FALSE)-AVERAGE('The List'!Z2:Z730))/STDEV('The List'!Z2:Z730)</f>
        <v>-0.72177514995105</v>
      </c>
      <c r="N554" s="46">
        <f>(VLOOKUP($A554,'The List'!$B1:$AH730,26,FALSE)-AVERAGE('The List'!AA2:AA730))/STDEV('The List'!AA2:AA730)</f>
        <v>-0.962436884180814</v>
      </c>
      <c r="O554" s="46">
        <f>(VLOOKUP($A554,'The List'!$B1:$AH730,27,FALSE)-AVERAGE('The List'!AB2:AB730))/STDEV('The List'!AB2:AB730)</f>
        <v>-0.494032517251749</v>
      </c>
      <c r="P554" s="46">
        <f>(VLOOKUP($A554,'The List'!$B1:$AH730,28,FALSE)-AVERAGE('The List'!AC2:AC730))/STDEV('The List'!AC2:AC730)</f>
        <v>0.167189550159943</v>
      </c>
      <c r="Q554" s="46">
        <f>(VLOOKUP($A554,'The List'!$B1:$AH730,29,FALSE)-AVERAGE('The List'!AD2:AD730))/STDEV('The List'!AD2:AD730)</f>
        <v>-1.27887302399699</v>
      </c>
      <c r="R554" s="46">
        <f>(VLOOKUP($A554,'The List'!$B1:$AH730,30,FALSE)-AVERAGE('The List'!AE2:AE730))/STDEV('The List'!AE2:AE730)</f>
        <v>-0.878088525849037</v>
      </c>
      <c r="S554" s="46">
        <f>(VLOOKUP($A554,'The List'!$B1:$AH730,31,FALSE)-AVERAGE('The List'!AF2:AF730))/STDEV('The List'!AF2:AF730)</f>
        <v>-0.556379145332015</v>
      </c>
      <c r="T554" s="46">
        <f>(VLOOKUP($A554,'The List'!$B1:$AH730,32,FALSE)-AVERAGE('The List'!AG2:AG730))/STDEV('The List'!AG2:AG730)</f>
        <v>-0.5959964332552</v>
      </c>
      <c r="U554" s="46">
        <f>(VLOOKUP($A554,'The List'!$B1:$AH730,33,FALSE)-AVERAGE('The List'!AH2:AH730))/STDEV('The List'!AH2:AH730)</f>
        <v>-0.773809553818786</v>
      </c>
      <c r="V554" s="46"/>
      <c r="W554" s="50"/>
      <c r="X554" s="48"/>
      <c r="Y554" s="48"/>
      <c r="Z554" s="48"/>
      <c r="AA554" s="48"/>
      <c r="AB554" s="48"/>
      <c r="AC554" s="51"/>
      <c r="AD554" s="52"/>
      <c r="AE554" s="46"/>
    </row>
    <row r="555" ht="21.25" customHeight="1">
      <c r="A555" t="s" s="8">
        <v>808</v>
      </c>
      <c r="B555" t="s" s="42">
        <f>VLOOKUP(A555,'Player Data'!A1:B734,2,FALSE)</f>
        <v>108</v>
      </c>
      <c r="C555" s="44">
        <f>((E555)*'Settings'!$C$12)+(F555*'Settings'!$C$2)+(G555*'Settings'!$C$3)+(H555*'Settings'!$C$4)+(I555*'Settings'!$C$5)+(K555*'Settings'!$C$9)+(N555*'Settings'!$C$6)+(J555*'Settings'!$C$8)+(O555*'Settings'!$C$7)+(P555*'Settings'!$C$14)+(Q555*'Settings'!$C$15)+(R555*'Settings'!$C$16)+(S555*'Settings'!$C$17)+(T555*'Settings'!$C$18)+(U555*'Settings'!$C$19)+(L555*'Settings'!$C$10)+('Settings'!$C$11*M555)</f>
        <v>-2.21156201354425</v>
      </c>
      <c r="D555" s="48">
        <f>IF('Settings'!$E$12="YES",VLOOKUP(A555,'Player Data'!A1:E734,5,FALSE),82)</f>
        <v>78.80892857142859</v>
      </c>
      <c r="E555" s="46">
        <f>(VLOOKUP($A555,'The List'!$B1:$AH730,17,FALSE)-AVERAGE('The List'!R2:R730))/STDEV('The List'!R2:R730)</f>
        <v>-1.56376979760913</v>
      </c>
      <c r="F555" s="46">
        <f>(VLOOKUP($A555,'The List'!$B1:$AH730,18,FALSE)-AVERAGE('The List'!S2:S730))/STDEV('The List'!S2:S730)</f>
        <v>-0.421213863837262</v>
      </c>
      <c r="G555" s="46">
        <f>(VLOOKUP($A555,'The List'!$B1:$AH730,19,FALSE)-AVERAGE('The List'!T2:T730))/STDEV('The List'!T2:T730)</f>
        <v>-1.03747875564576</v>
      </c>
      <c r="H555" s="46">
        <f>(VLOOKUP($A555,'The List'!$B1:$AH730,20,FALSE)-AVERAGE('The List'!U2:U730))/STDEV('The List'!U2:U730)</f>
        <v>-0.831252772353124</v>
      </c>
      <c r="I555" s="46">
        <f>(VLOOKUP($A555,'The List'!$B1:$AH730,21,FALSE)-AVERAGE('The List'!V2:V730))/STDEV('The List'!V2:V730)</f>
        <v>-0.805924067260972</v>
      </c>
      <c r="J555" s="46">
        <f>(VLOOKUP($A555,'The List'!$B1:$AH730,22,FALSE)-AVERAGE('The List'!W2:W730))/STDEV('The List'!W2:W730)</f>
        <v>-0.701948383270235</v>
      </c>
      <c r="K555" s="46">
        <f>(VLOOKUP($A555,'The List'!$B1:$AH730,23,FALSE)-AVERAGE('The List'!X2:X730))/STDEV('The List'!X2:X730)</f>
        <v>-0.791956013428858</v>
      </c>
      <c r="L555" s="46">
        <f>(VLOOKUP($A555,'The List'!$B1:$AH730,24,FALSE)-AVERAGE('The List'!Y2:Y730))/STDEV('The List'!Y2:Y730)</f>
        <v>0.378847012345185</v>
      </c>
      <c r="M555" s="46">
        <f>(VLOOKUP($A555,'The List'!$B1:$AH730,25,FALSE)-AVERAGE('The List'!Z2:Z730))/STDEV('The List'!Z2:Z730)</f>
        <v>0.291446373167005</v>
      </c>
      <c r="N555" s="46">
        <f>(VLOOKUP($A555,'The List'!$B1:$AH730,26,FALSE)-AVERAGE('The List'!AA2:AA730))/STDEV('The List'!AA2:AA730)</f>
        <v>-0.541606269629882</v>
      </c>
      <c r="O555" s="46">
        <f>(VLOOKUP($A555,'The List'!$B1:$AH730,27,FALSE)-AVERAGE('The List'!AB2:AB730))/STDEV('The List'!AB2:AB730)</f>
        <v>-0.682276949546276</v>
      </c>
      <c r="P555" s="46">
        <f>(VLOOKUP($A555,'The List'!$B1:$AH730,28,FALSE)-AVERAGE('The List'!AC2:AC730))/STDEV('The List'!AC2:AC730)</f>
        <v>1.38661695625848</v>
      </c>
      <c r="Q555" s="46">
        <f>(VLOOKUP($A555,'The List'!$B1:$AH730,29,FALSE)-AVERAGE('The List'!AD2:AD730))/STDEV('The List'!AD2:AD730)</f>
        <v>-0.768458294653879</v>
      </c>
      <c r="R555" s="46">
        <f>(VLOOKUP($A555,'The List'!$B1:$AH730,30,FALSE)-AVERAGE('The List'!AE2:AE730))/STDEV('The List'!AE2:AE730)</f>
        <v>-0.283911967211349</v>
      </c>
      <c r="S555" s="46">
        <f>(VLOOKUP($A555,'The List'!$B1:$AH730,31,FALSE)-AVERAGE('The List'!AF2:AF730))/STDEV('The List'!AF2:AF730)</f>
        <v>0.5547267666089269</v>
      </c>
      <c r="T555" s="46">
        <f>(VLOOKUP($A555,'The List'!$B1:$AH730,32,FALSE)-AVERAGE('The List'!AG2:AG730))/STDEV('The List'!AG2:AG730)</f>
        <v>0.456588430149571</v>
      </c>
      <c r="U555" s="46">
        <f>(VLOOKUP($A555,'The List'!$B1:$AH730,33,FALSE)-AVERAGE('The List'!AH2:AH730))/STDEV('The List'!AH2:AH730)</f>
        <v>1.13517322887268</v>
      </c>
      <c r="V555" s="46"/>
      <c r="W555" s="48"/>
      <c r="X555" s="46"/>
      <c r="Y555" s="46"/>
      <c r="Z555" s="46"/>
      <c r="AA555" s="46"/>
      <c r="AB555" s="46"/>
      <c r="AC555" s="46"/>
      <c r="AD555" s="46"/>
      <c r="AE555" s="46"/>
    </row>
    <row r="556" ht="21.25" customHeight="1">
      <c r="A556" t="s" s="8">
        <v>536</v>
      </c>
      <c r="B556" t="s" s="42">
        <f>VLOOKUP(A556,'Player Data'!A1:B734,2,FALSE)</f>
        <v>258</v>
      </c>
      <c r="C556" s="44">
        <f>((E556)*'Settings'!$C$12)+(F556*'Settings'!$C$2)+(G556*'Settings'!$C$3)+(H556*'Settings'!$C$4)+(I556*'Settings'!$C$5)+(K556*'Settings'!$C$9)+(N556*'Settings'!$C$6)+(J556*'Settings'!$C$8)+(O556*'Settings'!$C$7)+(P556*'Settings'!$C$14)+(Q556*'Settings'!$C$15)+(R556*'Settings'!$C$16)+(S556*'Settings'!$C$17)+(T556*'Settings'!$C$18)+(U556*'Settings'!$C$19)+(L556*'Settings'!$C$10)+('Settings'!$C$11*M556)</f>
        <v>-2.92675428192062</v>
      </c>
      <c r="D556" s="48">
        <f>IF('Settings'!$E$12="YES",VLOOKUP(A556,'Player Data'!A1:E734,5,FALSE),82)</f>
        <v>75.4371428571429</v>
      </c>
      <c r="E556" s="46">
        <f>(VLOOKUP($A556,'The List'!$B1:$AH730,17,FALSE)-AVERAGE('The List'!R2:R730))/STDEV('The List'!R2:R730)</f>
        <v>0.613095904838168</v>
      </c>
      <c r="F556" s="46">
        <f>(VLOOKUP($A556,'The List'!$B1:$AH730,18,FALSE)-AVERAGE('The List'!S2:S730))/STDEV('The List'!S2:S730)</f>
        <v>-1.03977432104052</v>
      </c>
      <c r="G556" s="46">
        <f>(VLOOKUP($A556,'The List'!$B1:$AH730,19,FALSE)-AVERAGE('The List'!T2:T730))/STDEV('The List'!T2:T730)</f>
        <v>-0.636540251699947</v>
      </c>
      <c r="H556" s="46">
        <f>(VLOOKUP($A556,'The List'!$B1:$AH730,20,FALSE)-AVERAGE('The List'!U2:U730))/STDEV('The List'!U2:U730)</f>
        <v>-0.865536868166952</v>
      </c>
      <c r="I556" s="46">
        <f>(VLOOKUP($A556,'The List'!$B1:$AH730,21,FALSE)-AVERAGE('The List'!V2:V730))/STDEV('The List'!V2:V730)</f>
        <v>-0.885318427065498</v>
      </c>
      <c r="J556" s="46">
        <f>(VLOOKUP($A556,'The List'!$B1:$AH730,22,FALSE)-AVERAGE('The List'!W2:W730))/STDEV('The List'!W2:W730)</f>
        <v>-0.709859611150455</v>
      </c>
      <c r="K556" s="46">
        <f>(VLOOKUP($A556,'The List'!$B1:$AH730,23,FALSE)-AVERAGE('The List'!X2:X730))/STDEV('The List'!X2:X730)</f>
        <v>-0.791746648564435</v>
      </c>
      <c r="L556" s="46">
        <f>(VLOOKUP($A556,'The List'!$B1:$AH730,24,FALSE)-AVERAGE('The List'!Y2:Y730))/STDEV('The List'!Y2:Y730)</f>
        <v>-0.50193657835245</v>
      </c>
      <c r="M556" s="46">
        <f>(VLOOKUP($A556,'The List'!$B1:$AH730,25,FALSE)-AVERAGE('The List'!Z2:Z730))/STDEV('The List'!Z2:Z730)</f>
        <v>0.476100456762356</v>
      </c>
      <c r="N556" s="46">
        <f>(VLOOKUP($A556,'The List'!$B1:$AH730,26,FALSE)-AVERAGE('The List'!AA2:AA730))/STDEV('The List'!AA2:AA730)</f>
        <v>2.88576741544517</v>
      </c>
      <c r="O556" s="46">
        <f>(VLOOKUP($A556,'The List'!$B1:$AH730,27,FALSE)-AVERAGE('The List'!AB2:AB730))/STDEV('The List'!AB2:AB730)</f>
        <v>0.228816426111736</v>
      </c>
      <c r="P556" s="46">
        <f>(VLOOKUP($A556,'The List'!$B1:$AH730,28,FALSE)-AVERAGE('The List'!AC2:AC730))/STDEV('The List'!AC2:AC730)</f>
        <v>-2.45914204899539</v>
      </c>
      <c r="Q556" s="46">
        <f>(VLOOKUP($A556,'The List'!$B1:$AH730,29,FALSE)-AVERAGE('The List'!AD2:AD730))/STDEV('The List'!AD2:AD730)</f>
        <v>-0.08666024641000281</v>
      </c>
      <c r="R556" s="46">
        <f>(VLOOKUP($A556,'The List'!$B1:$AH730,30,FALSE)-AVERAGE('The List'!AE2:AE730))/STDEV('The List'!AE2:AE730)</f>
        <v>-1.01398352109943</v>
      </c>
      <c r="S556" s="46">
        <f>(VLOOKUP($A556,'The List'!$B1:$AH730,31,FALSE)-AVERAGE('The List'!AF2:AF730))/STDEV('The List'!AF2:AF730)</f>
        <v>-0.5569063253591</v>
      </c>
      <c r="T556" s="46">
        <f>(VLOOKUP($A556,'The List'!$B1:$AH730,32,FALSE)-AVERAGE('The List'!AG2:AG730))/STDEV('The List'!AG2:AG730)</f>
        <v>-0.600856269042678</v>
      </c>
      <c r="U556" s="46">
        <f>(VLOOKUP($A556,'The List'!$B1:$AH730,33,FALSE)-AVERAGE('The List'!AH2:AH730))/STDEV('The List'!AH2:AH730)</f>
        <v>-1.2363238714826</v>
      </c>
      <c r="V556" s="46"/>
      <c r="W556" s="50"/>
      <c r="X556" s="48"/>
      <c r="Y556" s="48"/>
      <c r="Z556" s="48"/>
      <c r="AA556" s="48"/>
      <c r="AB556" s="48"/>
      <c r="AC556" s="51"/>
      <c r="AD556" s="52"/>
      <c r="AE556" s="46"/>
    </row>
    <row r="557" ht="21.25" customHeight="1">
      <c r="A557" t="s" s="8">
        <v>844</v>
      </c>
      <c r="B557" t="s" s="42">
        <f>VLOOKUP(A557,'Player Data'!A1:B734,2,FALSE)</f>
        <v>164</v>
      </c>
      <c r="C557" s="44">
        <f>((E557)*'Settings'!$C$12)+(F557*'Settings'!$C$2)+(G557*'Settings'!$C$3)+(H557*'Settings'!$C$4)+(I557*'Settings'!$C$5)+(K557*'Settings'!$C$9)+(N557*'Settings'!$C$6)+(J557*'Settings'!$C$8)+(O557*'Settings'!$C$7)+(P557*'Settings'!$C$14)+(Q557*'Settings'!$C$15)+(R557*'Settings'!$C$16)+(S557*'Settings'!$C$17)+(T557*'Settings'!$C$18)+(U557*'Settings'!$C$19)+(L557*'Settings'!$C$10)+('Settings'!$C$11*M557)</f>
        <v>-4.46271476600624</v>
      </c>
      <c r="D557" s="48">
        <f>IF('Settings'!$E$12="YES",VLOOKUP(A557,'Player Data'!A1:E734,5,FALSE),82)</f>
        <v>68.5775</v>
      </c>
      <c r="E557" s="46">
        <f>(VLOOKUP($A557,'The List'!$B1:$AH730,17,FALSE)-AVERAGE('The List'!R2:R730))/STDEV('The List'!R2:R730)</f>
        <v>-1.72324872651129</v>
      </c>
      <c r="F557" s="46">
        <f>(VLOOKUP($A557,'The List'!$B1:$AH730,18,FALSE)-AVERAGE('The List'!S2:S730))/STDEV('The List'!S2:S730)</f>
        <v>-0.822800563931973</v>
      </c>
      <c r="G557" s="46">
        <f>(VLOOKUP($A557,'The List'!$B1:$AH730,19,FALSE)-AVERAGE('The List'!T2:T730))/STDEV('The List'!T2:T730)</f>
        <v>-0.905911699000021</v>
      </c>
      <c r="H557" s="46">
        <f>(VLOOKUP($A557,'The List'!$B1:$AH730,20,FALSE)-AVERAGE('The List'!U2:U730))/STDEV('The List'!U2:U730)</f>
        <v>-0.932873413851109</v>
      </c>
      <c r="I557" s="46">
        <f>(VLOOKUP($A557,'The List'!$B1:$AH730,21,FALSE)-AVERAGE('The List'!V2:V730))/STDEV('The List'!V2:V730)</f>
        <v>-1.24247625688818</v>
      </c>
      <c r="J557" s="46">
        <f>(VLOOKUP($A557,'The List'!$B1:$AH730,22,FALSE)-AVERAGE('The List'!W2:W730))/STDEV('The List'!W2:W730)</f>
        <v>-0.693313831677254</v>
      </c>
      <c r="K557" s="46">
        <f>(VLOOKUP($A557,'The List'!$B1:$AH730,23,FALSE)-AVERAGE('The List'!X2:X730))/STDEV('The List'!X2:X730)</f>
        <v>-0.782655233322941</v>
      </c>
      <c r="L557" s="46">
        <f>(VLOOKUP($A557,'The List'!$B1:$AH730,24,FALSE)-AVERAGE('The List'!Y2:Y730))/STDEV('The List'!Y2:Y730)</f>
        <v>0.40930023656074</v>
      </c>
      <c r="M557" s="46">
        <f>(VLOOKUP($A557,'The List'!$B1:$AH730,25,FALSE)-AVERAGE('The List'!Z2:Z730))/STDEV('The List'!Z2:Z730)</f>
        <v>0.707059296269882</v>
      </c>
      <c r="N557" s="46">
        <f>(VLOOKUP($A557,'The List'!$B1:$AH730,26,FALSE)-AVERAGE('The List'!AA2:AA730))/STDEV('The List'!AA2:AA730)</f>
        <v>-0.729326211346601</v>
      </c>
      <c r="O557" s="46">
        <f>(VLOOKUP($A557,'The List'!$B1:$AH730,27,FALSE)-AVERAGE('The List'!AB2:AB730))/STDEV('The List'!AB2:AB730)</f>
        <v>-0.179775598526396</v>
      </c>
      <c r="P557" s="46">
        <f>(VLOOKUP($A557,'The List'!$B1:$AH730,28,FALSE)-AVERAGE('The List'!AC2:AC730))/STDEV('The List'!AC2:AC730)</f>
        <v>0.0204551984834721</v>
      </c>
      <c r="Q557" s="46">
        <f>(VLOOKUP($A557,'The List'!$B1:$AH730,29,FALSE)-AVERAGE('The List'!AD2:AD730))/STDEV('The List'!AD2:AD730)</f>
        <v>-1.08468813237656</v>
      </c>
      <c r="R557" s="46">
        <f>(VLOOKUP($A557,'The List'!$B1:$AH730,30,FALSE)-AVERAGE('The List'!AE2:AE730))/STDEV('The List'!AE2:AE730)</f>
        <v>-0.704580988468573</v>
      </c>
      <c r="S557" s="46">
        <f>(VLOOKUP($A557,'The List'!$B1:$AH730,31,FALSE)-AVERAGE('The List'!AF2:AF730))/STDEV('The List'!AF2:AF730)</f>
        <v>0.428458411433313</v>
      </c>
      <c r="T557" s="46">
        <f>(VLOOKUP($A557,'The List'!$B1:$AH730,32,FALSE)-AVERAGE('The List'!AG2:AG730))/STDEV('The List'!AG2:AG730)</f>
        <v>0.460371391418594</v>
      </c>
      <c r="U557" s="46">
        <f>(VLOOKUP($A557,'The List'!$B1:$AH730,33,FALSE)-AVERAGE('The List'!AH2:AH730))/STDEV('The List'!AH2:AH730)</f>
        <v>0.995099688228163</v>
      </c>
      <c r="V557" s="46"/>
      <c r="W557" s="50"/>
      <c r="X557" s="48"/>
      <c r="Y557" s="48"/>
      <c r="Z557" s="48"/>
      <c r="AA557" s="48"/>
      <c r="AB557" s="48"/>
      <c r="AC557" s="51"/>
      <c r="AD557" s="52"/>
      <c r="AE557" s="46"/>
    </row>
    <row r="558" ht="21.25" customHeight="1">
      <c r="A558" t="s" s="8">
        <v>802</v>
      </c>
      <c r="B558" t="s" s="42">
        <f>VLOOKUP(A558,'Player Data'!A1:B734,2,FALSE)</f>
        <v>119</v>
      </c>
      <c r="C558" s="44">
        <f>((E558)*'Settings'!$C$12)+(F558*'Settings'!$C$2)+(G558*'Settings'!$C$3)+(H558*'Settings'!$C$4)+(I558*'Settings'!$C$5)+(K558*'Settings'!$C$9)+(N558*'Settings'!$C$6)+(J558*'Settings'!$C$8)+(O558*'Settings'!$C$7)+(P558*'Settings'!$C$14)+(Q558*'Settings'!$C$15)+(R558*'Settings'!$C$16)+(S558*'Settings'!$C$17)+(T558*'Settings'!$C$18)+(U558*'Settings'!$C$19)+(L558*'Settings'!$C$10)+('Settings'!$C$11*M558)</f>
        <v>-3.28236022672883</v>
      </c>
      <c r="D558" s="48">
        <f>IF('Settings'!$E$12="YES",VLOOKUP(A558,'Player Data'!A1:E734,5,FALSE),82)</f>
        <v>75</v>
      </c>
      <c r="E558" s="46">
        <f>(VLOOKUP($A558,'The List'!$B1:$AH730,17,FALSE)-AVERAGE('The List'!R2:R730))/STDEV('The List'!R2:R730)</f>
        <v>-1.3898054944298</v>
      </c>
      <c r="F558" s="46">
        <f>(VLOOKUP($A558,'The List'!$B1:$AH730,18,FALSE)-AVERAGE('The List'!S2:S730))/STDEV('The List'!S2:S730)</f>
        <v>-0.516849896884843</v>
      </c>
      <c r="G558" s="46">
        <f>(VLOOKUP($A558,'The List'!$B1:$AH730,19,FALSE)-AVERAGE('The List'!T2:T730))/STDEV('The List'!T2:T730)</f>
        <v>-1.03081301536796</v>
      </c>
      <c r="H558" s="46">
        <f>(VLOOKUP($A558,'The List'!$B1:$AH730,20,FALSE)-AVERAGE('The List'!U2:U730))/STDEV('The List'!U2:U730)</f>
        <v>-0.870659744168338</v>
      </c>
      <c r="I558" s="46">
        <f>(VLOOKUP($A558,'The List'!$B1:$AH730,21,FALSE)-AVERAGE('The List'!V2:V730))/STDEV('The List'!V2:V730)</f>
        <v>-0.627014499300264</v>
      </c>
      <c r="J558" s="46">
        <f>(VLOOKUP($A558,'The List'!$B1:$AH730,22,FALSE)-AVERAGE('The List'!W2:W730))/STDEV('The List'!W2:W730)</f>
        <v>-0.6893918901296749</v>
      </c>
      <c r="K558" s="46">
        <f>(VLOOKUP($A558,'The List'!$B1:$AH730,23,FALSE)-AVERAGE('The List'!X2:X730))/STDEV('The List'!X2:X730)</f>
        <v>-0.786849265416151</v>
      </c>
      <c r="L558" s="46">
        <f>(VLOOKUP($A558,'The List'!$B1:$AH730,24,FALSE)-AVERAGE('The List'!Y2:Y730))/STDEV('The List'!Y2:Y730)</f>
        <v>0.555228417914325</v>
      </c>
      <c r="M558" s="46">
        <f>(VLOOKUP($A558,'The List'!$B1:$AH730,25,FALSE)-AVERAGE('The List'!Z2:Z730))/STDEV('The List'!Z2:Z730)</f>
        <v>0.624895200885944</v>
      </c>
      <c r="N558" s="46">
        <f>(VLOOKUP($A558,'The List'!$B1:$AH730,26,FALSE)-AVERAGE('The List'!AA2:AA730))/STDEV('The List'!AA2:AA730)</f>
        <v>-0.610084280451862</v>
      </c>
      <c r="O558" s="46">
        <f>(VLOOKUP($A558,'The List'!$B1:$AH730,27,FALSE)-AVERAGE('The List'!AB2:AB730))/STDEV('The List'!AB2:AB730)</f>
        <v>0.449344112327626</v>
      </c>
      <c r="P558" s="46">
        <f>(VLOOKUP($A558,'The List'!$B1:$AH730,28,FALSE)-AVERAGE('The List'!AC2:AC730))/STDEV('The List'!AC2:AC730)</f>
        <v>0.289250730692247</v>
      </c>
      <c r="Q558" s="46">
        <f>(VLOOKUP($A558,'The List'!$B1:$AH730,29,FALSE)-AVERAGE('The List'!AD2:AD730))/STDEV('The List'!AD2:AD730)</f>
        <v>-1.1491701910848</v>
      </c>
      <c r="R558" s="46">
        <f>(VLOOKUP($A558,'The List'!$B1:$AH730,30,FALSE)-AVERAGE('The List'!AE2:AE730))/STDEV('The List'!AE2:AE730)</f>
        <v>-0.457598155236125</v>
      </c>
      <c r="S558" s="46">
        <f>(VLOOKUP($A558,'The List'!$B1:$AH730,31,FALSE)-AVERAGE('The List'!AF2:AF730))/STDEV('The List'!AF2:AF730)</f>
        <v>0.500865168343372</v>
      </c>
      <c r="T558" s="46">
        <f>(VLOOKUP($A558,'The List'!$B1:$AH730,32,FALSE)-AVERAGE('The List'!AG2:AG730))/STDEV('The List'!AG2:AG730)</f>
        <v>0.623631326351204</v>
      </c>
      <c r="U558" s="46">
        <f>(VLOOKUP($A558,'The List'!$B1:$AH730,33,FALSE)-AVERAGE('The List'!AH2:AH730))/STDEV('The List'!AH2:AH730)</f>
        <v>0.913674450280612</v>
      </c>
      <c r="V558" s="46"/>
      <c r="W558" s="48"/>
      <c r="X558" s="46"/>
      <c r="Y558" s="46"/>
      <c r="Z558" s="46"/>
      <c r="AA558" s="46"/>
      <c r="AB558" s="46"/>
      <c r="AC558" s="46"/>
      <c r="AD558" s="46"/>
      <c r="AE558" s="46"/>
    </row>
    <row r="559" ht="21.25" customHeight="1">
      <c r="A559" t="s" s="8">
        <v>577</v>
      </c>
      <c r="B559" t="s" s="42">
        <f>VLOOKUP(A559,'Player Data'!A1:B734,2,FALSE)</f>
        <v>134</v>
      </c>
      <c r="C559" s="44">
        <f>((E559)*'Settings'!$C$12)+(F559*'Settings'!$C$2)+(G559*'Settings'!$C$3)+(H559*'Settings'!$C$4)+(I559*'Settings'!$C$5)+(K559*'Settings'!$C$9)+(N559*'Settings'!$C$6)+(J559*'Settings'!$C$8)+(O559*'Settings'!$C$7)+(P559*'Settings'!$C$14)+(Q559*'Settings'!$C$15)+(R559*'Settings'!$C$16)+(S559*'Settings'!$C$17)+(T559*'Settings'!$C$18)+(U559*'Settings'!$C$19)+(L559*'Settings'!$C$10)+('Settings'!$C$11*M559)</f>
        <v>-1.840913855560</v>
      </c>
      <c r="D559" s="48">
        <f>IF('Settings'!$E$12="YES",VLOOKUP(A559,'Player Data'!A1:E734,5,FALSE),82)</f>
        <v>74.265</v>
      </c>
      <c r="E559" s="46">
        <f>(VLOOKUP($A559,'The List'!$B1:$AH730,17,FALSE)-AVERAGE('The List'!R2:R730))/STDEV('The List'!R2:R730)</f>
        <v>0.00562448657838715</v>
      </c>
      <c r="F559" s="46">
        <f>(VLOOKUP($A559,'The List'!$B1:$AH730,18,FALSE)-AVERAGE('The List'!S2:S730))/STDEV('The List'!S2:S730)</f>
        <v>-1.10026983742059</v>
      </c>
      <c r="G559" s="46">
        <f>(VLOOKUP($A559,'The List'!$B1:$AH730,19,FALSE)-AVERAGE('The List'!T2:T730))/STDEV('The List'!T2:T730)</f>
        <v>-0.612970434053843</v>
      </c>
      <c r="H559" s="46">
        <f>(VLOOKUP($A559,'The List'!$B1:$AH730,20,FALSE)-AVERAGE('The List'!U2:U730))/STDEV('The List'!U2:U730)</f>
        <v>-0.87853305861502</v>
      </c>
      <c r="I559" s="46">
        <f>(VLOOKUP($A559,'The List'!$B1:$AH730,21,FALSE)-AVERAGE('The List'!V2:V730))/STDEV('The List'!V2:V730)</f>
        <v>-0.8139677511144811</v>
      </c>
      <c r="J559" s="46">
        <f>(VLOOKUP($A559,'The List'!$B1:$AH730,22,FALSE)-AVERAGE('The List'!W2:W730))/STDEV('The List'!W2:W730)</f>
        <v>-0.707129748170126</v>
      </c>
      <c r="K559" s="46">
        <f>(VLOOKUP($A559,'The List'!$B1:$AH730,23,FALSE)-AVERAGE('The List'!X2:X730))/STDEV('The List'!X2:X730)</f>
        <v>-0.701183067176259</v>
      </c>
      <c r="L559" s="46">
        <f>(VLOOKUP($A559,'The List'!$B1:$AH730,24,FALSE)-AVERAGE('The List'!Y2:Y730))/STDEV('The List'!Y2:Y730)</f>
        <v>-0.511873557429392</v>
      </c>
      <c r="M559" s="46">
        <f>(VLOOKUP($A559,'The List'!$B1:$AH730,25,FALSE)-AVERAGE('The List'!Z2:Z730))/STDEV('The List'!Z2:Z730)</f>
        <v>-0.634287958795988</v>
      </c>
      <c r="N559" s="46">
        <f>(VLOOKUP($A559,'The List'!$B1:$AH730,26,FALSE)-AVERAGE('The List'!AA2:AA730))/STDEV('The List'!AA2:AA730)</f>
        <v>0.909335602678207</v>
      </c>
      <c r="O559" s="46">
        <f>(VLOOKUP($A559,'The List'!$B1:$AH730,27,FALSE)-AVERAGE('The List'!AB2:AB730))/STDEV('The List'!AB2:AB730)</f>
        <v>-0.534948462946381</v>
      </c>
      <c r="P559" s="46">
        <f>(VLOOKUP($A559,'The List'!$B1:$AH730,28,FALSE)-AVERAGE('The List'!AC2:AC730))/STDEV('The List'!AC2:AC730)</f>
        <v>0.478141631526964</v>
      </c>
      <c r="Q559" s="46">
        <f>(VLOOKUP($A559,'The List'!$B1:$AH730,29,FALSE)-AVERAGE('The List'!AD2:AD730))/STDEV('The List'!AD2:AD730)</f>
        <v>-0.396061235623876</v>
      </c>
      <c r="R559" s="46">
        <f>(VLOOKUP($A559,'The List'!$B1:$AH730,30,FALSE)-AVERAGE('The List'!AE2:AE730))/STDEV('The List'!AE2:AE730)</f>
        <v>-0.980437849682286</v>
      </c>
      <c r="S559" s="46">
        <f>(VLOOKUP($A559,'The List'!$B1:$AH730,31,FALSE)-AVERAGE('The List'!AF2:AF730))/STDEV('The List'!AF2:AF730)</f>
        <v>-0.5569063253591</v>
      </c>
      <c r="T559" s="46">
        <f>(VLOOKUP($A559,'The List'!$B1:$AH730,32,FALSE)-AVERAGE('The List'!AG2:AG730))/STDEV('The List'!AG2:AG730)</f>
        <v>-0.600856269042678</v>
      </c>
      <c r="U559" s="46">
        <f>(VLOOKUP($A559,'The List'!$B1:$AH730,33,FALSE)-AVERAGE('The List'!AH2:AH730))/STDEV('The List'!AH2:AH730)</f>
        <v>-1.2363238714826</v>
      </c>
      <c r="V559" s="46"/>
      <c r="W559" s="48"/>
      <c r="X559" s="46"/>
      <c r="Y559" s="46"/>
      <c r="Z559" s="46"/>
      <c r="AA559" s="46"/>
      <c r="AB559" s="46"/>
      <c r="AC559" s="46"/>
      <c r="AD559" s="46"/>
      <c r="AE559" s="46"/>
    </row>
    <row r="560" ht="21.25" customHeight="1">
      <c r="A560" t="s" s="8">
        <v>556</v>
      </c>
      <c r="B560" t="s" s="42">
        <f>VLOOKUP(A560,'Player Data'!A1:B734,2,FALSE)</f>
        <v>119</v>
      </c>
      <c r="C560" s="44">
        <f>((E560)*'Settings'!$C$12)+(F560*'Settings'!$C$2)+(G560*'Settings'!$C$3)+(H560*'Settings'!$C$4)+(I560*'Settings'!$C$5)+(K560*'Settings'!$C$9)+(N560*'Settings'!$C$6)+(J560*'Settings'!$C$8)+(O560*'Settings'!$C$7)+(P560*'Settings'!$C$14)+(Q560*'Settings'!$C$15)+(R560*'Settings'!$C$16)+(S560*'Settings'!$C$17)+(T560*'Settings'!$C$18)+(U560*'Settings'!$C$19)+(L560*'Settings'!$C$10)+('Settings'!$C$11*M560)</f>
        <v>-1.55914654737598</v>
      </c>
      <c r="D560" s="48">
        <f>IF('Settings'!$E$12="YES",VLOOKUP(A560,'Player Data'!A1:E734,5,FALSE),82)</f>
        <v>77.92107142857139</v>
      </c>
      <c r="E560" s="46">
        <f>(VLOOKUP($A560,'The List'!$B1:$AH730,17,FALSE)-AVERAGE('The List'!R2:R730))/STDEV('The List'!R2:R730)</f>
        <v>0.482318305110416</v>
      </c>
      <c r="F560" s="46">
        <f>(VLOOKUP($A560,'The List'!$B1:$AH730,18,FALSE)-AVERAGE('The List'!S2:S730))/STDEV('The List'!S2:S730)</f>
        <v>-0.931245091716863</v>
      </c>
      <c r="G560" s="46">
        <f>(VLOOKUP($A560,'The List'!$B1:$AH730,19,FALSE)-AVERAGE('The List'!T2:T730))/STDEV('The List'!T2:T730)</f>
        <v>-0.684183624154009</v>
      </c>
      <c r="H560" s="46">
        <f>(VLOOKUP($A560,'The List'!$B1:$AH730,20,FALSE)-AVERAGE('The List'!U2:U730))/STDEV('The List'!U2:U730)</f>
        <v>-0.84552540510392</v>
      </c>
      <c r="I560" s="46">
        <f>(VLOOKUP($A560,'The List'!$B1:$AH730,21,FALSE)-AVERAGE('The List'!V2:V730))/STDEV('The List'!V2:V730)</f>
        <v>-0.759248005776737</v>
      </c>
      <c r="J560" s="46">
        <f>(VLOOKUP($A560,'The List'!$B1:$AH730,22,FALSE)-AVERAGE('The List'!W2:W730))/STDEV('The List'!W2:W730)</f>
        <v>-0.70852757227145</v>
      </c>
      <c r="K560" s="46">
        <f>(VLOOKUP($A560,'The List'!$B1:$AH730,23,FALSE)-AVERAGE('The List'!X2:X730))/STDEV('The List'!X2:X730)</f>
        <v>-0.788756437562859</v>
      </c>
      <c r="L560" s="46">
        <f>(VLOOKUP($A560,'The List'!$B1:$AH730,24,FALSE)-AVERAGE('The List'!Y2:Y730))/STDEV('The List'!Y2:Y730)</f>
        <v>-0.499498186725391</v>
      </c>
      <c r="M560" s="46">
        <f>(VLOOKUP($A560,'The List'!$B1:$AH730,25,FALSE)-AVERAGE('The List'!Z2:Z730))/STDEV('The List'!Z2:Z730)</f>
        <v>-0.575389946949292</v>
      </c>
      <c r="N560" s="46">
        <f>(VLOOKUP($A560,'The List'!$B1:$AH730,26,FALSE)-AVERAGE('The List'!AA2:AA730))/STDEV('The List'!AA2:AA730)</f>
        <v>1.36553100546081</v>
      </c>
      <c r="O560" s="46">
        <f>(VLOOKUP($A560,'The List'!$B1:$AH730,27,FALSE)-AVERAGE('The List'!AB2:AB730))/STDEV('The List'!AB2:AB730)</f>
        <v>0.326485179832721</v>
      </c>
      <c r="P560" s="46">
        <f>(VLOOKUP($A560,'The List'!$B1:$AH730,28,FALSE)-AVERAGE('The List'!AC2:AC730))/STDEV('The List'!AC2:AC730)</f>
        <v>0.238755606373674</v>
      </c>
      <c r="Q560" s="46">
        <f>(VLOOKUP($A560,'The List'!$B1:$AH730,29,FALSE)-AVERAGE('The List'!AD2:AD730))/STDEV('The List'!AD2:AD730)</f>
        <v>0.497865305145747</v>
      </c>
      <c r="R560" s="46">
        <f>(VLOOKUP($A560,'The List'!$B1:$AH730,30,FALSE)-AVERAGE('The List'!AE2:AE730))/STDEV('The List'!AE2:AE730)</f>
        <v>-0.844419790768029</v>
      </c>
      <c r="S560" s="46">
        <f>(VLOOKUP($A560,'The List'!$B1:$AH730,31,FALSE)-AVERAGE('The List'!AF2:AF730))/STDEV('The List'!AF2:AF730)</f>
        <v>-0.5569063253591</v>
      </c>
      <c r="T560" s="46">
        <f>(VLOOKUP($A560,'The List'!$B1:$AH730,32,FALSE)-AVERAGE('The List'!AG2:AG730))/STDEV('The List'!AG2:AG730)</f>
        <v>-0.600856269042678</v>
      </c>
      <c r="U560" s="46">
        <f>(VLOOKUP($A560,'The List'!$B1:$AH730,33,FALSE)-AVERAGE('The List'!AH2:AH730))/STDEV('The List'!AH2:AH730)</f>
        <v>-1.2363238714826</v>
      </c>
      <c r="V560" s="46"/>
      <c r="W560" s="48"/>
      <c r="X560" s="46"/>
      <c r="Y560" s="46"/>
      <c r="Z560" s="46"/>
      <c r="AA560" s="46"/>
      <c r="AB560" s="46"/>
      <c r="AC560" s="46"/>
      <c r="AD560" s="46"/>
      <c r="AE560" s="46"/>
    </row>
    <row r="561" ht="21.25" customHeight="1">
      <c r="A561" t="s" s="8">
        <v>542</v>
      </c>
      <c r="B561" t="s" s="42">
        <f>VLOOKUP(A561,'Player Data'!A1:B734,2,FALSE)</f>
        <v>136</v>
      </c>
      <c r="C561" s="44">
        <f>((E561)*'Settings'!$C$12)+(F561*'Settings'!$C$2)+(G561*'Settings'!$C$3)+(H561*'Settings'!$C$4)+(I561*'Settings'!$C$5)+(K561*'Settings'!$C$9)+(N561*'Settings'!$C$6)+(J561*'Settings'!$C$8)+(O561*'Settings'!$C$7)+(P561*'Settings'!$C$14)+(Q561*'Settings'!$C$15)+(R561*'Settings'!$C$16)+(S561*'Settings'!$C$17)+(T561*'Settings'!$C$18)+(U561*'Settings'!$C$19)+(L561*'Settings'!$C$10)+('Settings'!$C$11*M561)</f>
        <v>-0.750231600110283</v>
      </c>
      <c r="D561" s="48">
        <f>IF('Settings'!$E$12="YES",VLOOKUP(A561,'Player Data'!A1:E734,5,FALSE),82)</f>
        <v>82.03</v>
      </c>
      <c r="E561" s="46">
        <f>(VLOOKUP($A561,'The List'!$B1:$AH730,17,FALSE)-AVERAGE('The List'!R2:R730))/STDEV('The List'!R2:R730)</f>
        <v>0.552819251525033</v>
      </c>
      <c r="F561" s="46">
        <f>(VLOOKUP($A561,'The List'!$B1:$AH730,18,FALSE)-AVERAGE('The List'!S2:S730))/STDEV('The List'!S2:S730)</f>
        <v>-1.06364175494736</v>
      </c>
      <c r="G561" s="46">
        <f>(VLOOKUP($A561,'The List'!$B1:$AH730,19,FALSE)-AVERAGE('The List'!T2:T730))/STDEV('The List'!T2:T730)</f>
        <v>-0.524716320903983</v>
      </c>
      <c r="H561" s="46">
        <f>(VLOOKUP($A561,'The List'!$B1:$AH730,20,FALSE)-AVERAGE('The List'!U2:U730))/STDEV('The List'!U2:U730)</f>
        <v>-0.807459045714682</v>
      </c>
      <c r="I561" s="46">
        <f>(VLOOKUP($A561,'The List'!$B1:$AH730,21,FALSE)-AVERAGE('The List'!V2:V730))/STDEV('The List'!V2:V730)</f>
        <v>-0.744395262568018</v>
      </c>
      <c r="J561" s="46">
        <f>(VLOOKUP($A561,'The List'!$B1:$AH730,22,FALSE)-AVERAGE('The List'!W2:W730))/STDEV('The List'!W2:W730)</f>
        <v>-0.62333500278952</v>
      </c>
      <c r="K561" s="46">
        <f>(VLOOKUP($A561,'The List'!$B1:$AH730,23,FALSE)-AVERAGE('The List'!X2:X730))/STDEV('The List'!X2:X730)</f>
        <v>-0.5841178928038619</v>
      </c>
      <c r="L561" s="46">
        <f>(VLOOKUP($A561,'The List'!$B1:$AH730,24,FALSE)-AVERAGE('The List'!Y2:Y730))/STDEV('The List'!Y2:Y730)</f>
        <v>-0.50627073234284</v>
      </c>
      <c r="M561" s="46">
        <f>(VLOOKUP($A561,'The List'!$B1:$AH730,25,FALSE)-AVERAGE('The List'!Z2:Z730))/STDEV('The List'!Z2:Z730)</f>
        <v>-0.190753020618512</v>
      </c>
      <c r="N561" s="46">
        <f>(VLOOKUP($A561,'The List'!$B1:$AH730,26,FALSE)-AVERAGE('The List'!AA2:AA730))/STDEV('The List'!AA2:AA730)</f>
        <v>1.06306152025028</v>
      </c>
      <c r="O561" s="46">
        <f>(VLOOKUP($A561,'The List'!$B1:$AH730,27,FALSE)-AVERAGE('The List'!AB2:AB730))/STDEV('The List'!AB2:AB730)</f>
        <v>-0.334765640125384</v>
      </c>
      <c r="P561" s="46">
        <f>(VLOOKUP($A561,'The List'!$B1:$AH730,28,FALSE)-AVERAGE('The List'!AC2:AC730))/STDEV('The List'!AC2:AC730)</f>
        <v>1.10357811086266</v>
      </c>
      <c r="Q561" s="46">
        <f>(VLOOKUP($A561,'The List'!$B1:$AH730,29,FALSE)-AVERAGE('The List'!AD2:AD730))/STDEV('The List'!AD2:AD730)</f>
        <v>-0.292385755470949</v>
      </c>
      <c r="R561" s="46">
        <f>(VLOOKUP($A561,'The List'!$B1:$AH730,30,FALSE)-AVERAGE('The List'!AE2:AE730))/STDEV('The List'!AE2:AE730)</f>
        <v>-0.943046095107186</v>
      </c>
      <c r="S561" s="46">
        <f>(VLOOKUP($A561,'The List'!$B1:$AH730,31,FALSE)-AVERAGE('The List'!AF2:AF730))/STDEV('The List'!AF2:AF730)</f>
        <v>-0.5569063253591</v>
      </c>
      <c r="T561" s="46">
        <f>(VLOOKUP($A561,'The List'!$B1:$AH730,32,FALSE)-AVERAGE('The List'!AG2:AG730))/STDEV('The List'!AG2:AG730)</f>
        <v>-0.600856269042678</v>
      </c>
      <c r="U561" s="46">
        <f>(VLOOKUP($A561,'The List'!$B1:$AH730,33,FALSE)-AVERAGE('The List'!AH2:AH730))/STDEV('The List'!AH2:AH730)</f>
        <v>-1.2363238714826</v>
      </c>
      <c r="V561" s="46"/>
      <c r="W561" s="50"/>
      <c r="X561" s="48"/>
      <c r="Y561" s="48"/>
      <c r="Z561" s="48"/>
      <c r="AA561" s="48"/>
      <c r="AB561" s="48"/>
      <c r="AC561" s="51"/>
      <c r="AD561" s="52"/>
      <c r="AE561" s="46"/>
    </row>
    <row r="562" ht="21.25" customHeight="1">
      <c r="A562" t="s" s="8">
        <v>515</v>
      </c>
      <c r="B562" t="s" s="42">
        <f>VLOOKUP(A562,'Player Data'!A1:B734,2,FALSE)</f>
        <v>156</v>
      </c>
      <c r="C562" s="44">
        <f>((E562)*'Settings'!$C$12)+(F562*'Settings'!$C$2)+(G562*'Settings'!$C$3)+(H562*'Settings'!$C$4)+(I562*'Settings'!$C$5)+(K562*'Settings'!$C$9)+(N562*'Settings'!$C$6)+(J562*'Settings'!$C$8)+(O562*'Settings'!$C$7)+(P562*'Settings'!$C$14)+(Q562*'Settings'!$C$15)+(R562*'Settings'!$C$16)+(S562*'Settings'!$C$17)+(T562*'Settings'!$C$18)+(U562*'Settings'!$C$19)+(L562*'Settings'!$C$10)+('Settings'!$C$11*M562)</f>
        <v>-1.103533822207</v>
      </c>
      <c r="D562" s="48">
        <f>IF('Settings'!$E$12="YES",VLOOKUP(A562,'Player Data'!A1:E734,5,FALSE),82)</f>
        <v>80.0646428571429</v>
      </c>
      <c r="E562" s="46">
        <f>(VLOOKUP($A562,'The List'!$B1:$AH730,17,FALSE)-AVERAGE('The List'!R2:R730))/STDEV('The List'!R2:R730)</f>
        <v>0.662371147209547</v>
      </c>
      <c r="F562" s="46">
        <f>(VLOOKUP($A562,'The List'!$B1:$AH730,18,FALSE)-AVERAGE('The List'!S2:S730))/STDEV('The List'!S2:S730)</f>
        <v>-1.07099572261421</v>
      </c>
      <c r="G562" s="46">
        <f>(VLOOKUP($A562,'The List'!$B1:$AH730,19,FALSE)-AVERAGE('The List'!T2:T730))/STDEV('The List'!T2:T730)</f>
        <v>-0.552321928603265</v>
      </c>
      <c r="H562" s="46">
        <f>(VLOOKUP($A562,'The List'!$B1:$AH730,20,FALSE)-AVERAGE('The List'!U2:U730))/STDEV('The List'!U2:U730)</f>
        <v>-0.827823742799439</v>
      </c>
      <c r="I562" s="46">
        <f>(VLOOKUP($A562,'The List'!$B1:$AH730,21,FALSE)-AVERAGE('The List'!V2:V730))/STDEV('The List'!V2:V730)</f>
        <v>-0.506661009610459</v>
      </c>
      <c r="J562" s="46">
        <f>(VLOOKUP($A562,'The List'!$B1:$AH730,22,FALSE)-AVERAGE('The List'!W2:W730))/STDEV('The List'!W2:W730)</f>
        <v>-0.709338357053839</v>
      </c>
      <c r="K562" s="46">
        <f>(VLOOKUP($A562,'The List'!$B1:$AH730,23,FALSE)-AVERAGE('The List'!X2:X730))/STDEV('The List'!X2:X730)</f>
        <v>-0.789492839765358</v>
      </c>
      <c r="L562" s="46">
        <f>(VLOOKUP($A562,'The List'!$B1:$AH730,24,FALSE)-AVERAGE('The List'!Y2:Y730))/STDEV('The List'!Y2:Y730)</f>
        <v>-0.510659906654611</v>
      </c>
      <c r="M562" s="46">
        <f>(VLOOKUP($A562,'The List'!$B1:$AH730,25,FALSE)-AVERAGE('The List'!Z2:Z730))/STDEV('The List'!Z2:Z730)</f>
        <v>-0.339862789151119</v>
      </c>
      <c r="N562" s="46">
        <f>(VLOOKUP($A562,'The List'!$B1:$AH730,26,FALSE)-AVERAGE('The List'!AA2:AA730))/STDEV('The List'!AA2:AA730)</f>
        <v>1.64270551513573</v>
      </c>
      <c r="O562" s="46">
        <f>(VLOOKUP($A562,'The List'!$B1:$AH730,27,FALSE)-AVERAGE('The List'!AB2:AB730))/STDEV('The List'!AB2:AB730)</f>
        <v>0.6084415367864811</v>
      </c>
      <c r="P562" s="46">
        <f>(VLOOKUP($A562,'The List'!$B1:$AH730,28,FALSE)-AVERAGE('The List'!AC2:AC730))/STDEV('The List'!AC2:AC730)</f>
        <v>0.173232163250561</v>
      </c>
      <c r="Q562" s="46">
        <f>(VLOOKUP($A562,'The List'!$B1:$AH730,29,FALSE)-AVERAGE('The List'!AD2:AD730))/STDEV('The List'!AD2:AD730)</f>
        <v>2.33013121373254</v>
      </c>
      <c r="R562" s="46">
        <f>(VLOOKUP($A562,'The List'!$B1:$AH730,30,FALSE)-AVERAGE('The List'!AE2:AE730))/STDEV('The List'!AE2:AE730)</f>
        <v>-0.977637039105211</v>
      </c>
      <c r="S562" s="46">
        <f>(VLOOKUP($A562,'The List'!$B1:$AH730,31,FALSE)-AVERAGE('The List'!AF2:AF730))/STDEV('The List'!AF2:AF730)</f>
        <v>-0.5569063253591</v>
      </c>
      <c r="T562" s="46">
        <f>(VLOOKUP($A562,'The List'!$B1:$AH730,32,FALSE)-AVERAGE('The List'!AG2:AG730))/STDEV('The List'!AG2:AG730)</f>
        <v>-0.600856269042678</v>
      </c>
      <c r="U562" s="46">
        <f>(VLOOKUP($A562,'The List'!$B1:$AH730,33,FALSE)-AVERAGE('The List'!AH2:AH730))/STDEV('The List'!AH2:AH730)</f>
        <v>-1.2363238714826</v>
      </c>
      <c r="V562" s="46"/>
      <c r="W562" s="48"/>
      <c r="X562" s="46"/>
      <c r="Y562" s="46"/>
      <c r="Z562" s="46"/>
      <c r="AA562" s="46"/>
      <c r="AB562" s="46"/>
      <c r="AC562" s="46"/>
      <c r="AD562" s="46"/>
      <c r="AE562" s="46"/>
    </row>
    <row r="563" ht="21.25" customHeight="1">
      <c r="A563" t="s" s="8">
        <v>692</v>
      </c>
      <c r="B563" t="s" s="42">
        <f>VLOOKUP(A563,'Player Data'!A1:B734,2,FALSE)</f>
        <v>151</v>
      </c>
      <c r="C563" s="44">
        <f>((E563)*'Settings'!$C$12)+(F563*'Settings'!$C$2)+(G563*'Settings'!$C$3)+(H563*'Settings'!$C$4)+(I563*'Settings'!$C$5)+(K563*'Settings'!$C$9)+(N563*'Settings'!$C$6)+(J563*'Settings'!$C$8)+(O563*'Settings'!$C$7)+(P563*'Settings'!$C$14)+(Q563*'Settings'!$C$15)+(R563*'Settings'!$C$16)+(S563*'Settings'!$C$17)+(T563*'Settings'!$C$18)+(U563*'Settings'!$C$19)+(L563*'Settings'!$C$10)+('Settings'!$C$11*M563)</f>
        <v>-3.93373628092643</v>
      </c>
      <c r="D563" s="48">
        <f>IF('Settings'!$E$12="YES",VLOOKUP(A563,'Player Data'!A1:E734,5,FALSE),82)</f>
        <v>52.2</v>
      </c>
      <c r="E563" s="46">
        <f>(VLOOKUP($A563,'The List'!$B1:$AH730,17,FALSE)-AVERAGE('The List'!R2:R730))/STDEV('The List'!R2:R730)</f>
        <v>-0.410654706251685</v>
      </c>
      <c r="F563" s="46">
        <f>(VLOOKUP($A563,'The List'!$B1:$AH730,18,FALSE)-AVERAGE('The List'!S2:S730))/STDEV('The List'!S2:S730)</f>
        <v>-1.06230787143153</v>
      </c>
      <c r="G563" s="46">
        <f>(VLOOKUP($A563,'The List'!$B1:$AH730,19,FALSE)-AVERAGE('The List'!T2:T730))/STDEV('The List'!T2:T730)</f>
        <v>-0.998748634230112</v>
      </c>
      <c r="H563" s="46">
        <f>(VLOOKUP($A563,'The List'!$B1:$AH730,20,FALSE)-AVERAGE('The List'!U2:U730))/STDEV('The List'!U2:U730)</f>
        <v>-1.0990867926004</v>
      </c>
      <c r="I563" s="46">
        <f>(VLOOKUP($A563,'The List'!$B1:$AH730,21,FALSE)-AVERAGE('The List'!V2:V730))/STDEV('The List'!V2:V730)</f>
        <v>-1.36684940800844</v>
      </c>
      <c r="J563" s="46">
        <f>(VLOOKUP($A563,'The List'!$B1:$AH730,22,FALSE)-AVERAGE('The List'!W2:W730))/STDEV('The List'!W2:W730)</f>
        <v>-0.697729635887127</v>
      </c>
      <c r="K563" s="46">
        <f>(VLOOKUP($A563,'The List'!$B1:$AH730,23,FALSE)-AVERAGE('The List'!X2:X730))/STDEV('The List'!X2:X730)</f>
        <v>-0.750598945889063</v>
      </c>
      <c r="L563" s="46">
        <f>(VLOOKUP($A563,'The List'!$B1:$AH730,24,FALSE)-AVERAGE('The List'!Y2:Y730))/STDEV('The List'!Y2:Y730)</f>
        <v>-0.533273058701309</v>
      </c>
      <c r="M563" s="46">
        <f>(VLOOKUP($A563,'The List'!$B1:$AH730,25,FALSE)-AVERAGE('The List'!Z2:Z730))/STDEV('The List'!Z2:Z730)</f>
        <v>-0.700011331195907</v>
      </c>
      <c r="N563" s="46">
        <f>(VLOOKUP($A563,'The List'!$B1:$AH730,26,FALSE)-AVERAGE('The List'!AA2:AA730))/STDEV('The List'!AA2:AA730)</f>
        <v>-0.116949340881758</v>
      </c>
      <c r="O563" s="46">
        <f>(VLOOKUP($A563,'The List'!$B1:$AH730,27,FALSE)-AVERAGE('The List'!AB2:AB730))/STDEV('The List'!AB2:AB730)</f>
        <v>-0.953539614514736</v>
      </c>
      <c r="P563" s="46">
        <f>(VLOOKUP($A563,'The List'!$B1:$AH730,28,FALSE)-AVERAGE('The List'!AC2:AC730))/STDEV('The List'!AC2:AC730)</f>
        <v>0.36171791951447</v>
      </c>
      <c r="Q563" s="46">
        <f>(VLOOKUP($A563,'The List'!$B1:$AH730,29,FALSE)-AVERAGE('The List'!AD2:AD730))/STDEV('The List'!AD2:AD730)</f>
        <v>-1.1686170746772</v>
      </c>
      <c r="R563" s="46">
        <f>(VLOOKUP($A563,'The List'!$B1:$AH730,30,FALSE)-AVERAGE('The List'!AE2:AE730))/STDEV('The List'!AE2:AE730)</f>
        <v>-0.9258649951764339</v>
      </c>
      <c r="S563" s="46">
        <f>(VLOOKUP($A563,'The List'!$B1:$AH730,31,FALSE)-AVERAGE('The List'!AF2:AF730))/STDEV('The List'!AF2:AF730)</f>
        <v>-0.5569063253591</v>
      </c>
      <c r="T563" s="46">
        <f>(VLOOKUP($A563,'The List'!$B1:$AH730,32,FALSE)-AVERAGE('The List'!AG2:AG730))/STDEV('The List'!AG2:AG730)</f>
        <v>-0.600856269042678</v>
      </c>
      <c r="U563" s="46">
        <f>(VLOOKUP($A563,'The List'!$B1:$AH730,33,FALSE)-AVERAGE('The List'!AH2:AH730))/STDEV('The List'!AH2:AH730)</f>
        <v>-1.2363238714826</v>
      </c>
      <c r="V563" s="46"/>
      <c r="W563" s="50"/>
      <c r="X563" s="48"/>
      <c r="Y563" s="48"/>
      <c r="Z563" s="48"/>
      <c r="AA563" s="48"/>
      <c r="AB563" s="48"/>
      <c r="AC563" s="51"/>
      <c r="AD563" s="52"/>
      <c r="AE563" s="46"/>
    </row>
    <row r="564" ht="21.25" customHeight="1">
      <c r="A564" t="s" s="8">
        <v>784</v>
      </c>
      <c r="B564" t="s" s="42">
        <f>VLOOKUP(A564,'Player Data'!A1:B734,2,FALSE)</f>
        <v>139</v>
      </c>
      <c r="C564" s="44">
        <f>((E564)*'Settings'!$C$12)+(F564*'Settings'!$C$2)+(G564*'Settings'!$C$3)+(H564*'Settings'!$C$4)+(I564*'Settings'!$C$5)+(K564*'Settings'!$C$9)+(N564*'Settings'!$C$6)+(J564*'Settings'!$C$8)+(O564*'Settings'!$C$7)+(P564*'Settings'!$C$14)+(Q564*'Settings'!$C$15)+(R564*'Settings'!$C$16)+(S564*'Settings'!$C$17)+(T564*'Settings'!$C$18)+(U564*'Settings'!$C$19)+(L564*'Settings'!$C$10)+('Settings'!$C$11*M564)</f>
        <v>-3.8571442286634</v>
      </c>
      <c r="D564" s="48">
        <f>IF('Settings'!$E$12="YES",VLOOKUP(A564,'Player Data'!A1:E734,5,FALSE),82)</f>
        <v>75.5</v>
      </c>
      <c r="E564" s="46">
        <f>(VLOOKUP($A564,'The List'!$B1:$AH730,17,FALSE)-AVERAGE('The List'!R2:R730))/STDEV('The List'!R2:R730)</f>
        <v>-1.04519443078137</v>
      </c>
      <c r="F564" s="46">
        <f>(VLOOKUP($A564,'The List'!$B1:$AH730,18,FALSE)-AVERAGE('The List'!S2:S730))/STDEV('The List'!S2:S730)</f>
        <v>-0.456129611065471</v>
      </c>
      <c r="G564" s="46">
        <f>(VLOOKUP($A564,'The List'!$B1:$AH730,19,FALSE)-AVERAGE('The List'!T2:T730))/STDEV('The List'!T2:T730)</f>
        <v>-1.09348565110116</v>
      </c>
      <c r="H564" s="46">
        <f>(VLOOKUP($A564,'The List'!$B1:$AH730,20,FALSE)-AVERAGE('The List'!U2:U730))/STDEV('The List'!U2:U730)</f>
        <v>-0.881667652513314</v>
      </c>
      <c r="I564" s="46">
        <f>(VLOOKUP($A564,'The List'!$B1:$AH730,21,FALSE)-AVERAGE('The List'!V2:V730))/STDEV('The List'!V2:V730)</f>
        <v>-0.486503571988723</v>
      </c>
      <c r="J564" s="46">
        <f>(VLOOKUP($A564,'The List'!$B1:$AH730,22,FALSE)-AVERAGE('The List'!W2:W730))/STDEV('The List'!W2:W730)</f>
        <v>-0.691776581621287</v>
      </c>
      <c r="K564" s="46">
        <f>(VLOOKUP($A564,'The List'!$B1:$AH730,23,FALSE)-AVERAGE('The List'!X2:X730))/STDEV('The List'!X2:X730)</f>
        <v>-0.782544766159728</v>
      </c>
      <c r="L564" s="46">
        <f>(VLOOKUP($A564,'The List'!$B1:$AH730,24,FALSE)-AVERAGE('The List'!Y2:Y730))/STDEV('The List'!Y2:Y730)</f>
        <v>-0.265031715237743</v>
      </c>
      <c r="M564" s="46">
        <f>(VLOOKUP($A564,'The List'!$B1:$AH730,25,FALSE)-AVERAGE('The List'!Z2:Z730))/STDEV('The List'!Z2:Z730)</f>
        <v>-0.431156797216878</v>
      </c>
      <c r="N564" s="46">
        <f>(VLOOKUP($A564,'The List'!$B1:$AH730,26,FALSE)-AVERAGE('The List'!AA2:AA730))/STDEV('The List'!AA2:AA730)</f>
        <v>-0.436037283095874</v>
      </c>
      <c r="O564" s="46">
        <f>(VLOOKUP($A564,'The List'!$B1:$AH730,27,FALSE)-AVERAGE('The List'!AB2:AB730))/STDEV('The List'!AB2:AB730)</f>
        <v>0.0949498647386505</v>
      </c>
      <c r="P564" s="46">
        <f>(VLOOKUP($A564,'The List'!$B1:$AH730,28,FALSE)-AVERAGE('The List'!AC2:AC730))/STDEV('The List'!AC2:AC730)</f>
        <v>-0.602443345252442</v>
      </c>
      <c r="Q564" s="46">
        <f>(VLOOKUP($A564,'The List'!$B1:$AH730,29,FALSE)-AVERAGE('The List'!AD2:AD730))/STDEV('The List'!AD2:AD730)</f>
        <v>-0.967059134052311</v>
      </c>
      <c r="R564" s="46">
        <f>(VLOOKUP($A564,'The List'!$B1:$AH730,30,FALSE)-AVERAGE('The List'!AE2:AE730))/STDEV('The List'!AE2:AE730)</f>
        <v>-0.485217681301807</v>
      </c>
      <c r="S564" s="46">
        <f>(VLOOKUP($A564,'The List'!$B1:$AH730,31,FALSE)-AVERAGE('The List'!AF2:AF730))/STDEV('The List'!AF2:AF730)</f>
        <v>-0.06981781503088511</v>
      </c>
      <c r="T564" s="46">
        <f>(VLOOKUP($A564,'The List'!$B1:$AH730,32,FALSE)-AVERAGE('The List'!AG2:AG730))/STDEV('The List'!AG2:AG730)</f>
        <v>-0.0270488002036871</v>
      </c>
      <c r="U564" s="46">
        <f>(VLOOKUP($A564,'The List'!$B1:$AH730,33,FALSE)-AVERAGE('The List'!AH2:AH730))/STDEV('The List'!AH2:AH730)</f>
        <v>0.893980874352194</v>
      </c>
      <c r="V564" s="46"/>
      <c r="W564" s="50"/>
      <c r="X564" s="48"/>
      <c r="Y564" s="48"/>
      <c r="Z564" s="48"/>
      <c r="AA564" s="48"/>
      <c r="AB564" s="48"/>
      <c r="AC564" s="51"/>
      <c r="AD564" s="52"/>
      <c r="AE564" s="46"/>
    </row>
    <row r="565" ht="21.25" customHeight="1">
      <c r="A565" t="s" s="8">
        <v>555</v>
      </c>
      <c r="B565" t="s" s="42">
        <f>VLOOKUP(A565,'Player Data'!A1:B734,2,FALSE)</f>
        <v>134</v>
      </c>
      <c r="C565" s="44">
        <f>((E565)*'Settings'!$C$12)+(F565*'Settings'!$C$2)+(G565*'Settings'!$C$3)+(H565*'Settings'!$C$4)+(I565*'Settings'!$C$5)+(K565*'Settings'!$C$9)+(N565*'Settings'!$C$6)+(J565*'Settings'!$C$8)+(O565*'Settings'!$C$7)+(P565*'Settings'!$C$14)+(Q565*'Settings'!$C$15)+(R565*'Settings'!$C$16)+(S565*'Settings'!$C$17)+(T565*'Settings'!$C$18)+(U565*'Settings'!$C$19)+(L565*'Settings'!$C$10)+('Settings'!$C$11*M565)</f>
        <v>-0.837865397887136</v>
      </c>
      <c r="D565" s="48">
        <f>IF('Settings'!$E$12="YES",VLOOKUP(A565,'Player Data'!A1:E734,5,FALSE),82)</f>
        <v>75.69750000000001</v>
      </c>
      <c r="E565" s="46">
        <f>(VLOOKUP($A565,'The List'!$B1:$AH730,17,FALSE)-AVERAGE('The List'!R2:R730))/STDEV('The List'!R2:R730)</f>
        <v>0.668206729512962</v>
      </c>
      <c r="F565" s="46">
        <f>(VLOOKUP($A565,'The List'!$B1:$AH730,18,FALSE)-AVERAGE('The List'!S2:S730))/STDEV('The List'!S2:S730)</f>
        <v>-0.925408684911878</v>
      </c>
      <c r="G565" s="46">
        <f>(VLOOKUP($A565,'The List'!$B1:$AH730,19,FALSE)-AVERAGE('The List'!T2:T730))/STDEV('The List'!T2:T730)</f>
        <v>-0.746721627283214</v>
      </c>
      <c r="H565" s="46">
        <f>(VLOOKUP($A565,'The List'!$B1:$AH730,20,FALSE)-AVERAGE('The List'!U2:U730))/STDEV('The List'!U2:U730)</f>
        <v>-0.881423579904199</v>
      </c>
      <c r="I565" s="46">
        <f>(VLOOKUP($A565,'The List'!$B1:$AH730,21,FALSE)-AVERAGE('The List'!V2:V730))/STDEV('The List'!V2:V730)</f>
        <v>-0.85661899581904</v>
      </c>
      <c r="J565" s="46">
        <f>(VLOOKUP($A565,'The List'!$B1:$AH730,22,FALSE)-AVERAGE('The List'!W2:W730))/STDEV('The List'!W2:W730)</f>
        <v>-0.708717741942265</v>
      </c>
      <c r="K565" s="46">
        <f>(VLOOKUP($A565,'The List'!$B1:$AH730,23,FALSE)-AVERAGE('The List'!X2:X730))/STDEV('The List'!X2:X730)</f>
        <v>-0.784889280794653</v>
      </c>
      <c r="L565" s="46">
        <f>(VLOOKUP($A565,'The List'!$B1:$AH730,24,FALSE)-AVERAGE('The List'!Y2:Y730))/STDEV('The List'!Y2:Y730)</f>
        <v>-0.480094546647994</v>
      </c>
      <c r="M565" s="46">
        <f>(VLOOKUP($A565,'The List'!$B1:$AH730,25,FALSE)-AVERAGE('The List'!Z2:Z730))/STDEV('The List'!Z2:Z730)</f>
        <v>0.366864019467424</v>
      </c>
      <c r="N565" s="46">
        <f>(VLOOKUP($A565,'The List'!$B1:$AH730,26,FALSE)-AVERAGE('The List'!AA2:AA730))/STDEV('The List'!AA2:AA730)</f>
        <v>2.06671552285892</v>
      </c>
      <c r="O565" s="46">
        <f>(VLOOKUP($A565,'The List'!$B1:$AH730,27,FALSE)-AVERAGE('The List'!AB2:AB730))/STDEV('The List'!AB2:AB730)</f>
        <v>0.55661653249744</v>
      </c>
      <c r="P565" s="46">
        <f>(VLOOKUP($A565,'The List'!$B1:$AH730,28,FALSE)-AVERAGE('The List'!AC2:AC730))/STDEV('The List'!AC2:AC730)</f>
        <v>0.409057668062729</v>
      </c>
      <c r="Q565" s="46">
        <f>(VLOOKUP($A565,'The List'!$B1:$AH730,29,FALSE)-AVERAGE('The List'!AD2:AD730))/STDEV('The List'!AD2:AD730)</f>
        <v>2.13819186856615</v>
      </c>
      <c r="R565" s="46">
        <f>(VLOOKUP($A565,'The List'!$B1:$AH730,30,FALSE)-AVERAGE('The List'!AE2:AE730))/STDEV('The List'!AE2:AE730)</f>
        <v>-0.797727275065323</v>
      </c>
      <c r="S565" s="46">
        <f>(VLOOKUP($A565,'The List'!$B1:$AH730,31,FALSE)-AVERAGE('The List'!AF2:AF730))/STDEV('The List'!AF2:AF730)</f>
        <v>-0.5569063253591</v>
      </c>
      <c r="T565" s="46">
        <f>(VLOOKUP($A565,'The List'!$B1:$AH730,32,FALSE)-AVERAGE('The List'!AG2:AG730))/STDEV('The List'!AG2:AG730)</f>
        <v>-0.600856269042678</v>
      </c>
      <c r="U565" s="46">
        <f>(VLOOKUP($A565,'The List'!$B1:$AH730,33,FALSE)-AVERAGE('The List'!AH2:AH730))/STDEV('The List'!AH2:AH730)</f>
        <v>-1.2363238714826</v>
      </c>
      <c r="V565" s="46"/>
      <c r="W565" s="50"/>
      <c r="X565" s="48"/>
      <c r="Y565" s="48"/>
      <c r="Z565" s="48"/>
      <c r="AA565" s="48"/>
      <c r="AB565" s="48"/>
      <c r="AC565" s="51"/>
      <c r="AD565" s="52"/>
      <c r="AE565" s="46"/>
    </row>
    <row r="566" ht="21.25" customHeight="1">
      <c r="A566" t="s" s="8">
        <v>843</v>
      </c>
      <c r="B566" t="s" s="42">
        <f>VLOOKUP(A566,'Player Data'!A1:B734,2,FALSE)</f>
        <v>194</v>
      </c>
      <c r="C566" s="44">
        <f>((E566)*'Settings'!$C$12)+(F566*'Settings'!$C$2)+(G566*'Settings'!$C$3)+(H566*'Settings'!$C$4)+(I566*'Settings'!$C$5)+(K566*'Settings'!$C$9)+(N566*'Settings'!$C$6)+(J566*'Settings'!$C$8)+(O566*'Settings'!$C$7)+(P566*'Settings'!$C$14)+(Q566*'Settings'!$C$15)+(R566*'Settings'!$C$16)+(S566*'Settings'!$C$17)+(T566*'Settings'!$C$18)+(U566*'Settings'!$C$19)+(L566*'Settings'!$C$10)+('Settings'!$C$11*M566)</f>
        <v>-5.29747799010626</v>
      </c>
      <c r="D566" s="48">
        <f>IF('Settings'!$E$12="YES",VLOOKUP(A566,'Player Data'!A1:E734,5,FALSE),82)</f>
        <v>63.2364285714286</v>
      </c>
      <c r="E566" s="46">
        <f>(VLOOKUP($A566,'The List'!$B1:$AH730,17,FALSE)-AVERAGE('The List'!R2:R730))/STDEV('The List'!R2:R730)</f>
        <v>-1.66566491647652</v>
      </c>
      <c r="F566" s="46">
        <f>(VLOOKUP($A566,'The List'!$B1:$AH730,18,FALSE)-AVERAGE('The List'!S2:S730))/STDEV('The List'!S2:S730)</f>
        <v>-0.753628271603822</v>
      </c>
      <c r="G566" s="46">
        <f>(VLOOKUP($A566,'The List'!$B1:$AH730,19,FALSE)-AVERAGE('The List'!T2:T730))/STDEV('The List'!T2:T730)</f>
        <v>-1.07082979013445</v>
      </c>
      <c r="H566" s="46">
        <f>(VLOOKUP($A566,'The List'!$B1:$AH730,20,FALSE)-AVERAGE('The List'!U2:U730))/STDEV('The List'!U2:U730)</f>
        <v>-1.00306846909719</v>
      </c>
      <c r="I566" s="46">
        <f>(VLOOKUP($A566,'The List'!$B1:$AH730,21,FALSE)-AVERAGE('The List'!V2:V730))/STDEV('The List'!V2:V730)</f>
        <v>-1.2600663717187</v>
      </c>
      <c r="J566" s="46">
        <f>(VLOOKUP($A566,'The List'!$B1:$AH730,22,FALSE)-AVERAGE('The List'!W2:W730))/STDEV('The List'!W2:W730)</f>
        <v>-0.701663544061235</v>
      </c>
      <c r="K566" s="46">
        <f>(VLOOKUP($A566,'The List'!$B1:$AH730,23,FALSE)-AVERAGE('The List'!X2:X730))/STDEV('The List'!X2:X730)</f>
        <v>-0.7914046191028929</v>
      </c>
      <c r="L566" s="46">
        <f>(VLOOKUP($A566,'The List'!$B1:$AH730,24,FALSE)-AVERAGE('The List'!Y2:Y730))/STDEV('The List'!Y2:Y730)</f>
        <v>-0.329549781217303</v>
      </c>
      <c r="M566" s="46">
        <f>(VLOOKUP($A566,'The List'!$B1:$AH730,25,FALSE)-AVERAGE('The List'!Z2:Z730))/STDEV('The List'!Z2:Z730)</f>
        <v>-0.47833215384457</v>
      </c>
      <c r="N566" s="46">
        <f>(VLOOKUP($A566,'The List'!$B1:$AH730,26,FALSE)-AVERAGE('The List'!AA2:AA730))/STDEV('The List'!AA2:AA730)</f>
        <v>-0.576443378978578</v>
      </c>
      <c r="O566" s="46">
        <f>(VLOOKUP($A566,'The List'!$B1:$AH730,27,FALSE)-AVERAGE('The List'!AB2:AB730))/STDEV('The List'!AB2:AB730)</f>
        <v>0.08376517521749841</v>
      </c>
      <c r="P566" s="46">
        <f>(VLOOKUP($A566,'The List'!$B1:$AH730,28,FALSE)-AVERAGE('The List'!AC2:AC730))/STDEV('The List'!AC2:AC730)</f>
        <v>-0.845105558567813</v>
      </c>
      <c r="Q566" s="46">
        <f>(VLOOKUP($A566,'The List'!$B1:$AH730,29,FALSE)-AVERAGE('The List'!AD2:AD730))/STDEV('The List'!AD2:AD730)</f>
        <v>-0.877989382639066</v>
      </c>
      <c r="R566" s="46">
        <f>(VLOOKUP($A566,'The List'!$B1:$AH730,30,FALSE)-AVERAGE('The List'!AE2:AE730))/STDEV('The List'!AE2:AE730)</f>
        <v>-0.778697760502396</v>
      </c>
      <c r="S566" s="46">
        <f>(VLOOKUP($A566,'The List'!$B1:$AH730,31,FALSE)-AVERAGE('The List'!AF2:AF730))/STDEV('The List'!AF2:AF730)</f>
        <v>-0.146229506841786</v>
      </c>
      <c r="T566" s="46">
        <f>(VLOOKUP($A566,'The List'!$B1:$AH730,32,FALSE)-AVERAGE('The List'!AG2:AG730))/STDEV('The List'!AG2:AG730)</f>
        <v>-0.11143521681992</v>
      </c>
      <c r="U566" s="46">
        <f>(VLOOKUP($A566,'The List'!$B1:$AH730,33,FALSE)-AVERAGE('The List'!AH2:AH730))/STDEV('The List'!AH2:AH730)</f>
        <v>0.880965300159122</v>
      </c>
      <c r="V566" s="46"/>
      <c r="W566" s="50"/>
      <c r="X566" s="48"/>
      <c r="Y566" s="48"/>
      <c r="Z566" s="48"/>
      <c r="AA566" s="48"/>
      <c r="AB566" s="48"/>
      <c r="AC566" s="51"/>
      <c r="AD566" s="52"/>
      <c r="AE566" s="46"/>
    </row>
    <row r="567" ht="21.25" customHeight="1">
      <c r="A567" t="s" s="8">
        <v>592</v>
      </c>
      <c r="B567" t="s" s="42">
        <f>VLOOKUP(A567,'Player Data'!A1:B734,2,FALSE)</f>
        <v>258</v>
      </c>
      <c r="C567" s="44">
        <f>((E567)*'Settings'!$C$12)+(F567*'Settings'!$C$2)+(G567*'Settings'!$C$3)+(H567*'Settings'!$C$4)+(I567*'Settings'!$C$5)+(K567*'Settings'!$C$9)+(N567*'Settings'!$C$6)+(J567*'Settings'!$C$8)+(O567*'Settings'!$C$7)+(P567*'Settings'!$C$14)+(Q567*'Settings'!$C$15)+(R567*'Settings'!$C$16)+(S567*'Settings'!$C$17)+(T567*'Settings'!$C$18)+(U567*'Settings'!$C$19)+(L567*'Settings'!$C$10)+('Settings'!$C$11*M567)</f>
        <v>-4.22484701386751</v>
      </c>
      <c r="D567" s="48">
        <f>IF('Settings'!$E$12="YES",VLOOKUP(A567,'Player Data'!A1:E734,5,FALSE),82)</f>
        <v>71.405</v>
      </c>
      <c r="E567" s="46">
        <f>(VLOOKUP($A567,'The List'!$B1:$AH730,17,FALSE)-AVERAGE('The List'!R2:R730))/STDEV('The List'!R2:R730)</f>
        <v>0.0729860472892012</v>
      </c>
      <c r="F567" s="46">
        <f>(VLOOKUP($A567,'The List'!$B1:$AH730,18,FALSE)-AVERAGE('The List'!S2:S730))/STDEV('The List'!S2:S730)</f>
        <v>-0.992792306527301</v>
      </c>
      <c r="G567" s="46">
        <f>(VLOOKUP($A567,'The List'!$B1:$AH730,19,FALSE)-AVERAGE('The List'!T2:T730))/STDEV('The List'!T2:T730)</f>
        <v>-0.769808217102399</v>
      </c>
      <c r="H567" s="46">
        <f>(VLOOKUP($A567,'The List'!$B1:$AH730,20,FALSE)-AVERAGE('The List'!U2:U730))/STDEV('The List'!U2:U730)</f>
        <v>-0.926317058345664</v>
      </c>
      <c r="I567" s="46">
        <f>(VLOOKUP($A567,'The List'!$B1:$AH730,21,FALSE)-AVERAGE('The List'!V2:V730))/STDEV('The List'!V2:V730)</f>
        <v>-0.755358663114517</v>
      </c>
      <c r="J567" s="46">
        <f>(VLOOKUP($A567,'The List'!$B1:$AH730,22,FALSE)-AVERAGE('The List'!W2:W730))/STDEV('The List'!W2:W730)</f>
        <v>-0.707269091100999</v>
      </c>
      <c r="K567" s="46">
        <f>(VLOOKUP($A567,'The List'!$B1:$AH730,23,FALSE)-AVERAGE('The List'!X2:X730))/STDEV('The List'!X2:X730)</f>
        <v>-0.785906745960762</v>
      </c>
      <c r="L567" s="46">
        <f>(VLOOKUP($A567,'The List'!$B1:$AH730,24,FALSE)-AVERAGE('The List'!Y2:Y730))/STDEV('The List'!Y2:Y730)</f>
        <v>-0.481881718424504</v>
      </c>
      <c r="M567" s="46">
        <f>(VLOOKUP($A567,'The List'!$B1:$AH730,25,FALSE)-AVERAGE('The List'!Z2:Z730))/STDEV('The List'!Z2:Z730)</f>
        <v>-0.5773151084163221</v>
      </c>
      <c r="N567" s="46">
        <f>(VLOOKUP($A567,'The List'!$B1:$AH730,26,FALSE)-AVERAGE('The List'!AA2:AA730))/STDEV('The List'!AA2:AA730)</f>
        <v>0.585120345599064</v>
      </c>
      <c r="O567" s="46">
        <f>(VLOOKUP($A567,'The List'!$B1:$AH730,27,FALSE)-AVERAGE('The List'!AB2:AB730))/STDEV('The List'!AB2:AB730)</f>
        <v>-0.0536605932689712</v>
      </c>
      <c r="P567" s="46">
        <f>(VLOOKUP($A567,'The List'!$B1:$AH730,28,FALSE)-AVERAGE('The List'!AC2:AC730))/STDEV('The List'!AC2:AC730)</f>
        <v>-1.50610142676159</v>
      </c>
      <c r="Q567" s="46">
        <f>(VLOOKUP($A567,'The List'!$B1:$AH730,29,FALSE)-AVERAGE('The List'!AD2:AD730))/STDEV('The List'!AD2:AD730)</f>
        <v>-0.252703298097857</v>
      </c>
      <c r="R567" s="46">
        <f>(VLOOKUP($A567,'The List'!$B1:$AH730,30,FALSE)-AVERAGE('The List'!AE2:AE730))/STDEV('The List'!AE2:AE730)</f>
        <v>-0.982665179486978</v>
      </c>
      <c r="S567" s="46">
        <f>(VLOOKUP($A567,'The List'!$B1:$AH730,31,FALSE)-AVERAGE('The List'!AF2:AF730))/STDEV('The List'!AF2:AF730)</f>
        <v>-0.5569063253591</v>
      </c>
      <c r="T567" s="46">
        <f>(VLOOKUP($A567,'The List'!$B1:$AH730,32,FALSE)-AVERAGE('The List'!AG2:AG730))/STDEV('The List'!AG2:AG730)</f>
        <v>-0.600856269042678</v>
      </c>
      <c r="U567" s="46">
        <f>(VLOOKUP($A567,'The List'!$B1:$AH730,33,FALSE)-AVERAGE('The List'!AH2:AH730))/STDEV('The List'!AH2:AH730)</f>
        <v>-1.2363238714826</v>
      </c>
      <c r="V567" s="46"/>
      <c r="W567" s="50"/>
      <c r="X567" s="48"/>
      <c r="Y567" s="48"/>
      <c r="Z567" s="48"/>
      <c r="AA567" s="48"/>
      <c r="AB567" s="48"/>
      <c r="AC567" s="51"/>
      <c r="AD567" s="52"/>
      <c r="AE567" s="46"/>
    </row>
    <row r="568" ht="21.25" customHeight="1">
      <c r="A568" t="s" s="8">
        <v>617</v>
      </c>
      <c r="B568" t="s" s="42">
        <f>VLOOKUP(A568,'Player Data'!A1:B734,2,FALSE)</f>
        <v>141</v>
      </c>
      <c r="C568" s="44">
        <f>((E568)*'Settings'!$C$12)+(F568*'Settings'!$C$2)+(G568*'Settings'!$C$3)+(H568*'Settings'!$C$4)+(I568*'Settings'!$C$5)+(K568*'Settings'!$C$9)+(N568*'Settings'!$C$6)+(J568*'Settings'!$C$8)+(O568*'Settings'!$C$7)+(P568*'Settings'!$C$14)+(Q568*'Settings'!$C$15)+(R568*'Settings'!$C$16)+(S568*'Settings'!$C$17)+(T568*'Settings'!$C$18)+(U568*'Settings'!$C$19)+(L568*'Settings'!$C$10)+('Settings'!$C$11*M568)</f>
        <v>-2.64674065996303</v>
      </c>
      <c r="D568" s="48">
        <f>IF('Settings'!$E$12="YES",VLOOKUP(A568,'Player Data'!A1:E734,5,FALSE),82)</f>
        <v>63.0271428571429</v>
      </c>
      <c r="E568" s="46">
        <f>(VLOOKUP($A568,'The List'!$B1:$AH730,17,FALSE)-AVERAGE('The List'!R2:R730))/STDEV('The List'!R2:R730)</f>
        <v>0.710876449928056</v>
      </c>
      <c r="F568" s="46">
        <f>(VLOOKUP($A568,'The List'!$B1:$AH730,18,FALSE)-AVERAGE('The List'!S2:S730))/STDEV('The List'!S2:S730)</f>
        <v>-0.976938788896612</v>
      </c>
      <c r="G568" s="46">
        <f>(VLOOKUP($A568,'The List'!$B1:$AH730,19,FALSE)-AVERAGE('The List'!T2:T730))/STDEV('The List'!T2:T730)</f>
        <v>-0.918416645145438</v>
      </c>
      <c r="H568" s="46">
        <f>(VLOOKUP($A568,'The List'!$B1:$AH730,20,FALSE)-AVERAGE('The List'!U2:U730))/STDEV('The List'!U2:U730)</f>
        <v>-1.01071853249751</v>
      </c>
      <c r="I568" s="46">
        <f>(VLOOKUP($A568,'The List'!$B1:$AH730,21,FALSE)-AVERAGE('The List'!V2:V730))/STDEV('The List'!V2:V730)</f>
        <v>-0.98968182651087</v>
      </c>
      <c r="J568" s="46">
        <f>(VLOOKUP($A568,'The List'!$B1:$AH730,22,FALSE)-AVERAGE('The List'!W2:W730))/STDEV('The List'!W2:W730)</f>
        <v>-0.681955772009594</v>
      </c>
      <c r="K568" s="46">
        <f>(VLOOKUP($A568,'The List'!$B1:$AH730,23,FALSE)-AVERAGE('The List'!X2:X730))/STDEV('The List'!X2:X730)</f>
        <v>-0.720259013337932</v>
      </c>
      <c r="L568" s="46">
        <f>(VLOOKUP($A568,'The List'!$B1:$AH730,24,FALSE)-AVERAGE('The List'!Y2:Y730))/STDEV('The List'!Y2:Y730)</f>
        <v>-0.465161073254983</v>
      </c>
      <c r="M568" s="46">
        <f>(VLOOKUP($A568,'The List'!$B1:$AH730,25,FALSE)-AVERAGE('The List'!Z2:Z730))/STDEV('The List'!Z2:Z730)</f>
        <v>-0.545231058643866</v>
      </c>
      <c r="N568" s="46">
        <f>(VLOOKUP($A568,'The List'!$B1:$AH730,26,FALSE)-AVERAGE('The List'!AA2:AA730))/STDEV('The List'!AA2:AA730)</f>
        <v>1.1545397478152</v>
      </c>
      <c r="O568" s="46">
        <f>(VLOOKUP($A568,'The List'!$B1:$AH730,27,FALSE)-AVERAGE('The List'!AB2:AB730))/STDEV('The List'!AB2:AB730)</f>
        <v>1.94426893037784</v>
      </c>
      <c r="P568" s="46">
        <f>(VLOOKUP($A568,'The List'!$B1:$AH730,28,FALSE)-AVERAGE('The List'!AC2:AC730))/STDEV('The List'!AC2:AC730)</f>
        <v>-0.195984133887376</v>
      </c>
      <c r="Q568" s="46">
        <f>(VLOOKUP($A568,'The List'!$B1:$AH730,29,FALSE)-AVERAGE('The List'!AD2:AD730))/STDEV('The List'!AD2:AD730)</f>
        <v>2.83582399156028</v>
      </c>
      <c r="R568" s="46">
        <f>(VLOOKUP($A568,'The List'!$B1:$AH730,30,FALSE)-AVERAGE('The List'!AE2:AE730))/STDEV('The List'!AE2:AE730)</f>
        <v>-0.9270794874066099</v>
      </c>
      <c r="S568" s="46">
        <f>(VLOOKUP($A568,'The List'!$B1:$AH730,31,FALSE)-AVERAGE('The List'!AF2:AF730))/STDEV('The List'!AF2:AF730)</f>
        <v>-0.5569063253591</v>
      </c>
      <c r="T568" s="46">
        <f>(VLOOKUP($A568,'The List'!$B1:$AH730,32,FALSE)-AVERAGE('The List'!AG2:AG730))/STDEV('The List'!AG2:AG730)</f>
        <v>-0.594312013804441</v>
      </c>
      <c r="U568" s="46">
        <f>(VLOOKUP($A568,'The List'!$B1:$AH730,33,FALSE)-AVERAGE('The List'!AH2:AH730))/STDEV('The List'!AH2:AH730)</f>
        <v>-1.2363238714826</v>
      </c>
      <c r="V568" s="46"/>
      <c r="W568" s="48"/>
      <c r="X568" s="46"/>
      <c r="Y568" s="46"/>
      <c r="Z568" s="46"/>
      <c r="AA568" s="46"/>
      <c r="AB568" s="46"/>
      <c r="AC568" s="46"/>
      <c r="AD568" s="46"/>
      <c r="AE568" s="46"/>
    </row>
    <row r="569" ht="21.25" customHeight="1">
      <c r="A569" t="s" s="8">
        <v>822</v>
      </c>
      <c r="B569" t="s" s="42">
        <f>VLOOKUP(A569,'Player Data'!A1:B734,2,FALSE)</f>
        <v>234</v>
      </c>
      <c r="C569" s="44">
        <f>((E569)*'Settings'!$C$12)+(F569*'Settings'!$C$2)+(G569*'Settings'!$C$3)+(H569*'Settings'!$C$4)+(I569*'Settings'!$C$5)+(K569*'Settings'!$C$9)+(N569*'Settings'!$C$6)+(J569*'Settings'!$C$8)+(O569*'Settings'!$C$7)+(P569*'Settings'!$C$14)+(Q569*'Settings'!$C$15)+(R569*'Settings'!$C$16)+(S569*'Settings'!$C$17)+(T569*'Settings'!$C$18)+(U569*'Settings'!$C$19)+(L569*'Settings'!$C$10)+('Settings'!$C$11*M569)</f>
        <v>-6.65617003463115</v>
      </c>
      <c r="D569" s="48">
        <f>IF('Settings'!$E$12="YES",VLOOKUP(A569,'Player Data'!A1:E734,5,FALSE),82)</f>
        <v>62.535</v>
      </c>
      <c r="E569" s="46">
        <f>(VLOOKUP($A569,'The List'!$B1:$AH730,17,FALSE)-AVERAGE('The List'!R2:R730))/STDEV('The List'!R2:R730)</f>
        <v>-1.51215726245865</v>
      </c>
      <c r="F569" s="46">
        <f>(VLOOKUP($A569,'The List'!$B1:$AH730,18,FALSE)-AVERAGE('The List'!S2:S730))/STDEV('The List'!S2:S730)</f>
        <v>-0.605425246672959</v>
      </c>
      <c r="G569" s="46">
        <f>(VLOOKUP($A569,'The List'!$B1:$AH730,19,FALSE)-AVERAGE('The List'!T2:T730))/STDEV('The List'!T2:T730)</f>
        <v>-1.20094108787455</v>
      </c>
      <c r="H569" s="46">
        <f>(VLOOKUP($A569,'The List'!$B1:$AH730,20,FALSE)-AVERAGE('The List'!U2:U730))/STDEV('The List'!U2:U730)</f>
        <v>-1.01584502535416</v>
      </c>
      <c r="I569" s="46">
        <f>(VLOOKUP($A569,'The List'!$B1:$AH730,21,FALSE)-AVERAGE('The List'!V2:V730))/STDEV('The List'!V2:V730)</f>
        <v>-1.10179859525525</v>
      </c>
      <c r="J569" s="46">
        <f>(VLOOKUP($A569,'The List'!$B1:$AH730,22,FALSE)-AVERAGE('The List'!W2:W730))/STDEV('The List'!W2:W730)</f>
        <v>-0.7005908852664831</v>
      </c>
      <c r="K569" s="46">
        <f>(VLOOKUP($A569,'The List'!$B1:$AH730,23,FALSE)-AVERAGE('The List'!X2:X730))/STDEV('The List'!X2:X730)</f>
        <v>-0.7903849424188431</v>
      </c>
      <c r="L569" s="46">
        <f>(VLOOKUP($A569,'The List'!$B1:$AH730,24,FALSE)-AVERAGE('The List'!Y2:Y730))/STDEV('The List'!Y2:Y730)</f>
        <v>-0.503920338179354</v>
      </c>
      <c r="M569" s="46">
        <f>(VLOOKUP($A569,'The List'!$B1:$AH730,25,FALSE)-AVERAGE('The List'!Z2:Z730))/STDEV('The List'!Z2:Z730)</f>
        <v>-0.677485029995609</v>
      </c>
      <c r="N569" s="46">
        <f>(VLOOKUP($A569,'The List'!$B1:$AH730,26,FALSE)-AVERAGE('The List'!AA2:AA730))/STDEV('The List'!AA2:AA730)</f>
        <v>-0.913976653614315</v>
      </c>
      <c r="O569" s="46">
        <f>(VLOOKUP($A569,'The List'!$B1:$AH730,27,FALSE)-AVERAGE('The List'!AB2:AB730))/STDEV('The List'!AB2:AB730)</f>
        <v>-0.80482863410253</v>
      </c>
      <c r="P569" s="46">
        <f>(VLOOKUP($A569,'The List'!$B1:$AH730,28,FALSE)-AVERAGE('The List'!AC2:AC730))/STDEV('The List'!AC2:AC730)</f>
        <v>-2.04364350879523</v>
      </c>
      <c r="Q569" s="46">
        <f>(VLOOKUP($A569,'The List'!$B1:$AH730,29,FALSE)-AVERAGE('The List'!AD2:AD730))/STDEV('The List'!AD2:AD730)</f>
        <v>-1.12526405221152</v>
      </c>
      <c r="R569" s="46">
        <f>(VLOOKUP($A569,'The List'!$B1:$AH730,30,FALSE)-AVERAGE('The List'!AE2:AE730))/STDEV('The List'!AE2:AE730)</f>
        <v>-0.753990110590002</v>
      </c>
      <c r="S569" s="46">
        <f>(VLOOKUP($A569,'The List'!$B1:$AH730,31,FALSE)-AVERAGE('The List'!AF2:AF730))/STDEV('The List'!AF2:AF730)</f>
        <v>-0.543352736841436</v>
      </c>
      <c r="T569" s="46">
        <f>(VLOOKUP($A569,'The List'!$B1:$AH730,32,FALSE)-AVERAGE('The List'!AG2:AG730))/STDEV('The List'!AG2:AG730)</f>
        <v>-0.573953649470256</v>
      </c>
      <c r="U569" s="46">
        <f>(VLOOKUP($A569,'The List'!$B1:$AH730,33,FALSE)-AVERAGE('The List'!AH2:AH730))/STDEV('The List'!AH2:AH730)</f>
        <v>0.327940595909287</v>
      </c>
      <c r="V569" s="46"/>
      <c r="W569" s="50"/>
      <c r="X569" s="48"/>
      <c r="Y569" s="48"/>
      <c r="Z569" s="48"/>
      <c r="AA569" s="48"/>
      <c r="AB569" s="48"/>
      <c r="AC569" s="51"/>
      <c r="AD569" s="52"/>
      <c r="AE569" s="46"/>
    </row>
    <row r="570" ht="21.25" customHeight="1">
      <c r="A570" t="s" s="8">
        <v>544</v>
      </c>
      <c r="B570" t="s" s="42">
        <f>VLOOKUP(A570,'Player Data'!A1:B734,2,FALSE)</f>
        <v>139</v>
      </c>
      <c r="C570" s="44">
        <f>((E570)*'Settings'!$C$12)+(F570*'Settings'!$C$2)+(G570*'Settings'!$C$3)+(H570*'Settings'!$C$4)+(I570*'Settings'!$C$5)+(K570*'Settings'!$C$9)+(N570*'Settings'!$C$6)+(J570*'Settings'!$C$8)+(O570*'Settings'!$C$7)+(P570*'Settings'!$C$14)+(Q570*'Settings'!$C$15)+(R570*'Settings'!$C$16)+(S570*'Settings'!$C$17)+(T570*'Settings'!$C$18)+(U570*'Settings'!$C$19)+(L570*'Settings'!$C$10)+('Settings'!$C$11*M570)</f>
        <v>-1.96615316670448</v>
      </c>
      <c r="D570" s="48">
        <f>IF('Settings'!$E$12="YES",VLOOKUP(A570,'Player Data'!A1:E734,5,FALSE),82)</f>
        <v>70.3557142857143</v>
      </c>
      <c r="E570" s="46">
        <f>(VLOOKUP($A570,'The List'!$B1:$AH730,17,FALSE)-AVERAGE('The List'!R2:R730))/STDEV('The List'!R2:R730)</f>
        <v>0.174313167849281</v>
      </c>
      <c r="F570" s="46">
        <f>(VLOOKUP($A570,'The List'!$B1:$AH730,18,FALSE)-AVERAGE('The List'!S2:S730))/STDEV('The List'!S2:S730)</f>
        <v>-0.98372539904779</v>
      </c>
      <c r="G570" s="46">
        <f>(VLOOKUP($A570,'The List'!$B1:$AH730,19,FALSE)-AVERAGE('The List'!T2:T730))/STDEV('The List'!T2:T730)</f>
        <v>-0.80541939920434</v>
      </c>
      <c r="H570" s="46">
        <f>(VLOOKUP($A570,'The List'!$B1:$AH730,20,FALSE)-AVERAGE('The List'!U2:U730))/STDEV('The List'!U2:U730)</f>
        <v>-0.944145259303252</v>
      </c>
      <c r="I570" s="46">
        <f>(VLOOKUP($A570,'The List'!$B1:$AH730,21,FALSE)-AVERAGE('The List'!V2:V730))/STDEV('The List'!V2:V730)</f>
        <v>-0.373707094981112</v>
      </c>
      <c r="J570" s="46">
        <f>(VLOOKUP($A570,'The List'!$B1:$AH730,22,FALSE)-AVERAGE('The List'!W2:W730))/STDEV('The List'!W2:W730)</f>
        <v>-0.7097024436894001</v>
      </c>
      <c r="K570" s="46">
        <f>(VLOOKUP($A570,'The List'!$B1:$AH730,23,FALSE)-AVERAGE('The List'!X2:X730))/STDEV('The List'!X2:X730)</f>
        <v>-0.787653190807335</v>
      </c>
      <c r="L570" s="46">
        <f>(VLOOKUP($A570,'The List'!$B1:$AH730,24,FALSE)-AVERAGE('The List'!Y2:Y730))/STDEV('The List'!Y2:Y730)</f>
        <v>-0.125618173349984</v>
      </c>
      <c r="M570" s="46">
        <f>(VLOOKUP($A570,'The List'!$B1:$AH730,25,FALSE)-AVERAGE('The List'!Z2:Z730))/STDEV('The List'!Z2:Z730)</f>
        <v>0.307757938141376</v>
      </c>
      <c r="N570" s="46">
        <f>(VLOOKUP($A570,'The List'!$B1:$AH730,26,FALSE)-AVERAGE('The List'!AA2:AA730))/STDEV('The List'!AA2:AA730)</f>
        <v>1.29370033902114</v>
      </c>
      <c r="O570" s="46">
        <f>(VLOOKUP($A570,'The List'!$B1:$AH730,27,FALSE)-AVERAGE('The List'!AB2:AB730))/STDEV('The List'!AB2:AB730)</f>
        <v>0.7983472517726899</v>
      </c>
      <c r="P570" s="46">
        <f>(VLOOKUP($A570,'The List'!$B1:$AH730,28,FALSE)-AVERAGE('The List'!AC2:AC730))/STDEV('The List'!AC2:AC730)</f>
        <v>-0.309348421685043</v>
      </c>
      <c r="Q570" s="46">
        <f>(VLOOKUP($A570,'The List'!$B1:$AH730,29,FALSE)-AVERAGE('The List'!AD2:AD730))/STDEV('The List'!AD2:AD730)</f>
        <v>-0.763233118557743</v>
      </c>
      <c r="R570" s="46">
        <f>(VLOOKUP($A570,'The List'!$B1:$AH730,30,FALSE)-AVERAGE('The List'!AE2:AE730))/STDEV('The List'!AE2:AE730)</f>
        <v>-0.924723399337422</v>
      </c>
      <c r="S570" s="46">
        <f>(VLOOKUP($A570,'The List'!$B1:$AH730,31,FALSE)-AVERAGE('The List'!AF2:AF730))/STDEV('The List'!AF2:AF730)</f>
        <v>-0.5569063253591</v>
      </c>
      <c r="T570" s="46">
        <f>(VLOOKUP($A570,'The List'!$B1:$AH730,32,FALSE)-AVERAGE('The List'!AG2:AG730))/STDEV('The List'!AG2:AG730)</f>
        <v>-0.600856269042678</v>
      </c>
      <c r="U570" s="46">
        <f>(VLOOKUP($A570,'The List'!$B1:$AH730,33,FALSE)-AVERAGE('The List'!AH2:AH730))/STDEV('The List'!AH2:AH730)</f>
        <v>-1.2363238714826</v>
      </c>
      <c r="V570" s="46"/>
      <c r="W570" s="50"/>
      <c r="X570" s="48"/>
      <c r="Y570" s="48"/>
      <c r="Z570" s="48"/>
      <c r="AA570" s="48"/>
      <c r="AB570" s="48"/>
      <c r="AC570" s="51"/>
      <c r="AD570" s="52"/>
      <c r="AE570" s="46"/>
    </row>
    <row r="571" ht="21.25" customHeight="1">
      <c r="A571" t="s" s="8">
        <v>511</v>
      </c>
      <c r="B571" t="s" s="42">
        <f>VLOOKUP(A571,'Player Data'!A1:B734,2,FALSE)</f>
        <v>173</v>
      </c>
      <c r="C571" s="44">
        <f>((E571)*'Settings'!$C$12)+(F571*'Settings'!$C$2)+(G571*'Settings'!$C$3)+(H571*'Settings'!$C$4)+(I571*'Settings'!$C$5)+(K571*'Settings'!$C$9)+(N571*'Settings'!$C$6)+(J571*'Settings'!$C$8)+(O571*'Settings'!$C$7)+(P571*'Settings'!$C$14)+(Q571*'Settings'!$C$15)+(R571*'Settings'!$C$16)+(S571*'Settings'!$C$17)+(T571*'Settings'!$C$18)+(U571*'Settings'!$C$19)+(L571*'Settings'!$C$10)+('Settings'!$C$11*M571)</f>
        <v>-1.24314047164037</v>
      </c>
      <c r="D571" s="48">
        <f>IF('Settings'!$E$12="YES",VLOOKUP(A571,'Player Data'!A1:E734,5,FALSE),82)</f>
        <v>72.7892857142857</v>
      </c>
      <c r="E571" s="46">
        <f>(VLOOKUP($A571,'The List'!$B1:$AH730,17,FALSE)-AVERAGE('The List'!R2:R730))/STDEV('The List'!R2:R730)</f>
        <v>0.241672243749747</v>
      </c>
      <c r="F571" s="46">
        <f>(VLOOKUP($A571,'The List'!$B1:$AH730,18,FALSE)-AVERAGE('The List'!S2:S730))/STDEV('The List'!S2:S730)</f>
        <v>-0.865765997265415</v>
      </c>
      <c r="G571" s="46">
        <f>(VLOOKUP($A571,'The List'!$B1:$AH730,19,FALSE)-AVERAGE('The List'!T2:T730))/STDEV('The List'!T2:T730)</f>
        <v>-0.857560729630275</v>
      </c>
      <c r="H571" s="46">
        <f>(VLOOKUP($A571,'The List'!$B1:$AH730,20,FALSE)-AVERAGE('The List'!U2:U730))/STDEV('The List'!U2:U730)</f>
        <v>-0.92261581061275</v>
      </c>
      <c r="I571" s="46">
        <f>(VLOOKUP($A571,'The List'!$B1:$AH730,21,FALSE)-AVERAGE('The List'!V2:V730))/STDEV('The List'!V2:V730)</f>
        <v>-0.270302316175199</v>
      </c>
      <c r="J571" s="46">
        <f>(VLOOKUP($A571,'The List'!$B1:$AH730,22,FALSE)-AVERAGE('The List'!W2:W730))/STDEV('The List'!W2:W730)</f>
        <v>-0.708115224235226</v>
      </c>
      <c r="K571" s="46">
        <f>(VLOOKUP($A571,'The List'!$B1:$AH730,23,FALSE)-AVERAGE('The List'!X2:X730))/STDEV('The List'!X2:X730)</f>
        <v>-0.78037419711523</v>
      </c>
      <c r="L571" s="46">
        <f>(VLOOKUP($A571,'The List'!$B1:$AH730,24,FALSE)-AVERAGE('The List'!Y2:Y730))/STDEV('The List'!Y2:Y730)</f>
        <v>-0.495507960177792</v>
      </c>
      <c r="M571" s="46">
        <f>(VLOOKUP($A571,'The List'!$B1:$AH730,25,FALSE)-AVERAGE('The List'!Z2:Z730))/STDEV('The List'!Z2:Z730)</f>
        <v>0.607176015021054</v>
      </c>
      <c r="N571" s="46">
        <f>(VLOOKUP($A571,'The List'!$B1:$AH730,26,FALSE)-AVERAGE('The List'!AA2:AA730))/STDEV('The List'!AA2:AA730)</f>
        <v>1.75167008488146</v>
      </c>
      <c r="O571" s="46">
        <f>(VLOOKUP($A571,'The List'!$B1:$AH730,27,FALSE)-AVERAGE('The List'!AB2:AB730))/STDEV('The List'!AB2:AB730)</f>
        <v>0.277962342202955</v>
      </c>
      <c r="P571" s="46">
        <f>(VLOOKUP($A571,'The List'!$B1:$AH730,28,FALSE)-AVERAGE('The List'!AC2:AC730))/STDEV('The List'!AC2:AC730)</f>
        <v>-0.220807316335713</v>
      </c>
      <c r="Q571" s="46">
        <f>(VLOOKUP($A571,'The List'!$B1:$AH730,29,FALSE)-AVERAGE('The List'!AD2:AD730))/STDEV('The List'!AD2:AD730)</f>
        <v>0.877724647510076</v>
      </c>
      <c r="R571" s="46">
        <f>(VLOOKUP($A571,'The List'!$B1:$AH730,30,FALSE)-AVERAGE('The List'!AE2:AE730))/STDEV('The List'!AE2:AE730)</f>
        <v>-0.763906636037212</v>
      </c>
      <c r="S571" s="46">
        <f>(VLOOKUP($A571,'The List'!$B1:$AH730,31,FALSE)-AVERAGE('The List'!AF2:AF730))/STDEV('The List'!AF2:AF730)</f>
        <v>-0.5569063253591</v>
      </c>
      <c r="T571" s="46">
        <f>(VLOOKUP($A571,'The List'!$B1:$AH730,32,FALSE)-AVERAGE('The List'!AG2:AG730))/STDEV('The List'!AG2:AG730)</f>
        <v>-0.600066209856652</v>
      </c>
      <c r="U571" s="46">
        <f>(VLOOKUP($A571,'The List'!$B1:$AH730,33,FALSE)-AVERAGE('The List'!AH2:AH730))/STDEV('The List'!AH2:AH730)</f>
        <v>-1.2363238714826</v>
      </c>
      <c r="V571" s="46"/>
      <c r="W571" s="48"/>
      <c r="X571" s="46"/>
      <c r="Y571" s="46"/>
      <c r="Z571" s="46"/>
      <c r="AA571" s="46"/>
      <c r="AB571" s="46"/>
      <c r="AC571" s="46"/>
      <c r="AD571" s="46"/>
      <c r="AE571" s="46"/>
    </row>
    <row r="572" ht="21.25" customHeight="1">
      <c r="A572" t="s" s="8">
        <v>863</v>
      </c>
      <c r="B572" t="s" s="42">
        <f>VLOOKUP(A572,'Player Data'!A1:B734,2,FALSE)</f>
        <v>134</v>
      </c>
      <c r="C572" s="44">
        <f>((E572)*'Settings'!$C$12)+(F572*'Settings'!$C$2)+(G572*'Settings'!$C$3)+(H572*'Settings'!$C$4)+(I572*'Settings'!$C$5)+(K572*'Settings'!$C$9)+(N572*'Settings'!$C$6)+(J572*'Settings'!$C$8)+(O572*'Settings'!$C$7)+(P572*'Settings'!$C$14)+(Q572*'Settings'!$C$15)+(R572*'Settings'!$C$16)+(S572*'Settings'!$C$17)+(T572*'Settings'!$C$18)+(U572*'Settings'!$C$19)+(L572*'Settings'!$C$10)+('Settings'!$C$11*M572)</f>
        <v>-4.85385624421549</v>
      </c>
      <c r="D572" s="48">
        <f>IF('Settings'!$E$12="YES",VLOOKUP(A572,'Player Data'!A1:E734,5,FALSE),82)</f>
        <v>53.275</v>
      </c>
      <c r="E572" s="46">
        <f>(VLOOKUP($A572,'The List'!$B1:$AH730,17,FALSE)-AVERAGE('The List'!R2:R730))/STDEV('The List'!R2:R730)</f>
        <v>-1.49939509166534</v>
      </c>
      <c r="F572" s="46">
        <f>(VLOOKUP($A572,'The List'!$B1:$AH730,18,FALSE)-AVERAGE('The List'!S2:S730))/STDEV('The List'!S2:S730)</f>
        <v>-0.902095934513932</v>
      </c>
      <c r="G572" s="46">
        <f>(VLOOKUP($A572,'The List'!$B1:$AH730,19,FALSE)-AVERAGE('The List'!T2:T730))/STDEV('The List'!T2:T730)</f>
        <v>-1.12552153042885</v>
      </c>
      <c r="H572" s="46">
        <f>(VLOOKUP($A572,'The List'!$B1:$AH730,20,FALSE)-AVERAGE('The List'!U2:U730))/STDEV('The List'!U2:U730)</f>
        <v>-1.1043409723849</v>
      </c>
      <c r="I572" s="46">
        <f>(VLOOKUP($A572,'The List'!$B1:$AH730,21,FALSE)-AVERAGE('The List'!V2:V730))/STDEV('The List'!V2:V730)</f>
        <v>-1.21270426907994</v>
      </c>
      <c r="J572" s="46">
        <f>(VLOOKUP($A572,'The List'!$B1:$AH730,22,FALSE)-AVERAGE('The List'!W2:W730))/STDEV('The List'!W2:W730)</f>
        <v>-0.695547636446148</v>
      </c>
      <c r="K572" s="46">
        <f>(VLOOKUP($A572,'The List'!$B1:$AH730,23,FALSE)-AVERAGE('The List'!X2:X730))/STDEV('The List'!X2:X730)</f>
        <v>-0.780994272831798</v>
      </c>
      <c r="L572" s="46">
        <f>(VLOOKUP($A572,'The List'!$B1:$AH730,24,FALSE)-AVERAGE('The List'!Y2:Y730))/STDEV('The List'!Y2:Y730)</f>
        <v>-0.542843480388394</v>
      </c>
      <c r="M572" s="46">
        <f>(VLOOKUP($A572,'The List'!$B1:$AH730,25,FALSE)-AVERAGE('The List'!Z2:Z730))/STDEV('The List'!Z2:Z730)</f>
        <v>-0.72177514995105</v>
      </c>
      <c r="N572" s="46">
        <f>(VLOOKUP($A572,'The List'!$B1:$AH730,26,FALSE)-AVERAGE('The List'!AA2:AA730))/STDEV('The List'!AA2:AA730)</f>
        <v>-0.974909425794995</v>
      </c>
      <c r="O572" s="46">
        <f>(VLOOKUP($A572,'The List'!$B1:$AH730,27,FALSE)-AVERAGE('The List'!AB2:AB730))/STDEV('The List'!AB2:AB730)</f>
        <v>-0.733371516288847</v>
      </c>
      <c r="P572" s="46">
        <f>(VLOOKUP($A572,'The List'!$B1:$AH730,28,FALSE)-AVERAGE('The List'!AC2:AC730))/STDEV('The List'!AC2:AC730)</f>
        <v>0.142369188434021</v>
      </c>
      <c r="Q572" s="46">
        <f>(VLOOKUP($A572,'The List'!$B1:$AH730,29,FALSE)-AVERAGE('The List'!AD2:AD730))/STDEV('The List'!AD2:AD730)</f>
        <v>-1.17331334502127</v>
      </c>
      <c r="R572" s="46">
        <f>(VLOOKUP($A572,'The List'!$B1:$AH730,30,FALSE)-AVERAGE('The List'!AE2:AE730))/STDEV('The List'!AE2:AE730)</f>
        <v>-0.773368027971269</v>
      </c>
      <c r="S572" s="46">
        <f>(VLOOKUP($A572,'The List'!$B1:$AH730,31,FALSE)-AVERAGE('The List'!AF2:AF730))/STDEV('The List'!AF2:AF730)</f>
        <v>-0.498965738468704</v>
      </c>
      <c r="T572" s="46">
        <f>(VLOOKUP($A572,'The List'!$B1:$AH730,32,FALSE)-AVERAGE('The List'!AG2:AG730))/STDEV('The List'!AG2:AG730)</f>
        <v>-0.43925709542872</v>
      </c>
      <c r="U572" s="46">
        <f>(VLOOKUP($A572,'The List'!$B1:$AH730,33,FALSE)-AVERAGE('The List'!AH2:AH730))/STDEV('The List'!AH2:AH730)</f>
        <v>0.000435006196807397</v>
      </c>
      <c r="V572" s="46"/>
      <c r="W572" s="48"/>
      <c r="X572" s="46"/>
      <c r="Y572" s="46"/>
      <c r="Z572" s="46"/>
      <c r="AA572" s="46"/>
      <c r="AB572" s="46"/>
      <c r="AC572" s="46"/>
      <c r="AD572" s="46"/>
      <c r="AE572" s="46"/>
    </row>
    <row r="573" ht="21.25" customHeight="1">
      <c r="A573" t="s" s="8">
        <v>677</v>
      </c>
      <c r="B573" t="s" s="42">
        <f>VLOOKUP(A573,'Player Data'!A1:B734,2,FALSE)</f>
        <v>166</v>
      </c>
      <c r="C573" s="44">
        <f>((E573)*'Settings'!$C$12)+(F573*'Settings'!$C$2)+(G573*'Settings'!$C$3)+(H573*'Settings'!$C$4)+(I573*'Settings'!$C$5)+(K573*'Settings'!$C$9)+(N573*'Settings'!$C$6)+(J573*'Settings'!$C$8)+(O573*'Settings'!$C$7)+(P573*'Settings'!$C$14)+(Q573*'Settings'!$C$15)+(R573*'Settings'!$C$16)+(S573*'Settings'!$C$17)+(T573*'Settings'!$C$18)+(U573*'Settings'!$C$19)+(L573*'Settings'!$C$10)+('Settings'!$C$11*M573)</f>
        <v>-4.5174745579403</v>
      </c>
      <c r="D573" s="48">
        <f>IF('Settings'!$E$12="YES",VLOOKUP(A573,'Player Data'!A1:E734,5,FALSE),82)</f>
        <v>53.8175</v>
      </c>
      <c r="E573" s="46">
        <f>(VLOOKUP($A573,'The List'!$B1:$AH730,17,FALSE)-AVERAGE('The List'!R2:R730))/STDEV('The List'!R2:R730)</f>
        <v>0.0152874451652641</v>
      </c>
      <c r="F573" s="46">
        <f>(VLOOKUP($A573,'The List'!$B1:$AH730,18,FALSE)-AVERAGE('The List'!S2:S730))/STDEV('The List'!S2:S730)</f>
        <v>-1.14727471400635</v>
      </c>
      <c r="G573" s="46">
        <f>(VLOOKUP($A573,'The List'!$B1:$AH730,19,FALSE)-AVERAGE('The List'!T2:T730))/STDEV('The List'!T2:T730)</f>
        <v>-0.944500888153802</v>
      </c>
      <c r="H573" s="46">
        <f>(VLOOKUP($A573,'The List'!$B1:$AH730,20,FALSE)-AVERAGE('The List'!U2:U730))/STDEV('The List'!U2:U730)</f>
        <v>-1.10430538760023</v>
      </c>
      <c r="I573" s="46">
        <f>(VLOOKUP($A573,'The List'!$B1:$AH730,21,FALSE)-AVERAGE('The List'!V2:V730))/STDEV('The List'!V2:V730)</f>
        <v>-1.31141604205063</v>
      </c>
      <c r="J573" s="46">
        <f>(VLOOKUP($A573,'The List'!$B1:$AH730,22,FALSE)-AVERAGE('The List'!W2:W730))/STDEV('The List'!W2:W730)</f>
        <v>-0.710159808523894</v>
      </c>
      <c r="K573" s="46">
        <f>(VLOOKUP($A573,'The List'!$B1:$AH730,23,FALSE)-AVERAGE('The List'!X2:X730))/STDEV('The List'!X2:X730)</f>
        <v>-0.79390051333957</v>
      </c>
      <c r="L573" s="46">
        <f>(VLOOKUP($A573,'The List'!$B1:$AH730,24,FALSE)-AVERAGE('The List'!Y2:Y730))/STDEV('The List'!Y2:Y730)</f>
        <v>-0.457380790428117</v>
      </c>
      <c r="M573" s="46">
        <f>(VLOOKUP($A573,'The List'!$B1:$AH730,25,FALSE)-AVERAGE('The List'!Z2:Z730))/STDEV('The List'!Z2:Z730)</f>
        <v>-0.533346062754985</v>
      </c>
      <c r="N573" s="46">
        <f>(VLOOKUP($A573,'The List'!$B1:$AH730,26,FALSE)-AVERAGE('The List'!AA2:AA730))/STDEV('The List'!AA2:AA730)</f>
        <v>0.363536724950107</v>
      </c>
      <c r="O573" s="46">
        <f>(VLOOKUP($A573,'The List'!$B1:$AH730,27,FALSE)-AVERAGE('The List'!AB2:AB730))/STDEV('The List'!AB2:AB730)</f>
        <v>-0.57022575565578</v>
      </c>
      <c r="P573" s="46">
        <f>(VLOOKUP($A573,'The List'!$B1:$AH730,28,FALSE)-AVERAGE('The List'!AC2:AC730))/STDEV('The List'!AC2:AC730)</f>
        <v>-0.6839191253400561</v>
      </c>
      <c r="Q573" s="46">
        <f>(VLOOKUP($A573,'The List'!$B1:$AH730,29,FALSE)-AVERAGE('The List'!AD2:AD730))/STDEV('The List'!AD2:AD730)</f>
        <v>-1.07867162369907</v>
      </c>
      <c r="R573" s="46">
        <f>(VLOOKUP($A573,'The List'!$B1:$AH730,30,FALSE)-AVERAGE('The List'!AE2:AE730))/STDEV('The List'!AE2:AE730)</f>
        <v>-1.06580264355191</v>
      </c>
      <c r="S573" s="46">
        <f>(VLOOKUP($A573,'The List'!$B1:$AH730,31,FALSE)-AVERAGE('The List'!AF2:AF730))/STDEV('The List'!AF2:AF730)</f>
        <v>-0.5569063253591</v>
      </c>
      <c r="T573" s="46">
        <f>(VLOOKUP($A573,'The List'!$B1:$AH730,32,FALSE)-AVERAGE('The List'!AG2:AG730))/STDEV('The List'!AG2:AG730)</f>
        <v>-0.600856269042678</v>
      </c>
      <c r="U573" s="46">
        <f>(VLOOKUP($A573,'The List'!$B1:$AH730,33,FALSE)-AVERAGE('The List'!AH2:AH730))/STDEV('The List'!AH2:AH730)</f>
        <v>-1.2363238714826</v>
      </c>
      <c r="V573" s="46"/>
      <c r="W573" s="50"/>
      <c r="X573" s="48"/>
      <c r="Y573" s="48"/>
      <c r="Z573" s="48"/>
      <c r="AA573" s="48"/>
      <c r="AB573" s="48"/>
      <c r="AC573" s="51"/>
      <c r="AD573" s="52"/>
      <c r="AE573" s="46"/>
    </row>
    <row r="574" ht="21.25" customHeight="1">
      <c r="A574" t="s" s="8">
        <v>601</v>
      </c>
      <c r="B574" t="s" s="42">
        <f>VLOOKUP(A574,'Player Data'!A1:B734,2,FALSE)</f>
        <v>164</v>
      </c>
      <c r="C574" s="44">
        <f>((E574)*'Settings'!$C$12)+(F574*'Settings'!$C$2)+(G574*'Settings'!$C$3)+(H574*'Settings'!$C$4)+(I574*'Settings'!$C$5)+(K574*'Settings'!$C$9)+(N574*'Settings'!$C$6)+(J574*'Settings'!$C$8)+(O574*'Settings'!$C$7)+(P574*'Settings'!$C$14)+(Q574*'Settings'!$C$15)+(R574*'Settings'!$C$16)+(S574*'Settings'!$C$17)+(T574*'Settings'!$C$18)+(U574*'Settings'!$C$19)+(L574*'Settings'!$C$10)+('Settings'!$C$11*M574)</f>
        <v>-1.74528330121765</v>
      </c>
      <c r="D574" s="48">
        <f>IF('Settings'!$E$12="YES",VLOOKUP(A574,'Player Data'!A1:E734,5,FALSE),82)</f>
        <v>74.145</v>
      </c>
      <c r="E574" s="46">
        <f>(VLOOKUP($A574,'The List'!$B1:$AH730,17,FALSE)-AVERAGE('The List'!R2:R730))/STDEV('The List'!R2:R730)</f>
        <v>0.0517765787844895</v>
      </c>
      <c r="F574" s="46">
        <f>(VLOOKUP($A574,'The List'!$B1:$AH730,18,FALSE)-AVERAGE('The List'!S2:S730))/STDEV('The List'!S2:S730)</f>
        <v>-1.00550248078401</v>
      </c>
      <c r="G574" s="46">
        <f>(VLOOKUP($A574,'The List'!$B1:$AH730,19,FALSE)-AVERAGE('The List'!T2:T730))/STDEV('The List'!T2:T730)</f>
        <v>-0.751134298730653</v>
      </c>
      <c r="H574" s="46">
        <f>(VLOOKUP($A574,'The List'!$B1:$AH730,20,FALSE)-AVERAGE('The List'!U2:U730))/STDEV('The List'!U2:U730)</f>
        <v>-0.9205882173116861</v>
      </c>
      <c r="I574" s="46">
        <f>(VLOOKUP($A574,'The List'!$B1:$AH730,21,FALSE)-AVERAGE('The List'!V2:V730))/STDEV('The List'!V2:V730)</f>
        <v>-1.00770122649375</v>
      </c>
      <c r="J574" s="46">
        <f>(VLOOKUP($A574,'The List'!$B1:$AH730,22,FALSE)-AVERAGE('The List'!W2:W730))/STDEV('The List'!W2:W730)</f>
        <v>-0.706753797330904</v>
      </c>
      <c r="K574" s="46">
        <f>(VLOOKUP($A574,'The List'!$B1:$AH730,23,FALSE)-AVERAGE('The List'!X2:X730))/STDEV('The List'!X2:X730)</f>
        <v>-0.7847521415843129</v>
      </c>
      <c r="L574" s="46">
        <f>(VLOOKUP($A574,'The List'!$B1:$AH730,24,FALSE)-AVERAGE('The List'!Y2:Y730))/STDEV('The List'!Y2:Y730)</f>
        <v>-0.460535088686106</v>
      </c>
      <c r="M574" s="46">
        <f>(VLOOKUP($A574,'The List'!$B1:$AH730,25,FALSE)-AVERAGE('The List'!Z2:Z730))/STDEV('The List'!Z2:Z730)</f>
        <v>0.242103592859253</v>
      </c>
      <c r="N574" s="46">
        <f>(VLOOKUP($A574,'The List'!$B1:$AH730,26,FALSE)-AVERAGE('The List'!AA2:AA730))/STDEV('The List'!AA2:AA730)</f>
        <v>1.26679822264581</v>
      </c>
      <c r="O574" s="46">
        <f>(VLOOKUP($A574,'The List'!$B1:$AH730,27,FALSE)-AVERAGE('The List'!AB2:AB730))/STDEV('The List'!AB2:AB730)</f>
        <v>0.477300437932123</v>
      </c>
      <c r="P574" s="46">
        <f>(VLOOKUP($A574,'The List'!$B1:$AH730,28,FALSE)-AVERAGE('The List'!AC2:AC730))/STDEV('The List'!AC2:AC730)</f>
        <v>0.5370086237292681</v>
      </c>
      <c r="Q574" s="46">
        <f>(VLOOKUP($A574,'The List'!$B1:$AH730,29,FALSE)-AVERAGE('The List'!AD2:AD730))/STDEV('The List'!AD2:AD730)</f>
        <v>0.00767582349202461</v>
      </c>
      <c r="R574" s="46">
        <f>(VLOOKUP($A574,'The List'!$B1:$AH730,30,FALSE)-AVERAGE('The List'!AE2:AE730))/STDEV('The List'!AE2:AE730)</f>
        <v>-0.89004754481318</v>
      </c>
      <c r="S574" s="46">
        <f>(VLOOKUP($A574,'The List'!$B1:$AH730,31,FALSE)-AVERAGE('The List'!AF2:AF730))/STDEV('The List'!AF2:AF730)</f>
        <v>-0.5569063253591</v>
      </c>
      <c r="T574" s="46">
        <f>(VLOOKUP($A574,'The List'!$B1:$AH730,32,FALSE)-AVERAGE('The List'!AG2:AG730))/STDEV('The List'!AG2:AG730)</f>
        <v>-0.600856269042678</v>
      </c>
      <c r="U574" s="46">
        <f>(VLOOKUP($A574,'The List'!$B1:$AH730,33,FALSE)-AVERAGE('The List'!AH2:AH730))/STDEV('The List'!AH2:AH730)</f>
        <v>-1.2363238714826</v>
      </c>
      <c r="V574" s="46"/>
      <c r="W574" s="50"/>
      <c r="X574" s="48"/>
      <c r="Y574" s="48"/>
      <c r="Z574" s="48"/>
      <c r="AA574" s="48"/>
      <c r="AB574" s="48"/>
      <c r="AC574" s="51"/>
      <c r="AD574" s="52"/>
      <c r="AE574" s="46"/>
    </row>
    <row r="575" ht="21.25" customHeight="1">
      <c r="A575" t="s" s="8">
        <v>575</v>
      </c>
      <c r="B575" t="s" s="42">
        <f>VLOOKUP(A575,'Player Data'!A1:B734,2,FALSE)</f>
        <v>170</v>
      </c>
      <c r="C575" s="44">
        <f>((E575)*'Settings'!$C$12)+(F575*'Settings'!$C$2)+(G575*'Settings'!$C$3)+(H575*'Settings'!$C$4)+(I575*'Settings'!$C$5)+(K575*'Settings'!$C$9)+(N575*'Settings'!$C$6)+(J575*'Settings'!$C$8)+(O575*'Settings'!$C$7)+(P575*'Settings'!$C$14)+(Q575*'Settings'!$C$15)+(R575*'Settings'!$C$16)+(S575*'Settings'!$C$17)+(T575*'Settings'!$C$18)+(U575*'Settings'!$C$19)+(L575*'Settings'!$C$10)+('Settings'!$C$11*M575)</f>
        <v>-2.31520293419789</v>
      </c>
      <c r="D575" s="48">
        <f>IF('Settings'!$E$12="YES",VLOOKUP(A575,'Player Data'!A1:E734,5,FALSE),82)</f>
        <v>73.515</v>
      </c>
      <c r="E575" s="46">
        <f>(VLOOKUP($A575,'The List'!$B1:$AH730,17,FALSE)-AVERAGE('The List'!R2:R730))/STDEV('The List'!R2:R730)</f>
        <v>0.279362077772242</v>
      </c>
      <c r="F575" s="46">
        <f>(VLOOKUP($A575,'The List'!$B1:$AH730,18,FALSE)-AVERAGE('The List'!S2:S730))/STDEV('The List'!S2:S730)</f>
        <v>-1.02864462547954</v>
      </c>
      <c r="G575" s="46">
        <f>(VLOOKUP($A575,'The List'!$B1:$AH730,19,FALSE)-AVERAGE('The List'!T2:T730))/STDEV('The List'!T2:T730)</f>
        <v>-0.752495744568643</v>
      </c>
      <c r="H575" s="46">
        <f>(VLOOKUP($A575,'The List'!$B1:$AH730,20,FALSE)-AVERAGE('The List'!U2:U730))/STDEV('The List'!U2:U730)</f>
        <v>-0.931957670744756</v>
      </c>
      <c r="I575" s="46">
        <f>(VLOOKUP($A575,'The List'!$B1:$AH730,21,FALSE)-AVERAGE('The List'!V2:V730))/STDEV('The List'!V2:V730)</f>
        <v>-0.627143861213673</v>
      </c>
      <c r="J575" s="46">
        <f>(VLOOKUP($A575,'The List'!$B1:$AH730,22,FALSE)-AVERAGE('The List'!W2:W730))/STDEV('The List'!W2:W730)</f>
        <v>-0.711512262483855</v>
      </c>
      <c r="K575" s="46">
        <f>(VLOOKUP($A575,'The List'!$B1:$AH730,23,FALSE)-AVERAGE('The List'!X2:X730))/STDEV('The List'!X2:X730)</f>
        <v>-0.796604593900777</v>
      </c>
      <c r="L575" s="46">
        <f>(VLOOKUP($A575,'The List'!$B1:$AH730,24,FALSE)-AVERAGE('The List'!Y2:Y730))/STDEV('The List'!Y2:Y730)</f>
        <v>-0.493185358569163</v>
      </c>
      <c r="M575" s="46">
        <f>(VLOOKUP($A575,'The List'!$B1:$AH730,25,FALSE)-AVERAGE('The List'!Z2:Z730))/STDEV('The List'!Z2:Z730)</f>
        <v>-0.247563789824722</v>
      </c>
      <c r="N575" s="46">
        <f>(VLOOKUP($A575,'The List'!$B1:$AH730,26,FALSE)-AVERAGE('The List'!AA2:AA730))/STDEV('The List'!AA2:AA730)</f>
        <v>0.904151759180849</v>
      </c>
      <c r="O575" s="46">
        <f>(VLOOKUP($A575,'The List'!$B1:$AH730,27,FALSE)-AVERAGE('The List'!AB2:AB730))/STDEV('The List'!AB2:AB730)</f>
        <v>0.258587411655832</v>
      </c>
      <c r="P575" s="46">
        <f>(VLOOKUP($A575,'The List'!$B1:$AH730,28,FALSE)-AVERAGE('The List'!AC2:AC730))/STDEV('The List'!AC2:AC730)</f>
        <v>-0.0144658682161029</v>
      </c>
      <c r="Q575" s="46">
        <f>(VLOOKUP($A575,'The List'!$B1:$AH730,29,FALSE)-AVERAGE('The List'!AD2:AD730))/STDEV('The List'!AD2:AD730)</f>
        <v>0.813079228415766</v>
      </c>
      <c r="R575" s="46">
        <f>(VLOOKUP($A575,'The List'!$B1:$AH730,30,FALSE)-AVERAGE('The List'!AE2:AE730))/STDEV('The List'!AE2:AE730)</f>
        <v>-0.905695362089713</v>
      </c>
      <c r="S575" s="46">
        <f>(VLOOKUP($A575,'The List'!$B1:$AH730,31,FALSE)-AVERAGE('The List'!AF2:AF730))/STDEV('The List'!AF2:AF730)</f>
        <v>-0.5569063253591</v>
      </c>
      <c r="T575" s="46">
        <f>(VLOOKUP($A575,'The List'!$B1:$AH730,32,FALSE)-AVERAGE('The List'!AG2:AG730))/STDEV('The List'!AG2:AG730)</f>
        <v>-0.600856269042678</v>
      </c>
      <c r="U575" s="46">
        <f>(VLOOKUP($A575,'The List'!$B1:$AH730,33,FALSE)-AVERAGE('The List'!AH2:AH730))/STDEV('The List'!AH2:AH730)</f>
        <v>-1.2363238714826</v>
      </c>
      <c r="V575" s="46"/>
      <c r="W575" s="50"/>
      <c r="X575" s="48"/>
      <c r="Y575" s="48"/>
      <c r="Z575" s="48"/>
      <c r="AA575" s="48"/>
      <c r="AB575" s="48"/>
      <c r="AC575" s="51"/>
      <c r="AD575" s="52"/>
      <c r="AE575" s="46"/>
    </row>
    <row r="576" ht="21.25" customHeight="1">
      <c r="A576" t="s" s="8">
        <v>625</v>
      </c>
      <c r="B576" t="s" s="42">
        <f>VLOOKUP(A576,'Player Data'!A1:B734,2,FALSE)</f>
        <v>139</v>
      </c>
      <c r="C576" s="44">
        <f>((E576)*'Settings'!$C$12)+(F576*'Settings'!$C$2)+(G576*'Settings'!$C$3)+(H576*'Settings'!$C$4)+(I576*'Settings'!$C$5)+(K576*'Settings'!$C$9)+(N576*'Settings'!$C$6)+(J576*'Settings'!$C$8)+(O576*'Settings'!$C$7)+(P576*'Settings'!$C$14)+(Q576*'Settings'!$C$15)+(R576*'Settings'!$C$16)+(S576*'Settings'!$C$17)+(T576*'Settings'!$C$18)+(U576*'Settings'!$C$19)+(L576*'Settings'!$C$10)+('Settings'!$C$11*M576)</f>
        <v>-4.22986038832038</v>
      </c>
      <c r="D576" s="48">
        <f>IF('Settings'!$E$12="YES",VLOOKUP(A576,'Player Data'!A1:E734,5,FALSE),82)</f>
        <v>70.2</v>
      </c>
      <c r="E576" s="46">
        <f>(VLOOKUP($A576,'The List'!$B1:$AH730,17,FALSE)-AVERAGE('The List'!R2:R730))/STDEV('The List'!R2:R730)</f>
        <v>0.150222091485713</v>
      </c>
      <c r="F576" s="46">
        <f>(VLOOKUP($A576,'The List'!$B1:$AH730,18,FALSE)-AVERAGE('The List'!S2:S730))/STDEV('The List'!S2:S730)</f>
        <v>-0.975405380752564</v>
      </c>
      <c r="G576" s="46">
        <f>(VLOOKUP($A576,'The List'!$B1:$AH730,19,FALSE)-AVERAGE('The List'!T2:T730))/STDEV('The List'!T2:T730)</f>
        <v>-0.8473282490224689</v>
      </c>
      <c r="H576" s="46">
        <f>(VLOOKUP($A576,'The List'!$B1:$AH730,20,FALSE)-AVERAGE('The List'!U2:U730))/STDEV('The List'!U2:U730)</f>
        <v>-0.966195739191584</v>
      </c>
      <c r="I576" s="46">
        <f>(VLOOKUP($A576,'The List'!$B1:$AH730,21,FALSE)-AVERAGE('The List'!V2:V730))/STDEV('The List'!V2:V730)</f>
        <v>-0.976362391652872</v>
      </c>
      <c r="J576" s="46">
        <f>(VLOOKUP($A576,'The List'!$B1:$AH730,22,FALSE)-AVERAGE('The List'!W2:W730))/STDEV('The List'!W2:W730)</f>
        <v>-0.711047425998849</v>
      </c>
      <c r="K576" s="46">
        <f>(VLOOKUP($A576,'The List'!$B1:$AH730,23,FALSE)-AVERAGE('The List'!X2:X730))/STDEV('The List'!X2:X730)</f>
        <v>-0.785351259949963</v>
      </c>
      <c r="L576" s="46">
        <f>(VLOOKUP($A576,'The List'!$B1:$AH730,24,FALSE)-AVERAGE('The List'!Y2:Y730))/STDEV('The List'!Y2:Y730)</f>
        <v>-0.479987434854627</v>
      </c>
      <c r="M576" s="46">
        <f>(VLOOKUP($A576,'The List'!$B1:$AH730,25,FALSE)-AVERAGE('The List'!Z2:Z730))/STDEV('The List'!Z2:Z730)</f>
        <v>-0.5732451461740971</v>
      </c>
      <c r="N576" s="46">
        <f>(VLOOKUP($A576,'The List'!$B1:$AH730,26,FALSE)-AVERAGE('The List'!AA2:AA730))/STDEV('The List'!AA2:AA730)</f>
        <v>0.194008904305699</v>
      </c>
      <c r="O576" s="46">
        <f>(VLOOKUP($A576,'The List'!$B1:$AH730,27,FALSE)-AVERAGE('The List'!AB2:AB730))/STDEV('The List'!AB2:AB730)</f>
        <v>-0.457409095851738</v>
      </c>
      <c r="P576" s="46">
        <f>(VLOOKUP($A576,'The List'!$B1:$AH730,28,FALSE)-AVERAGE('The List'!AC2:AC730))/STDEV('The List'!AC2:AC730)</f>
        <v>-0.839422011248212</v>
      </c>
      <c r="Q576" s="46">
        <f>(VLOOKUP($A576,'The List'!$B1:$AH730,29,FALSE)-AVERAGE('The List'!AD2:AD730))/STDEV('The List'!AD2:AD730)</f>
        <v>-0.626053364305897</v>
      </c>
      <c r="R576" s="46">
        <f>(VLOOKUP($A576,'The List'!$B1:$AH730,30,FALSE)-AVERAGE('The List'!AE2:AE730))/STDEV('The List'!AE2:AE730)</f>
        <v>-0.917792533515128</v>
      </c>
      <c r="S576" s="46">
        <f>(VLOOKUP($A576,'The List'!$B1:$AH730,31,FALSE)-AVERAGE('The List'!AF2:AF730))/STDEV('The List'!AF2:AF730)</f>
        <v>-0.5569063253591</v>
      </c>
      <c r="T576" s="46">
        <f>(VLOOKUP($A576,'The List'!$B1:$AH730,32,FALSE)-AVERAGE('The List'!AG2:AG730))/STDEV('The List'!AG2:AG730)</f>
        <v>-0.600856269042678</v>
      </c>
      <c r="U576" s="46">
        <f>(VLOOKUP($A576,'The List'!$B1:$AH730,33,FALSE)-AVERAGE('The List'!AH2:AH730))/STDEV('The List'!AH2:AH730)</f>
        <v>-1.2363238714826</v>
      </c>
      <c r="V576" s="46"/>
      <c r="W576" s="50"/>
      <c r="X576" s="48"/>
      <c r="Y576" s="48"/>
      <c r="Z576" s="48"/>
      <c r="AA576" s="48"/>
      <c r="AB576" s="48"/>
      <c r="AC576" s="51"/>
      <c r="AD576" s="52"/>
      <c r="AE576" s="46"/>
    </row>
    <row r="577" ht="21.25" customHeight="1">
      <c r="A577" t="s" s="8">
        <v>615</v>
      </c>
      <c r="B577" t="s" s="42">
        <f>VLOOKUP(A577,'Player Data'!A1:B734,2,FALSE)</f>
        <v>202</v>
      </c>
      <c r="C577" s="44">
        <f>((E577)*'Settings'!$C$12)+(F577*'Settings'!$C$2)+(G577*'Settings'!$C$3)+(H577*'Settings'!$C$4)+(I577*'Settings'!$C$5)+(K577*'Settings'!$C$9)+(N577*'Settings'!$C$6)+(J577*'Settings'!$C$8)+(O577*'Settings'!$C$7)+(P577*'Settings'!$C$14)+(Q577*'Settings'!$C$15)+(R577*'Settings'!$C$16)+(S577*'Settings'!$C$17)+(T577*'Settings'!$C$18)+(U577*'Settings'!$C$19)+(L577*'Settings'!$C$10)+('Settings'!$C$11*M577)</f>
        <v>-3.45395290259955</v>
      </c>
      <c r="D577" s="48">
        <f>IF('Settings'!$E$12="YES",VLOOKUP(A577,'Player Data'!A1:E734,5,FALSE),82)</f>
        <v>63.3764285714286</v>
      </c>
      <c r="E577" s="46">
        <f>(VLOOKUP($A577,'The List'!$B1:$AH730,17,FALSE)-AVERAGE('The List'!R2:R730))/STDEV('The List'!R2:R730)</f>
        <v>-1.01006175129956</v>
      </c>
      <c r="F577" s="46">
        <f>(VLOOKUP($A577,'The List'!$B1:$AH730,18,FALSE)-AVERAGE('The List'!S2:S730))/STDEV('The List'!S2:S730)</f>
        <v>-1.01294093513199</v>
      </c>
      <c r="G577" s="46">
        <f>(VLOOKUP($A577,'The List'!$B1:$AH730,19,FALSE)-AVERAGE('The List'!T2:T730))/STDEV('The List'!T2:T730)</f>
        <v>-0.921816824551093</v>
      </c>
      <c r="H577" s="46">
        <f>(VLOOKUP($A577,'The List'!$B1:$AH730,20,FALSE)-AVERAGE('The List'!U2:U730))/STDEV('The List'!U2:U730)</f>
        <v>-1.02919639699553</v>
      </c>
      <c r="I577" s="46">
        <f>(VLOOKUP($A577,'The List'!$B1:$AH730,21,FALSE)-AVERAGE('The List'!V2:V730))/STDEV('The List'!V2:V730)</f>
        <v>-0.7201757043457599</v>
      </c>
      <c r="J577" s="46">
        <f>(VLOOKUP($A577,'The List'!$B1:$AH730,22,FALSE)-AVERAGE('The List'!W2:W730))/STDEV('The List'!W2:W730)</f>
        <v>-0.433906406327355</v>
      </c>
      <c r="K577" s="46">
        <f>(VLOOKUP($A577,'The List'!$B1:$AH730,23,FALSE)-AVERAGE('The List'!X2:X730))/STDEV('The List'!X2:X730)</f>
        <v>-0.494165492616182</v>
      </c>
      <c r="L577" s="46">
        <f>(VLOOKUP($A577,'The List'!$B1:$AH730,24,FALSE)-AVERAGE('The List'!Y2:Y730))/STDEV('The List'!Y2:Y730)</f>
        <v>-0.535727235933496</v>
      </c>
      <c r="M577" s="46">
        <f>(VLOOKUP($A577,'The List'!$B1:$AH730,25,FALSE)-AVERAGE('The List'!Z2:Z730))/STDEV('The List'!Z2:Z730)</f>
        <v>-0.705538975356946</v>
      </c>
      <c r="N577" s="46">
        <f>(VLOOKUP($A577,'The List'!$B1:$AH730,26,FALSE)-AVERAGE('The List'!AA2:AA730))/STDEV('The List'!AA2:AA730)</f>
        <v>-0.197789122082645</v>
      </c>
      <c r="O577" s="46">
        <f>(VLOOKUP($A577,'The List'!$B1:$AH730,27,FALSE)-AVERAGE('The List'!AB2:AB730))/STDEV('The List'!AB2:AB730)</f>
        <v>-0.590529073548487</v>
      </c>
      <c r="P577" s="46">
        <f>(VLOOKUP($A577,'The List'!$B1:$AH730,28,FALSE)-AVERAGE('The List'!AC2:AC730))/STDEV('The List'!AC2:AC730)</f>
        <v>-0.107064823871884</v>
      </c>
      <c r="Q577" s="46">
        <f>(VLOOKUP($A577,'The List'!$B1:$AH730,29,FALSE)-AVERAGE('The List'!AD2:AD730))/STDEV('The List'!AD2:AD730)</f>
        <v>-1.13066394093552</v>
      </c>
      <c r="R577" s="46">
        <f>(VLOOKUP($A577,'The List'!$B1:$AH730,30,FALSE)-AVERAGE('The List'!AE2:AE730))/STDEV('The List'!AE2:AE730)</f>
        <v>-0.854531526329485</v>
      </c>
      <c r="S577" s="46">
        <f>(VLOOKUP($A577,'The List'!$B1:$AH730,31,FALSE)-AVERAGE('The List'!AF2:AF730))/STDEV('The List'!AF2:AF730)</f>
        <v>-0.5569063253591</v>
      </c>
      <c r="T577" s="46">
        <f>(VLOOKUP($A577,'The List'!$B1:$AH730,32,FALSE)-AVERAGE('The List'!AG2:AG730))/STDEV('The List'!AG2:AG730)</f>
        <v>-0.599020706775138</v>
      </c>
      <c r="U577" s="46">
        <f>(VLOOKUP($A577,'The List'!$B1:$AH730,33,FALSE)-AVERAGE('The List'!AH2:AH730))/STDEV('The List'!AH2:AH730)</f>
        <v>-1.2363238714826</v>
      </c>
      <c r="V577" s="46"/>
      <c r="W577" s="50"/>
      <c r="X577" s="48"/>
      <c r="Y577" s="48"/>
      <c r="Z577" s="48"/>
      <c r="AA577" s="48"/>
      <c r="AB577" s="48"/>
      <c r="AC577" s="51"/>
      <c r="AD577" s="52"/>
      <c r="AE577" s="46"/>
    </row>
    <row r="578" ht="21.25" customHeight="1">
      <c r="A578" t="s" s="8">
        <v>532</v>
      </c>
      <c r="B578" t="s" s="42">
        <f>VLOOKUP(A578,'Player Data'!A1:B734,2,FALSE)</f>
        <v>225</v>
      </c>
      <c r="C578" s="44">
        <f>((E578)*'Settings'!$C$12)+(F578*'Settings'!$C$2)+(G578*'Settings'!$C$3)+(H578*'Settings'!$C$4)+(I578*'Settings'!$C$5)+(K578*'Settings'!$C$9)+(N578*'Settings'!$C$6)+(J578*'Settings'!$C$8)+(O578*'Settings'!$C$7)+(P578*'Settings'!$C$14)+(Q578*'Settings'!$C$15)+(R578*'Settings'!$C$16)+(S578*'Settings'!$C$17)+(T578*'Settings'!$C$18)+(U578*'Settings'!$C$19)+(L578*'Settings'!$C$10)+('Settings'!$C$11*M578)</f>
        <v>-2.57674322137246</v>
      </c>
      <c r="D578" s="48">
        <f>IF('Settings'!$E$12="YES",VLOOKUP(A578,'Player Data'!A1:E734,5,FALSE),82)</f>
        <v>77.35892857142861</v>
      </c>
      <c r="E578" s="46">
        <f>(VLOOKUP($A578,'The List'!$B1:$AH730,17,FALSE)-AVERAGE('The List'!R2:R730))/STDEV('The List'!R2:R730)</f>
        <v>0.8817531521419349</v>
      </c>
      <c r="F578" s="46">
        <f>(VLOOKUP($A578,'The List'!$B1:$AH730,18,FALSE)-AVERAGE('The List'!S2:S730))/STDEV('The List'!S2:S730)</f>
        <v>-0.760817826755399</v>
      </c>
      <c r="G578" s="46">
        <f>(VLOOKUP($A578,'The List'!$B1:$AH730,19,FALSE)-AVERAGE('The List'!T2:T730))/STDEV('The List'!T2:T730)</f>
        <v>-0.905341234911759</v>
      </c>
      <c r="H578" s="46">
        <f>(VLOOKUP($A578,'The List'!$B1:$AH730,20,FALSE)-AVERAGE('The List'!U2:U730))/STDEV('The List'!U2:U730)</f>
        <v>-0.904318341716233</v>
      </c>
      <c r="I578" s="46">
        <f>(VLOOKUP($A578,'The List'!$B1:$AH730,21,FALSE)-AVERAGE('The List'!V2:V730))/STDEV('The List'!V2:V730)</f>
        <v>-0.700230989305375</v>
      </c>
      <c r="J578" s="46">
        <f>(VLOOKUP($A578,'The List'!$B1:$AH730,22,FALSE)-AVERAGE('The List'!W2:W730))/STDEV('The List'!W2:W730)</f>
        <v>-0.699467956263033</v>
      </c>
      <c r="K578" s="46">
        <f>(VLOOKUP($A578,'The List'!$B1:$AH730,23,FALSE)-AVERAGE('The List'!X2:X730))/STDEV('The List'!X2:X730)</f>
        <v>-0.785954890451814</v>
      </c>
      <c r="L578" s="46">
        <f>(VLOOKUP($A578,'The List'!$B1:$AH730,24,FALSE)-AVERAGE('The List'!Y2:Y730))/STDEV('The List'!Y2:Y730)</f>
        <v>1.3149296733143</v>
      </c>
      <c r="M578" s="46">
        <f>(VLOOKUP($A578,'The List'!$B1:$AH730,25,FALSE)-AVERAGE('The List'!Z2:Z730))/STDEV('The List'!Z2:Z730)</f>
        <v>0.551504430946085</v>
      </c>
      <c r="N578" s="46">
        <f>(VLOOKUP($A578,'The List'!$B1:$AH730,26,FALSE)-AVERAGE('The List'!AA2:AA730))/STDEV('The List'!AA2:AA730)</f>
        <v>2.55817911723802</v>
      </c>
      <c r="O578" s="46">
        <f>(VLOOKUP($A578,'The List'!$B1:$AH730,27,FALSE)-AVERAGE('The List'!AB2:AB730))/STDEV('The List'!AB2:AB730)</f>
        <v>1.28717439929408</v>
      </c>
      <c r="P578" s="46">
        <f>(VLOOKUP($A578,'The List'!$B1:$AH730,28,FALSE)-AVERAGE('The List'!AC2:AC730))/STDEV('The List'!AC2:AC730)</f>
        <v>-1.98257739718613</v>
      </c>
      <c r="Q578" s="46">
        <f>(VLOOKUP($A578,'The List'!$B1:$AH730,29,FALSE)-AVERAGE('The List'!AD2:AD730))/STDEV('The List'!AD2:AD730)</f>
        <v>1.52024490507385</v>
      </c>
      <c r="R578" s="46">
        <f>(VLOOKUP($A578,'The List'!$B1:$AH730,30,FALSE)-AVERAGE('The List'!AE2:AE730))/STDEV('The List'!AE2:AE730)</f>
        <v>-0.7767434534662</v>
      </c>
      <c r="S578" s="46">
        <f>(VLOOKUP($A578,'The List'!$B1:$AH730,31,FALSE)-AVERAGE('The List'!AF2:AF730))/STDEV('The List'!AF2:AF730)</f>
        <v>-0.5569063253591</v>
      </c>
      <c r="T578" s="46">
        <f>(VLOOKUP($A578,'The List'!$B1:$AH730,32,FALSE)-AVERAGE('The List'!AG2:AG730))/STDEV('The List'!AG2:AG730)</f>
        <v>-0.600856269042678</v>
      </c>
      <c r="U578" s="46">
        <f>(VLOOKUP($A578,'The List'!$B1:$AH730,33,FALSE)-AVERAGE('The List'!AH2:AH730))/STDEV('The List'!AH2:AH730)</f>
        <v>-1.2363238714826</v>
      </c>
      <c r="V578" s="46"/>
      <c r="W578" s="50"/>
      <c r="X578" s="48"/>
      <c r="Y578" s="48"/>
      <c r="Z578" s="48"/>
      <c r="AA578" s="48"/>
      <c r="AB578" s="48"/>
      <c r="AC578" s="51"/>
      <c r="AD578" s="52"/>
      <c r="AE578" s="46"/>
    </row>
    <row r="579" ht="21.25" customHeight="1">
      <c r="A579" t="s" s="8">
        <v>549</v>
      </c>
      <c r="B579" t="s" s="42">
        <f>VLOOKUP(A579,'Player Data'!A1:B734,2,FALSE)</f>
        <v>122</v>
      </c>
      <c r="C579" s="44">
        <f>((E579)*'Settings'!$C$12)+(F579*'Settings'!$C$2)+(G579*'Settings'!$C$3)+(H579*'Settings'!$C$4)+(I579*'Settings'!$C$5)+(K579*'Settings'!$C$9)+(N579*'Settings'!$C$6)+(J579*'Settings'!$C$8)+(O579*'Settings'!$C$7)+(P579*'Settings'!$C$14)+(Q579*'Settings'!$C$15)+(R579*'Settings'!$C$16)+(S579*'Settings'!$C$17)+(T579*'Settings'!$C$18)+(U579*'Settings'!$C$19)+(L579*'Settings'!$C$10)+('Settings'!$C$11*M579)</f>
        <v>-0.631615776131681</v>
      </c>
      <c r="D579" s="48">
        <f>IF('Settings'!$E$12="YES",VLOOKUP(A579,'Player Data'!A1:E734,5,FALSE),82)</f>
        <v>76.12857142857141</v>
      </c>
      <c r="E579" s="46">
        <f>(VLOOKUP($A579,'The List'!$B1:$AH730,17,FALSE)-AVERAGE('The List'!R2:R730))/STDEV('The List'!R2:R730)</f>
        <v>0.565885895288794</v>
      </c>
      <c r="F579" s="46">
        <f>(VLOOKUP($A579,'The List'!$B1:$AH730,18,FALSE)-AVERAGE('The List'!S2:S730))/STDEV('The List'!S2:S730)</f>
        <v>-0.849130851842307</v>
      </c>
      <c r="G579" s="46">
        <f>(VLOOKUP($A579,'The List'!$B1:$AH730,19,FALSE)-AVERAGE('The List'!T2:T730))/STDEV('The List'!T2:T730)</f>
        <v>-0.859777049915617</v>
      </c>
      <c r="H579" s="46">
        <f>(VLOOKUP($A579,'The List'!$B1:$AH730,20,FALSE)-AVERAGE('The List'!U2:U730))/STDEV('The List'!U2:U730)</f>
        <v>-0.916412818141078</v>
      </c>
      <c r="I579" s="46">
        <f>(VLOOKUP($A579,'The List'!$B1:$AH730,21,FALSE)-AVERAGE('The List'!V2:V730))/STDEV('The List'!V2:V730)</f>
        <v>-0.525791343122444</v>
      </c>
      <c r="J579" s="46">
        <f>(VLOOKUP($A579,'The List'!$B1:$AH730,22,FALSE)-AVERAGE('The List'!W2:W730))/STDEV('The List'!W2:W730)</f>
        <v>-0.711377965977894</v>
      </c>
      <c r="K579" s="46">
        <f>(VLOOKUP($A579,'The List'!$B1:$AH730,23,FALSE)-AVERAGE('The List'!X2:X730))/STDEV('The List'!X2:X730)</f>
        <v>-0.794293196828023</v>
      </c>
      <c r="L579" s="46">
        <f>(VLOOKUP($A579,'The List'!$B1:$AH730,24,FALSE)-AVERAGE('The List'!Y2:Y730))/STDEV('The List'!Y2:Y730)</f>
        <v>0.0194282538289137</v>
      </c>
      <c r="M579" s="46">
        <f>(VLOOKUP($A579,'The List'!$B1:$AH730,25,FALSE)-AVERAGE('The List'!Z2:Z730))/STDEV('The List'!Z2:Z730)</f>
        <v>-0.246410588812052</v>
      </c>
      <c r="N579" s="46">
        <f>(VLOOKUP($A579,'The List'!$B1:$AH730,26,FALSE)-AVERAGE('The List'!AA2:AA730))/STDEV('The List'!AA2:AA730)</f>
        <v>1.32081659807132</v>
      </c>
      <c r="O579" s="46">
        <f>(VLOOKUP($A579,'The List'!$B1:$AH730,27,FALSE)-AVERAGE('The List'!AB2:AB730))/STDEV('The List'!AB2:AB730)</f>
        <v>0.721445233925368</v>
      </c>
      <c r="P579" s="46">
        <f>(VLOOKUP($A579,'The List'!$B1:$AH730,28,FALSE)-AVERAGE('The List'!AC2:AC730))/STDEV('The List'!AC2:AC730)</f>
        <v>1.07656006750539</v>
      </c>
      <c r="Q579" s="46">
        <f>(VLOOKUP($A579,'The List'!$B1:$AH730,29,FALSE)-AVERAGE('The List'!AD2:AD730))/STDEV('The List'!AD2:AD730)</f>
        <v>0.201554268092835</v>
      </c>
      <c r="R579" s="46">
        <f>(VLOOKUP($A579,'The List'!$B1:$AH730,30,FALSE)-AVERAGE('The List'!AE2:AE730))/STDEV('The List'!AE2:AE730)</f>
        <v>-0.696808213457906</v>
      </c>
      <c r="S579" s="46">
        <f>(VLOOKUP($A579,'The List'!$B1:$AH730,31,FALSE)-AVERAGE('The List'!AF2:AF730))/STDEV('The List'!AF2:AF730)</f>
        <v>-0.5569063253591</v>
      </c>
      <c r="T579" s="46">
        <f>(VLOOKUP($A579,'The List'!$B1:$AH730,32,FALSE)-AVERAGE('The List'!AG2:AG730))/STDEV('The List'!AG2:AG730)</f>
        <v>-0.600856269042678</v>
      </c>
      <c r="U579" s="46">
        <f>(VLOOKUP($A579,'The List'!$B1:$AH730,33,FALSE)-AVERAGE('The List'!AH2:AH730))/STDEV('The List'!AH2:AH730)</f>
        <v>-1.2363238714826</v>
      </c>
      <c r="V579" s="46"/>
      <c r="W579" s="50"/>
      <c r="X579" s="48"/>
      <c r="Y579" s="48"/>
      <c r="Z579" s="48"/>
      <c r="AA579" s="48"/>
      <c r="AB579" s="48"/>
      <c r="AC579" s="51"/>
      <c r="AD579" s="52"/>
      <c r="AE579" s="46"/>
    </row>
    <row r="580" ht="21.25" customHeight="1">
      <c r="A580" t="s" s="8">
        <v>578</v>
      </c>
      <c r="B580" t="s" s="42">
        <f>VLOOKUP(A580,'Player Data'!A1:B734,2,FALSE)</f>
        <v>196</v>
      </c>
      <c r="C580" s="44">
        <f>((E580)*'Settings'!$C$12)+(F580*'Settings'!$C$2)+(G580*'Settings'!$C$3)+(H580*'Settings'!$C$4)+(I580*'Settings'!$C$5)+(K580*'Settings'!$C$9)+(N580*'Settings'!$C$6)+(J580*'Settings'!$C$8)+(O580*'Settings'!$C$7)+(P580*'Settings'!$C$14)+(Q580*'Settings'!$C$15)+(R580*'Settings'!$C$16)+(S580*'Settings'!$C$17)+(T580*'Settings'!$C$18)+(U580*'Settings'!$C$19)+(L580*'Settings'!$C$10)+('Settings'!$C$11*M580)</f>
        <v>-3.4429307228262</v>
      </c>
      <c r="D580" s="48">
        <f>IF('Settings'!$E$12="YES",VLOOKUP(A580,'Player Data'!A1:E734,5,FALSE),82)</f>
        <v>72.8078571428571</v>
      </c>
      <c r="E580" s="46">
        <f>(VLOOKUP($A580,'The List'!$B1:$AH730,17,FALSE)-AVERAGE('The List'!R2:R730))/STDEV('The List'!R2:R730)</f>
        <v>0.476646444874677</v>
      </c>
      <c r="F580" s="46">
        <f>(VLOOKUP($A580,'The List'!$B1:$AH730,18,FALSE)-AVERAGE('The List'!S2:S730))/STDEV('The List'!S2:S730)</f>
        <v>-0.964782757379899</v>
      </c>
      <c r="G580" s="46">
        <f>(VLOOKUP($A580,'The List'!$B1:$AH730,19,FALSE)-AVERAGE('The List'!T2:T730))/STDEV('The List'!T2:T730)</f>
        <v>-0.823380644333192</v>
      </c>
      <c r="H580" s="46">
        <f>(VLOOKUP($A580,'The List'!$B1:$AH730,20,FALSE)-AVERAGE('The List'!U2:U730))/STDEV('The List'!U2:U730)</f>
        <v>-0.946598848981557</v>
      </c>
      <c r="I580" s="46">
        <f>(VLOOKUP($A580,'The List'!$B1:$AH730,21,FALSE)-AVERAGE('The List'!V2:V730))/STDEV('The List'!V2:V730)</f>
        <v>-0.637374230971325</v>
      </c>
      <c r="J580" s="46">
        <f>(VLOOKUP($A580,'The List'!$B1:$AH730,22,FALSE)-AVERAGE('The List'!W2:W730))/STDEV('The List'!W2:W730)</f>
        <v>-0.709128323733481</v>
      </c>
      <c r="K580" s="46">
        <f>(VLOOKUP($A580,'The List'!$B1:$AH730,23,FALSE)-AVERAGE('The List'!X2:X730))/STDEV('The List'!X2:X730)</f>
        <v>-0.790601563481874</v>
      </c>
      <c r="L580" s="46">
        <f>(VLOOKUP($A580,'The List'!$B1:$AH730,24,FALSE)-AVERAGE('The List'!Y2:Y730))/STDEV('The List'!Y2:Y730)</f>
        <v>-0.491996387757166</v>
      </c>
      <c r="M580" s="46">
        <f>(VLOOKUP($A580,'The List'!$B1:$AH730,25,FALSE)-AVERAGE('The List'!Z2:Z730))/STDEV('The List'!Z2:Z730)</f>
        <v>-0.55287439743263</v>
      </c>
      <c r="N580" s="46">
        <f>(VLOOKUP($A580,'The List'!$B1:$AH730,26,FALSE)-AVERAGE('The List'!AA2:AA730))/STDEV('The List'!AA2:AA730)</f>
        <v>0.963023977335837</v>
      </c>
      <c r="O580" s="46">
        <f>(VLOOKUP($A580,'The List'!$B1:$AH730,27,FALSE)-AVERAGE('The List'!AB2:AB730))/STDEV('The List'!AB2:AB730)</f>
        <v>-0.201141790533548</v>
      </c>
      <c r="P580" s="46">
        <f>(VLOOKUP($A580,'The List'!$B1:$AH730,28,FALSE)-AVERAGE('The List'!AC2:AC730))/STDEV('The List'!AC2:AC730)</f>
        <v>-1.18981550399575</v>
      </c>
      <c r="Q580" s="46">
        <f>(VLOOKUP($A580,'The List'!$B1:$AH730,29,FALSE)-AVERAGE('The List'!AD2:AD730))/STDEV('The List'!AD2:AD730)</f>
        <v>0.410359823340853</v>
      </c>
      <c r="R580" s="46">
        <f>(VLOOKUP($A580,'The List'!$B1:$AH730,30,FALSE)-AVERAGE('The List'!AE2:AE730))/STDEV('The List'!AE2:AE730)</f>
        <v>-0.912866078049578</v>
      </c>
      <c r="S580" s="46">
        <f>(VLOOKUP($A580,'The List'!$B1:$AH730,31,FALSE)-AVERAGE('The List'!AF2:AF730))/STDEV('The List'!AF2:AF730)</f>
        <v>-0.5569063253591</v>
      </c>
      <c r="T580" s="46">
        <f>(VLOOKUP($A580,'The List'!$B1:$AH730,32,FALSE)-AVERAGE('The List'!AG2:AG730))/STDEV('The List'!AG2:AG730)</f>
        <v>-0.600856269042678</v>
      </c>
      <c r="U580" s="46">
        <f>(VLOOKUP($A580,'The List'!$B1:$AH730,33,FALSE)-AVERAGE('The List'!AH2:AH730))/STDEV('The List'!AH2:AH730)</f>
        <v>-1.2363238714826</v>
      </c>
      <c r="V580" s="46"/>
      <c r="W580" s="48"/>
      <c r="X580" s="46"/>
      <c r="Y580" s="46"/>
      <c r="Z580" s="46"/>
      <c r="AA580" s="46"/>
      <c r="AB580" s="46"/>
      <c r="AC580" s="46"/>
      <c r="AD580" s="46"/>
      <c r="AE580" s="46"/>
    </row>
    <row r="581" ht="21.25" customHeight="1">
      <c r="A581" t="s" s="8">
        <v>856</v>
      </c>
      <c r="B581" t="s" s="42">
        <f>VLOOKUP(A581,'Player Data'!A1:B734,2,FALSE)</f>
        <v>151</v>
      </c>
      <c r="C581" s="44">
        <f>((E581)*'Settings'!$C$12)+(F581*'Settings'!$C$2)+(G581*'Settings'!$C$3)+(H581*'Settings'!$C$4)+(I581*'Settings'!$C$5)+(K581*'Settings'!$C$9)+(N581*'Settings'!$C$6)+(J581*'Settings'!$C$8)+(O581*'Settings'!$C$7)+(P581*'Settings'!$C$14)+(Q581*'Settings'!$C$15)+(R581*'Settings'!$C$16)+(S581*'Settings'!$C$17)+(T581*'Settings'!$C$18)+(U581*'Settings'!$C$19)+(L581*'Settings'!$C$10)+('Settings'!$C$11*M581)</f>
        <v>-4.09755788584806</v>
      </c>
      <c r="D581" s="48">
        <f>IF('Settings'!$E$12="YES",VLOOKUP(A581,'Player Data'!A1:E734,5,FALSE),82)</f>
        <v>62</v>
      </c>
      <c r="E581" s="46">
        <f>(VLOOKUP($A581,'The List'!$B1:$AH730,17,FALSE)-AVERAGE('The List'!R2:R730))/STDEV('The List'!R2:R730)</f>
        <v>-1.72009860184549</v>
      </c>
      <c r="F581" s="46">
        <f>(VLOOKUP($A581,'The List'!$B1:$AH730,18,FALSE)-AVERAGE('The List'!S2:S730))/STDEV('The List'!S2:S730)</f>
        <v>-0.790428303171975</v>
      </c>
      <c r="G581" s="46">
        <f>(VLOOKUP($A581,'The List'!$B1:$AH730,19,FALSE)-AVERAGE('The List'!T2:T730))/STDEV('The List'!T2:T730)</f>
        <v>-1.11224699772341</v>
      </c>
      <c r="H581" s="46">
        <f>(VLOOKUP($A581,'The List'!$B1:$AH730,20,FALSE)-AVERAGE('The List'!U2:U730))/STDEV('The List'!U2:U730)</f>
        <v>-1.04534638561521</v>
      </c>
      <c r="I581" s="46">
        <f>(VLOOKUP($A581,'The List'!$B1:$AH730,21,FALSE)-AVERAGE('The List'!V2:V730))/STDEV('The List'!V2:V730)</f>
        <v>-1.24208275193347</v>
      </c>
      <c r="J581" s="46">
        <f>(VLOOKUP($A581,'The List'!$B1:$AH730,22,FALSE)-AVERAGE('The List'!W2:W730))/STDEV('The List'!W2:W730)</f>
        <v>-0.705834517841101</v>
      </c>
      <c r="K581" s="46">
        <f>(VLOOKUP($A581,'The List'!$B1:$AH730,23,FALSE)-AVERAGE('The List'!X2:X730))/STDEV('The List'!X2:X730)</f>
        <v>-0.794317762614044</v>
      </c>
      <c r="L581" s="46">
        <f>(VLOOKUP($A581,'The List'!$B1:$AH730,24,FALSE)-AVERAGE('The List'!Y2:Y730))/STDEV('The List'!Y2:Y730)</f>
        <v>-0.404429585669044</v>
      </c>
      <c r="M581" s="46">
        <f>(VLOOKUP($A581,'The List'!$B1:$AH730,25,FALSE)-AVERAGE('The List'!Z2:Z730))/STDEV('The List'!Z2:Z730)</f>
        <v>-0.607020672795599</v>
      </c>
      <c r="N581" s="46">
        <f>(VLOOKUP($A581,'The List'!$B1:$AH730,26,FALSE)-AVERAGE('The List'!AA2:AA730))/STDEV('The List'!AA2:AA730)</f>
        <v>-0.739338105769809</v>
      </c>
      <c r="O581" s="46">
        <f>(VLOOKUP($A581,'The List'!$B1:$AH730,27,FALSE)-AVERAGE('The List'!AB2:AB730))/STDEV('The List'!AB2:AB730)</f>
        <v>0.243629299613793</v>
      </c>
      <c r="P581" s="46">
        <f>(VLOOKUP($A581,'The List'!$B1:$AH730,28,FALSE)-AVERAGE('The List'!AC2:AC730))/STDEV('The List'!AC2:AC730)</f>
        <v>0.580856035364648</v>
      </c>
      <c r="Q581" s="46">
        <f>(VLOOKUP($A581,'The List'!$B1:$AH730,29,FALSE)-AVERAGE('The List'!AD2:AD730))/STDEV('The List'!AD2:AD730)</f>
        <v>-1.20203122269842</v>
      </c>
      <c r="R581" s="46">
        <f>(VLOOKUP($A581,'The List'!$B1:$AH730,30,FALSE)-AVERAGE('The List'!AE2:AE730))/STDEV('The List'!AE2:AE730)</f>
        <v>-0.624404789946717</v>
      </c>
      <c r="S581" s="46">
        <f>(VLOOKUP($A581,'The List'!$B1:$AH730,31,FALSE)-AVERAGE('The List'!AF2:AF730))/STDEV('The List'!AF2:AF730)</f>
        <v>-0.541748750748224</v>
      </c>
      <c r="T581" s="46">
        <f>(VLOOKUP($A581,'The List'!$B1:$AH730,32,FALSE)-AVERAGE('The List'!AG2:AG730))/STDEV('The List'!AG2:AG730)</f>
        <v>-0.581060137983654</v>
      </c>
      <c r="U581" s="46">
        <f>(VLOOKUP($A581,'The List'!$B1:$AH730,33,FALSE)-AVERAGE('The List'!AH2:AH730))/STDEV('The List'!AH2:AH730)</f>
        <v>0.778342626188137</v>
      </c>
      <c r="V581" s="46"/>
      <c r="W581" s="48"/>
      <c r="X581" s="46"/>
      <c r="Y581" s="46"/>
      <c r="Z581" s="46"/>
      <c r="AA581" s="46"/>
      <c r="AB581" s="46"/>
      <c r="AC581" s="46"/>
      <c r="AD581" s="46"/>
      <c r="AE581" s="46"/>
    </row>
    <row r="582" ht="21.25" customHeight="1">
      <c r="A582" t="s" s="8">
        <v>613</v>
      </c>
      <c r="B582" t="s" s="42">
        <f>VLOOKUP(A582,'Player Data'!A1:B734,2,FALSE)</f>
        <v>234</v>
      </c>
      <c r="C582" s="44">
        <f>((E582)*'Settings'!$C$12)+(F582*'Settings'!$C$2)+(G582*'Settings'!$C$3)+(H582*'Settings'!$C$4)+(I582*'Settings'!$C$5)+(K582*'Settings'!$C$9)+(N582*'Settings'!$C$6)+(J582*'Settings'!$C$8)+(O582*'Settings'!$C$7)+(P582*'Settings'!$C$14)+(Q582*'Settings'!$C$15)+(R582*'Settings'!$C$16)+(S582*'Settings'!$C$17)+(T582*'Settings'!$C$18)+(U582*'Settings'!$C$19)+(L582*'Settings'!$C$10)+('Settings'!$C$11*M582)</f>
        <v>-4.20551601150016</v>
      </c>
      <c r="D582" s="48">
        <f>IF('Settings'!$E$12="YES",VLOOKUP(A582,'Player Data'!A1:E734,5,FALSE),82)</f>
        <v>68.5235714285714</v>
      </c>
      <c r="E582" s="46">
        <f>(VLOOKUP($A582,'The List'!$B1:$AH730,17,FALSE)-AVERAGE('The List'!R2:R730))/STDEV('The List'!R2:R730)</f>
        <v>0.235756214974683</v>
      </c>
      <c r="F582" s="46">
        <f>(VLOOKUP($A582,'The List'!$B1:$AH730,18,FALSE)-AVERAGE('The List'!S2:S730))/STDEV('The List'!S2:S730)</f>
        <v>-1.00207489480346</v>
      </c>
      <c r="G582" s="46">
        <f>(VLOOKUP($A582,'The List'!$B1:$AH730,19,FALSE)-AVERAGE('The List'!T2:T730))/STDEV('The List'!T2:T730)</f>
        <v>-0.866070420831357</v>
      </c>
      <c r="H582" s="46">
        <f>(VLOOKUP($A582,'The List'!$B1:$AH730,20,FALSE)-AVERAGE('The List'!U2:U730))/STDEV('The List'!U2:U730)</f>
        <v>-0.989885205539589</v>
      </c>
      <c r="I582" s="46">
        <f>(VLOOKUP($A582,'The List'!$B1:$AH730,21,FALSE)-AVERAGE('The List'!V2:V730))/STDEV('The List'!V2:V730)</f>
        <v>-0.894100646056933</v>
      </c>
      <c r="J582" s="46">
        <f>(VLOOKUP($A582,'The List'!$B1:$AH730,22,FALSE)-AVERAGE('The List'!W2:W730))/STDEV('The List'!W2:W730)</f>
        <v>-0.71045590526439</v>
      </c>
      <c r="K582" s="46">
        <f>(VLOOKUP($A582,'The List'!$B1:$AH730,23,FALSE)-AVERAGE('The List'!X2:X730))/STDEV('The List'!X2:X730)</f>
        <v>-0.794176128949741</v>
      </c>
      <c r="L582" s="46">
        <f>(VLOOKUP($A582,'The List'!$B1:$AH730,24,FALSE)-AVERAGE('The List'!Y2:Y730))/STDEV('The List'!Y2:Y730)</f>
        <v>-0.505067424544317</v>
      </c>
      <c r="M582" s="46">
        <f>(VLOOKUP($A582,'The List'!$B1:$AH730,25,FALSE)-AVERAGE('The List'!Z2:Z730))/STDEV('The List'!Z2:Z730)</f>
        <v>-0.6340996126198229</v>
      </c>
      <c r="N582" s="46">
        <f>(VLOOKUP($A582,'The List'!$B1:$AH730,26,FALSE)-AVERAGE('The List'!AA2:AA730))/STDEV('The List'!AA2:AA730)</f>
        <v>0.943718239334801</v>
      </c>
      <c r="O582" s="46">
        <f>(VLOOKUP($A582,'The List'!$B1:$AH730,27,FALSE)-AVERAGE('The List'!AB2:AB730))/STDEV('The List'!AB2:AB730)</f>
        <v>1.59899967615006</v>
      </c>
      <c r="P582" s="46">
        <f>(VLOOKUP($A582,'The List'!$B1:$AH730,28,FALSE)-AVERAGE('The List'!AC2:AC730))/STDEV('The List'!AC2:AC730)</f>
        <v>-1.59281216019347</v>
      </c>
      <c r="Q582" s="46">
        <f>(VLOOKUP($A582,'The List'!$B1:$AH730,29,FALSE)-AVERAGE('The List'!AD2:AD730))/STDEV('The List'!AD2:AD730)</f>
        <v>0.698729550598349</v>
      </c>
      <c r="R582" s="46">
        <f>(VLOOKUP($A582,'The List'!$B1:$AH730,30,FALSE)-AVERAGE('The List'!AE2:AE730))/STDEV('The List'!AE2:AE730)</f>
        <v>-1.00141694193821</v>
      </c>
      <c r="S582" s="46">
        <f>(VLOOKUP($A582,'The List'!$B1:$AH730,31,FALSE)-AVERAGE('The List'!AF2:AF730))/STDEV('The List'!AF2:AF730)</f>
        <v>-0.5569063253591</v>
      </c>
      <c r="T582" s="46">
        <f>(VLOOKUP($A582,'The List'!$B1:$AH730,32,FALSE)-AVERAGE('The List'!AG2:AG730))/STDEV('The List'!AG2:AG730)</f>
        <v>-0.600856269042678</v>
      </c>
      <c r="U582" s="46">
        <f>(VLOOKUP($A582,'The List'!$B1:$AH730,33,FALSE)-AVERAGE('The List'!AH2:AH730))/STDEV('The List'!AH2:AH730)</f>
        <v>-1.2363238714826</v>
      </c>
      <c r="V582" s="46"/>
      <c r="W582" s="50"/>
      <c r="X582" s="48"/>
      <c r="Y582" s="48"/>
      <c r="Z582" s="48"/>
      <c r="AA582" s="48"/>
      <c r="AB582" s="48"/>
      <c r="AC582" s="51"/>
      <c r="AD582" s="52"/>
      <c r="AE582" s="46"/>
    </row>
    <row r="583" ht="21.25" customHeight="1">
      <c r="A583" t="s" s="8">
        <v>810</v>
      </c>
      <c r="B583" t="s" s="42">
        <f>VLOOKUP(A583,'Player Data'!A1:B734,2,FALSE)</f>
        <v>149</v>
      </c>
      <c r="C583" s="44">
        <f>((E583)*'Settings'!$C$12)+(F583*'Settings'!$C$2)+(G583*'Settings'!$C$3)+(H583*'Settings'!$C$4)+(I583*'Settings'!$C$5)+(K583*'Settings'!$C$9)+(N583*'Settings'!$C$6)+(J583*'Settings'!$C$8)+(O583*'Settings'!$C$7)+(P583*'Settings'!$C$14)+(Q583*'Settings'!$C$15)+(R583*'Settings'!$C$16)+(S583*'Settings'!$C$17)+(T583*'Settings'!$C$18)+(U583*'Settings'!$C$19)+(L583*'Settings'!$C$10)+('Settings'!$C$11*M583)</f>
        <v>-4.32750704106908</v>
      </c>
      <c r="D583" s="48">
        <f>IF('Settings'!$E$12="YES",VLOOKUP(A583,'Player Data'!A1:E734,5,FALSE),82)</f>
        <v>72.1314285714286</v>
      </c>
      <c r="E583" s="46">
        <f>(VLOOKUP($A583,'The List'!$B1:$AH730,17,FALSE)-AVERAGE('The List'!R2:R730))/STDEV('The List'!R2:R730)</f>
        <v>-1.11773782208595</v>
      </c>
      <c r="F583" s="46">
        <f>(VLOOKUP($A583,'The List'!$B1:$AH730,18,FALSE)-AVERAGE('The List'!S2:S730))/STDEV('The List'!S2:S730)</f>
        <v>-0.688947895163368</v>
      </c>
      <c r="G583" s="46">
        <f>(VLOOKUP($A583,'The List'!$B1:$AH730,19,FALSE)-AVERAGE('The List'!T2:T730))/STDEV('The List'!T2:T730)</f>
        <v>-1.05054801672918</v>
      </c>
      <c r="H583" s="46">
        <f>(VLOOKUP($A583,'The List'!$B1:$AH730,20,FALSE)-AVERAGE('The List'!U2:U730))/STDEV('The List'!U2:U730)</f>
        <v>-0.9611341538793819</v>
      </c>
      <c r="I583" s="46">
        <f>(VLOOKUP($A583,'The List'!$B1:$AH730,21,FALSE)-AVERAGE('The List'!V2:V730))/STDEV('The List'!V2:V730)</f>
        <v>-1.01594930672795</v>
      </c>
      <c r="J583" s="46">
        <f>(VLOOKUP($A583,'The List'!$B1:$AH730,22,FALSE)-AVERAGE('The List'!W2:W730))/STDEV('The List'!W2:W730)</f>
        <v>-0.702529561556868</v>
      </c>
      <c r="K583" s="46">
        <f>(VLOOKUP($A583,'The List'!$B1:$AH730,23,FALSE)-AVERAGE('The List'!X2:X730))/STDEV('The List'!X2:X730)</f>
        <v>-0.792123068181969</v>
      </c>
      <c r="L583" s="46">
        <f>(VLOOKUP($A583,'The List'!$B1:$AH730,24,FALSE)-AVERAGE('The List'!Y2:Y730))/STDEV('The List'!Y2:Y730)</f>
        <v>0.5101896760581111</v>
      </c>
      <c r="M583" s="46">
        <f>(VLOOKUP($A583,'The List'!$B1:$AH730,25,FALSE)-AVERAGE('The List'!Z2:Z730))/STDEV('The List'!Z2:Z730)</f>
        <v>0.0479708714451134</v>
      </c>
      <c r="N583" s="46">
        <f>(VLOOKUP($A583,'The List'!$B1:$AH730,26,FALSE)-AVERAGE('The List'!AA2:AA730))/STDEV('The List'!AA2:AA730)</f>
        <v>-0.510545983865489</v>
      </c>
      <c r="O583" s="46">
        <f>(VLOOKUP($A583,'The List'!$B1:$AH730,27,FALSE)-AVERAGE('The List'!AB2:AB730))/STDEV('The List'!AB2:AB730)</f>
        <v>3.20903552344316</v>
      </c>
      <c r="P583" s="46">
        <f>(VLOOKUP($A583,'The List'!$B1:$AH730,28,FALSE)-AVERAGE('The List'!AC2:AC730))/STDEV('The List'!AC2:AC730)</f>
        <v>-0.269392770401125</v>
      </c>
      <c r="Q583" s="46">
        <f>(VLOOKUP($A583,'The List'!$B1:$AH730,29,FALSE)-AVERAGE('The List'!AD2:AD730))/STDEV('The List'!AD2:AD730)</f>
        <v>-0.8236430745628071</v>
      </c>
      <c r="R583" s="46">
        <f>(VLOOKUP($A583,'The List'!$B1:$AH730,30,FALSE)-AVERAGE('The List'!AE2:AE730))/STDEV('The List'!AE2:AE730)</f>
        <v>-0.574550654325294</v>
      </c>
      <c r="S583" s="46">
        <f>(VLOOKUP($A583,'The List'!$B1:$AH730,31,FALSE)-AVERAGE('The List'!AF2:AF730))/STDEV('The List'!AF2:AF730)</f>
        <v>-0.542043356474644</v>
      </c>
      <c r="T583" s="46">
        <f>(VLOOKUP($A583,'The List'!$B1:$AH730,32,FALSE)-AVERAGE('The List'!AG2:AG730))/STDEV('The List'!AG2:AG730)</f>
        <v>-0.574348944789113</v>
      </c>
      <c r="U583" s="46">
        <f>(VLOOKUP($A583,'The List'!$B1:$AH730,33,FALSE)-AVERAGE('The List'!AH2:AH730))/STDEV('The List'!AH2:AH730)</f>
        <v>0.439091296584476</v>
      </c>
      <c r="V583" s="46"/>
      <c r="W583" s="50"/>
      <c r="X583" s="48"/>
      <c r="Y583" s="48"/>
      <c r="Z583" s="48"/>
      <c r="AA583" s="48"/>
      <c r="AB583" s="48"/>
      <c r="AC583" s="51"/>
      <c r="AD583" s="52"/>
      <c r="AE583" s="46"/>
    </row>
    <row r="584" ht="21.25" customHeight="1">
      <c r="A584" t="s" s="8">
        <v>848</v>
      </c>
      <c r="B584" t="s" s="42">
        <f>VLOOKUP(A584,'Player Data'!A1:B734,2,FALSE)</f>
        <v>234</v>
      </c>
      <c r="C584" s="44">
        <f>((E584)*'Settings'!$C$12)+(F584*'Settings'!$C$2)+(G584*'Settings'!$C$3)+(H584*'Settings'!$C$4)+(I584*'Settings'!$C$5)+(K584*'Settings'!$C$9)+(N584*'Settings'!$C$6)+(J584*'Settings'!$C$8)+(O584*'Settings'!$C$7)+(P584*'Settings'!$C$14)+(Q584*'Settings'!$C$15)+(R584*'Settings'!$C$16)+(S584*'Settings'!$C$17)+(T584*'Settings'!$C$18)+(U584*'Settings'!$C$19)+(L584*'Settings'!$C$10)+('Settings'!$C$11*M584)</f>
        <v>-6.41862343386397</v>
      </c>
      <c r="D584" s="48">
        <f>IF('Settings'!$E$12="YES",VLOOKUP(A584,'Player Data'!A1:E734,5,FALSE),82)</f>
        <v>64.3</v>
      </c>
      <c r="E584" s="46">
        <f>(VLOOKUP($A584,'The List'!$B1:$AH730,17,FALSE)-AVERAGE('The List'!R2:R730))/STDEV('The List'!R2:R730)</f>
        <v>-1.59518834395848</v>
      </c>
      <c r="F584" s="46">
        <f>(VLOOKUP($A584,'The List'!$B1:$AH730,18,FALSE)-AVERAGE('The List'!S2:S730))/STDEV('The List'!S2:S730)</f>
        <v>-0.696120134805306</v>
      </c>
      <c r="G584" s="46">
        <f>(VLOOKUP($A584,'The List'!$B1:$AH730,19,FALSE)-AVERAGE('The List'!T2:T730))/STDEV('The List'!T2:T730)</f>
        <v>-1.15941863889112</v>
      </c>
      <c r="H584" s="46">
        <f>(VLOOKUP($A584,'The List'!$B1:$AH730,20,FALSE)-AVERAGE('The List'!U2:U730))/STDEV('The List'!U2:U730)</f>
        <v>-1.03151497436317</v>
      </c>
      <c r="I584" s="46">
        <f>(VLOOKUP($A584,'The List'!$B1:$AH730,21,FALSE)-AVERAGE('The List'!V2:V730))/STDEV('The List'!V2:V730)</f>
        <v>-1.06236059267495</v>
      </c>
      <c r="J584" s="46">
        <f>(VLOOKUP($A584,'The List'!$B1:$AH730,22,FALSE)-AVERAGE('The List'!W2:W730))/STDEV('The List'!W2:W730)</f>
        <v>-0.675152814051835</v>
      </c>
      <c r="K584" s="46">
        <f>(VLOOKUP($A584,'The List'!$B1:$AH730,23,FALSE)-AVERAGE('The List'!X2:X730))/STDEV('The List'!X2:X730)</f>
        <v>-0.760073249660014</v>
      </c>
      <c r="L584" s="46">
        <f>(VLOOKUP($A584,'The List'!$B1:$AH730,24,FALSE)-AVERAGE('The List'!Y2:Y730))/STDEV('The List'!Y2:Y730)</f>
        <v>-0.385808451258848</v>
      </c>
      <c r="M584" s="46">
        <f>(VLOOKUP($A584,'The List'!$B1:$AH730,25,FALSE)-AVERAGE('The List'!Z2:Z730))/STDEV('The List'!Z2:Z730)</f>
        <v>-0.543823406397194</v>
      </c>
      <c r="N584" s="46">
        <f>(VLOOKUP($A584,'The List'!$B1:$AH730,26,FALSE)-AVERAGE('The List'!AA2:AA730))/STDEV('The List'!AA2:AA730)</f>
        <v>-0.847209459995081</v>
      </c>
      <c r="O584" s="46">
        <f>(VLOOKUP($A584,'The List'!$B1:$AH730,27,FALSE)-AVERAGE('The List'!AB2:AB730))/STDEV('The List'!AB2:AB730)</f>
        <v>0.469710771257812</v>
      </c>
      <c r="P584" s="46">
        <f>(VLOOKUP($A584,'The List'!$B1:$AH730,28,FALSE)-AVERAGE('The List'!AC2:AC730))/STDEV('The List'!AC2:AC730)</f>
        <v>-1.8934413578375</v>
      </c>
      <c r="Q584" s="46">
        <f>(VLOOKUP($A584,'The List'!$B1:$AH730,29,FALSE)-AVERAGE('The List'!AD2:AD730))/STDEV('The List'!AD2:AD730)</f>
        <v>1.99848136266328</v>
      </c>
      <c r="R584" s="46">
        <f>(VLOOKUP($A584,'The List'!$B1:$AH730,30,FALSE)-AVERAGE('The List'!AE2:AE730))/STDEV('The List'!AE2:AE730)</f>
        <v>-0.8105648457393529</v>
      </c>
      <c r="S584" s="46">
        <f>(VLOOKUP($A584,'The List'!$B1:$AH730,31,FALSE)-AVERAGE('The List'!AF2:AF730))/STDEV('The List'!AF2:AF730)</f>
        <v>0.497401424227426</v>
      </c>
      <c r="T584" s="46">
        <f>(VLOOKUP($A584,'The List'!$B1:$AH730,32,FALSE)-AVERAGE('The List'!AG2:AG730))/STDEV('The List'!AG2:AG730)</f>
        <v>0.526017199173246</v>
      </c>
      <c r="U584" s="46">
        <f>(VLOOKUP($A584,'The List'!$B1:$AH730,33,FALSE)-AVERAGE('The List'!AH2:AH730))/STDEV('The List'!AH2:AH730)</f>
        <v>1.00368808016307</v>
      </c>
      <c r="V584" s="46"/>
      <c r="W584" s="50"/>
      <c r="X584" s="48"/>
      <c r="Y584" s="48"/>
      <c r="Z584" s="48"/>
      <c r="AA584" s="48"/>
      <c r="AB584" s="48"/>
      <c r="AC584" s="51"/>
      <c r="AD584" s="52"/>
      <c r="AE584" s="46"/>
    </row>
    <row r="585" ht="21.25" customHeight="1">
      <c r="A585" t="s" s="8">
        <v>646</v>
      </c>
      <c r="B585" t="s" s="42">
        <f>VLOOKUP(A585,'Player Data'!A1:B734,2,FALSE)</f>
        <v>127</v>
      </c>
      <c r="C585" s="44">
        <f>((E585)*'Settings'!$C$12)+(F585*'Settings'!$C$2)+(G585*'Settings'!$C$3)+(H585*'Settings'!$C$4)+(I585*'Settings'!$C$5)+(K585*'Settings'!$C$9)+(N585*'Settings'!$C$6)+(J585*'Settings'!$C$8)+(O585*'Settings'!$C$7)+(P585*'Settings'!$C$14)+(Q585*'Settings'!$C$15)+(R585*'Settings'!$C$16)+(S585*'Settings'!$C$17)+(T585*'Settings'!$C$18)+(U585*'Settings'!$C$19)+(L585*'Settings'!$C$10)+('Settings'!$C$11*M585)</f>
        <v>-3.56479103752262</v>
      </c>
      <c r="D585" s="48">
        <f>IF('Settings'!$E$12="YES",VLOOKUP(A585,'Player Data'!A1:E734,5,FALSE),82)</f>
        <v>72</v>
      </c>
      <c r="E585" s="46">
        <f>(VLOOKUP($A585,'The List'!$B1:$AH730,17,FALSE)-AVERAGE('The List'!R2:R730))/STDEV('The List'!R2:R730)</f>
        <v>-0.493954035668633</v>
      </c>
      <c r="F585" s="46">
        <f>(VLOOKUP($A585,'The List'!$B1:$AH730,18,FALSE)-AVERAGE('The List'!S2:S730))/STDEV('The List'!S2:S730)</f>
        <v>-0.980216874715498</v>
      </c>
      <c r="G585" s="46">
        <f>(VLOOKUP($A585,'The List'!$B1:$AH730,19,FALSE)-AVERAGE('The List'!T2:T730))/STDEV('The List'!T2:T730)</f>
        <v>-0.841432856419899</v>
      </c>
      <c r="H585" s="46">
        <f>(VLOOKUP($A585,'The List'!$B1:$AH730,20,FALSE)-AVERAGE('The List'!U2:U730))/STDEV('The List'!U2:U730)</f>
        <v>-0.964750633390255</v>
      </c>
      <c r="I585" s="46">
        <f>(VLOOKUP($A585,'The List'!$B1:$AH730,21,FALSE)-AVERAGE('The List'!V2:V730))/STDEV('The List'!V2:V730)</f>
        <v>-1.27898131390292</v>
      </c>
      <c r="J585" s="46">
        <f>(VLOOKUP($A585,'The List'!$B1:$AH730,22,FALSE)-AVERAGE('The List'!W2:W730))/STDEV('The List'!W2:W730)</f>
        <v>-0.707398487698642</v>
      </c>
      <c r="K585" s="46">
        <f>(VLOOKUP($A585,'The List'!$B1:$AH730,23,FALSE)-AVERAGE('The List'!X2:X730))/STDEV('The List'!X2:X730)</f>
        <v>-0.786378618245724</v>
      </c>
      <c r="L585" s="46">
        <f>(VLOOKUP($A585,'The List'!$B1:$AH730,24,FALSE)-AVERAGE('The List'!Y2:Y730))/STDEV('The List'!Y2:Y730)</f>
        <v>-0.422645483637471</v>
      </c>
      <c r="M585" s="46">
        <f>(VLOOKUP($A585,'The List'!$B1:$AH730,25,FALSE)-AVERAGE('The List'!Z2:Z730))/STDEV('The List'!Z2:Z730)</f>
        <v>-0.447926420000707</v>
      </c>
      <c r="N585" s="46">
        <f>(VLOOKUP($A585,'The List'!$B1:$AH730,26,FALSE)-AVERAGE('The List'!AA2:AA730))/STDEV('The List'!AA2:AA730)</f>
        <v>0.410033899613636</v>
      </c>
      <c r="O585" s="46">
        <f>(VLOOKUP($A585,'The List'!$B1:$AH730,27,FALSE)-AVERAGE('The List'!AB2:AB730))/STDEV('The List'!AB2:AB730)</f>
        <v>0.346919182924242</v>
      </c>
      <c r="P585" s="46">
        <f>(VLOOKUP($A585,'The List'!$B1:$AH730,28,FALSE)-AVERAGE('The List'!AC2:AC730))/STDEV('The List'!AC2:AC730)</f>
        <v>-0.0878152738522147</v>
      </c>
      <c r="Q585" s="46">
        <f>(VLOOKUP($A585,'The List'!$B1:$AH730,29,FALSE)-AVERAGE('The List'!AD2:AD730))/STDEV('The List'!AD2:AD730)</f>
        <v>0.246774874900531</v>
      </c>
      <c r="R585" s="46">
        <f>(VLOOKUP($A585,'The List'!$B1:$AH730,30,FALSE)-AVERAGE('The List'!AE2:AE730))/STDEV('The List'!AE2:AE730)</f>
        <v>-0.882898593146901</v>
      </c>
      <c r="S585" s="46">
        <f>(VLOOKUP($A585,'The List'!$B1:$AH730,31,FALSE)-AVERAGE('The List'!AF2:AF730))/STDEV('The List'!AF2:AF730)</f>
        <v>-0.5569063253591</v>
      </c>
      <c r="T585" s="46">
        <f>(VLOOKUP($A585,'The List'!$B1:$AH730,32,FALSE)-AVERAGE('The List'!AG2:AG730))/STDEV('The List'!AG2:AG730)</f>
        <v>-0.600856269042678</v>
      </c>
      <c r="U585" s="46">
        <f>(VLOOKUP($A585,'The List'!$B1:$AH730,33,FALSE)-AVERAGE('The List'!AH2:AH730))/STDEV('The List'!AH2:AH730)</f>
        <v>-1.2363238714826</v>
      </c>
      <c r="V585" s="46"/>
      <c r="W585" s="50"/>
      <c r="X585" s="48"/>
      <c r="Y585" s="48"/>
      <c r="Z585" s="48"/>
      <c r="AA585" s="48"/>
      <c r="AB585" s="48"/>
      <c r="AC585" s="51"/>
      <c r="AD585" s="52"/>
      <c r="AE585" s="46"/>
    </row>
    <row r="586" ht="21.25" customHeight="1">
      <c r="A586" t="s" s="8">
        <v>585</v>
      </c>
      <c r="B586" t="s" s="42">
        <f>VLOOKUP(A586,'Player Data'!A1:B734,2,FALSE)</f>
        <v>141</v>
      </c>
      <c r="C586" s="44">
        <f>((E586)*'Settings'!$C$12)+(F586*'Settings'!$C$2)+(G586*'Settings'!$C$3)+(H586*'Settings'!$C$4)+(I586*'Settings'!$C$5)+(K586*'Settings'!$C$9)+(N586*'Settings'!$C$6)+(J586*'Settings'!$C$8)+(O586*'Settings'!$C$7)+(P586*'Settings'!$C$14)+(Q586*'Settings'!$C$15)+(R586*'Settings'!$C$16)+(S586*'Settings'!$C$17)+(T586*'Settings'!$C$18)+(U586*'Settings'!$C$19)+(L586*'Settings'!$C$10)+('Settings'!$C$11*M586)</f>
        <v>-2.21087924058678</v>
      </c>
      <c r="D586" s="48">
        <f>IF('Settings'!$E$12="YES",VLOOKUP(A586,'Player Data'!A1:E734,5,FALSE),82)</f>
        <v>78.8</v>
      </c>
      <c r="E586" s="46">
        <f>(VLOOKUP($A586,'The List'!$B1:$AH730,17,FALSE)-AVERAGE('The List'!R2:R730))/STDEV('The List'!R2:R730)</f>
        <v>0.711345850733856</v>
      </c>
      <c r="F586" s="46">
        <f>(VLOOKUP($A586,'The List'!$B1:$AH730,18,FALSE)-AVERAGE('The List'!S2:S730))/STDEV('The List'!S2:S730)</f>
        <v>-1.13770612414954</v>
      </c>
      <c r="G586" s="46">
        <f>(VLOOKUP($A586,'The List'!$B1:$AH730,19,FALSE)-AVERAGE('The List'!T2:T730))/STDEV('The List'!T2:T730)</f>
        <v>-0.637752583084381</v>
      </c>
      <c r="H586" s="46">
        <f>(VLOOKUP($A586,'The List'!$B1:$AH730,20,FALSE)-AVERAGE('The List'!U2:U730))/STDEV('The List'!U2:U730)</f>
        <v>-0.9108451890363231</v>
      </c>
      <c r="I586" s="46">
        <f>(VLOOKUP($A586,'The List'!$B1:$AH730,21,FALSE)-AVERAGE('The List'!V2:V730))/STDEV('The List'!V2:V730)</f>
        <v>-0.938609649173906</v>
      </c>
      <c r="J586" s="46">
        <f>(VLOOKUP($A586,'The List'!$B1:$AH730,22,FALSE)-AVERAGE('The List'!W2:W730))/STDEV('The List'!W2:W730)</f>
        <v>-0.70274943508515</v>
      </c>
      <c r="K586" s="46">
        <f>(VLOOKUP($A586,'The List'!$B1:$AH730,23,FALSE)-AVERAGE('The List'!X2:X730))/STDEV('The List'!X2:X730)</f>
        <v>-0.785580370771408</v>
      </c>
      <c r="L586" s="46">
        <f>(VLOOKUP($A586,'The List'!$B1:$AH730,24,FALSE)-AVERAGE('The List'!Y2:Y730))/STDEV('The List'!Y2:Y730)</f>
        <v>-0.508159700908111</v>
      </c>
      <c r="M586" s="46">
        <f>(VLOOKUP($A586,'The List'!$B1:$AH730,25,FALSE)-AVERAGE('The List'!Z2:Z730))/STDEV('The List'!Z2:Z730)</f>
        <v>-0.572803105332361</v>
      </c>
      <c r="N586" s="46">
        <f>(VLOOKUP($A586,'The List'!$B1:$AH730,26,FALSE)-AVERAGE('The List'!AA2:AA730))/STDEV('The List'!AA2:AA730)</f>
        <v>1.53430469881452</v>
      </c>
      <c r="O586" s="46">
        <f>(VLOOKUP($A586,'The List'!$B1:$AH730,27,FALSE)-AVERAGE('The List'!AB2:AB730))/STDEV('The List'!AB2:AB730)</f>
        <v>-0.500403480681449</v>
      </c>
      <c r="P586" s="46">
        <f>(VLOOKUP($A586,'The List'!$B1:$AH730,28,FALSE)-AVERAGE('The List'!AC2:AC730))/STDEV('The List'!AC2:AC730)</f>
        <v>-0.245535212222069</v>
      </c>
      <c r="Q586" s="46">
        <f>(VLOOKUP($A586,'The List'!$B1:$AH730,29,FALSE)-AVERAGE('The List'!AD2:AD730))/STDEV('The List'!AD2:AD730)</f>
        <v>-0.972331588798508</v>
      </c>
      <c r="R586" s="46">
        <f>(VLOOKUP($A586,'The List'!$B1:$AH730,30,FALSE)-AVERAGE('The List'!AE2:AE730))/STDEV('The List'!AE2:AE730)</f>
        <v>-1.05696276944463</v>
      </c>
      <c r="S586" s="46">
        <f>(VLOOKUP($A586,'The List'!$B1:$AH730,31,FALSE)-AVERAGE('The List'!AF2:AF730))/STDEV('The List'!AF2:AF730)</f>
        <v>-0.5569063253591</v>
      </c>
      <c r="T586" s="46">
        <f>(VLOOKUP($A586,'The List'!$B1:$AH730,32,FALSE)-AVERAGE('The List'!AG2:AG730))/STDEV('The List'!AG2:AG730)</f>
        <v>-0.600856269042678</v>
      </c>
      <c r="U586" s="46">
        <f>(VLOOKUP($A586,'The List'!$B1:$AH730,33,FALSE)-AVERAGE('The List'!AH2:AH730))/STDEV('The List'!AH2:AH730)</f>
        <v>-1.2363238714826</v>
      </c>
      <c r="V586" s="46"/>
      <c r="W586" s="50"/>
      <c r="X586" s="48"/>
      <c r="Y586" s="48"/>
      <c r="Z586" s="48"/>
      <c r="AA586" s="48"/>
      <c r="AB586" s="48"/>
      <c r="AC586" s="51"/>
      <c r="AD586" s="52"/>
      <c r="AE586" s="46"/>
    </row>
    <row r="587" ht="21.25" customHeight="1">
      <c r="A587" t="s" s="8">
        <v>680</v>
      </c>
      <c r="B587" t="s" s="42">
        <f>VLOOKUP(A587,'Player Data'!A1:B734,2,FALSE)</f>
        <v>234</v>
      </c>
      <c r="C587" s="44">
        <f>((E587)*'Settings'!$C$12)+(F587*'Settings'!$C$2)+(G587*'Settings'!$C$3)+(H587*'Settings'!$C$4)+(I587*'Settings'!$C$5)+(K587*'Settings'!$C$9)+(N587*'Settings'!$C$6)+(J587*'Settings'!$C$8)+(O587*'Settings'!$C$7)+(P587*'Settings'!$C$14)+(Q587*'Settings'!$C$15)+(R587*'Settings'!$C$16)+(S587*'Settings'!$C$17)+(T587*'Settings'!$C$18)+(U587*'Settings'!$C$19)+(L587*'Settings'!$C$10)+('Settings'!$C$11*M587)</f>
        <v>-5.86347089814156</v>
      </c>
      <c r="D587" s="48">
        <f>IF('Settings'!$E$12="YES",VLOOKUP(A587,'Player Data'!A1:E734,5,FALSE),82)</f>
        <v>60.1703571428571</v>
      </c>
      <c r="E587" s="46">
        <f>(VLOOKUP($A587,'The List'!$B1:$AH730,17,FALSE)-AVERAGE('The List'!R2:R730))/STDEV('The List'!R2:R730)</f>
        <v>0.0103302218064651</v>
      </c>
      <c r="F587" s="46">
        <f>(VLOOKUP($A587,'The List'!$B1:$AH730,18,FALSE)-AVERAGE('The List'!S2:S730))/STDEV('The List'!S2:S730)</f>
        <v>-1.168894671006</v>
      </c>
      <c r="G587" s="46">
        <f>(VLOOKUP($A587,'The List'!$B1:$AH730,19,FALSE)-AVERAGE('The List'!T2:T730))/STDEV('The List'!T2:T730)</f>
        <v>-0.880450298775881</v>
      </c>
      <c r="H587" s="46">
        <f>(VLOOKUP($A587,'The List'!$B1:$AH730,20,FALSE)-AVERAGE('The List'!U2:U730))/STDEV('The List'!U2:U730)</f>
        <v>-1.07465655514726</v>
      </c>
      <c r="I587" s="46">
        <f>(VLOOKUP($A587,'The List'!$B1:$AH730,21,FALSE)-AVERAGE('The List'!V2:V730))/STDEV('The List'!V2:V730)</f>
        <v>-1.30470184477041</v>
      </c>
      <c r="J587" s="46">
        <f>(VLOOKUP($A587,'The List'!$B1:$AH730,22,FALSE)-AVERAGE('The List'!W2:W730))/STDEV('The List'!W2:W730)</f>
        <v>-0.708626436742099</v>
      </c>
      <c r="K587" s="46">
        <f>(VLOOKUP($A587,'The List'!$B1:$AH730,23,FALSE)-AVERAGE('The List'!X2:X730))/STDEV('The List'!X2:X730)</f>
        <v>-0.789650339913645</v>
      </c>
      <c r="L587" s="46">
        <f>(VLOOKUP($A587,'The List'!$B1:$AH730,24,FALSE)-AVERAGE('The List'!Y2:Y730))/STDEV('The List'!Y2:Y730)</f>
        <v>-0.484656251810398</v>
      </c>
      <c r="M587" s="46">
        <f>(VLOOKUP($A587,'The List'!$B1:$AH730,25,FALSE)-AVERAGE('The List'!Z2:Z730))/STDEV('The List'!Z2:Z730)</f>
        <v>-0.589873384018114</v>
      </c>
      <c r="N587" s="46">
        <f>(VLOOKUP($A587,'The List'!$B1:$AH730,26,FALSE)-AVERAGE('The List'!AA2:AA730))/STDEV('The List'!AA2:AA730)</f>
        <v>0.0120988235496837</v>
      </c>
      <c r="O587" s="46">
        <f>(VLOOKUP($A587,'The List'!$B1:$AH730,27,FALSE)-AVERAGE('The List'!AB2:AB730))/STDEV('The List'!AB2:AB730)</f>
        <v>-0.557475200719578</v>
      </c>
      <c r="P587" s="46">
        <f>(VLOOKUP($A587,'The List'!$B1:$AH730,28,FALSE)-AVERAGE('The List'!AC2:AC730))/STDEV('The List'!AC2:AC730)</f>
        <v>-1.73187256722531</v>
      </c>
      <c r="Q587" s="46">
        <f>(VLOOKUP($A587,'The List'!$B1:$AH730,29,FALSE)-AVERAGE('The List'!AD2:AD730))/STDEV('The List'!AD2:AD730)</f>
        <v>-0.899621896120926</v>
      </c>
      <c r="R587" s="46">
        <f>(VLOOKUP($A587,'The List'!$B1:$AH730,30,FALSE)-AVERAGE('The List'!AE2:AE730))/STDEV('The List'!AE2:AE730)</f>
        <v>-1.10547776444632</v>
      </c>
      <c r="S587" s="46">
        <f>(VLOOKUP($A587,'The List'!$B1:$AH730,31,FALSE)-AVERAGE('The List'!AF2:AF730))/STDEV('The List'!AF2:AF730)</f>
        <v>-0.5569063253591</v>
      </c>
      <c r="T587" s="46">
        <f>(VLOOKUP($A587,'The List'!$B1:$AH730,32,FALSE)-AVERAGE('The List'!AG2:AG730))/STDEV('The List'!AG2:AG730)</f>
        <v>-0.600856269042678</v>
      </c>
      <c r="U587" s="46">
        <f>(VLOOKUP($A587,'The List'!$B1:$AH730,33,FALSE)-AVERAGE('The List'!AH2:AH730))/STDEV('The List'!AH2:AH730)</f>
        <v>-1.2363238714826</v>
      </c>
      <c r="V587" s="46"/>
      <c r="W587" s="50"/>
      <c r="X587" s="48"/>
      <c r="Y587" s="48"/>
      <c r="Z587" s="48"/>
      <c r="AA587" s="48"/>
      <c r="AB587" s="48"/>
      <c r="AC587" s="51"/>
      <c r="AD587" s="52"/>
      <c r="AE587" s="46"/>
    </row>
    <row r="588" ht="21.25" customHeight="1">
      <c r="A588" t="s" s="8">
        <v>850</v>
      </c>
      <c r="B588" t="s" s="42">
        <f>VLOOKUP(A588,'Player Data'!A1:B734,2,FALSE)</f>
        <v>173</v>
      </c>
      <c r="C588" s="44">
        <f>((E588)*'Settings'!$C$12)+(F588*'Settings'!$C$2)+(G588*'Settings'!$C$3)+(H588*'Settings'!$C$4)+(I588*'Settings'!$C$5)+(K588*'Settings'!$C$9)+(N588*'Settings'!$C$6)+(J588*'Settings'!$C$8)+(O588*'Settings'!$C$7)+(P588*'Settings'!$C$14)+(Q588*'Settings'!$C$15)+(R588*'Settings'!$C$16)+(S588*'Settings'!$C$17)+(T588*'Settings'!$C$18)+(U588*'Settings'!$C$19)+(L588*'Settings'!$C$10)+('Settings'!$C$11*M588)</f>
        <v>-4.36530360649493</v>
      </c>
      <c r="D588" s="48">
        <f>IF('Settings'!$E$12="YES",VLOOKUP(A588,'Player Data'!A1:E734,5,FALSE),82)</f>
        <v>63.3375</v>
      </c>
      <c r="E588" s="46">
        <f>(VLOOKUP($A588,'The List'!$B1:$AH730,17,FALSE)-AVERAGE('The List'!R2:R730))/STDEV('The List'!R2:R730)</f>
        <v>-2.07882015226898</v>
      </c>
      <c r="F588" s="46">
        <f>(VLOOKUP($A588,'The List'!$B1:$AH730,18,FALSE)-AVERAGE('The List'!S2:S730))/STDEV('The List'!S2:S730)</f>
        <v>-0.644654801121336</v>
      </c>
      <c r="G588" s="46">
        <f>(VLOOKUP($A588,'The List'!$B1:$AH730,19,FALSE)-AVERAGE('The List'!T2:T730))/STDEV('The List'!T2:T730)</f>
        <v>-1.22644688460613</v>
      </c>
      <c r="H588" s="46">
        <f>(VLOOKUP($A588,'The List'!$B1:$AH730,20,FALSE)-AVERAGE('The List'!U2:U730))/STDEV('The List'!U2:U730)</f>
        <v>-1.04941924784933</v>
      </c>
      <c r="I588" s="46">
        <f>(VLOOKUP($A588,'The List'!$B1:$AH730,21,FALSE)-AVERAGE('The List'!V2:V730))/STDEV('The List'!V2:V730)</f>
        <v>-1.09564705145589</v>
      </c>
      <c r="J588" s="46">
        <f>(VLOOKUP($A588,'The List'!$B1:$AH730,22,FALSE)-AVERAGE('The List'!W2:W730))/STDEV('The List'!W2:W730)</f>
        <v>-0.702117442000741</v>
      </c>
      <c r="K588" s="46">
        <f>(VLOOKUP($A588,'The List'!$B1:$AH730,23,FALSE)-AVERAGE('The List'!X2:X730))/STDEV('The List'!X2:X730)</f>
        <v>-0.791925104178549</v>
      </c>
      <c r="L588" s="46">
        <f>(VLOOKUP($A588,'The List'!$B1:$AH730,24,FALSE)-AVERAGE('The List'!Y2:Y730))/STDEV('The List'!Y2:Y730)</f>
        <v>-0.300072783113789</v>
      </c>
      <c r="M588" s="46">
        <f>(VLOOKUP($A588,'The List'!$B1:$AH730,25,FALSE)-AVERAGE('The List'!Z2:Z730))/STDEV('The List'!Z2:Z730)</f>
        <v>-0.446386767992397</v>
      </c>
      <c r="N588" s="46">
        <f>(VLOOKUP($A588,'The List'!$B1:$AH730,26,FALSE)-AVERAGE('The List'!AA2:AA730))/STDEV('The List'!AA2:AA730)</f>
        <v>-0.671253169072451</v>
      </c>
      <c r="O588" s="46">
        <f>(VLOOKUP($A588,'The List'!$B1:$AH730,27,FALSE)-AVERAGE('The List'!AB2:AB730))/STDEV('The List'!AB2:AB730)</f>
        <v>0.888009255908928</v>
      </c>
      <c r="P588" s="46">
        <f>(VLOOKUP($A588,'The List'!$B1:$AH730,28,FALSE)-AVERAGE('The List'!AC2:AC730))/STDEV('The List'!AC2:AC730)</f>
        <v>0.0646234039394238</v>
      </c>
      <c r="Q588" s="46">
        <f>(VLOOKUP($A588,'The List'!$B1:$AH730,29,FALSE)-AVERAGE('The List'!AD2:AD730))/STDEV('The List'!AD2:AD730)</f>
        <v>0.518926370265971</v>
      </c>
      <c r="R588" s="46">
        <f>(VLOOKUP($A588,'The List'!$B1:$AH730,30,FALSE)-AVERAGE('The List'!AE2:AE730))/STDEV('The List'!AE2:AE730)</f>
        <v>-0.547531943118391</v>
      </c>
      <c r="S588" s="46">
        <f>(VLOOKUP($A588,'The List'!$B1:$AH730,31,FALSE)-AVERAGE('The List'!AF2:AF730))/STDEV('The List'!AF2:AF730)</f>
        <v>1.02052257774933</v>
      </c>
      <c r="T588" s="46">
        <f>(VLOOKUP($A588,'The List'!$B1:$AH730,32,FALSE)-AVERAGE('The List'!AG2:AG730))/STDEV('The List'!AG2:AG730)</f>
        <v>0.64411886438081</v>
      </c>
      <c r="U588" s="46">
        <f>(VLOOKUP($A588,'The List'!$B1:$AH730,33,FALSE)-AVERAGE('The List'!AH2:AH730))/STDEV('The List'!AH2:AH730)</f>
        <v>1.34386578187823</v>
      </c>
      <c r="V588" s="46"/>
      <c r="W588" s="50"/>
      <c r="X588" s="48"/>
      <c r="Y588" s="48"/>
      <c r="Z588" s="48"/>
      <c r="AA588" s="48"/>
      <c r="AB588" s="48"/>
      <c r="AC588" s="51"/>
      <c r="AD588" s="52"/>
      <c r="AE588" s="46"/>
    </row>
    <row r="589" ht="21.25" customHeight="1">
      <c r="A589" t="s" s="8">
        <v>610</v>
      </c>
      <c r="B589" t="s" s="42">
        <f>VLOOKUP(A589,'Player Data'!A1:B734,2,FALSE)</f>
        <v>122</v>
      </c>
      <c r="C589" s="44">
        <f>((E589)*'Settings'!$C$12)+(F589*'Settings'!$C$2)+(G589*'Settings'!$C$3)+(H589*'Settings'!$C$4)+(I589*'Settings'!$C$5)+(K589*'Settings'!$C$9)+(N589*'Settings'!$C$6)+(J589*'Settings'!$C$8)+(O589*'Settings'!$C$7)+(P589*'Settings'!$C$14)+(Q589*'Settings'!$C$15)+(R589*'Settings'!$C$16)+(S589*'Settings'!$C$17)+(T589*'Settings'!$C$18)+(U589*'Settings'!$C$19)+(L589*'Settings'!$C$10)+('Settings'!$C$11*M589)</f>
        <v>-1.89232005972931</v>
      </c>
      <c r="D589" s="48">
        <f>IF('Settings'!$E$12="YES",VLOOKUP(A589,'Player Data'!A1:E734,5,FALSE),82)</f>
        <v>76.235</v>
      </c>
      <c r="E589" s="46">
        <f>(VLOOKUP($A589,'The List'!$B1:$AH730,17,FALSE)-AVERAGE('The List'!R2:R730))/STDEV('The List'!R2:R730)</f>
        <v>0.293193646445096</v>
      </c>
      <c r="F589" s="46">
        <f>(VLOOKUP($A589,'The List'!$B1:$AH730,18,FALSE)-AVERAGE('The List'!S2:S730))/STDEV('The List'!S2:S730)</f>
        <v>-0.867598744563454</v>
      </c>
      <c r="G589" s="46">
        <f>(VLOOKUP($A589,'The List'!$B1:$AH730,19,FALSE)-AVERAGE('The List'!T2:T730))/STDEV('The List'!T2:T730)</f>
        <v>-0.885408902069588</v>
      </c>
      <c r="H589" s="46">
        <f>(VLOOKUP($A589,'The List'!$B1:$AH730,20,FALSE)-AVERAGE('The List'!U2:U730))/STDEV('The List'!U2:U730)</f>
        <v>-0.940617779671805</v>
      </c>
      <c r="I589" s="46">
        <f>(VLOOKUP($A589,'The List'!$B1:$AH730,21,FALSE)-AVERAGE('The List'!V2:V730))/STDEV('The List'!V2:V730)</f>
        <v>-1.11666075528982</v>
      </c>
      <c r="J589" s="46">
        <f>(VLOOKUP($A589,'The List'!$B1:$AH730,22,FALSE)-AVERAGE('The List'!W2:W730))/STDEV('The List'!W2:W730)</f>
        <v>-0.709502486638966</v>
      </c>
      <c r="K589" s="46">
        <f>(VLOOKUP($A589,'The List'!$B1:$AH730,23,FALSE)-AVERAGE('The List'!X2:X730))/STDEV('The List'!X2:X730)</f>
        <v>-0.791719090679843</v>
      </c>
      <c r="L589" s="46">
        <f>(VLOOKUP($A589,'The List'!$B1:$AH730,24,FALSE)-AVERAGE('The List'!Y2:Y730))/STDEV('The List'!Y2:Y730)</f>
        <v>1.31244651537376</v>
      </c>
      <c r="M589" s="46">
        <f>(VLOOKUP($A589,'The List'!$B1:$AH730,25,FALSE)-AVERAGE('The List'!Z2:Z730))/STDEV('The List'!Z2:Z730)</f>
        <v>0.886187129689279</v>
      </c>
      <c r="N589" s="46">
        <f>(VLOOKUP($A589,'The List'!$B1:$AH730,26,FALSE)-AVERAGE('The List'!AA2:AA730))/STDEV('The List'!AA2:AA730)</f>
        <v>1.42312401915323</v>
      </c>
      <c r="O589" s="46">
        <f>(VLOOKUP($A589,'The List'!$B1:$AH730,27,FALSE)-AVERAGE('The List'!AB2:AB730))/STDEV('The List'!AB2:AB730)</f>
        <v>0.839923453051546</v>
      </c>
      <c r="P589" s="46">
        <f>(VLOOKUP($A589,'The List'!$B1:$AH730,28,FALSE)-AVERAGE('The List'!AC2:AC730))/STDEV('The List'!AC2:AC730)</f>
        <v>0.345943413720161</v>
      </c>
      <c r="Q589" s="46">
        <f>(VLOOKUP($A589,'The List'!$B1:$AH730,29,FALSE)-AVERAGE('The List'!AD2:AD730))/STDEV('The List'!AD2:AD730)</f>
        <v>0.191264118751445</v>
      </c>
      <c r="R589" s="46">
        <f>(VLOOKUP($A589,'The List'!$B1:$AH730,30,FALSE)-AVERAGE('The List'!AE2:AE730))/STDEV('The List'!AE2:AE730)</f>
        <v>-0.716982850068</v>
      </c>
      <c r="S589" s="46">
        <f>(VLOOKUP($A589,'The List'!$B1:$AH730,31,FALSE)-AVERAGE('The List'!AF2:AF730))/STDEV('The List'!AF2:AF730)</f>
        <v>-0.5569063253591</v>
      </c>
      <c r="T589" s="46">
        <f>(VLOOKUP($A589,'The List'!$B1:$AH730,32,FALSE)-AVERAGE('The List'!AG2:AG730))/STDEV('The List'!AG2:AG730)</f>
        <v>-0.600856269042678</v>
      </c>
      <c r="U589" s="46">
        <f>(VLOOKUP($A589,'The List'!$B1:$AH730,33,FALSE)-AVERAGE('The List'!AH2:AH730))/STDEV('The List'!AH2:AH730)</f>
        <v>-1.2363238714826</v>
      </c>
      <c r="V589" s="46"/>
      <c r="W589" s="48"/>
      <c r="X589" s="46"/>
      <c r="Y589" s="46"/>
      <c r="Z589" s="46"/>
      <c r="AA589" s="46"/>
      <c r="AB589" s="46"/>
      <c r="AC589" s="46"/>
      <c r="AD589" s="46"/>
      <c r="AE589" s="46"/>
    </row>
    <row r="590" ht="21.25" customHeight="1">
      <c r="A590" t="s" s="8">
        <v>547</v>
      </c>
      <c r="B590" t="s" s="42">
        <f>VLOOKUP(A590,'Player Data'!A1:B734,2,FALSE)</f>
        <v>156</v>
      </c>
      <c r="C590" s="44">
        <f>((E590)*'Settings'!$C$12)+(F590*'Settings'!$C$2)+(G590*'Settings'!$C$3)+(H590*'Settings'!$C$4)+(I590*'Settings'!$C$5)+(K590*'Settings'!$C$9)+(N590*'Settings'!$C$6)+(J590*'Settings'!$C$8)+(O590*'Settings'!$C$7)+(P590*'Settings'!$C$14)+(Q590*'Settings'!$C$15)+(R590*'Settings'!$C$16)+(S590*'Settings'!$C$17)+(T590*'Settings'!$C$18)+(U590*'Settings'!$C$19)+(L590*'Settings'!$C$10)+('Settings'!$C$11*M590)</f>
        <v>-2.16735892054461</v>
      </c>
      <c r="D590" s="48">
        <f>IF('Settings'!$E$12="YES",VLOOKUP(A590,'Player Data'!A1:E734,5,FALSE),82)</f>
        <v>81.17357142857141</v>
      </c>
      <c r="E590" s="46">
        <f>(VLOOKUP($A590,'The List'!$B1:$AH730,17,FALSE)-AVERAGE('The List'!R2:R730))/STDEV('The List'!R2:R730)</f>
        <v>0.287187622487671</v>
      </c>
      <c r="F590" s="46">
        <f>(VLOOKUP($A590,'The List'!$B1:$AH730,18,FALSE)-AVERAGE('The List'!S2:S730))/STDEV('The List'!S2:S730)</f>
        <v>-1.11633996119003</v>
      </c>
      <c r="G590" s="46">
        <f>(VLOOKUP($A590,'The List'!$B1:$AH730,19,FALSE)-AVERAGE('The List'!T2:T730))/STDEV('The List'!T2:T730)</f>
        <v>-0.638590824334937</v>
      </c>
      <c r="H590" s="46">
        <f>(VLOOKUP($A590,'The List'!$B1:$AH730,20,FALSE)-AVERAGE('The List'!U2:U730))/STDEV('The List'!U2:U730)</f>
        <v>-0.9016399210898109</v>
      </c>
      <c r="I590" s="46">
        <f>(VLOOKUP($A590,'The List'!$B1:$AH730,21,FALSE)-AVERAGE('The List'!V2:V730))/STDEV('The List'!V2:V730)</f>
        <v>-0.5852375931946689</v>
      </c>
      <c r="J590" s="46">
        <f>(VLOOKUP($A590,'The List'!$B1:$AH730,22,FALSE)-AVERAGE('The List'!W2:W730))/STDEV('The List'!W2:W730)</f>
        <v>-0.703755082334989</v>
      </c>
      <c r="K590" s="46">
        <f>(VLOOKUP($A590,'The List'!$B1:$AH730,23,FALSE)-AVERAGE('The List'!X2:X730))/STDEV('The List'!X2:X730)</f>
        <v>-0.737914764777561</v>
      </c>
      <c r="L590" s="46">
        <f>(VLOOKUP($A590,'The List'!$B1:$AH730,24,FALSE)-AVERAGE('The List'!Y2:Y730))/STDEV('The List'!Y2:Y730)</f>
        <v>-0.353789284521842</v>
      </c>
      <c r="M590" s="46">
        <f>(VLOOKUP($A590,'The List'!$B1:$AH730,25,FALSE)-AVERAGE('The List'!Z2:Z730))/STDEV('The List'!Z2:Z730)</f>
        <v>-0.190284647512166</v>
      </c>
      <c r="N590" s="46">
        <f>(VLOOKUP($A590,'The List'!$B1:$AH730,26,FALSE)-AVERAGE('The List'!AA2:AA730))/STDEV('The List'!AA2:AA730)</f>
        <v>1.51557320470015</v>
      </c>
      <c r="O590" s="46">
        <f>(VLOOKUP($A590,'The List'!$B1:$AH730,27,FALSE)-AVERAGE('The List'!AB2:AB730))/STDEV('The List'!AB2:AB730)</f>
        <v>0.0941160133102161</v>
      </c>
      <c r="P590" s="46">
        <f>(VLOOKUP($A590,'The List'!$B1:$AH730,28,FALSE)-AVERAGE('The List'!AC2:AC730))/STDEV('The List'!AC2:AC730)</f>
        <v>-0.604848981747558</v>
      </c>
      <c r="Q590" s="46">
        <f>(VLOOKUP($A590,'The List'!$B1:$AH730,29,FALSE)-AVERAGE('The List'!AD2:AD730))/STDEV('The List'!AD2:AD730)</f>
        <v>1.40055615515915</v>
      </c>
      <c r="R590" s="46">
        <f>(VLOOKUP($A590,'The List'!$B1:$AH730,30,FALSE)-AVERAGE('The List'!AE2:AE730))/STDEV('The List'!AE2:AE730)</f>
        <v>-1.01940566406723</v>
      </c>
      <c r="S590" s="46">
        <f>(VLOOKUP($A590,'The List'!$B1:$AH730,31,FALSE)-AVERAGE('The List'!AF2:AF730))/STDEV('The List'!AF2:AF730)</f>
        <v>-0.5569063253591</v>
      </c>
      <c r="T590" s="46">
        <f>(VLOOKUP($A590,'The List'!$B1:$AH730,32,FALSE)-AVERAGE('The List'!AG2:AG730))/STDEV('The List'!AG2:AG730)</f>
        <v>-0.600856269042678</v>
      </c>
      <c r="U590" s="46">
        <f>(VLOOKUP($A590,'The List'!$B1:$AH730,33,FALSE)-AVERAGE('The List'!AH2:AH730))/STDEV('The List'!AH2:AH730)</f>
        <v>-1.2363238714826</v>
      </c>
      <c r="V590" s="46"/>
      <c r="W590" s="50"/>
      <c r="X590" s="48"/>
      <c r="Y590" s="48"/>
      <c r="Z590" s="48"/>
      <c r="AA590" s="48"/>
      <c r="AB590" s="48"/>
      <c r="AC590" s="51"/>
      <c r="AD590" s="52"/>
      <c r="AE590" s="46"/>
    </row>
    <row r="591" ht="21.25" customHeight="1">
      <c r="A591" t="s" s="8">
        <v>620</v>
      </c>
      <c r="B591" t="s" s="42">
        <f>VLOOKUP(A591,'Player Data'!A1:B734,2,FALSE)</f>
        <v>184</v>
      </c>
      <c r="C591" s="44">
        <f>((E591)*'Settings'!$C$12)+(F591*'Settings'!$C$2)+(G591*'Settings'!$C$3)+(H591*'Settings'!$C$4)+(I591*'Settings'!$C$5)+(K591*'Settings'!$C$9)+(N591*'Settings'!$C$6)+(J591*'Settings'!$C$8)+(O591*'Settings'!$C$7)+(P591*'Settings'!$C$14)+(Q591*'Settings'!$C$15)+(R591*'Settings'!$C$16)+(S591*'Settings'!$C$17)+(T591*'Settings'!$C$18)+(U591*'Settings'!$C$19)+(L591*'Settings'!$C$10)+('Settings'!$C$11*M591)</f>
        <v>-3.7352506367767</v>
      </c>
      <c r="D591" s="48">
        <f>IF('Settings'!$E$12="YES",VLOOKUP(A591,'Player Data'!A1:E734,5,FALSE),82)</f>
        <v>76.92357142857141</v>
      </c>
      <c r="E591" s="46">
        <f>(VLOOKUP($A591,'The List'!$B1:$AH730,17,FALSE)-AVERAGE('The List'!R2:R730))/STDEV('The List'!R2:R730)</f>
        <v>-0.205937712263877</v>
      </c>
      <c r="F591" s="46">
        <f>(VLOOKUP($A591,'The List'!$B1:$AH730,18,FALSE)-AVERAGE('The List'!S2:S730))/STDEV('The List'!S2:S730)</f>
        <v>-0.997335250094763</v>
      </c>
      <c r="G591" s="46">
        <f>(VLOOKUP($A591,'The List'!$B1:$AH730,19,FALSE)-AVERAGE('The List'!T2:T730))/STDEV('The List'!T2:T730)</f>
        <v>-0.786258778138203</v>
      </c>
      <c r="H591" s="46">
        <f>(VLOOKUP($A591,'The List'!$B1:$AH730,20,FALSE)-AVERAGE('The List'!U2:U730))/STDEV('The List'!U2:U730)</f>
        <v>-0.938525743438464</v>
      </c>
      <c r="I591" s="46">
        <f>(VLOOKUP($A591,'The List'!$B1:$AH730,21,FALSE)-AVERAGE('The List'!V2:V730))/STDEV('The List'!V2:V730)</f>
        <v>-1.14779845944153</v>
      </c>
      <c r="J591" s="46">
        <f>(VLOOKUP($A591,'The List'!$B1:$AH730,22,FALSE)-AVERAGE('The List'!W2:W730))/STDEV('The List'!W2:W730)</f>
        <v>-0.708119048720508</v>
      </c>
      <c r="K591" s="46">
        <f>(VLOOKUP($A591,'The List'!$B1:$AH730,23,FALSE)-AVERAGE('The List'!X2:X730))/STDEV('The List'!X2:X730)</f>
        <v>-0.787981528695273</v>
      </c>
      <c r="L591" s="46">
        <f>(VLOOKUP($A591,'The List'!$B1:$AH730,24,FALSE)-AVERAGE('The List'!Y2:Y730))/STDEV('The List'!Y2:Y730)</f>
        <v>-0.526635702421216</v>
      </c>
      <c r="M591" s="46">
        <f>(VLOOKUP($A591,'The List'!$B1:$AH730,25,FALSE)-AVERAGE('The List'!Z2:Z730))/STDEV('The List'!Z2:Z730)</f>
        <v>-0.684185489523859</v>
      </c>
      <c r="N591" s="46">
        <f>(VLOOKUP($A591,'The List'!$B1:$AH730,26,FALSE)-AVERAGE('The List'!AA2:AA730))/STDEV('The List'!AA2:AA730)</f>
        <v>0.90133286450172</v>
      </c>
      <c r="O591" s="46">
        <f>(VLOOKUP($A591,'The List'!$B1:$AH730,27,FALSE)-AVERAGE('The List'!AB2:AB730))/STDEV('The List'!AB2:AB730)</f>
        <v>-0.413036613700247</v>
      </c>
      <c r="P591" s="46">
        <f>(VLOOKUP($A591,'The List'!$B1:$AH730,28,FALSE)-AVERAGE('The List'!AC2:AC730))/STDEV('The List'!AC2:AC730)</f>
        <v>-0.917209484908652</v>
      </c>
      <c r="Q591" s="46">
        <f>(VLOOKUP($A591,'The List'!$B1:$AH730,29,FALSE)-AVERAGE('The List'!AD2:AD730))/STDEV('The List'!AD2:AD730)</f>
        <v>-1.19317708246141</v>
      </c>
      <c r="R591" s="46">
        <f>(VLOOKUP($A591,'The List'!$B1:$AH730,30,FALSE)-AVERAGE('The List'!AE2:AE730))/STDEV('The List'!AE2:AE730)</f>
        <v>-0.9276840256137761</v>
      </c>
      <c r="S591" s="46">
        <f>(VLOOKUP($A591,'The List'!$B1:$AH730,31,FALSE)-AVERAGE('The List'!AF2:AF730))/STDEV('The List'!AF2:AF730)</f>
        <v>-0.5569063253591</v>
      </c>
      <c r="T591" s="46">
        <f>(VLOOKUP($A591,'The List'!$B1:$AH730,32,FALSE)-AVERAGE('The List'!AG2:AG730))/STDEV('The List'!AG2:AG730)</f>
        <v>-0.600856269042678</v>
      </c>
      <c r="U591" s="46">
        <f>(VLOOKUP($A591,'The List'!$B1:$AH730,33,FALSE)-AVERAGE('The List'!AH2:AH730))/STDEV('The List'!AH2:AH730)</f>
        <v>-1.2363238714826</v>
      </c>
      <c r="V591" s="46"/>
      <c r="W591" s="50"/>
      <c r="X591" s="48"/>
      <c r="Y591" s="48"/>
      <c r="Z591" s="48"/>
      <c r="AA591" s="48"/>
      <c r="AB591" s="48"/>
      <c r="AC591" s="51"/>
      <c r="AD591" s="52"/>
      <c r="AE591" s="46"/>
    </row>
    <row r="592" ht="21.25" customHeight="1">
      <c r="A592" t="s" s="8">
        <v>606</v>
      </c>
      <c r="B592" t="s" s="42">
        <f>VLOOKUP(A592,'Player Data'!A1:B734,2,FALSE)</f>
        <v>258</v>
      </c>
      <c r="C592" s="44">
        <f>((E592)*'Settings'!$C$12)+(F592*'Settings'!$C$2)+(G592*'Settings'!$C$3)+(H592*'Settings'!$C$4)+(I592*'Settings'!$C$5)+(K592*'Settings'!$C$9)+(N592*'Settings'!$C$6)+(J592*'Settings'!$C$8)+(O592*'Settings'!$C$7)+(P592*'Settings'!$C$14)+(Q592*'Settings'!$C$15)+(R592*'Settings'!$C$16)+(S592*'Settings'!$C$17)+(T592*'Settings'!$C$18)+(U592*'Settings'!$C$19)+(L592*'Settings'!$C$10)+('Settings'!$C$11*M592)</f>
        <v>-4.87621464916995</v>
      </c>
      <c r="D592" s="48">
        <f>IF('Settings'!$E$12="YES",VLOOKUP(A592,'Player Data'!A1:E734,5,FALSE),82)</f>
        <v>69.16500000000001</v>
      </c>
      <c r="E592" s="46">
        <f>(VLOOKUP($A592,'The List'!$B1:$AH730,17,FALSE)-AVERAGE('The List'!R2:R730))/STDEV('The List'!R2:R730)</f>
        <v>-0.509831463859845</v>
      </c>
      <c r="F592" s="46">
        <f>(VLOOKUP($A592,'The List'!$B1:$AH730,18,FALSE)-AVERAGE('The List'!S2:S730))/STDEV('The List'!S2:S730)</f>
        <v>-0.917413728777565</v>
      </c>
      <c r="G592" s="46">
        <f>(VLOOKUP($A592,'The List'!$B1:$AH730,19,FALSE)-AVERAGE('The List'!T2:T730))/STDEV('The List'!T2:T730)</f>
        <v>-0.955050180745774</v>
      </c>
      <c r="H592" s="46">
        <f>(VLOOKUP($A592,'The List'!$B1:$AH730,20,FALSE)-AVERAGE('The List'!U2:U730))/STDEV('The List'!U2:U730)</f>
        <v>-1.00621752952487</v>
      </c>
      <c r="I592" s="46">
        <f>(VLOOKUP($A592,'The List'!$B1:$AH730,21,FALSE)-AVERAGE('The List'!V2:V730))/STDEV('The List'!V2:V730)</f>
        <v>-0.700773212950594</v>
      </c>
      <c r="J592" s="46">
        <f>(VLOOKUP($A592,'The List'!$B1:$AH730,22,FALSE)-AVERAGE('The List'!W2:W730))/STDEV('The List'!W2:W730)</f>
        <v>-0.4856834278372</v>
      </c>
      <c r="K592" s="46">
        <f>(VLOOKUP($A592,'The List'!$B1:$AH730,23,FALSE)-AVERAGE('The List'!X2:X730))/STDEV('The List'!X2:X730)</f>
        <v>-0.5951248770237439</v>
      </c>
      <c r="L592" s="46">
        <f>(VLOOKUP($A592,'The List'!$B1:$AH730,24,FALSE)-AVERAGE('The List'!Y2:Y730))/STDEV('The List'!Y2:Y730)</f>
        <v>-0.520048727390207</v>
      </c>
      <c r="M592" s="46">
        <f>(VLOOKUP($A592,'The List'!$B1:$AH730,25,FALSE)-AVERAGE('The List'!Z2:Z730))/STDEV('The List'!Z2:Z730)</f>
        <v>-0.665725923627814</v>
      </c>
      <c r="N592" s="46">
        <f>(VLOOKUP($A592,'The List'!$B1:$AH730,26,FALSE)-AVERAGE('The List'!AA2:AA730))/STDEV('The List'!AA2:AA730)</f>
        <v>0.217301569257221</v>
      </c>
      <c r="O592" s="46">
        <f>(VLOOKUP($A592,'The List'!$B1:$AH730,27,FALSE)-AVERAGE('The List'!AB2:AB730))/STDEV('The List'!AB2:AB730)</f>
        <v>1.61130557897594</v>
      </c>
      <c r="P592" s="46">
        <f>(VLOOKUP($A592,'The List'!$B1:$AH730,28,FALSE)-AVERAGE('The List'!AC2:AC730))/STDEV('The List'!AC2:AC730)</f>
        <v>-1.92515421892949</v>
      </c>
      <c r="Q592" s="46">
        <f>(VLOOKUP($A592,'The List'!$B1:$AH730,29,FALSE)-AVERAGE('The List'!AD2:AD730))/STDEV('The List'!AD2:AD730)</f>
        <v>2.97979836087401</v>
      </c>
      <c r="R592" s="46">
        <f>(VLOOKUP($A592,'The List'!$B1:$AH730,30,FALSE)-AVERAGE('The List'!AE2:AE730))/STDEV('The List'!AE2:AE730)</f>
        <v>-0.9324176098013</v>
      </c>
      <c r="S592" s="46">
        <f>(VLOOKUP($A592,'The List'!$B1:$AH730,31,FALSE)-AVERAGE('The List'!AF2:AF730))/STDEV('The List'!AF2:AF730)</f>
        <v>-0.5569063253591</v>
      </c>
      <c r="T592" s="46">
        <f>(VLOOKUP($A592,'The List'!$B1:$AH730,32,FALSE)-AVERAGE('The List'!AG2:AG730))/STDEV('The List'!AG2:AG730)</f>
        <v>-0.600856269042678</v>
      </c>
      <c r="U592" s="46">
        <f>(VLOOKUP($A592,'The List'!$B1:$AH730,33,FALSE)-AVERAGE('The List'!AH2:AH730))/STDEV('The List'!AH2:AH730)</f>
        <v>-1.2363238714826</v>
      </c>
      <c r="V592" s="46"/>
      <c r="W592" s="48"/>
      <c r="X592" s="48"/>
      <c r="Y592" s="48"/>
      <c r="Z592" s="48"/>
      <c r="AA592" s="48"/>
      <c r="AB592" s="48"/>
      <c r="AC592" s="51"/>
      <c r="AD592" s="52"/>
      <c r="AE592" s="46"/>
    </row>
    <row r="593" ht="21.25" customHeight="1">
      <c r="A593" t="s" s="8">
        <v>838</v>
      </c>
      <c r="B593" t="s" s="42">
        <f>VLOOKUP(A593,'Player Data'!A1:B734,2,FALSE)</f>
        <v>189</v>
      </c>
      <c r="C593" s="44">
        <f>((E593)*'Settings'!$C$12)+(F593*'Settings'!$C$2)+(G593*'Settings'!$C$3)+(H593*'Settings'!$C$4)+(I593*'Settings'!$C$5)+(K593*'Settings'!$C$9)+(N593*'Settings'!$C$6)+(J593*'Settings'!$C$8)+(O593*'Settings'!$C$7)+(P593*'Settings'!$C$14)+(Q593*'Settings'!$C$15)+(R593*'Settings'!$C$16)+(S593*'Settings'!$C$17)+(T593*'Settings'!$C$18)+(U593*'Settings'!$C$19)+(L593*'Settings'!$C$10)+('Settings'!$C$11*M593)</f>
        <v>-5.75037718169217</v>
      </c>
      <c r="D593" s="48">
        <f>IF('Settings'!$E$12="YES",VLOOKUP(A593,'Player Data'!A1:E734,5,FALSE),82)</f>
        <v>58.26</v>
      </c>
      <c r="E593" s="46">
        <f>(VLOOKUP($A593,'The List'!$B1:$AH730,17,FALSE)-AVERAGE('The List'!R2:R730))/STDEV('The List'!R2:R730)</f>
        <v>-1.74339265397083</v>
      </c>
      <c r="F593" s="46">
        <f>(VLOOKUP($A593,'The List'!$B1:$AH730,18,FALSE)-AVERAGE('The List'!S2:S730))/STDEV('The List'!S2:S730)</f>
        <v>-0.894338624937112</v>
      </c>
      <c r="G593" s="46">
        <f>(VLOOKUP($A593,'The List'!$B1:$AH730,19,FALSE)-AVERAGE('The List'!T2:T730))/STDEV('The List'!T2:T730)</f>
        <v>-1.12364259134454</v>
      </c>
      <c r="H593" s="46">
        <f>(VLOOKUP($A593,'The List'!$B1:$AH730,20,FALSE)-AVERAGE('The List'!U2:U730))/STDEV('The List'!U2:U730)</f>
        <v>-1.09965289969988</v>
      </c>
      <c r="I593" s="46">
        <f>(VLOOKUP($A593,'The List'!$B1:$AH730,21,FALSE)-AVERAGE('The List'!V2:V730))/STDEV('The List'!V2:V730)</f>
        <v>-1.26505021377217</v>
      </c>
      <c r="J593" s="46">
        <f>(VLOOKUP($A593,'The List'!$B1:$AH730,22,FALSE)-AVERAGE('The List'!W2:W730))/STDEV('The List'!W2:W730)</f>
        <v>-0.709749146422143</v>
      </c>
      <c r="K593" s="46">
        <f>(VLOOKUP($A593,'The List'!$B1:$AH730,23,FALSE)-AVERAGE('The List'!X2:X730))/STDEV('The List'!X2:X730)</f>
        <v>-0.800098580123331</v>
      </c>
      <c r="L593" s="46">
        <f>(VLOOKUP($A593,'The List'!$B1:$AH730,24,FALSE)-AVERAGE('The List'!Y2:Y730))/STDEV('The List'!Y2:Y730)</f>
        <v>-0.362647373842621</v>
      </c>
      <c r="M593" s="46">
        <f>(VLOOKUP($A593,'The List'!$B1:$AH730,25,FALSE)-AVERAGE('The List'!Z2:Z730))/STDEV('The List'!Z2:Z730)</f>
        <v>-0.518390642434211</v>
      </c>
      <c r="N593" s="46">
        <f>(VLOOKUP($A593,'The List'!$B1:$AH730,26,FALSE)-AVERAGE('The List'!AA2:AA730))/STDEV('The List'!AA2:AA730)</f>
        <v>-0.527671905120536</v>
      </c>
      <c r="O593" s="46">
        <f>(VLOOKUP($A593,'The List'!$B1:$AH730,27,FALSE)-AVERAGE('The List'!AB2:AB730))/STDEV('The List'!AB2:AB730)</f>
        <v>0.667726285202187</v>
      </c>
      <c r="P593" s="46">
        <f>(VLOOKUP($A593,'The List'!$B1:$AH730,28,FALSE)-AVERAGE('The List'!AC2:AC730))/STDEV('The List'!AC2:AC730)</f>
        <v>-1.13957526639448</v>
      </c>
      <c r="Q593" s="46">
        <f>(VLOOKUP($A593,'The List'!$B1:$AH730,29,FALSE)-AVERAGE('The List'!AD2:AD730))/STDEV('The List'!AD2:AD730)</f>
        <v>1.30968569982477</v>
      </c>
      <c r="R593" s="46">
        <f>(VLOOKUP($A593,'The List'!$B1:$AH730,30,FALSE)-AVERAGE('The List'!AE2:AE730))/STDEV('The List'!AE2:AE730)</f>
        <v>-0.904726670398519</v>
      </c>
      <c r="S593" s="46">
        <f>(VLOOKUP($A593,'The List'!$B1:$AH730,31,FALSE)-AVERAGE('The List'!AF2:AF730))/STDEV('The List'!AF2:AF730)</f>
        <v>-0.546138213347912</v>
      </c>
      <c r="T593" s="46">
        <f>(VLOOKUP($A593,'The List'!$B1:$AH730,32,FALSE)-AVERAGE('The List'!AG2:AG730))/STDEV('The List'!AG2:AG730)</f>
        <v>-0.5526727904966861</v>
      </c>
      <c r="U593" s="46">
        <f>(VLOOKUP($A593,'The List'!$B1:$AH730,33,FALSE)-AVERAGE('The List'!AH2:AH730))/STDEV('The List'!AH2:AH730)</f>
        <v>-0.376784903467321</v>
      </c>
      <c r="V593" s="46"/>
      <c r="W593" s="50"/>
      <c r="X593" s="48"/>
      <c r="Y593" s="48"/>
      <c r="Z593" s="48"/>
      <c r="AA593" s="48"/>
      <c r="AB593" s="48"/>
      <c r="AC593" s="51"/>
      <c r="AD593" s="52"/>
      <c r="AE593" s="46"/>
    </row>
    <row r="594" ht="21.25" customHeight="1">
      <c r="A594" t="s" s="8">
        <v>811</v>
      </c>
      <c r="B594" t="s" s="42">
        <f>VLOOKUP(A594,'Player Data'!A1:B734,2,FALSE)</f>
        <v>292</v>
      </c>
      <c r="C594" s="44">
        <f>((E594)*'Settings'!$C$12)+(F594*'Settings'!$C$2)+(G594*'Settings'!$C$3)+(H594*'Settings'!$C$4)+(I594*'Settings'!$C$5)+(K594*'Settings'!$C$9)+(N594*'Settings'!$C$6)+(J594*'Settings'!$C$8)+(O594*'Settings'!$C$7)+(P594*'Settings'!$C$14)+(Q594*'Settings'!$C$15)+(R594*'Settings'!$C$16)+(S594*'Settings'!$C$17)+(T594*'Settings'!$C$18)+(U594*'Settings'!$C$19)+(L594*'Settings'!$C$10)+('Settings'!$C$11*M594)</f>
        <v>-3.99922811522531</v>
      </c>
      <c r="D594" s="48">
        <f>IF('Settings'!$E$12="YES",VLOOKUP(A594,'Player Data'!A1:E734,5,FALSE),82)</f>
        <v>77.7442857142857</v>
      </c>
      <c r="E594" s="46">
        <f>(VLOOKUP($A594,'The List'!$B1:$AH730,17,FALSE)-AVERAGE('The List'!R2:R730))/STDEV('The List'!R2:R730)</f>
        <v>-1.7187855306027</v>
      </c>
      <c r="F594" s="46">
        <f>(VLOOKUP($A594,'The List'!$B1:$AH730,18,FALSE)-AVERAGE('The List'!S2:S730))/STDEV('The List'!S2:S730)</f>
        <v>-0.526021191690964</v>
      </c>
      <c r="G594" s="46">
        <f>(VLOOKUP($A594,'The List'!$B1:$AH730,19,FALSE)-AVERAGE('The List'!T2:T730))/STDEV('The List'!T2:T730)</f>
        <v>-1.13215459204511</v>
      </c>
      <c r="H594" s="46">
        <f>(VLOOKUP($A594,'The List'!$B1:$AH730,20,FALSE)-AVERAGE('The List'!U2:U730))/STDEV('The List'!U2:U730)</f>
        <v>-0.937308617262239</v>
      </c>
      <c r="I594" s="46">
        <f>(VLOOKUP($A594,'The List'!$B1:$AH730,21,FALSE)-AVERAGE('The List'!V2:V730))/STDEV('The List'!V2:V730)</f>
        <v>-0.778879809143978</v>
      </c>
      <c r="J594" s="46">
        <f>(VLOOKUP($A594,'The List'!$B1:$AH730,22,FALSE)-AVERAGE('The List'!W2:W730))/STDEV('The List'!W2:W730)</f>
        <v>-0.702162571546571</v>
      </c>
      <c r="K594" s="46">
        <f>(VLOOKUP($A594,'The List'!$B1:$AH730,23,FALSE)-AVERAGE('The List'!X2:X730))/STDEV('The List'!X2:X730)</f>
        <v>-0.792052292594304</v>
      </c>
      <c r="L594" s="46">
        <f>(VLOOKUP($A594,'The List'!$B1:$AH730,24,FALSE)-AVERAGE('The List'!Y2:Y730))/STDEV('The List'!Y2:Y730)</f>
        <v>-0.542843480388394</v>
      </c>
      <c r="M594" s="46">
        <f>(VLOOKUP($A594,'The List'!$B1:$AH730,25,FALSE)-AVERAGE('The List'!Z2:Z730))/STDEV('The List'!Z2:Z730)</f>
        <v>-0.72177514995105</v>
      </c>
      <c r="N594" s="46">
        <f>(VLOOKUP($A594,'The List'!$B1:$AH730,26,FALSE)-AVERAGE('The List'!AA2:AA730))/STDEV('The List'!AA2:AA730)</f>
        <v>-0.582232984710237</v>
      </c>
      <c r="O594" s="46">
        <f>(VLOOKUP($A594,'The List'!$B1:$AH730,27,FALSE)-AVERAGE('The List'!AB2:AB730))/STDEV('The List'!AB2:AB730)</f>
        <v>1.64415486774574</v>
      </c>
      <c r="P594" s="46">
        <f>(VLOOKUP($A594,'The List'!$B1:$AH730,28,FALSE)-AVERAGE('The List'!AC2:AC730))/STDEV('The List'!AC2:AC730)</f>
        <v>-0.187887245040713</v>
      </c>
      <c r="Q594" s="46">
        <f>(VLOOKUP($A594,'The List'!$B1:$AH730,29,FALSE)-AVERAGE('The List'!AD2:AD730))/STDEV('The List'!AD2:AD730)</f>
        <v>-0.651856185400651</v>
      </c>
      <c r="R594" s="46">
        <f>(VLOOKUP($A594,'The List'!$B1:$AH730,30,FALSE)-AVERAGE('The List'!AE2:AE730))/STDEV('The List'!AE2:AE730)</f>
        <v>-1.18448477237391</v>
      </c>
      <c r="S594" s="46">
        <f>(VLOOKUP($A594,'The List'!$B1:$AH730,31,FALSE)-AVERAGE('The List'!AF2:AF730))/STDEV('The List'!AF2:AF730)</f>
        <v>-0.526088355169628</v>
      </c>
      <c r="T594" s="46">
        <f>(VLOOKUP($A594,'The List'!$B1:$AH730,32,FALSE)-AVERAGE('The List'!AG2:AG730))/STDEV('The List'!AG2:AG730)</f>
        <v>-0.565492008900088</v>
      </c>
      <c r="U594" s="46">
        <f>(VLOOKUP($A594,'The List'!$B1:$AH730,33,FALSE)-AVERAGE('The List'!AH2:AH730))/STDEV('The List'!AH2:AH730)</f>
        <v>0.923538241040007</v>
      </c>
      <c r="V594" s="46"/>
      <c r="W594" s="50"/>
      <c r="X594" s="48"/>
      <c r="Y594" s="48"/>
      <c r="Z594" s="48"/>
      <c r="AA594" s="48"/>
      <c r="AB594" s="48"/>
      <c r="AC594" s="51"/>
      <c r="AD594" s="52"/>
      <c r="AE594" s="46"/>
    </row>
    <row r="595" ht="21.25" customHeight="1">
      <c r="A595" t="s" s="8">
        <v>824</v>
      </c>
      <c r="B595" t="s" s="42">
        <f>VLOOKUP(A595,'Player Data'!A1:B734,2,FALSE)</f>
        <v>131</v>
      </c>
      <c r="C595" s="44">
        <f>((E595)*'Settings'!$C$12)+(F595*'Settings'!$C$2)+(G595*'Settings'!$C$3)+(H595*'Settings'!$C$4)+(I595*'Settings'!$C$5)+(K595*'Settings'!$C$9)+(N595*'Settings'!$C$6)+(J595*'Settings'!$C$8)+(O595*'Settings'!$C$7)+(P595*'Settings'!$C$14)+(Q595*'Settings'!$C$15)+(R595*'Settings'!$C$16)+(S595*'Settings'!$C$17)+(T595*'Settings'!$C$18)+(U595*'Settings'!$C$19)+(L595*'Settings'!$C$10)+('Settings'!$C$11*M595)</f>
        <v>-4.69995845639205</v>
      </c>
      <c r="D595" s="48">
        <f>IF('Settings'!$E$12="YES",VLOOKUP(A595,'Player Data'!A1:E734,5,FALSE),82)</f>
        <v>61.5710714285714</v>
      </c>
      <c r="E595" s="46">
        <f>(VLOOKUP($A595,'The List'!$B1:$AH730,17,FALSE)-AVERAGE('The List'!R2:R730))/STDEV('The List'!R2:R730)</f>
        <v>-1.66301339627041</v>
      </c>
      <c r="F595" s="46">
        <f>(VLOOKUP($A595,'The List'!$B1:$AH730,18,FALSE)-AVERAGE('The List'!S2:S730))/STDEV('The List'!S2:S730)</f>
        <v>-0.740274376983211</v>
      </c>
      <c r="G595" s="46">
        <f>(VLOOKUP($A595,'The List'!$B1:$AH730,19,FALSE)-AVERAGE('The List'!T2:T730))/STDEV('The List'!T2:T730)</f>
        <v>-1.19708754834129</v>
      </c>
      <c r="H595" s="46">
        <f>(VLOOKUP($A595,'The List'!$B1:$AH730,20,FALSE)-AVERAGE('The List'!U2:U730))/STDEV('The List'!U2:U730)</f>
        <v>-1.0748284276663</v>
      </c>
      <c r="I595" s="46">
        <f>(VLOOKUP($A595,'The List'!$B1:$AH730,21,FALSE)-AVERAGE('The List'!V2:V730))/STDEV('The List'!V2:V730)</f>
        <v>-1.05886341860645</v>
      </c>
      <c r="J595" s="46">
        <f>(VLOOKUP($A595,'The List'!$B1:$AH730,22,FALSE)-AVERAGE('The List'!W2:W730))/STDEV('The List'!W2:W730)</f>
        <v>-0.7014986872871301</v>
      </c>
      <c r="K595" s="46">
        <f>(VLOOKUP($A595,'The List'!$B1:$AH730,23,FALSE)-AVERAGE('The List'!X2:X730))/STDEV('The List'!X2:X730)</f>
        <v>-0.788472936344915</v>
      </c>
      <c r="L595" s="46">
        <f>(VLOOKUP($A595,'The List'!$B1:$AH730,24,FALSE)-AVERAGE('The List'!Y2:Y730))/STDEV('The List'!Y2:Y730)</f>
        <v>0.286233296401861</v>
      </c>
      <c r="M595" s="46">
        <f>(VLOOKUP($A595,'The List'!$B1:$AH730,25,FALSE)-AVERAGE('The List'!Z2:Z730))/STDEV('The List'!Z2:Z730)</f>
        <v>0.569734440924114</v>
      </c>
      <c r="N595" s="46">
        <f>(VLOOKUP($A595,'The List'!$B1:$AH730,26,FALSE)-AVERAGE('The List'!AA2:AA730))/STDEV('The List'!AA2:AA730)</f>
        <v>-0.652956485647084</v>
      </c>
      <c r="O595" s="46">
        <f>(VLOOKUP($A595,'The List'!$B1:$AH730,27,FALSE)-AVERAGE('The List'!AB2:AB730))/STDEV('The List'!AB2:AB730)</f>
        <v>0.751320503537055</v>
      </c>
      <c r="P595" s="46">
        <f>(VLOOKUP($A595,'The List'!$B1:$AH730,28,FALSE)-AVERAGE('The List'!AC2:AC730))/STDEV('The List'!AC2:AC730)</f>
        <v>-0.262303690469101</v>
      </c>
      <c r="Q595" s="46">
        <f>(VLOOKUP($A595,'The List'!$B1:$AH730,29,FALSE)-AVERAGE('The List'!AD2:AD730))/STDEV('The List'!AD2:AD730)</f>
        <v>0.6950379270163199</v>
      </c>
      <c r="R595" s="46">
        <f>(VLOOKUP($A595,'The List'!$B1:$AH730,30,FALSE)-AVERAGE('The List'!AE2:AE730))/STDEV('The List'!AE2:AE730)</f>
        <v>-0.656856089186043</v>
      </c>
      <c r="S595" s="46">
        <f>(VLOOKUP($A595,'The List'!$B1:$AH730,31,FALSE)-AVERAGE('The List'!AF2:AF730))/STDEV('The List'!AF2:AF730)</f>
        <v>0.157213489174631</v>
      </c>
      <c r="T595" s="46">
        <f>(VLOOKUP($A595,'The List'!$B1:$AH730,32,FALSE)-AVERAGE('The List'!AG2:AG730))/STDEV('The List'!AG2:AG730)</f>
        <v>-0.009943307827325989</v>
      </c>
      <c r="U595" s="46">
        <f>(VLOOKUP($A595,'The List'!$B1:$AH730,33,FALSE)-AVERAGE('The List'!AH2:AH730))/STDEV('The List'!AH2:AH730)</f>
        <v>1.29138025386702</v>
      </c>
      <c r="V595" s="46"/>
      <c r="W595" s="50"/>
      <c r="X595" s="48"/>
      <c r="Y595" s="48"/>
      <c r="Z595" s="48"/>
      <c r="AA595" s="48"/>
      <c r="AB595" s="48"/>
      <c r="AC595" s="51"/>
      <c r="AD595" s="52"/>
      <c r="AE595" s="46"/>
    </row>
    <row r="596" ht="21.25" customHeight="1">
      <c r="A596" t="s" s="8">
        <v>809</v>
      </c>
      <c r="B596" t="s" s="42">
        <f>VLOOKUP(A596,'Player Data'!A1:B734,2,FALSE)</f>
        <v>113</v>
      </c>
      <c r="C596" s="44">
        <f>((E596)*'Settings'!$C$12)+(F596*'Settings'!$C$2)+(G596*'Settings'!$C$3)+(H596*'Settings'!$C$4)+(I596*'Settings'!$C$5)+(K596*'Settings'!$C$9)+(N596*'Settings'!$C$6)+(J596*'Settings'!$C$8)+(O596*'Settings'!$C$7)+(P596*'Settings'!$C$14)+(Q596*'Settings'!$C$15)+(R596*'Settings'!$C$16)+(S596*'Settings'!$C$17)+(T596*'Settings'!$C$18)+(U596*'Settings'!$C$19)+(L596*'Settings'!$C$10)+('Settings'!$C$11*M596)</f>
        <v>-2.97282727758492</v>
      </c>
      <c r="D596" s="48">
        <f>IF('Settings'!$E$12="YES",VLOOKUP(A596,'Player Data'!A1:E734,5,FALSE),82)</f>
        <v>80.10464285714291</v>
      </c>
      <c r="E596" s="46">
        <f>(VLOOKUP($A596,'The List'!$B1:$AH730,17,FALSE)-AVERAGE('The List'!R2:R730))/STDEV('The List'!R2:R730)</f>
        <v>-1.04565504305779</v>
      </c>
      <c r="F596" s="46">
        <f>(VLOOKUP($A596,'The List'!$B1:$AH730,18,FALSE)-AVERAGE('The List'!S2:S730))/STDEV('The List'!S2:S730)</f>
        <v>-0.682345252157086</v>
      </c>
      <c r="G596" s="46">
        <f>(VLOOKUP($A596,'The List'!$B1:$AH730,19,FALSE)-AVERAGE('The List'!T2:T730))/STDEV('The List'!T2:T730)</f>
        <v>-0.985981864173087</v>
      </c>
      <c r="H596" s="46">
        <f>(VLOOKUP($A596,'The List'!$B1:$AH730,20,FALSE)-AVERAGE('The List'!U2:U730))/STDEV('The List'!U2:U730)</f>
        <v>-0.918325634476804</v>
      </c>
      <c r="I596" s="46">
        <f>(VLOOKUP($A596,'The List'!$B1:$AH730,21,FALSE)-AVERAGE('The List'!V2:V730))/STDEV('The List'!V2:V730)</f>
        <v>-0.690968346792866</v>
      </c>
      <c r="J596" s="46">
        <f>(VLOOKUP($A596,'The List'!$B1:$AH730,22,FALSE)-AVERAGE('The List'!W2:W730))/STDEV('The List'!W2:W730)</f>
        <v>-0.709704141015952</v>
      </c>
      <c r="K596" s="46">
        <f>(VLOOKUP($A596,'The List'!$B1:$AH730,23,FALSE)-AVERAGE('The List'!X2:X730))/STDEV('The List'!X2:X730)</f>
        <v>-0.799243207710059</v>
      </c>
      <c r="L596" s="46">
        <f>(VLOOKUP($A596,'The List'!$B1:$AH730,24,FALSE)-AVERAGE('The List'!Y2:Y730))/STDEV('The List'!Y2:Y730)</f>
        <v>0.3302773471848</v>
      </c>
      <c r="M596" s="46">
        <f>(VLOOKUP($A596,'The List'!$B1:$AH730,25,FALSE)-AVERAGE('The List'!Z2:Z730))/STDEV('The List'!Z2:Z730)</f>
        <v>1.15869287938272</v>
      </c>
      <c r="N596" s="46">
        <f>(VLOOKUP($A596,'The List'!$B1:$AH730,26,FALSE)-AVERAGE('The List'!AA2:AA730))/STDEV('The List'!AA2:AA730)</f>
        <v>-0.306496145074246</v>
      </c>
      <c r="O596" s="46">
        <f>(VLOOKUP($A596,'The List'!$B1:$AH730,27,FALSE)-AVERAGE('The List'!AB2:AB730))/STDEV('The List'!AB2:AB730)</f>
        <v>-0.193520280491373</v>
      </c>
      <c r="P596" s="46">
        <f>(VLOOKUP($A596,'The List'!$B1:$AH730,28,FALSE)-AVERAGE('The List'!AC2:AC730))/STDEV('The List'!AC2:AC730)</f>
        <v>0.492207538322428</v>
      </c>
      <c r="Q596" s="46">
        <f>(VLOOKUP($A596,'The List'!$B1:$AH730,29,FALSE)-AVERAGE('The List'!AD2:AD730))/STDEV('The List'!AD2:AD730)</f>
        <v>-0.128422111867449</v>
      </c>
      <c r="R596" s="46">
        <f>(VLOOKUP($A596,'The List'!$B1:$AH730,30,FALSE)-AVERAGE('The List'!AE2:AE730))/STDEV('The List'!AE2:AE730)</f>
        <v>-0.553175109429056</v>
      </c>
      <c r="S596" s="46">
        <f>(VLOOKUP($A596,'The List'!$B1:$AH730,31,FALSE)-AVERAGE('The List'!AF2:AF730))/STDEV('The List'!AF2:AF730)</f>
        <v>-0.442657602095441</v>
      </c>
      <c r="T596" s="46">
        <f>(VLOOKUP($A596,'The List'!$B1:$AH730,32,FALSE)-AVERAGE('The List'!AG2:AG730))/STDEV('The List'!AG2:AG730)</f>
        <v>-0.419729081115566</v>
      </c>
      <c r="U596" s="46">
        <f>(VLOOKUP($A596,'The List'!$B1:$AH730,33,FALSE)-AVERAGE('The List'!AH2:AH730))/STDEV('The List'!AH2:AH730)</f>
        <v>0.564928647527543</v>
      </c>
      <c r="V596" s="46"/>
      <c r="W596" s="48"/>
      <c r="X596" s="46"/>
      <c r="Y596" s="46"/>
      <c r="Z596" s="46"/>
      <c r="AA596" s="46"/>
      <c r="AB596" s="46"/>
      <c r="AC596" s="46"/>
      <c r="AD596" s="46"/>
      <c r="AE596" s="46"/>
    </row>
    <row r="597" ht="21.25" customHeight="1">
      <c r="A597" t="s" s="8">
        <v>655</v>
      </c>
      <c r="B597" t="s" s="42">
        <f>VLOOKUP(A597,'Player Data'!A1:B734,2,FALSE)</f>
        <v>248</v>
      </c>
      <c r="C597" s="44">
        <f>((E597)*'Settings'!$C$12)+(F597*'Settings'!$C$2)+(G597*'Settings'!$C$3)+(H597*'Settings'!$C$4)+(I597*'Settings'!$C$5)+(K597*'Settings'!$C$9)+(N597*'Settings'!$C$6)+(J597*'Settings'!$C$8)+(O597*'Settings'!$C$7)+(P597*'Settings'!$C$14)+(Q597*'Settings'!$C$15)+(R597*'Settings'!$C$16)+(S597*'Settings'!$C$17)+(T597*'Settings'!$C$18)+(U597*'Settings'!$C$19)+(L597*'Settings'!$C$10)+('Settings'!$C$11*M597)</f>
        <v>-3.54912994856107</v>
      </c>
      <c r="D597" s="48">
        <f>IF('Settings'!$E$12="YES",VLOOKUP(A597,'Player Data'!A1:E734,5,FALSE),82)</f>
        <v>63.635</v>
      </c>
      <c r="E597" s="46">
        <f>(VLOOKUP($A597,'The List'!$B1:$AH730,17,FALSE)-AVERAGE('The List'!R2:R730))/STDEV('The List'!R2:R730)</f>
        <v>-0.050236329873731</v>
      </c>
      <c r="F597" s="46">
        <f>(VLOOKUP($A597,'The List'!$B1:$AH730,18,FALSE)-AVERAGE('The List'!S2:S730))/STDEV('The List'!S2:S730)</f>
        <v>-1.10301004150904</v>
      </c>
      <c r="G597" s="46">
        <f>(VLOOKUP($A597,'The List'!$B1:$AH730,19,FALSE)-AVERAGE('The List'!T2:T730))/STDEV('The List'!T2:T730)</f>
        <v>-0.909693997379516</v>
      </c>
      <c r="H597" s="46">
        <f>(VLOOKUP($A597,'The List'!$B1:$AH730,20,FALSE)-AVERAGE('The List'!U2:U730))/STDEV('The List'!U2:U730)</f>
        <v>-1.06270608318323</v>
      </c>
      <c r="I597" s="46">
        <f>(VLOOKUP($A597,'The List'!$B1:$AH730,21,FALSE)-AVERAGE('The List'!V2:V730))/STDEV('The List'!V2:V730)</f>
        <v>-1.19428668254167</v>
      </c>
      <c r="J597" s="46">
        <f>(VLOOKUP($A597,'The List'!$B1:$AH730,22,FALSE)-AVERAGE('The List'!W2:W730))/STDEV('The List'!W2:W730)</f>
        <v>-0.7090514830872719</v>
      </c>
      <c r="K597" s="46">
        <f>(VLOOKUP($A597,'The List'!$B1:$AH730,23,FALSE)-AVERAGE('The List'!X2:X730))/STDEV('The List'!X2:X730)</f>
        <v>-0.790009494592282</v>
      </c>
      <c r="L597" s="46">
        <f>(VLOOKUP($A597,'The List'!$B1:$AH730,24,FALSE)-AVERAGE('The List'!Y2:Y730))/STDEV('The List'!Y2:Y730)</f>
        <v>-0.508176280131126</v>
      </c>
      <c r="M597" s="46">
        <f>(VLOOKUP($A597,'The List'!$B1:$AH730,25,FALSE)-AVERAGE('The List'!Z2:Z730))/STDEV('The List'!Z2:Z730)</f>
        <v>-0.301694120274747</v>
      </c>
      <c r="N597" s="46">
        <f>(VLOOKUP($A597,'The List'!$B1:$AH730,26,FALSE)-AVERAGE('The List'!AA2:AA730))/STDEV('The List'!AA2:AA730)</f>
        <v>0.475560309893268</v>
      </c>
      <c r="O597" s="46">
        <f>(VLOOKUP($A597,'The List'!$B1:$AH730,27,FALSE)-AVERAGE('The List'!AB2:AB730))/STDEV('The List'!AB2:AB730)</f>
        <v>-0.08827960761566971</v>
      </c>
      <c r="P597" s="46">
        <f>(VLOOKUP($A597,'The List'!$B1:$AH730,28,FALSE)-AVERAGE('The List'!AC2:AC730))/STDEV('The List'!AC2:AC730)</f>
        <v>-0.0276900424318293</v>
      </c>
      <c r="Q597" s="46">
        <f>(VLOOKUP($A597,'The List'!$B1:$AH730,29,FALSE)-AVERAGE('The List'!AD2:AD730))/STDEV('The List'!AD2:AD730)</f>
        <v>-0.638275920252888</v>
      </c>
      <c r="R597" s="46">
        <f>(VLOOKUP($A597,'The List'!$B1:$AH730,30,FALSE)-AVERAGE('The List'!AE2:AE730))/STDEV('The List'!AE2:AE730)</f>
        <v>-1.00837809506396</v>
      </c>
      <c r="S597" s="46">
        <f>(VLOOKUP($A597,'The List'!$B1:$AH730,31,FALSE)-AVERAGE('The List'!AF2:AF730))/STDEV('The List'!AF2:AF730)</f>
        <v>-0.5569063253591</v>
      </c>
      <c r="T597" s="46">
        <f>(VLOOKUP($A597,'The List'!$B1:$AH730,32,FALSE)-AVERAGE('The List'!AG2:AG730))/STDEV('The List'!AG2:AG730)</f>
        <v>-0.600856269042678</v>
      </c>
      <c r="U597" s="46">
        <f>(VLOOKUP($A597,'The List'!$B1:$AH730,33,FALSE)-AVERAGE('The List'!AH2:AH730))/STDEV('The List'!AH2:AH730)</f>
        <v>-1.2363238714826</v>
      </c>
      <c r="V597" s="46"/>
      <c r="W597" s="48"/>
      <c r="X597" s="46"/>
      <c r="Y597" s="46"/>
      <c r="Z597" s="46"/>
      <c r="AA597" s="46"/>
      <c r="AB597" s="46"/>
      <c r="AC597" s="46"/>
      <c r="AD597" s="46"/>
      <c r="AE597" s="46"/>
    </row>
    <row r="598" ht="21.25" customHeight="1">
      <c r="A598" t="s" s="8">
        <v>858</v>
      </c>
      <c r="B598" t="s" s="42">
        <f>VLOOKUP(A598,'Player Data'!A1:B734,2,FALSE)</f>
        <v>113</v>
      </c>
      <c r="C598" s="44">
        <f>((E598)*'Settings'!$C$12)+(F598*'Settings'!$C$2)+(G598*'Settings'!$C$3)+(H598*'Settings'!$C$4)+(I598*'Settings'!$C$5)+(K598*'Settings'!$C$9)+(N598*'Settings'!$C$6)+(J598*'Settings'!$C$8)+(O598*'Settings'!$C$7)+(P598*'Settings'!$C$14)+(Q598*'Settings'!$C$15)+(R598*'Settings'!$C$16)+(S598*'Settings'!$C$17)+(T598*'Settings'!$C$18)+(U598*'Settings'!$C$19)+(L598*'Settings'!$C$10)+('Settings'!$C$11*M598)</f>
        <v>-4.59248480183795</v>
      </c>
      <c r="D598" s="48">
        <f>IF('Settings'!$E$12="YES",VLOOKUP(A598,'Player Data'!A1:E734,5,FALSE),82)</f>
        <v>52.97</v>
      </c>
      <c r="E598" s="46">
        <f>(VLOOKUP($A598,'The List'!$B1:$AH730,17,FALSE)-AVERAGE('The List'!R2:R730))/STDEV('The List'!R2:R730)</f>
        <v>-1.68607084618676</v>
      </c>
      <c r="F598" s="46">
        <f>(VLOOKUP($A598,'The List'!$B1:$AH730,18,FALSE)-AVERAGE('The List'!S2:S730))/STDEV('The List'!S2:S730)</f>
        <v>-0.941905658804731</v>
      </c>
      <c r="G598" s="46">
        <f>(VLOOKUP($A598,'The List'!$B1:$AH730,19,FALSE)-AVERAGE('The List'!T2:T730))/STDEV('The List'!T2:T730)</f>
        <v>-1.1857644784458</v>
      </c>
      <c r="H598" s="46">
        <f>(VLOOKUP($A598,'The List'!$B1:$AH730,20,FALSE)-AVERAGE('The List'!U2:U730))/STDEV('The List'!U2:U730)</f>
        <v>-1.15959418098759</v>
      </c>
      <c r="I598" s="46">
        <f>(VLOOKUP($A598,'The List'!$B1:$AH730,21,FALSE)-AVERAGE('The List'!V2:V730))/STDEV('The List'!V2:V730)</f>
        <v>-1.15847296766012</v>
      </c>
      <c r="J598" s="46">
        <f>(VLOOKUP($A598,'The List'!$B1:$AH730,22,FALSE)-AVERAGE('The List'!W2:W730))/STDEV('The List'!W2:W730)</f>
        <v>-0.705135624513512</v>
      </c>
      <c r="K598" s="46">
        <f>(VLOOKUP($A598,'The List'!$B1:$AH730,23,FALSE)-AVERAGE('The List'!X2:X730))/STDEV('The List'!X2:X730)</f>
        <v>-0.794855484381399</v>
      </c>
      <c r="L598" s="46">
        <f>(VLOOKUP($A598,'The List'!$B1:$AH730,24,FALSE)-AVERAGE('The List'!Y2:Y730))/STDEV('The List'!Y2:Y730)</f>
        <v>-0.542843480388394</v>
      </c>
      <c r="M598" s="46">
        <f>(VLOOKUP($A598,'The List'!$B1:$AH730,25,FALSE)-AVERAGE('The List'!Z2:Z730))/STDEV('The List'!Z2:Z730)</f>
        <v>-0.72177514995105</v>
      </c>
      <c r="N598" s="46">
        <f>(VLOOKUP($A598,'The List'!$B1:$AH730,26,FALSE)-AVERAGE('The List'!AA2:AA730))/STDEV('The List'!AA2:AA730)</f>
        <v>-1.06333459072587</v>
      </c>
      <c r="O598" s="46">
        <f>(VLOOKUP($A598,'The List'!$B1:$AH730,27,FALSE)-AVERAGE('The List'!AB2:AB730))/STDEV('The List'!AB2:AB730)</f>
        <v>-0.453290008292258</v>
      </c>
      <c r="P598" s="46">
        <f>(VLOOKUP($A598,'The List'!$B1:$AH730,28,FALSE)-AVERAGE('The List'!AC2:AC730))/STDEV('The List'!AC2:AC730)</f>
        <v>0.551848378179975</v>
      </c>
      <c r="Q598" s="46">
        <f>(VLOOKUP($A598,'The List'!$B1:$AH730,29,FALSE)-AVERAGE('The List'!AD2:AD730))/STDEV('The List'!AD2:AD730)</f>
        <v>-1.47470313932112</v>
      </c>
      <c r="R598" s="46">
        <f>(VLOOKUP($A598,'The List'!$B1:$AH730,30,FALSE)-AVERAGE('The List'!AE2:AE730))/STDEV('The List'!AE2:AE730)</f>
        <v>-0.820398747582031</v>
      </c>
      <c r="S598" s="46">
        <f>(VLOOKUP($A598,'The List'!$B1:$AH730,31,FALSE)-AVERAGE('The List'!AF2:AF730))/STDEV('The List'!AF2:AF730)</f>
        <v>-0.528894796410125</v>
      </c>
      <c r="T598" s="46">
        <f>(VLOOKUP($A598,'The List'!$B1:$AH730,32,FALSE)-AVERAGE('The List'!AG2:AG730))/STDEV('The List'!AG2:AG730)</f>
        <v>-0.5517533054456371</v>
      </c>
      <c r="U598" s="46">
        <f>(VLOOKUP($A598,'The List'!$B1:$AH730,33,FALSE)-AVERAGE('The List'!AH2:AH730))/STDEV('The List'!AH2:AH730)</f>
        <v>0.457305791118035</v>
      </c>
      <c r="V598" s="46"/>
      <c r="W598" s="50"/>
      <c r="X598" s="48"/>
      <c r="Y598" s="48"/>
      <c r="Z598" s="48"/>
      <c r="AA598" s="48"/>
      <c r="AB598" s="48"/>
      <c r="AC598" s="51"/>
      <c r="AD598" s="52"/>
      <c r="AE598" s="46"/>
    </row>
    <row r="599" ht="21.25" customHeight="1">
      <c r="A599" t="s" s="8">
        <v>719</v>
      </c>
      <c r="B599" t="s" s="42">
        <f>VLOOKUP(A599,'Player Data'!A1:B734,2,FALSE)</f>
        <v>236</v>
      </c>
      <c r="C599" s="44">
        <f>((E599)*'Settings'!$C$12)+(F599*'Settings'!$C$2)+(G599*'Settings'!$C$3)+(H599*'Settings'!$C$4)+(I599*'Settings'!$C$5)+(K599*'Settings'!$C$9)+(N599*'Settings'!$C$6)+(J599*'Settings'!$C$8)+(O599*'Settings'!$C$7)+(P599*'Settings'!$C$14)+(Q599*'Settings'!$C$15)+(R599*'Settings'!$C$16)+(S599*'Settings'!$C$17)+(T599*'Settings'!$C$18)+(U599*'Settings'!$C$19)+(L599*'Settings'!$C$10)+('Settings'!$C$11*M599)</f>
        <v>-5.53993782278989</v>
      </c>
      <c r="D599" s="48">
        <f>IF('Settings'!$E$12="YES",VLOOKUP(A599,'Player Data'!A1:E734,5,FALSE),82)</f>
        <v>52.1528571428571</v>
      </c>
      <c r="E599" s="46">
        <f>(VLOOKUP($A599,'The List'!$B1:$AH730,17,FALSE)-AVERAGE('The List'!R2:R730))/STDEV('The List'!R2:R730)</f>
        <v>-0.639292097731223</v>
      </c>
      <c r="F599" s="46">
        <f>(VLOOKUP($A599,'The List'!$B1:$AH730,18,FALSE)-AVERAGE('The List'!S2:S730))/STDEV('The List'!S2:S730)</f>
        <v>-1.16551572613042</v>
      </c>
      <c r="G599" s="46">
        <f>(VLOOKUP($A599,'The List'!$B1:$AH730,19,FALSE)-AVERAGE('The List'!T2:T730))/STDEV('The List'!T2:T730)</f>
        <v>-1.0320371433848</v>
      </c>
      <c r="H599" s="46">
        <f>(VLOOKUP($A599,'The List'!$B1:$AH730,20,FALSE)-AVERAGE('The List'!U2:U730))/STDEV('The List'!U2:U730)</f>
        <v>-1.16657036475447</v>
      </c>
      <c r="I599" s="46">
        <f>(VLOOKUP($A599,'The List'!$B1:$AH730,21,FALSE)-AVERAGE('The List'!V2:V730))/STDEV('The List'!V2:V730)</f>
        <v>-1.51079740311768</v>
      </c>
      <c r="J599" s="46">
        <f>(VLOOKUP($A599,'The List'!$B1:$AH730,22,FALSE)-AVERAGE('The List'!W2:W730))/STDEV('The List'!W2:W730)</f>
        <v>-0.7092412810772</v>
      </c>
      <c r="K599" s="46">
        <f>(VLOOKUP($A599,'The List'!$B1:$AH730,23,FALSE)-AVERAGE('The List'!X2:X730))/STDEV('The List'!X2:X730)</f>
        <v>-0.791618451881224</v>
      </c>
      <c r="L599" s="46">
        <f>(VLOOKUP($A599,'The List'!$B1:$AH730,24,FALSE)-AVERAGE('The List'!Y2:Y730))/STDEV('The List'!Y2:Y730)</f>
        <v>-0.536663166846442</v>
      </c>
      <c r="M599" s="46">
        <f>(VLOOKUP($A599,'The List'!$B1:$AH730,25,FALSE)-AVERAGE('The List'!Z2:Z730))/STDEV('The List'!Z2:Z730)</f>
        <v>-0.70818868585771</v>
      </c>
      <c r="N599" s="46">
        <f>(VLOOKUP($A599,'The List'!$B1:$AH730,26,FALSE)-AVERAGE('The List'!AA2:AA730))/STDEV('The List'!AA2:AA730)</f>
        <v>-0.07507385835811189</v>
      </c>
      <c r="O599" s="46">
        <f>(VLOOKUP($A599,'The List'!$B1:$AH730,27,FALSE)-AVERAGE('The List'!AB2:AB730))/STDEV('The List'!AB2:AB730)</f>
        <v>-0.677033976742671</v>
      </c>
      <c r="P599" s="46">
        <f>(VLOOKUP($A599,'The List'!$B1:$AH730,28,FALSE)-AVERAGE('The List'!AC2:AC730))/STDEV('The List'!AC2:AC730)</f>
        <v>-0.96489523991765</v>
      </c>
      <c r="Q599" s="46">
        <f>(VLOOKUP($A599,'The List'!$B1:$AH730,29,FALSE)-AVERAGE('The List'!AD2:AD730))/STDEV('The List'!AD2:AD730)</f>
        <v>-1.08658677303546</v>
      </c>
      <c r="R599" s="46">
        <f>(VLOOKUP($A599,'The List'!$B1:$AH730,30,FALSE)-AVERAGE('The List'!AE2:AE730))/STDEV('The List'!AE2:AE730)</f>
        <v>-1.08502319948131</v>
      </c>
      <c r="S599" s="46">
        <f>(VLOOKUP($A599,'The List'!$B1:$AH730,31,FALSE)-AVERAGE('The List'!AF2:AF730))/STDEV('The List'!AF2:AF730)</f>
        <v>-0.5569063253591</v>
      </c>
      <c r="T599" s="46">
        <f>(VLOOKUP($A599,'The List'!$B1:$AH730,32,FALSE)-AVERAGE('The List'!AG2:AG730))/STDEV('The List'!AG2:AG730)</f>
        <v>-0.600856269042678</v>
      </c>
      <c r="U599" s="46">
        <f>(VLOOKUP($A599,'The List'!$B1:$AH730,33,FALSE)-AVERAGE('The List'!AH2:AH730))/STDEV('The List'!AH2:AH730)</f>
        <v>-1.2363238714826</v>
      </c>
      <c r="V599" s="46"/>
      <c r="W599" s="50"/>
      <c r="X599" s="48"/>
      <c r="Y599" s="48"/>
      <c r="Z599" s="48"/>
      <c r="AA599" s="48"/>
      <c r="AB599" s="48"/>
      <c r="AC599" s="51"/>
      <c r="AD599" s="52"/>
      <c r="AE599" s="46"/>
    </row>
    <row r="600" ht="21.25" customHeight="1">
      <c r="A600" t="s" s="8">
        <v>670</v>
      </c>
      <c r="B600" t="s" s="42">
        <f>VLOOKUP(A600,'Player Data'!A1:B734,2,FALSE)</f>
        <v>234</v>
      </c>
      <c r="C600" s="44">
        <f>((E600)*'Settings'!$C$12)+(F600*'Settings'!$C$2)+(G600*'Settings'!$C$3)+(H600*'Settings'!$C$4)+(I600*'Settings'!$C$5)+(K600*'Settings'!$C$9)+(N600*'Settings'!$C$6)+(J600*'Settings'!$C$8)+(O600*'Settings'!$C$7)+(P600*'Settings'!$C$14)+(Q600*'Settings'!$C$15)+(R600*'Settings'!$C$16)+(S600*'Settings'!$C$17)+(T600*'Settings'!$C$18)+(U600*'Settings'!$C$19)+(L600*'Settings'!$C$10)+('Settings'!$C$11*M600)</f>
        <v>-5.89373387699041</v>
      </c>
      <c r="D600" s="48">
        <f>IF('Settings'!$E$12="YES",VLOOKUP(A600,'Player Data'!A1:E734,5,FALSE),82)</f>
        <v>57.3878571428571</v>
      </c>
      <c r="E600" s="46">
        <f>(VLOOKUP($A600,'The List'!$B1:$AH730,17,FALSE)-AVERAGE('The List'!R2:R730))/STDEV('The List'!R2:R730)</f>
        <v>0.0064167069057483</v>
      </c>
      <c r="F600" s="46">
        <f>(VLOOKUP($A600,'The List'!$B1:$AH730,18,FALSE)-AVERAGE('The List'!S2:S730))/STDEV('The List'!S2:S730)</f>
        <v>-1.16838910831321</v>
      </c>
      <c r="G600" s="46">
        <f>(VLOOKUP($A600,'The List'!$B1:$AH730,19,FALSE)-AVERAGE('The List'!T2:T730))/STDEV('The List'!T2:T730)</f>
        <v>-0.966505922825436</v>
      </c>
      <c r="H600" s="46">
        <f>(VLOOKUP($A600,'The List'!$B1:$AH730,20,FALSE)-AVERAGE('The List'!U2:U730))/STDEV('The List'!U2:U730)</f>
        <v>-1.12747867512175</v>
      </c>
      <c r="I600" s="46">
        <f>(VLOOKUP($A600,'The List'!$B1:$AH730,21,FALSE)-AVERAGE('The List'!V2:V730))/STDEV('The List'!V2:V730)</f>
        <v>-1.13151225743086</v>
      </c>
      <c r="J600" s="46">
        <f>(VLOOKUP($A600,'The List'!$B1:$AH730,22,FALSE)-AVERAGE('The List'!W2:W730))/STDEV('The List'!W2:W730)</f>
        <v>-0.7090595569432599</v>
      </c>
      <c r="K600" s="46">
        <f>(VLOOKUP($A600,'The List'!$B1:$AH730,23,FALSE)-AVERAGE('The List'!X2:X730))/STDEV('The List'!X2:X730)</f>
        <v>-0.7869465827940429</v>
      </c>
      <c r="L600" s="46">
        <f>(VLOOKUP($A600,'The List'!$B1:$AH730,24,FALSE)-AVERAGE('The List'!Y2:Y730))/STDEV('The List'!Y2:Y730)</f>
        <v>-0.510038669612782</v>
      </c>
      <c r="M600" s="46">
        <f>(VLOOKUP($A600,'The List'!$B1:$AH730,25,FALSE)-AVERAGE('The List'!Z2:Z730))/STDEV('The List'!Z2:Z730)</f>
        <v>-0.649667408818123</v>
      </c>
      <c r="N600" s="46">
        <f>(VLOOKUP($A600,'The List'!$B1:$AH730,26,FALSE)-AVERAGE('The List'!AA2:AA730))/STDEV('The List'!AA2:AA730)</f>
        <v>0.13542946531129</v>
      </c>
      <c r="O600" s="46">
        <f>(VLOOKUP($A600,'The List'!$B1:$AH730,27,FALSE)-AVERAGE('The List'!AB2:AB730))/STDEV('The List'!AB2:AB730)</f>
        <v>-0.660985932556832</v>
      </c>
      <c r="P600" s="46">
        <f>(VLOOKUP($A600,'The List'!$B1:$AH730,28,FALSE)-AVERAGE('The List'!AC2:AC730))/STDEV('The List'!AC2:AC730)</f>
        <v>-1.97580947093815</v>
      </c>
      <c r="Q600" s="46">
        <f>(VLOOKUP($A600,'The List'!$B1:$AH730,29,FALSE)-AVERAGE('The List'!AD2:AD730))/STDEV('The List'!AD2:AD730)</f>
        <v>-1.15911329355439</v>
      </c>
      <c r="R600" s="46">
        <f>(VLOOKUP($A600,'The List'!$B1:$AH730,30,FALSE)-AVERAGE('The List'!AE2:AE730))/STDEV('The List'!AE2:AE730)</f>
        <v>-1.10516239854164</v>
      </c>
      <c r="S600" s="46">
        <f>(VLOOKUP($A600,'The List'!$B1:$AH730,31,FALSE)-AVERAGE('The List'!AF2:AF730))/STDEV('The List'!AF2:AF730)</f>
        <v>-0.5569063253591</v>
      </c>
      <c r="T600" s="46">
        <f>(VLOOKUP($A600,'The List'!$B1:$AH730,32,FALSE)-AVERAGE('The List'!AG2:AG730))/STDEV('The List'!AG2:AG730)</f>
        <v>-0.600856269042678</v>
      </c>
      <c r="U600" s="46">
        <f>(VLOOKUP($A600,'The List'!$B1:$AH730,33,FALSE)-AVERAGE('The List'!AH2:AH730))/STDEV('The List'!AH2:AH730)</f>
        <v>-1.2363238714826</v>
      </c>
      <c r="V600" s="46"/>
      <c r="W600" s="50"/>
      <c r="X600" s="48"/>
      <c r="Y600" s="48"/>
      <c r="Z600" s="48"/>
      <c r="AA600" s="48"/>
      <c r="AB600" s="48"/>
      <c r="AC600" s="51"/>
      <c r="AD600" s="52"/>
      <c r="AE600" s="46"/>
    </row>
    <row r="601" ht="21.25" customHeight="1">
      <c r="A601" t="s" s="8">
        <v>652</v>
      </c>
      <c r="B601" t="s" s="42">
        <f>VLOOKUP(A601,'Player Data'!A1:B734,2,FALSE)</f>
        <v>141</v>
      </c>
      <c r="C601" s="44">
        <f>((E601)*'Settings'!$C$12)+(F601*'Settings'!$C$2)+(G601*'Settings'!$C$3)+(H601*'Settings'!$C$4)+(I601*'Settings'!$C$5)+(K601*'Settings'!$C$9)+(N601*'Settings'!$C$6)+(J601*'Settings'!$C$8)+(O601*'Settings'!$C$7)+(P601*'Settings'!$C$14)+(Q601*'Settings'!$C$15)+(R601*'Settings'!$C$16)+(S601*'Settings'!$C$17)+(T601*'Settings'!$C$18)+(U601*'Settings'!$C$19)+(L601*'Settings'!$C$10)+('Settings'!$C$11*M601)</f>
        <v>-4.00695619517812</v>
      </c>
      <c r="D601" s="48">
        <f>IF('Settings'!$E$12="YES",VLOOKUP(A601,'Player Data'!A1:E734,5,FALSE),82)</f>
        <v>55.7</v>
      </c>
      <c r="E601" s="46">
        <f>(VLOOKUP($A601,'The List'!$B1:$AH730,17,FALSE)-AVERAGE('The List'!R2:R730))/STDEV('The List'!R2:R730)</f>
        <v>-0.648653762189617</v>
      </c>
      <c r="F601" s="46">
        <f>(VLOOKUP($A601,'The List'!$B1:$AH730,18,FALSE)-AVERAGE('The List'!S2:S730))/STDEV('The List'!S2:S730)</f>
        <v>-1.14944280405528</v>
      </c>
      <c r="G601" s="46">
        <f>(VLOOKUP($A601,'The List'!$B1:$AH730,19,FALSE)-AVERAGE('The List'!T2:T730))/STDEV('The List'!T2:T730)</f>
        <v>-1.00300429655096</v>
      </c>
      <c r="H601" s="46">
        <f>(VLOOKUP($A601,'The List'!$B1:$AH730,20,FALSE)-AVERAGE('The List'!U2:U730))/STDEV('The List'!U2:U730)</f>
        <v>-1.14135849438192</v>
      </c>
      <c r="I601" s="46">
        <f>(VLOOKUP($A601,'The List'!$B1:$AH730,21,FALSE)-AVERAGE('The List'!V2:V730))/STDEV('The List'!V2:V730)</f>
        <v>-0.8754449353734201</v>
      </c>
      <c r="J601" s="46">
        <f>(VLOOKUP($A601,'The List'!$B1:$AH730,22,FALSE)-AVERAGE('The List'!W2:W730))/STDEV('The List'!W2:W730)</f>
        <v>-0.677811988832685</v>
      </c>
      <c r="K601" s="46">
        <f>(VLOOKUP($A601,'The List'!$B1:$AH730,23,FALSE)-AVERAGE('The List'!X2:X730))/STDEV('The List'!X2:X730)</f>
        <v>-0.65529147746604</v>
      </c>
      <c r="L601" s="46">
        <f>(VLOOKUP($A601,'The List'!$B1:$AH730,24,FALSE)-AVERAGE('The List'!Y2:Y730))/STDEV('The List'!Y2:Y730)</f>
        <v>-0.53835727928451</v>
      </c>
      <c r="M601" s="46">
        <f>(VLOOKUP($A601,'The List'!$B1:$AH730,25,FALSE)-AVERAGE('The List'!Z2:Z730))/STDEV('The List'!Z2:Z730)</f>
        <v>-0.711008209120168</v>
      </c>
      <c r="N601" s="46">
        <f>(VLOOKUP($A601,'The List'!$B1:$AH730,26,FALSE)-AVERAGE('The List'!AA2:AA730))/STDEV('The List'!AA2:AA730)</f>
        <v>-0.212263049361155</v>
      </c>
      <c r="O601" s="46">
        <f>(VLOOKUP($A601,'The List'!$B1:$AH730,27,FALSE)-AVERAGE('The List'!AB2:AB730))/STDEV('The List'!AB2:AB730)</f>
        <v>-0.34216905362158</v>
      </c>
      <c r="P601" s="46">
        <f>(VLOOKUP($A601,'The List'!$B1:$AH730,28,FALSE)-AVERAGE('The List'!AC2:AC730))/STDEV('The List'!AC2:AC730)</f>
        <v>-0.111509632371265</v>
      </c>
      <c r="Q601" s="46">
        <f>(VLOOKUP($A601,'The List'!$B1:$AH730,29,FALSE)-AVERAGE('The List'!AD2:AD730))/STDEV('The List'!AD2:AD730)</f>
        <v>-0.64053604601508</v>
      </c>
      <c r="R601" s="46">
        <f>(VLOOKUP($A601,'The List'!$B1:$AH730,30,FALSE)-AVERAGE('The List'!AE2:AE730))/STDEV('The List'!AE2:AE730)</f>
        <v>-1.06644478582557</v>
      </c>
      <c r="S601" s="46">
        <f>(VLOOKUP($A601,'The List'!$B1:$AH730,31,FALSE)-AVERAGE('The List'!AF2:AF730))/STDEV('The List'!AF2:AF730)</f>
        <v>-0.5569063253591</v>
      </c>
      <c r="T601" s="46">
        <f>(VLOOKUP($A601,'The List'!$B1:$AH730,32,FALSE)-AVERAGE('The List'!AG2:AG730))/STDEV('The List'!AG2:AG730)</f>
        <v>-0.600856269042678</v>
      </c>
      <c r="U601" s="46">
        <f>(VLOOKUP($A601,'The List'!$B1:$AH730,33,FALSE)-AVERAGE('The List'!AH2:AH730))/STDEV('The List'!AH2:AH730)</f>
        <v>-1.2363238714826</v>
      </c>
      <c r="V601" s="46"/>
      <c r="W601" s="50"/>
      <c r="X601" s="48"/>
      <c r="Y601" s="48"/>
      <c r="Z601" s="48"/>
      <c r="AA601" s="48"/>
      <c r="AB601" s="48"/>
      <c r="AC601" s="51"/>
      <c r="AD601" s="52"/>
      <c r="AE601" s="46"/>
    </row>
    <row r="602" ht="21.25" customHeight="1">
      <c r="A602" t="s" s="8">
        <v>864</v>
      </c>
      <c r="B602" t="s" s="42">
        <f>VLOOKUP(A602,'Player Data'!A1:B734,2,FALSE)</f>
        <v>127</v>
      </c>
      <c r="C602" s="44">
        <f>((E602)*'Settings'!$C$12)+(F602*'Settings'!$C$2)+(G602*'Settings'!$C$3)+(H602*'Settings'!$C$4)+(I602*'Settings'!$C$5)+(K602*'Settings'!$C$9)+(N602*'Settings'!$C$6)+(J602*'Settings'!$C$8)+(O602*'Settings'!$C$7)+(P602*'Settings'!$C$14)+(Q602*'Settings'!$C$15)+(R602*'Settings'!$C$16)+(S602*'Settings'!$C$17)+(T602*'Settings'!$C$18)+(U602*'Settings'!$C$19)+(L602*'Settings'!$C$10)+('Settings'!$C$11*M602)</f>
        <v>-4.69800383870838</v>
      </c>
      <c r="D602" s="48">
        <f>IF('Settings'!$E$12="YES",VLOOKUP(A602,'Player Data'!A1:E734,5,FALSE),82)</f>
        <v>52</v>
      </c>
      <c r="E602" s="46">
        <f>(VLOOKUP($A602,'The List'!$B1:$AH730,17,FALSE)-AVERAGE('The List'!R2:R730))/STDEV('The List'!R2:R730)</f>
        <v>-1.28920975159907</v>
      </c>
      <c r="F602" s="46">
        <f>(VLOOKUP($A602,'The List'!$B1:$AH730,18,FALSE)-AVERAGE('The List'!S2:S730))/STDEV('The List'!S2:S730)</f>
        <v>-0.8298824008190659</v>
      </c>
      <c r="G602" s="46">
        <f>(VLOOKUP($A602,'The List'!$B1:$AH730,19,FALSE)-AVERAGE('The List'!T2:T730))/STDEV('The List'!T2:T730)</f>
        <v>-1.29186193042718</v>
      </c>
      <c r="H602" s="46">
        <f>(VLOOKUP($A602,'The List'!$B1:$AH730,20,FALSE)-AVERAGE('The List'!U2:U730))/STDEV('The List'!U2:U730)</f>
        <v>-1.17402903653514</v>
      </c>
      <c r="I602" s="46">
        <f>(VLOOKUP($A602,'The List'!$B1:$AH730,21,FALSE)-AVERAGE('The List'!V2:V730))/STDEV('The List'!V2:V730)</f>
        <v>-1.20085509535622</v>
      </c>
      <c r="J602" s="46">
        <f>(VLOOKUP($A602,'The List'!$B1:$AH730,22,FALSE)-AVERAGE('The List'!W2:W730))/STDEV('The List'!W2:W730)</f>
        <v>-0.7039776843719741</v>
      </c>
      <c r="K602" s="46">
        <f>(VLOOKUP($A602,'The List'!$B1:$AH730,23,FALSE)-AVERAGE('The List'!X2:X730))/STDEV('The List'!X2:X730)</f>
        <v>-0.793754334101925</v>
      </c>
      <c r="L602" s="46">
        <f>(VLOOKUP($A602,'The List'!$B1:$AH730,24,FALSE)-AVERAGE('The List'!Y2:Y730))/STDEV('The List'!Y2:Y730)</f>
        <v>-0.405169813976512</v>
      </c>
      <c r="M602" s="46">
        <f>(VLOOKUP($A602,'The List'!$B1:$AH730,25,FALSE)-AVERAGE('The List'!Z2:Z730))/STDEV('The List'!Z2:Z730)</f>
        <v>-0.334165145073803</v>
      </c>
      <c r="N602" s="46">
        <f>(VLOOKUP($A602,'The List'!$B1:$AH730,26,FALSE)-AVERAGE('The List'!AA2:AA730))/STDEV('The List'!AA2:AA730)</f>
        <v>-0.42288242938436</v>
      </c>
      <c r="O602" s="46">
        <f>(VLOOKUP($A602,'The List'!$B1:$AH730,27,FALSE)-AVERAGE('The List'!AB2:AB730))/STDEV('The List'!AB2:AB730)</f>
        <v>0.740137567347229</v>
      </c>
      <c r="P602" s="46">
        <f>(VLOOKUP($A602,'The List'!$B1:$AH730,28,FALSE)-AVERAGE('The List'!AC2:AC730))/STDEV('The List'!AC2:AC730)</f>
        <v>-0.15876764861963</v>
      </c>
      <c r="Q602" s="46">
        <f>(VLOOKUP($A602,'The List'!$B1:$AH730,29,FALSE)-AVERAGE('The List'!AD2:AD730))/STDEV('The List'!AD2:AD730)</f>
        <v>-1.19555238985663</v>
      </c>
      <c r="R602" s="46">
        <f>(VLOOKUP($A602,'The List'!$B1:$AH730,30,FALSE)-AVERAGE('The List'!AE2:AE730))/STDEV('The List'!AE2:AE730)</f>
        <v>-0.739118272709276</v>
      </c>
      <c r="S602" s="46">
        <f>(VLOOKUP($A602,'The List'!$B1:$AH730,31,FALSE)-AVERAGE('The List'!AF2:AF730))/STDEV('The List'!AF2:AF730)</f>
        <v>0.103556455982513</v>
      </c>
      <c r="T602" s="46">
        <f>(VLOOKUP($A602,'The List'!$B1:$AH730,32,FALSE)-AVERAGE('The List'!AG2:AG730))/STDEV('The List'!AG2:AG730)</f>
        <v>0.108762797570435</v>
      </c>
      <c r="U602" s="46">
        <f>(VLOOKUP($A602,'The List'!$B1:$AH730,33,FALSE)-AVERAGE('The List'!AH2:AH730))/STDEV('The List'!AH2:AH730)</f>
        <v>0.997789166041367</v>
      </c>
      <c r="V602" s="46"/>
      <c r="W602" s="50"/>
      <c r="X602" s="48"/>
      <c r="Y602" s="48"/>
      <c r="Z602" s="48"/>
      <c r="AA602" s="48"/>
      <c r="AB602" s="48"/>
      <c r="AC602" s="51"/>
      <c r="AD602" s="52"/>
      <c r="AE602" s="46"/>
    </row>
    <row r="603" ht="21.25" customHeight="1">
      <c r="A603" t="s" s="8">
        <v>725</v>
      </c>
      <c r="B603" t="s" s="42">
        <f>VLOOKUP(A603,'Player Data'!A1:B734,2,FALSE)</f>
        <v>122</v>
      </c>
      <c r="C603" s="44">
        <f>((E603)*'Settings'!$C$12)+(F603*'Settings'!$C$2)+(G603*'Settings'!$C$3)+(H603*'Settings'!$C$4)+(I603*'Settings'!$C$5)+(K603*'Settings'!$C$9)+(N603*'Settings'!$C$6)+(J603*'Settings'!$C$8)+(O603*'Settings'!$C$7)+(P603*'Settings'!$C$14)+(Q603*'Settings'!$C$15)+(R603*'Settings'!$C$16)+(S603*'Settings'!$C$17)+(T603*'Settings'!$C$18)+(U603*'Settings'!$C$19)+(L603*'Settings'!$C$10)+('Settings'!$C$11*M603)</f>
        <v>-4.65447737461234</v>
      </c>
      <c r="D603" s="48">
        <f>IF('Settings'!$E$12="YES",VLOOKUP(A603,'Player Data'!A1:E734,5,FALSE),82)</f>
        <v>52.2</v>
      </c>
      <c r="E603" s="46">
        <f>(VLOOKUP($A603,'The List'!$B1:$AH730,17,FALSE)-AVERAGE('The List'!R2:R730))/STDEV('The List'!R2:R730)</f>
        <v>-0.540786947154778</v>
      </c>
      <c r="F603" s="46">
        <f>(VLOOKUP($A603,'The List'!$B1:$AH730,18,FALSE)-AVERAGE('The List'!S2:S730))/STDEV('The List'!S2:S730)</f>
        <v>-1.16360021989047</v>
      </c>
      <c r="G603" s="46">
        <f>(VLOOKUP($A603,'The List'!$B1:$AH730,19,FALSE)-AVERAGE('The List'!T2:T730))/STDEV('The List'!T2:T730)</f>
        <v>-1.04429307550507</v>
      </c>
      <c r="H603" s="46">
        <f>(VLOOKUP($A603,'The List'!$B1:$AH730,20,FALSE)-AVERAGE('The List'!U2:U730))/STDEV('The List'!U2:U730)</f>
        <v>-1.17325439206259</v>
      </c>
      <c r="I603" s="46">
        <f>(VLOOKUP($A603,'The List'!$B1:$AH730,21,FALSE)-AVERAGE('The List'!V2:V730))/STDEV('The List'!V2:V730)</f>
        <v>-1.5652281019016</v>
      </c>
      <c r="J603" s="46">
        <f>(VLOOKUP($A603,'The List'!$B1:$AH730,22,FALSE)-AVERAGE('The List'!W2:W730))/STDEV('The List'!W2:W730)</f>
        <v>-0.713057178230119</v>
      </c>
      <c r="K603" s="46">
        <f>(VLOOKUP($A603,'The List'!$B1:$AH730,23,FALSE)-AVERAGE('The List'!X2:X730))/STDEV('The List'!X2:X730)</f>
        <v>-0.799892594530747</v>
      </c>
      <c r="L603" s="46">
        <f>(VLOOKUP($A603,'The List'!$B1:$AH730,24,FALSE)-AVERAGE('The List'!Y2:Y730))/STDEV('The List'!Y2:Y730)</f>
        <v>-0.488033813911609</v>
      </c>
      <c r="M603" s="46">
        <f>(VLOOKUP($A603,'The List'!$B1:$AH730,25,FALSE)-AVERAGE('The List'!Z2:Z730))/STDEV('The List'!Z2:Z730)</f>
        <v>-0.597022119031131</v>
      </c>
      <c r="N603" s="46">
        <f>(VLOOKUP($A603,'The List'!$B1:$AH730,26,FALSE)-AVERAGE('The List'!AA2:AA730))/STDEV('The List'!AA2:AA730)</f>
        <v>-0.340218010648435</v>
      </c>
      <c r="O603" s="46">
        <f>(VLOOKUP($A603,'The List'!$B1:$AH730,27,FALSE)-AVERAGE('The List'!AB2:AB730))/STDEV('The List'!AB2:AB730)</f>
        <v>-0.5498505049675541</v>
      </c>
      <c r="P603" s="46">
        <f>(VLOOKUP($A603,'The List'!$B1:$AH730,28,FALSE)-AVERAGE('The List'!AC2:AC730))/STDEV('The List'!AC2:AC730)</f>
        <v>0.258754627863986</v>
      </c>
      <c r="Q603" s="46">
        <f>(VLOOKUP($A603,'The List'!$B1:$AH730,29,FALSE)-AVERAGE('The List'!AD2:AD730))/STDEV('The List'!AD2:AD730)</f>
        <v>-0.863572950653263</v>
      </c>
      <c r="R603" s="46">
        <f>(VLOOKUP($A603,'The List'!$B1:$AH730,30,FALSE)-AVERAGE('The List'!AE2:AE730))/STDEV('The List'!AE2:AE730)</f>
        <v>-1.0403398400042</v>
      </c>
      <c r="S603" s="46">
        <f>(VLOOKUP($A603,'The List'!$B1:$AH730,31,FALSE)-AVERAGE('The List'!AF2:AF730))/STDEV('The List'!AF2:AF730)</f>
        <v>-0.5569063253591</v>
      </c>
      <c r="T603" s="46">
        <f>(VLOOKUP($A603,'The List'!$B1:$AH730,32,FALSE)-AVERAGE('The List'!AG2:AG730))/STDEV('The List'!AG2:AG730)</f>
        <v>-0.600856269042678</v>
      </c>
      <c r="U603" s="46">
        <f>(VLOOKUP($A603,'The List'!$B1:$AH730,33,FALSE)-AVERAGE('The List'!AH2:AH730))/STDEV('The List'!AH2:AH730)</f>
        <v>-1.2363238714826</v>
      </c>
      <c r="V603" s="46"/>
      <c r="W603" s="50"/>
      <c r="X603" s="48"/>
      <c r="Y603" s="48"/>
      <c r="Z603" s="48"/>
      <c r="AA603" s="48"/>
      <c r="AB603" s="48"/>
      <c r="AC603" s="51"/>
      <c r="AD603" s="52"/>
      <c r="AE603" s="46"/>
    </row>
    <row r="604" ht="21.25" customHeight="1">
      <c r="A604" t="s" s="8">
        <v>565</v>
      </c>
      <c r="B604" t="s" s="42">
        <f>VLOOKUP(A604,'Player Data'!A1:B734,2,FALSE)</f>
        <v>236</v>
      </c>
      <c r="C604" s="44">
        <f>((E604)*'Settings'!$C$12)+(F604*'Settings'!$C$2)+(G604*'Settings'!$C$3)+(H604*'Settings'!$C$4)+(I604*'Settings'!$C$5)+(K604*'Settings'!$C$9)+(N604*'Settings'!$C$6)+(J604*'Settings'!$C$8)+(O604*'Settings'!$C$7)+(P604*'Settings'!$C$14)+(Q604*'Settings'!$C$15)+(R604*'Settings'!$C$16)+(S604*'Settings'!$C$17)+(T604*'Settings'!$C$18)+(U604*'Settings'!$C$19)+(L604*'Settings'!$C$10)+('Settings'!$C$11*M604)</f>
        <v>-2.34324099611281</v>
      </c>
      <c r="D604" s="48">
        <f>IF('Settings'!$E$12="YES",VLOOKUP(A604,'Player Data'!A1:E734,5,FALSE),82)</f>
        <v>71.88</v>
      </c>
      <c r="E604" s="46">
        <f>(VLOOKUP($A604,'The List'!$B1:$AH730,17,FALSE)-AVERAGE('The List'!R2:R730))/STDEV('The List'!R2:R730)</f>
        <v>-0.008427477523379089</v>
      </c>
      <c r="F604" s="46">
        <f>(VLOOKUP($A604,'The List'!$B1:$AH730,18,FALSE)-AVERAGE('The List'!S2:S730))/STDEV('The List'!S2:S730)</f>
        <v>-0.961471690622082</v>
      </c>
      <c r="G604" s="46">
        <f>(VLOOKUP($A604,'The List'!$B1:$AH730,19,FALSE)-AVERAGE('The List'!T2:T730))/STDEV('The List'!T2:T730)</f>
        <v>-0.9412388341667</v>
      </c>
      <c r="H604" s="46">
        <f>(VLOOKUP($A604,'The List'!$B1:$AH730,20,FALSE)-AVERAGE('The List'!U2:U730))/STDEV('The List'!U2:U730)</f>
        <v>-1.01775027214323</v>
      </c>
      <c r="I604" s="46">
        <f>(VLOOKUP($A604,'The List'!$B1:$AH730,21,FALSE)-AVERAGE('The List'!V2:V730))/STDEV('The List'!V2:V730)</f>
        <v>-0.682028994246347</v>
      </c>
      <c r="J604" s="46">
        <f>(VLOOKUP($A604,'The List'!$B1:$AH730,22,FALSE)-AVERAGE('The List'!W2:W730))/STDEV('The List'!W2:W730)</f>
        <v>-0.711781126534958</v>
      </c>
      <c r="K604" s="46">
        <f>(VLOOKUP($A604,'The List'!$B1:$AH730,23,FALSE)-AVERAGE('The List'!X2:X730))/STDEV('The List'!X2:X730)</f>
        <v>-0.797677773072169</v>
      </c>
      <c r="L604" s="46">
        <f>(VLOOKUP($A604,'The List'!$B1:$AH730,24,FALSE)-AVERAGE('The List'!Y2:Y730))/STDEV('The List'!Y2:Y730)</f>
        <v>-0.4964169322488</v>
      </c>
      <c r="M604" s="46">
        <f>(VLOOKUP($A604,'The List'!$B1:$AH730,25,FALSE)-AVERAGE('The List'!Z2:Z730))/STDEV('The List'!Z2:Z730)</f>
        <v>-0.175650369230034</v>
      </c>
      <c r="N604" s="46">
        <f>(VLOOKUP($A604,'The List'!$B1:$AH730,26,FALSE)-AVERAGE('The List'!AA2:AA730))/STDEV('The List'!AA2:AA730)</f>
        <v>2.31393050715014</v>
      </c>
      <c r="O604" s="46">
        <f>(VLOOKUP($A604,'The List'!$B1:$AH730,27,FALSE)-AVERAGE('The List'!AB2:AB730))/STDEV('The List'!AB2:AB730)</f>
        <v>0.901246234822629</v>
      </c>
      <c r="P604" s="46">
        <f>(VLOOKUP($A604,'The List'!$B1:$AH730,28,FALSE)-AVERAGE('The List'!AC2:AC730))/STDEV('The List'!AC2:AC730)</f>
        <v>-1.27475421115565</v>
      </c>
      <c r="Q604" s="46">
        <f>(VLOOKUP($A604,'The List'!$B1:$AH730,29,FALSE)-AVERAGE('The List'!AD2:AD730))/STDEV('The List'!AD2:AD730)</f>
        <v>1.45646748107284</v>
      </c>
      <c r="R604" s="46">
        <f>(VLOOKUP($A604,'The List'!$B1:$AH730,30,FALSE)-AVERAGE('The List'!AE2:AE730))/STDEV('The List'!AE2:AE730)</f>
        <v>-0.9289533448492731</v>
      </c>
      <c r="S604" s="46">
        <f>(VLOOKUP($A604,'The List'!$B1:$AH730,31,FALSE)-AVERAGE('The List'!AF2:AF730))/STDEV('The List'!AF2:AF730)</f>
        <v>-0.5569063253591</v>
      </c>
      <c r="T604" s="46">
        <f>(VLOOKUP($A604,'The List'!$B1:$AH730,32,FALSE)-AVERAGE('The List'!AG2:AG730))/STDEV('The List'!AG2:AG730)</f>
        <v>-0.600856269042678</v>
      </c>
      <c r="U604" s="46">
        <f>(VLOOKUP($A604,'The List'!$B1:$AH730,33,FALSE)-AVERAGE('The List'!AH2:AH730))/STDEV('The List'!AH2:AH730)</f>
        <v>-1.2363238714826</v>
      </c>
      <c r="V604" s="46"/>
      <c r="W604" s="50"/>
      <c r="X604" s="48"/>
      <c r="Y604" s="48"/>
      <c r="Z604" s="48"/>
      <c r="AA604" s="48"/>
      <c r="AB604" s="48"/>
      <c r="AC604" s="51"/>
      <c r="AD604" s="52"/>
      <c r="AE604" s="46"/>
    </row>
    <row r="605" ht="21.25" customHeight="1">
      <c r="A605" t="s" s="8">
        <v>833</v>
      </c>
      <c r="B605" t="s" s="42">
        <f>VLOOKUP(A605,'Player Data'!A1:B734,2,FALSE)</f>
        <v>173</v>
      </c>
      <c r="C605" s="44">
        <f>((E605)*'Settings'!$C$12)+(F605*'Settings'!$C$2)+(G605*'Settings'!$C$3)+(H605*'Settings'!$C$4)+(I605*'Settings'!$C$5)+(K605*'Settings'!$C$9)+(N605*'Settings'!$C$6)+(J605*'Settings'!$C$8)+(O605*'Settings'!$C$7)+(P605*'Settings'!$C$14)+(Q605*'Settings'!$C$15)+(R605*'Settings'!$C$16)+(S605*'Settings'!$C$17)+(T605*'Settings'!$C$18)+(U605*'Settings'!$C$19)+(L605*'Settings'!$C$10)+('Settings'!$C$11*M605)</f>
        <v>-4.50697716582169</v>
      </c>
      <c r="D605" s="48">
        <f>IF('Settings'!$E$12="YES",VLOOKUP(A605,'Player Data'!A1:E734,5,FALSE),82)</f>
        <v>67.5</v>
      </c>
      <c r="E605" s="46">
        <f>(VLOOKUP($A605,'The List'!$B1:$AH730,17,FALSE)-AVERAGE('The List'!R2:R730))/STDEV('The List'!R2:R730)</f>
        <v>-1.60803821169844</v>
      </c>
      <c r="F605" s="46">
        <f>(VLOOKUP($A605,'The List'!$B1:$AH730,18,FALSE)-AVERAGE('The List'!S2:S730))/STDEV('The List'!S2:S730)</f>
        <v>-0.759027041401103</v>
      </c>
      <c r="G605" s="46">
        <f>(VLOOKUP($A605,'The List'!$B1:$AH730,19,FALSE)-AVERAGE('The List'!T2:T730))/STDEV('The List'!T2:T730)</f>
        <v>-1.15523290360628</v>
      </c>
      <c r="H605" s="46">
        <f>(VLOOKUP($A605,'The List'!$B1:$AH730,20,FALSE)-AVERAGE('The List'!U2:U730))/STDEV('The List'!U2:U730)</f>
        <v>-1.05755842771908</v>
      </c>
      <c r="I605" s="46">
        <f>(VLOOKUP($A605,'The List'!$B1:$AH730,21,FALSE)-AVERAGE('The List'!V2:V730))/STDEV('The List'!V2:V730)</f>
        <v>-0.990196392257747</v>
      </c>
      <c r="J605" s="46">
        <f>(VLOOKUP($A605,'The List'!$B1:$AH730,22,FALSE)-AVERAGE('The List'!W2:W730))/STDEV('The List'!W2:W730)</f>
        <v>-0.69694639437891</v>
      </c>
      <c r="K605" s="46">
        <f>(VLOOKUP($A605,'The List'!$B1:$AH730,23,FALSE)-AVERAGE('The List'!X2:X730))/STDEV('The List'!X2:X730)</f>
        <v>-0.786925929442446</v>
      </c>
      <c r="L605" s="46">
        <f>(VLOOKUP($A605,'The List'!$B1:$AH730,24,FALSE)-AVERAGE('The List'!Y2:Y730))/STDEV('The List'!Y2:Y730)</f>
        <v>-0.295866136111586</v>
      </c>
      <c r="M605" s="46">
        <f>(VLOOKUP($A605,'The List'!$B1:$AH730,25,FALSE)-AVERAGE('The List'!Z2:Z730))/STDEV('The List'!Z2:Z730)</f>
        <v>0.608077968230134</v>
      </c>
      <c r="N605" s="46">
        <f>(VLOOKUP($A605,'The List'!$B1:$AH730,26,FALSE)-AVERAGE('The List'!AA2:AA730))/STDEV('The List'!AA2:AA730)</f>
        <v>-0.62887992459866</v>
      </c>
      <c r="O605" s="46">
        <f>(VLOOKUP($A605,'The List'!$B1:$AH730,27,FALSE)-AVERAGE('The List'!AB2:AB730))/STDEV('The List'!AB2:AB730)</f>
        <v>1.81394157858823</v>
      </c>
      <c r="P605" s="46">
        <f>(VLOOKUP($A605,'The List'!$B1:$AH730,28,FALSE)-AVERAGE('The List'!AC2:AC730))/STDEV('The List'!AC2:AC730)</f>
        <v>-0.186714974515456</v>
      </c>
      <c r="Q605" s="46">
        <f>(VLOOKUP($A605,'The List'!$B1:$AH730,29,FALSE)-AVERAGE('The List'!AD2:AD730))/STDEV('The List'!AD2:AD730)</f>
        <v>0.305059118815283</v>
      </c>
      <c r="R605" s="46">
        <f>(VLOOKUP($A605,'The List'!$B1:$AH730,30,FALSE)-AVERAGE('The List'!AE2:AE730))/STDEV('The List'!AE2:AE730)</f>
        <v>-0.659454174106853</v>
      </c>
      <c r="S605" s="46">
        <f>(VLOOKUP($A605,'The List'!$B1:$AH730,31,FALSE)-AVERAGE('The List'!AF2:AF730))/STDEV('The List'!AF2:AF730)</f>
        <v>-0.536370667178286</v>
      </c>
      <c r="T605" s="46">
        <f>(VLOOKUP($A605,'The List'!$B1:$AH730,32,FALSE)-AVERAGE('The List'!AG2:AG730))/STDEV('The List'!AG2:AG730)</f>
        <v>-0.553136378529951</v>
      </c>
      <c r="U605" s="46">
        <f>(VLOOKUP($A605,'The List'!$B1:$AH730,33,FALSE)-AVERAGE('The List'!AH2:AH730))/STDEV('The List'!AH2:AH730)</f>
        <v>0.17091312585621</v>
      </c>
      <c r="V605" s="46"/>
      <c r="W605" s="48"/>
      <c r="X605" s="46"/>
      <c r="Y605" s="46"/>
      <c r="Z605" s="46"/>
      <c r="AA605" s="46"/>
      <c r="AB605" s="46"/>
      <c r="AC605" s="46"/>
      <c r="AD605" s="46"/>
      <c r="AE605" s="46"/>
    </row>
    <row r="606" ht="21.25" customHeight="1">
      <c r="A606" t="s" s="8">
        <v>829</v>
      </c>
      <c r="B606" t="s" s="42">
        <f>VLOOKUP(A606,'Player Data'!A1:B734,2,FALSE)</f>
        <v>134</v>
      </c>
      <c r="C606" s="44">
        <f>((E606)*'Settings'!$C$12)+(F606*'Settings'!$C$2)+(G606*'Settings'!$C$3)+(H606*'Settings'!$C$4)+(I606*'Settings'!$C$5)+(K606*'Settings'!$C$9)+(N606*'Settings'!$C$6)+(J606*'Settings'!$C$8)+(O606*'Settings'!$C$7)+(P606*'Settings'!$C$14)+(Q606*'Settings'!$C$15)+(R606*'Settings'!$C$16)+(S606*'Settings'!$C$17)+(T606*'Settings'!$C$18)+(U606*'Settings'!$C$19)+(L606*'Settings'!$C$10)+('Settings'!$C$11*M606)</f>
        <v>-4.42881548679631</v>
      </c>
      <c r="D606" s="48">
        <f>IF('Settings'!$E$12="YES",VLOOKUP(A606,'Player Data'!A1:E734,5,FALSE),82)</f>
        <v>81.39107142857139</v>
      </c>
      <c r="E606" s="46">
        <f>(VLOOKUP($A606,'The List'!$B1:$AH730,17,FALSE)-AVERAGE('The List'!R2:R730))/STDEV('The List'!R2:R730)</f>
        <v>-1.65916823845366</v>
      </c>
      <c r="F606" s="46">
        <f>(VLOOKUP($A606,'The List'!$B1:$AH730,18,FALSE)-AVERAGE('The List'!S2:S730))/STDEV('The List'!S2:S730)</f>
        <v>-0.813030887049212</v>
      </c>
      <c r="G606" s="46">
        <f>(VLOOKUP($A606,'The List'!$B1:$AH730,19,FALSE)-AVERAGE('The List'!T2:T730))/STDEV('The List'!T2:T730)</f>
        <v>-0.940479824164923</v>
      </c>
      <c r="H606" s="46">
        <f>(VLOOKUP($A606,'The List'!$B1:$AH730,20,FALSE)-AVERAGE('The List'!U2:U730))/STDEV('The List'!U2:U730)</f>
        <v>-0.949738809743604</v>
      </c>
      <c r="I606" s="46">
        <f>(VLOOKUP($A606,'The List'!$B1:$AH730,21,FALSE)-AVERAGE('The List'!V2:V730))/STDEV('The List'!V2:V730)</f>
        <v>-1.02561744638259</v>
      </c>
      <c r="J606" s="46">
        <f>(VLOOKUP($A606,'The List'!$B1:$AH730,22,FALSE)-AVERAGE('The List'!W2:W730))/STDEV('The List'!W2:W730)</f>
        <v>-0.695480242261863</v>
      </c>
      <c r="K606" s="46">
        <f>(VLOOKUP($A606,'The List'!$B1:$AH730,23,FALSE)-AVERAGE('The List'!X2:X730))/STDEV('The List'!X2:X730)</f>
        <v>-0.786027377066855</v>
      </c>
      <c r="L606" s="46">
        <f>(VLOOKUP($A606,'The List'!$B1:$AH730,24,FALSE)-AVERAGE('The List'!Y2:Y730))/STDEV('The List'!Y2:Y730)</f>
        <v>-0.54202735061719</v>
      </c>
      <c r="M606" s="46">
        <f>(VLOOKUP($A606,'The List'!$B1:$AH730,25,FALSE)-AVERAGE('The List'!Z2:Z730))/STDEV('The List'!Z2:Z730)</f>
        <v>-0.720787308116112</v>
      </c>
      <c r="N606" s="46">
        <f>(VLOOKUP($A606,'The List'!$B1:$AH730,26,FALSE)-AVERAGE('The List'!AA2:AA730))/STDEV('The List'!AA2:AA730)</f>
        <v>-1.13974380847108</v>
      </c>
      <c r="O606" s="46">
        <f>(VLOOKUP($A606,'The List'!$B1:$AH730,27,FALSE)-AVERAGE('The List'!AB2:AB730))/STDEV('The List'!AB2:AB730)</f>
        <v>1.4401382173748</v>
      </c>
      <c r="P606" s="46">
        <f>(VLOOKUP($A606,'The List'!$B1:$AH730,28,FALSE)-AVERAGE('The List'!AC2:AC730))/STDEV('The List'!AC2:AC730)</f>
        <v>0.276083856338349</v>
      </c>
      <c r="Q606" s="46">
        <f>(VLOOKUP($A606,'The List'!$B1:$AH730,29,FALSE)-AVERAGE('The List'!AD2:AD730))/STDEV('The List'!AD2:AD730)</f>
        <v>2.70418067226892</v>
      </c>
      <c r="R606" s="46">
        <f>(VLOOKUP($A606,'The List'!$B1:$AH730,30,FALSE)-AVERAGE('The List'!AE2:AE730))/STDEV('The List'!AE2:AE730)</f>
        <v>-0.680304898928042</v>
      </c>
      <c r="S606" s="46">
        <f>(VLOOKUP($A606,'The List'!$B1:$AH730,31,FALSE)-AVERAGE('The List'!AF2:AF730))/STDEV('The List'!AF2:AF730)</f>
        <v>-0.534692673305414</v>
      </c>
      <c r="T606" s="46">
        <f>(VLOOKUP($A606,'The List'!$B1:$AH730,32,FALSE)-AVERAGE('The List'!AG2:AG730))/STDEV('The List'!AG2:AG730)</f>
        <v>-0.547117642454693</v>
      </c>
      <c r="U606" s="46">
        <f>(VLOOKUP($A606,'The List'!$B1:$AH730,33,FALSE)-AVERAGE('The List'!AH2:AH730))/STDEV('The List'!AH2:AH730)</f>
        <v>0.132229248720127</v>
      </c>
      <c r="V606" s="46"/>
      <c r="W606" s="50"/>
      <c r="X606" s="48"/>
      <c r="Y606" s="48"/>
      <c r="Z606" s="48"/>
      <c r="AA606" s="48"/>
      <c r="AB606" s="48"/>
      <c r="AC606" s="51"/>
      <c r="AD606" s="52"/>
      <c r="AE606" s="46"/>
    </row>
    <row r="607" ht="21.25" customHeight="1">
      <c r="A607" t="s" s="8">
        <v>869</v>
      </c>
      <c r="B607" t="s" s="42">
        <f>VLOOKUP(A607,'Player Data'!A1:B734,2,FALSE)</f>
        <v>108</v>
      </c>
      <c r="C607" s="44">
        <f>((E607)*'Settings'!$C$12)+(F607*'Settings'!$C$2)+(G607*'Settings'!$C$3)+(H607*'Settings'!$C$4)+(I607*'Settings'!$C$5)+(K607*'Settings'!$C$9)+(N607*'Settings'!$C$6)+(J607*'Settings'!$C$8)+(O607*'Settings'!$C$7)+(P607*'Settings'!$C$14)+(Q607*'Settings'!$C$15)+(R607*'Settings'!$C$16)+(S607*'Settings'!$C$17)+(T607*'Settings'!$C$18)+(U607*'Settings'!$C$19)+(L607*'Settings'!$C$10)+('Settings'!$C$11*M607)</f>
        <v>-4.43281782317922</v>
      </c>
      <c r="D607" s="48">
        <f>IF('Settings'!$E$12="YES",VLOOKUP(A607,'Player Data'!A1:E734,5,FALSE),82)</f>
        <v>58.9764285714286</v>
      </c>
      <c r="E607" s="46">
        <f>(VLOOKUP($A607,'The List'!$B1:$AH730,17,FALSE)-AVERAGE('The List'!R2:R730))/STDEV('The List'!R2:R730)</f>
        <v>-1.78241271995919</v>
      </c>
      <c r="F607" s="46">
        <f>(VLOOKUP($A607,'The List'!$B1:$AH730,18,FALSE)-AVERAGE('The List'!S2:S730))/STDEV('The List'!S2:S730)</f>
        <v>-0.86007026845959</v>
      </c>
      <c r="G607" s="46">
        <f>(VLOOKUP($A607,'The List'!$B1:$AH730,19,FALSE)-AVERAGE('The List'!T2:T730))/STDEV('The List'!T2:T730)</f>
        <v>-1.19615337223975</v>
      </c>
      <c r="H607" s="46">
        <f>(VLOOKUP($A607,'The List'!$B1:$AH730,20,FALSE)-AVERAGE('The List'!U2:U730))/STDEV('The List'!U2:U730)</f>
        <v>-1.12876205359029</v>
      </c>
      <c r="I607" s="46">
        <f>(VLOOKUP($A607,'The List'!$B1:$AH730,21,FALSE)-AVERAGE('The List'!V2:V730))/STDEV('The List'!V2:V730)</f>
        <v>-1.32996394378278</v>
      </c>
      <c r="J607" s="46">
        <f>(VLOOKUP($A607,'The List'!$B1:$AH730,22,FALSE)-AVERAGE('The List'!W2:W730))/STDEV('The List'!W2:W730)</f>
        <v>-0.671804276379523</v>
      </c>
      <c r="K607" s="46">
        <f>(VLOOKUP($A607,'The List'!$B1:$AH730,23,FALSE)-AVERAGE('The List'!X2:X730))/STDEV('The List'!X2:X730)</f>
        <v>-0.756410599884398</v>
      </c>
      <c r="L607" s="46">
        <f>(VLOOKUP($A607,'The List'!$B1:$AH730,24,FALSE)-AVERAGE('The List'!Y2:Y730))/STDEV('The List'!Y2:Y730)</f>
        <v>-0.413768197296987</v>
      </c>
      <c r="M607" s="46">
        <f>(VLOOKUP($A607,'The List'!$B1:$AH730,25,FALSE)-AVERAGE('The List'!Z2:Z730))/STDEV('The List'!Z2:Z730)</f>
        <v>-0.575781855584293</v>
      </c>
      <c r="N607" s="46">
        <f>(VLOOKUP($A607,'The List'!$B1:$AH730,26,FALSE)-AVERAGE('The List'!AA2:AA730))/STDEV('The List'!AA2:AA730)</f>
        <v>-0.979893028714984</v>
      </c>
      <c r="O607" s="46">
        <f>(VLOOKUP($A607,'The List'!$B1:$AH730,27,FALSE)-AVERAGE('The List'!AB2:AB730))/STDEV('The List'!AB2:AB730)</f>
        <v>0.383372863644911</v>
      </c>
      <c r="P607" s="46">
        <f>(VLOOKUP($A607,'The List'!$B1:$AH730,28,FALSE)-AVERAGE('The List'!AC2:AC730))/STDEV('The List'!AC2:AC730)</f>
        <v>0.689673389902278</v>
      </c>
      <c r="Q607" s="46">
        <f>(VLOOKUP($A607,'The List'!$B1:$AH730,29,FALSE)-AVERAGE('The List'!AD2:AD730))/STDEV('The List'!AD2:AD730)</f>
        <v>-0.539324838642105</v>
      </c>
      <c r="R607" s="46">
        <f>(VLOOKUP($A607,'The List'!$B1:$AH730,30,FALSE)-AVERAGE('The List'!AE2:AE730))/STDEV('The List'!AE2:AE730)</f>
        <v>-0.735937003136065</v>
      </c>
      <c r="S607" s="46">
        <f>(VLOOKUP($A607,'The List'!$B1:$AH730,31,FALSE)-AVERAGE('The List'!AF2:AF730))/STDEV('The List'!AF2:AF730)</f>
        <v>0.0568971884650352</v>
      </c>
      <c r="T607" s="46">
        <f>(VLOOKUP($A607,'The List'!$B1:$AH730,32,FALSE)-AVERAGE('The List'!AG2:AG730))/STDEV('The List'!AG2:AG730)</f>
        <v>0.0905089746621723</v>
      </c>
      <c r="U607" s="46">
        <f>(VLOOKUP($A607,'The List'!$B1:$AH730,33,FALSE)-AVERAGE('The List'!AH2:AH730))/STDEV('The List'!AH2:AH730)</f>
        <v>0.944519005006919</v>
      </c>
      <c r="V607" s="46"/>
      <c r="W607" s="48"/>
      <c r="X607" s="46"/>
      <c r="Y607" s="46"/>
      <c r="Z607" s="46"/>
      <c r="AA607" s="46"/>
      <c r="AB607" s="46"/>
      <c r="AC607" s="46"/>
      <c r="AD607" s="46"/>
      <c r="AE607" s="46"/>
    </row>
    <row r="608" ht="21.25" customHeight="1">
      <c r="A608" t="s" s="8">
        <v>682</v>
      </c>
      <c r="B608" t="s" s="42">
        <f>VLOOKUP(A608,'Player Data'!A1:B734,2,FALSE)</f>
        <v>258</v>
      </c>
      <c r="C608" s="44">
        <f>((E608)*'Settings'!$C$12)+(F608*'Settings'!$C$2)+(G608*'Settings'!$C$3)+(H608*'Settings'!$C$4)+(I608*'Settings'!$C$5)+(K608*'Settings'!$C$9)+(N608*'Settings'!$C$6)+(J608*'Settings'!$C$8)+(O608*'Settings'!$C$7)+(P608*'Settings'!$C$14)+(Q608*'Settings'!$C$15)+(R608*'Settings'!$C$16)+(S608*'Settings'!$C$17)+(T608*'Settings'!$C$18)+(U608*'Settings'!$C$19)+(L608*'Settings'!$C$10)+('Settings'!$C$11*M608)</f>
        <v>-5.80448960484071</v>
      </c>
      <c r="D608" s="48">
        <f>IF('Settings'!$E$12="YES",VLOOKUP(A608,'Player Data'!A1:E734,5,FALSE),82)</f>
        <v>64.965</v>
      </c>
      <c r="E608" s="46">
        <f>(VLOOKUP($A608,'The List'!$B1:$AH730,17,FALSE)-AVERAGE('The List'!R2:R730))/STDEV('The List'!R2:R730)</f>
        <v>-0.998883479917022</v>
      </c>
      <c r="F608" s="46">
        <f>(VLOOKUP($A608,'The List'!$B1:$AH730,18,FALSE)-AVERAGE('The List'!S2:S730))/STDEV('The List'!S2:S730)</f>
        <v>-1.1013762092571</v>
      </c>
      <c r="G608" s="46">
        <f>(VLOOKUP($A608,'The List'!$B1:$AH730,19,FALSE)-AVERAGE('The List'!T2:T730))/STDEV('The List'!T2:T730)</f>
        <v>-0.942973737071502</v>
      </c>
      <c r="H608" s="46">
        <f>(VLOOKUP($A608,'The List'!$B1:$AH730,20,FALSE)-AVERAGE('The List'!U2:U730))/STDEV('The List'!U2:U730)</f>
        <v>-1.08247917884287</v>
      </c>
      <c r="I608" s="46">
        <f>(VLOOKUP($A608,'The List'!$B1:$AH730,21,FALSE)-AVERAGE('The List'!V2:V730))/STDEV('The List'!V2:V730)</f>
        <v>-1.3541803916251</v>
      </c>
      <c r="J608" s="46">
        <f>(VLOOKUP($A608,'The List'!$B1:$AH730,22,FALSE)-AVERAGE('The List'!W2:W730))/STDEV('The List'!W2:W730)</f>
        <v>-0.708461978951516</v>
      </c>
      <c r="K608" s="46">
        <f>(VLOOKUP($A608,'The List'!$B1:$AH730,23,FALSE)-AVERAGE('The List'!X2:X730))/STDEV('The List'!X2:X730)</f>
        <v>-0.703263790123845</v>
      </c>
      <c r="L608" s="46">
        <f>(VLOOKUP($A608,'The List'!$B1:$AH730,24,FALSE)-AVERAGE('The List'!Y2:Y730))/STDEV('The List'!Y2:Y730)</f>
        <v>-0.535821392727766</v>
      </c>
      <c r="M608" s="46">
        <f>(VLOOKUP($A608,'The List'!$B1:$AH730,25,FALSE)-AVERAGE('The List'!Z2:Z730))/STDEV('The List'!Z2:Z730)</f>
        <v>-0.703419039032387</v>
      </c>
      <c r="N608" s="46">
        <f>(VLOOKUP($A608,'The List'!$B1:$AH730,26,FALSE)-AVERAGE('The List'!AA2:AA730))/STDEV('The List'!AA2:AA730)</f>
        <v>0.0430452480604184</v>
      </c>
      <c r="O608" s="46">
        <f>(VLOOKUP($A608,'The List'!$B1:$AH730,27,FALSE)-AVERAGE('The List'!AB2:AB730))/STDEV('The List'!AB2:AB730)</f>
        <v>-0.814527690121402</v>
      </c>
      <c r="P608" s="46">
        <f>(VLOOKUP($A608,'The List'!$B1:$AH730,28,FALSE)-AVERAGE('The List'!AC2:AC730))/STDEV('The List'!AC2:AC730)</f>
        <v>-1.74574072482358</v>
      </c>
      <c r="Q608" s="46">
        <f>(VLOOKUP($A608,'The List'!$B1:$AH730,29,FALSE)-AVERAGE('The List'!AD2:AD730))/STDEV('The List'!AD2:AD730)</f>
        <v>0.59314061657263</v>
      </c>
      <c r="R608" s="46">
        <f>(VLOOKUP($A608,'The List'!$B1:$AH730,30,FALSE)-AVERAGE('The List'!AE2:AE730))/STDEV('The List'!AE2:AE730)</f>
        <v>-1.05504751120559</v>
      </c>
      <c r="S608" s="46">
        <f>(VLOOKUP($A608,'The List'!$B1:$AH730,31,FALSE)-AVERAGE('The List'!AF2:AF730))/STDEV('The List'!AF2:AF730)</f>
        <v>-0.5569063253591</v>
      </c>
      <c r="T608" s="46">
        <f>(VLOOKUP($A608,'The List'!$B1:$AH730,32,FALSE)-AVERAGE('The List'!AG2:AG730))/STDEV('The List'!AG2:AG730)</f>
        <v>-0.600856269042678</v>
      </c>
      <c r="U608" s="46">
        <f>(VLOOKUP($A608,'The List'!$B1:$AH730,33,FALSE)-AVERAGE('The List'!AH2:AH730))/STDEV('The List'!AH2:AH730)</f>
        <v>-1.2363238714826</v>
      </c>
      <c r="V608" s="46"/>
      <c r="W608" s="50"/>
      <c r="X608" s="48"/>
      <c r="Y608" s="48"/>
      <c r="Z608" s="48"/>
      <c r="AA608" s="48"/>
      <c r="AB608" s="48"/>
      <c r="AC608" s="51"/>
      <c r="AD608" s="52"/>
      <c r="AE608" s="46"/>
    </row>
    <row r="609" ht="21.25" customHeight="1">
      <c r="A609" t="s" s="8">
        <v>636</v>
      </c>
      <c r="B609" t="s" s="42">
        <f>VLOOKUP(A609,'Player Data'!A1:B734,2,FALSE)</f>
        <v>134</v>
      </c>
      <c r="C609" s="44">
        <f>((E609)*'Settings'!$C$12)+(F609*'Settings'!$C$2)+(G609*'Settings'!$C$3)+(H609*'Settings'!$C$4)+(I609*'Settings'!$C$5)+(K609*'Settings'!$C$9)+(N609*'Settings'!$C$6)+(J609*'Settings'!$C$8)+(O609*'Settings'!$C$7)+(P609*'Settings'!$C$14)+(Q609*'Settings'!$C$15)+(R609*'Settings'!$C$16)+(S609*'Settings'!$C$17)+(T609*'Settings'!$C$18)+(U609*'Settings'!$C$19)+(L609*'Settings'!$C$10)+('Settings'!$C$11*M609)</f>
        <v>-2.68479027148562</v>
      </c>
      <c r="D609" s="48">
        <f>IF('Settings'!$E$12="YES",VLOOKUP(A609,'Player Data'!A1:E734,5,FALSE),82)</f>
        <v>75.62</v>
      </c>
      <c r="E609" s="46">
        <f>(VLOOKUP($A609,'The List'!$B1:$AH730,17,FALSE)-AVERAGE('The List'!R2:R730))/STDEV('The List'!R2:R730)</f>
        <v>-0.365953258699959</v>
      </c>
      <c r="F609" s="46">
        <f>(VLOOKUP($A609,'The List'!$B1:$AH730,18,FALSE)-AVERAGE('The List'!S2:S730))/STDEV('The List'!S2:S730)</f>
        <v>-1.07587527729059</v>
      </c>
      <c r="G609" s="46">
        <f>(VLOOKUP($A609,'The List'!$B1:$AH730,19,FALSE)-AVERAGE('The List'!T2:T730))/STDEV('The List'!T2:T730)</f>
        <v>-0.829414097776061</v>
      </c>
      <c r="H609" s="46">
        <f>(VLOOKUP($A609,'The List'!$B1:$AH730,20,FALSE)-AVERAGE('The List'!U2:U730))/STDEV('The List'!U2:U730)</f>
        <v>-1.00086771832481</v>
      </c>
      <c r="I609" s="46">
        <f>(VLOOKUP($A609,'The List'!$B1:$AH730,21,FALSE)-AVERAGE('The List'!V2:V730))/STDEV('The List'!V2:V730)</f>
        <v>-1.29900204565939</v>
      </c>
      <c r="J609" s="46">
        <f>(VLOOKUP($A609,'The List'!$B1:$AH730,22,FALSE)-AVERAGE('The List'!W2:W730))/STDEV('The List'!W2:W730)</f>
        <v>-0.709827961257676</v>
      </c>
      <c r="K609" s="46">
        <f>(VLOOKUP($A609,'The List'!$B1:$AH730,23,FALSE)-AVERAGE('The List'!X2:X730))/STDEV('The List'!X2:X730)</f>
        <v>-0.792052091065612</v>
      </c>
      <c r="L609" s="46">
        <f>(VLOOKUP($A609,'The List'!$B1:$AH730,24,FALSE)-AVERAGE('The List'!Y2:Y730))/STDEV('The List'!Y2:Y730)</f>
        <v>-0.508198630446522</v>
      </c>
      <c r="M609" s="46">
        <f>(VLOOKUP($A609,'The List'!$B1:$AH730,25,FALSE)-AVERAGE('The List'!Z2:Z730))/STDEV('The List'!Z2:Z730)</f>
        <v>-0.6380576351395369</v>
      </c>
      <c r="N609" s="46">
        <f>(VLOOKUP($A609,'The List'!$B1:$AH730,26,FALSE)-AVERAGE('The List'!AA2:AA730))/STDEV('The List'!AA2:AA730)</f>
        <v>1.11991826819332</v>
      </c>
      <c r="O609" s="46">
        <f>(VLOOKUP($A609,'The List'!$B1:$AH730,27,FALSE)-AVERAGE('The List'!AB2:AB730))/STDEV('The List'!AB2:AB730)</f>
        <v>-0.584894181622936</v>
      </c>
      <c r="P609" s="46">
        <f>(VLOOKUP($A609,'The List'!$B1:$AH730,28,FALSE)-AVERAGE('The List'!AC2:AC730))/STDEV('The List'!AC2:AC730)</f>
        <v>0.191634972112713</v>
      </c>
      <c r="Q609" s="46">
        <f>(VLOOKUP($A609,'The List'!$B1:$AH730,29,FALSE)-AVERAGE('The List'!AD2:AD730))/STDEV('The List'!AD2:AD730)</f>
        <v>-0.0932021024164707</v>
      </c>
      <c r="R609" s="46">
        <f>(VLOOKUP($A609,'The List'!$B1:$AH730,30,FALSE)-AVERAGE('The List'!AE2:AE730))/STDEV('The List'!AE2:AE730)</f>
        <v>-0.954948231005211</v>
      </c>
      <c r="S609" s="46">
        <f>(VLOOKUP($A609,'The List'!$B1:$AH730,31,FALSE)-AVERAGE('The List'!AF2:AF730))/STDEV('The List'!AF2:AF730)</f>
        <v>-0.5569063253591</v>
      </c>
      <c r="T609" s="46">
        <f>(VLOOKUP($A609,'The List'!$B1:$AH730,32,FALSE)-AVERAGE('The List'!AG2:AG730))/STDEV('The List'!AG2:AG730)</f>
        <v>-0.600856269042678</v>
      </c>
      <c r="U609" s="46">
        <f>(VLOOKUP($A609,'The List'!$B1:$AH730,33,FALSE)-AVERAGE('The List'!AH2:AH730))/STDEV('The List'!AH2:AH730)</f>
        <v>-1.2363238714826</v>
      </c>
      <c r="V609" s="46"/>
      <c r="W609" s="50"/>
      <c r="X609" s="48"/>
      <c r="Y609" s="48"/>
      <c r="Z609" s="48"/>
      <c r="AA609" s="48"/>
      <c r="AB609" s="48"/>
      <c r="AC609" s="51"/>
      <c r="AD609" s="52"/>
      <c r="AE609" s="46"/>
    </row>
    <row r="610" ht="21.25" customHeight="1">
      <c r="A610" t="s" s="8">
        <v>687</v>
      </c>
      <c r="B610" t="s" s="42">
        <f>VLOOKUP(A610,'Player Data'!A1:B734,2,FALSE)</f>
        <v>113</v>
      </c>
      <c r="C610" s="44">
        <f>((E610)*'Settings'!$C$12)+(F610*'Settings'!$C$2)+(G610*'Settings'!$C$3)+(H610*'Settings'!$C$4)+(I610*'Settings'!$C$5)+(K610*'Settings'!$C$9)+(N610*'Settings'!$C$6)+(J610*'Settings'!$C$8)+(O610*'Settings'!$C$7)+(P610*'Settings'!$C$14)+(Q610*'Settings'!$C$15)+(R610*'Settings'!$C$16)+(S610*'Settings'!$C$17)+(T610*'Settings'!$C$18)+(U610*'Settings'!$C$19)+(L610*'Settings'!$C$10)+('Settings'!$C$11*M610)</f>
        <v>-3.90639928137884</v>
      </c>
      <c r="D610" s="48">
        <f>IF('Settings'!$E$12="YES",VLOOKUP(A610,'Player Data'!A1:E734,5,FALSE),82)</f>
        <v>64.9746428571429</v>
      </c>
      <c r="E610" s="46">
        <f>(VLOOKUP($A610,'The List'!$B1:$AH730,17,FALSE)-AVERAGE('The List'!R2:R730))/STDEV('The List'!R2:R730)</f>
        <v>-1.41586751886627</v>
      </c>
      <c r="F610" s="46">
        <f>(VLOOKUP($A610,'The List'!$B1:$AH730,18,FALSE)-AVERAGE('The List'!S2:S730))/STDEV('The List'!S2:S730)</f>
        <v>-0.989269567801256</v>
      </c>
      <c r="G610" s="46">
        <f>(VLOOKUP($A610,'The List'!$B1:$AH730,19,FALSE)-AVERAGE('The List'!T2:T730))/STDEV('The List'!T2:T730)</f>
        <v>-1.03429759171737</v>
      </c>
      <c r="H610" s="46">
        <f>(VLOOKUP($A610,'The List'!$B1:$AH730,20,FALSE)-AVERAGE('The List'!U2:U730))/STDEV('The List'!U2:U730)</f>
        <v>-1.08776836466124</v>
      </c>
      <c r="I610" s="46">
        <f>(VLOOKUP($A610,'The List'!$B1:$AH730,21,FALSE)-AVERAGE('The List'!V2:V730))/STDEV('The List'!V2:V730)</f>
        <v>-1.19423706450765</v>
      </c>
      <c r="J610" s="46">
        <f>(VLOOKUP($A610,'The List'!$B1:$AH730,22,FALSE)-AVERAGE('The List'!W2:W730))/STDEV('The List'!W2:W730)</f>
        <v>-0.7113216365462171</v>
      </c>
      <c r="K610" s="46">
        <f>(VLOOKUP($A610,'The List'!$B1:$AH730,23,FALSE)-AVERAGE('The List'!X2:X730))/STDEV('The List'!X2:X730)</f>
        <v>-0.7916804144873461</v>
      </c>
      <c r="L610" s="46">
        <f>(VLOOKUP($A610,'The List'!$B1:$AH730,24,FALSE)-AVERAGE('The List'!Y2:Y730))/STDEV('The List'!Y2:Y730)</f>
        <v>-0.539008966145725</v>
      </c>
      <c r="M610" s="46">
        <f>(VLOOKUP($A610,'The List'!$B1:$AH730,25,FALSE)-AVERAGE('The List'!Z2:Z730))/STDEV('The List'!Z2:Z730)</f>
        <v>-0.7129017350149111</v>
      </c>
      <c r="N610" s="46">
        <f>(VLOOKUP($A610,'The List'!$B1:$AH730,26,FALSE)-AVERAGE('The List'!AA2:AA730))/STDEV('The List'!AA2:AA730)</f>
        <v>-0.571014683430713</v>
      </c>
      <c r="O610" s="46">
        <f>(VLOOKUP($A610,'The List'!$B1:$AH730,27,FALSE)-AVERAGE('The List'!AB2:AB730))/STDEV('The List'!AB2:AB730)</f>
        <v>-1.06036796821326</v>
      </c>
      <c r="P610" s="46">
        <f>(VLOOKUP($A610,'The List'!$B1:$AH730,28,FALSE)-AVERAGE('The List'!AC2:AC730))/STDEV('The List'!AC2:AC730)</f>
        <v>0.674100040565493</v>
      </c>
      <c r="Q610" s="46">
        <f>(VLOOKUP($A610,'The List'!$B1:$AH730,29,FALSE)-AVERAGE('The List'!AD2:AD730))/STDEV('The List'!AD2:AD730)</f>
        <v>-1.09407360535133</v>
      </c>
      <c r="R610" s="46">
        <f>(VLOOKUP($A610,'The List'!$B1:$AH730,30,FALSE)-AVERAGE('The List'!AE2:AE730))/STDEV('The List'!AE2:AE730)</f>
        <v>-0.869161023164299</v>
      </c>
      <c r="S610" s="46">
        <f>(VLOOKUP($A610,'The List'!$B1:$AH730,31,FALSE)-AVERAGE('The List'!AF2:AF730))/STDEV('The List'!AF2:AF730)</f>
        <v>-0.5569063253591</v>
      </c>
      <c r="T610" s="46">
        <f>(VLOOKUP($A610,'The List'!$B1:$AH730,32,FALSE)-AVERAGE('The List'!AG2:AG730))/STDEV('The List'!AG2:AG730)</f>
        <v>-0.600856269042678</v>
      </c>
      <c r="U610" s="46">
        <f>(VLOOKUP($A610,'The List'!$B1:$AH730,33,FALSE)-AVERAGE('The List'!AH2:AH730))/STDEV('The List'!AH2:AH730)</f>
        <v>-1.2363238714826</v>
      </c>
      <c r="V610" s="46"/>
      <c r="W610" s="50"/>
      <c r="X610" s="48"/>
      <c r="Y610" s="48"/>
      <c r="Z610" s="48"/>
      <c r="AA610" s="48"/>
      <c r="AB610" s="48"/>
      <c r="AC610" s="51"/>
      <c r="AD610" s="52"/>
      <c r="AE610" s="46"/>
    </row>
    <row r="611" ht="21.25" customHeight="1">
      <c r="A611" t="s" s="8">
        <v>826</v>
      </c>
      <c r="B611" t="s" s="42">
        <f>VLOOKUP(A611,'Player Data'!A1:B734,2,FALSE)</f>
        <v>124</v>
      </c>
      <c r="C611" s="44">
        <f>((E611)*'Settings'!$C$12)+(F611*'Settings'!$C$2)+(G611*'Settings'!$C$3)+(H611*'Settings'!$C$4)+(I611*'Settings'!$C$5)+(K611*'Settings'!$C$9)+(N611*'Settings'!$C$6)+(J611*'Settings'!$C$8)+(O611*'Settings'!$C$7)+(P611*'Settings'!$C$14)+(Q611*'Settings'!$C$15)+(R611*'Settings'!$C$16)+(S611*'Settings'!$C$17)+(T611*'Settings'!$C$18)+(U611*'Settings'!$C$19)+(L611*'Settings'!$C$10)+('Settings'!$C$11*M611)</f>
        <v>-4.62319227496794</v>
      </c>
      <c r="D611" s="48">
        <f>IF('Settings'!$E$12="YES",VLOOKUP(A611,'Player Data'!A1:E734,5,FALSE),82)</f>
        <v>67.7192857142857</v>
      </c>
      <c r="E611" s="46">
        <f>(VLOOKUP($A611,'The List'!$B1:$AH730,17,FALSE)-AVERAGE('The List'!R2:R730))/STDEV('The List'!R2:R730)</f>
        <v>-1.93544373493627</v>
      </c>
      <c r="F611" s="46">
        <f>(VLOOKUP($A611,'The List'!$B1:$AH730,18,FALSE)-AVERAGE('The List'!S2:S730))/STDEV('The List'!S2:S730)</f>
        <v>-0.748464792032759</v>
      </c>
      <c r="G611" s="46">
        <f>(VLOOKUP($A611,'The List'!$B1:$AH730,19,FALSE)-AVERAGE('The List'!T2:T730))/STDEV('The List'!T2:T730)</f>
        <v>-1.17786849513973</v>
      </c>
      <c r="H611" s="46">
        <f>(VLOOKUP($A611,'The List'!$B1:$AH730,20,FALSE)-AVERAGE('The List'!U2:U730))/STDEV('The List'!U2:U730)</f>
        <v>-1.06670693708863</v>
      </c>
      <c r="I611" s="46">
        <f>(VLOOKUP($A611,'The List'!$B1:$AH730,21,FALSE)-AVERAGE('The List'!V2:V730))/STDEV('The List'!V2:V730)</f>
        <v>-1.05480333123734</v>
      </c>
      <c r="J611" s="46">
        <f>(VLOOKUP($A611,'The List'!$B1:$AH730,22,FALSE)-AVERAGE('The List'!W2:W730))/STDEV('The List'!W2:W730)</f>
        <v>-0.702518234494621</v>
      </c>
      <c r="K611" s="46">
        <f>(VLOOKUP($A611,'The List'!$B1:$AH730,23,FALSE)-AVERAGE('The List'!X2:X730))/STDEV('The List'!X2:X730)</f>
        <v>-0.792308999075785</v>
      </c>
      <c r="L611" s="46">
        <f>(VLOOKUP($A611,'The List'!$B1:$AH730,24,FALSE)-AVERAGE('The List'!Y2:Y730))/STDEV('The List'!Y2:Y730)</f>
        <v>-0.411773192718535</v>
      </c>
      <c r="M611" s="46">
        <f>(VLOOKUP($A611,'The List'!$B1:$AH730,25,FALSE)-AVERAGE('The List'!Z2:Z730))/STDEV('The List'!Z2:Z730)</f>
        <v>-0.572966853302488</v>
      </c>
      <c r="N611" s="46">
        <f>(VLOOKUP($A611,'The List'!$B1:$AH730,26,FALSE)-AVERAGE('The List'!AA2:AA730))/STDEV('The List'!AA2:AA730)</f>
        <v>-0.839454668137339</v>
      </c>
      <c r="O611" s="46">
        <f>(VLOOKUP($A611,'The List'!$B1:$AH730,27,FALSE)-AVERAGE('The List'!AB2:AB730))/STDEV('The List'!AB2:AB730)</f>
        <v>1.81736898398171</v>
      </c>
      <c r="P611" s="46">
        <f>(VLOOKUP($A611,'The List'!$B1:$AH730,28,FALSE)-AVERAGE('The List'!AC2:AC730))/STDEV('The List'!AC2:AC730)</f>
        <v>-0.0102919893449894</v>
      </c>
      <c r="Q611" s="46">
        <f>(VLOOKUP($A611,'The List'!$B1:$AH730,29,FALSE)-AVERAGE('The List'!AD2:AD730))/STDEV('The List'!AD2:AD730)</f>
        <v>-0.362432847554376</v>
      </c>
      <c r="R611" s="46">
        <f>(VLOOKUP($A611,'The List'!$B1:$AH730,30,FALSE)-AVERAGE('The List'!AE2:AE730))/STDEV('The List'!AE2:AE730)</f>
        <v>-0.627351016808694</v>
      </c>
      <c r="S611" s="46">
        <f>(VLOOKUP($A611,'The List'!$B1:$AH730,31,FALSE)-AVERAGE('The List'!AF2:AF730))/STDEV('The List'!AF2:AF730)</f>
        <v>-0.547665010753033</v>
      </c>
      <c r="T611" s="46">
        <f>(VLOOKUP($A611,'The List'!$B1:$AH730,32,FALSE)-AVERAGE('The List'!AG2:AG730))/STDEV('The List'!AG2:AG730)</f>
        <v>-0.58346361024371</v>
      </c>
      <c r="U611" s="46">
        <f>(VLOOKUP($A611,'The List'!$B1:$AH730,33,FALSE)-AVERAGE('The List'!AH2:AH730))/STDEV('The List'!AH2:AH730)</f>
        <v>0.382779914094448</v>
      </c>
      <c r="V611" s="46"/>
      <c r="W611" s="50"/>
      <c r="X611" s="48"/>
      <c r="Y611" s="48"/>
      <c r="Z611" s="48"/>
      <c r="AA611" s="48"/>
      <c r="AB611" s="48"/>
      <c r="AC611" s="51"/>
      <c r="AD611" s="52"/>
      <c r="AE611" s="46"/>
    </row>
    <row r="612" ht="21.25" customHeight="1">
      <c r="A612" t="s" s="8">
        <v>870</v>
      </c>
      <c r="B612" t="s" s="42">
        <f>VLOOKUP(A612,'Player Data'!A1:B734,2,FALSE)</f>
        <v>164</v>
      </c>
      <c r="C612" s="44">
        <f>((E612)*'Settings'!$C$12)+(F612*'Settings'!$C$2)+(G612*'Settings'!$C$3)+(H612*'Settings'!$C$4)+(I612*'Settings'!$C$5)+(K612*'Settings'!$C$9)+(N612*'Settings'!$C$6)+(J612*'Settings'!$C$8)+(O612*'Settings'!$C$7)+(P612*'Settings'!$C$14)+(Q612*'Settings'!$C$15)+(R612*'Settings'!$C$16)+(S612*'Settings'!$C$17)+(T612*'Settings'!$C$18)+(U612*'Settings'!$C$19)+(L612*'Settings'!$C$10)+('Settings'!$C$11*M612)</f>
        <v>-5.10418275166862</v>
      </c>
      <c r="D612" s="48">
        <f>IF('Settings'!$E$12="YES",VLOOKUP(A612,'Player Data'!A1:E734,5,FALSE),82)</f>
        <v>57.0257142857143</v>
      </c>
      <c r="E612" s="46">
        <f>(VLOOKUP($A612,'The List'!$B1:$AH730,17,FALSE)-AVERAGE('The List'!R2:R730))/STDEV('The List'!R2:R730)</f>
        <v>-1.86756191565452</v>
      </c>
      <c r="F612" s="46">
        <f>(VLOOKUP($A612,'The List'!$B1:$AH730,18,FALSE)-AVERAGE('The List'!S2:S730))/STDEV('The List'!S2:S730)</f>
        <v>-1.03819563580602</v>
      </c>
      <c r="G612" s="46">
        <f>(VLOOKUP($A612,'The List'!$B1:$AH730,19,FALSE)-AVERAGE('The List'!T2:T730))/STDEV('The List'!T2:T730)</f>
        <v>-1.11262518861025</v>
      </c>
      <c r="H612" s="46">
        <f>(VLOOKUP($A612,'The List'!$B1:$AH730,20,FALSE)-AVERAGE('The List'!U2:U730))/STDEV('The List'!U2:U730)</f>
        <v>-1.15831864082163</v>
      </c>
      <c r="I612" s="46">
        <f>(VLOOKUP($A612,'The List'!$B1:$AH730,21,FALSE)-AVERAGE('The List'!V2:V730))/STDEV('The List'!V2:V730)</f>
        <v>-1.28458985935184</v>
      </c>
      <c r="J612" s="46">
        <f>(VLOOKUP($A612,'The List'!$B1:$AH730,22,FALSE)-AVERAGE('The List'!W2:W730))/STDEV('The List'!W2:W730)</f>
        <v>-0.699472672004673</v>
      </c>
      <c r="K612" s="46">
        <f>(VLOOKUP($A612,'The List'!$B1:$AH730,23,FALSE)-AVERAGE('The List'!X2:X730))/STDEV('The List'!X2:X730)</f>
        <v>-0.7903143061287889</v>
      </c>
      <c r="L612" s="46">
        <f>(VLOOKUP($A612,'The List'!$B1:$AH730,24,FALSE)-AVERAGE('The List'!Y2:Y730))/STDEV('The List'!Y2:Y730)</f>
        <v>-0.288240368185956</v>
      </c>
      <c r="M612" s="46">
        <f>(VLOOKUP($A612,'The List'!$B1:$AH730,25,FALSE)-AVERAGE('The List'!Z2:Z730))/STDEV('The List'!Z2:Z730)</f>
        <v>0.24458115959155</v>
      </c>
      <c r="N612" s="46">
        <f>(VLOOKUP($A612,'The List'!$B1:$AH730,26,FALSE)-AVERAGE('The List'!AA2:AA730))/STDEV('The List'!AA2:AA730)</f>
        <v>-0.975900399518677</v>
      </c>
      <c r="O612" s="46">
        <f>(VLOOKUP($A612,'The List'!$B1:$AH730,27,FALSE)-AVERAGE('The List'!AB2:AB730))/STDEV('The List'!AB2:AB730)</f>
        <v>-0.976939290207362</v>
      </c>
      <c r="P612" s="46">
        <f>(VLOOKUP($A612,'The List'!$B1:$AH730,28,FALSE)-AVERAGE('The List'!AC2:AC730))/STDEV('The List'!AC2:AC730)</f>
        <v>0.0974426377469529</v>
      </c>
      <c r="Q612" s="46">
        <f>(VLOOKUP($A612,'The List'!$B1:$AH730,29,FALSE)-AVERAGE('The List'!AD2:AD730))/STDEV('The List'!AD2:AD730)</f>
        <v>-1.46093369905929</v>
      </c>
      <c r="R612" s="46">
        <f>(VLOOKUP($A612,'The List'!$B1:$AH730,30,FALSE)-AVERAGE('The List'!AE2:AE730))/STDEV('The List'!AE2:AE730)</f>
        <v>-0.923235411598858</v>
      </c>
      <c r="S612" s="46">
        <f>(VLOOKUP($A612,'The List'!$B1:$AH730,31,FALSE)-AVERAGE('The List'!AF2:AF730))/STDEV('The List'!AF2:AF730)</f>
        <v>0.0409159963840912</v>
      </c>
      <c r="T612" s="46">
        <f>(VLOOKUP($A612,'The List'!$B1:$AH730,32,FALSE)-AVERAGE('The List'!AG2:AG730))/STDEV('The List'!AG2:AG730)</f>
        <v>0.0488683293791465</v>
      </c>
      <c r="U612" s="46">
        <f>(VLOOKUP($A612,'The List'!$B1:$AH730,33,FALSE)-AVERAGE('The List'!AH2:AH730))/STDEV('The List'!AH2:AH730)</f>
        <v>0.984843812249756</v>
      </c>
      <c r="V612" s="46"/>
      <c r="W612" s="50"/>
      <c r="X612" s="48"/>
      <c r="Y612" s="48"/>
      <c r="Z612" s="48"/>
      <c r="AA612" s="48"/>
      <c r="AB612" s="48"/>
      <c r="AC612" s="51"/>
      <c r="AD612" s="52"/>
      <c r="AE612" s="46"/>
    </row>
    <row r="613" ht="21.25" customHeight="1">
      <c r="A613" t="s" s="8">
        <v>674</v>
      </c>
      <c r="B613" t="s" s="42">
        <f>VLOOKUP(A613,'Player Data'!A1:B734,2,FALSE)</f>
        <v>225</v>
      </c>
      <c r="C613" s="44">
        <f>((E613)*'Settings'!$C$12)+(F613*'Settings'!$C$2)+(G613*'Settings'!$C$3)+(H613*'Settings'!$C$4)+(I613*'Settings'!$C$5)+(K613*'Settings'!$C$9)+(N613*'Settings'!$C$6)+(J613*'Settings'!$C$8)+(O613*'Settings'!$C$7)+(P613*'Settings'!$C$14)+(Q613*'Settings'!$C$15)+(R613*'Settings'!$C$16)+(S613*'Settings'!$C$17)+(T613*'Settings'!$C$18)+(U613*'Settings'!$C$19)+(L613*'Settings'!$C$10)+('Settings'!$C$11*M613)</f>
        <v>-5.05630175602002</v>
      </c>
      <c r="D613" s="48">
        <f>IF('Settings'!$E$12="YES",VLOOKUP(A613,'Player Data'!A1:E734,5,FALSE),82)</f>
        <v>59.8475</v>
      </c>
      <c r="E613" s="46">
        <f>(VLOOKUP($A613,'The List'!$B1:$AH730,17,FALSE)-AVERAGE('The List'!R2:R730))/STDEV('The List'!R2:R730)</f>
        <v>0.07842871812803991</v>
      </c>
      <c r="F613" s="46">
        <f>(VLOOKUP($A613,'The List'!$B1:$AH730,18,FALSE)-AVERAGE('The List'!S2:S730))/STDEV('The List'!S2:S730)</f>
        <v>-1.03771020781733</v>
      </c>
      <c r="G613" s="46">
        <f>(VLOOKUP($A613,'The List'!$B1:$AH730,19,FALSE)-AVERAGE('The List'!T2:T730))/STDEV('The List'!T2:T730)</f>
        <v>-1.07971185879892</v>
      </c>
      <c r="H613" s="46">
        <f>(VLOOKUP($A613,'The List'!$B1:$AH730,20,FALSE)-AVERAGE('The List'!U2:U730))/STDEV('The List'!U2:U730)</f>
        <v>-1.1378071261247</v>
      </c>
      <c r="I613" s="46">
        <f>(VLOOKUP($A613,'The List'!$B1:$AH730,21,FALSE)-AVERAGE('The List'!V2:V730))/STDEV('The List'!V2:V730)</f>
        <v>-1.28928416904315</v>
      </c>
      <c r="J613" s="46">
        <f>(VLOOKUP($A613,'The List'!$B1:$AH730,22,FALSE)-AVERAGE('The List'!W2:W730))/STDEV('The List'!W2:W730)</f>
        <v>-0.710345338299307</v>
      </c>
      <c r="K613" s="46">
        <f>(VLOOKUP($A613,'The List'!$B1:$AH730,23,FALSE)-AVERAGE('The List'!X2:X730))/STDEV('The List'!X2:X730)</f>
        <v>-0.793802024956668</v>
      </c>
      <c r="L613" s="46">
        <f>(VLOOKUP($A613,'The List'!$B1:$AH730,24,FALSE)-AVERAGE('The List'!Y2:Y730))/STDEV('The List'!Y2:Y730)</f>
        <v>-0.461525033428218</v>
      </c>
      <c r="M613" s="46">
        <f>(VLOOKUP($A613,'The List'!$B1:$AH730,25,FALSE)-AVERAGE('The List'!Z2:Z730))/STDEV('The List'!Z2:Z730)</f>
        <v>-0.525351183617651</v>
      </c>
      <c r="N613" s="46">
        <f>(VLOOKUP($A613,'The List'!$B1:$AH730,26,FALSE)-AVERAGE('The List'!AA2:AA730))/STDEV('The List'!AA2:AA730)</f>
        <v>0.757719528172731</v>
      </c>
      <c r="O613" s="46">
        <f>(VLOOKUP($A613,'The List'!$B1:$AH730,27,FALSE)-AVERAGE('The List'!AB2:AB730))/STDEV('The List'!AB2:AB730)</f>
        <v>1.13239143805092</v>
      </c>
      <c r="P613" s="46">
        <f>(VLOOKUP($A613,'The List'!$B1:$AH730,28,FALSE)-AVERAGE('The List'!AC2:AC730))/STDEV('The List'!AC2:AC730)</f>
        <v>-1.61351302357668</v>
      </c>
      <c r="Q613" s="46">
        <f>(VLOOKUP($A613,'The List'!$B1:$AH730,29,FALSE)-AVERAGE('The List'!AD2:AD730))/STDEV('The List'!AD2:AD730)</f>
        <v>0.878046405817649</v>
      </c>
      <c r="R613" s="46">
        <f>(VLOOKUP($A613,'The List'!$B1:$AH730,30,FALSE)-AVERAGE('The List'!AE2:AE730))/STDEV('The List'!AE2:AE730)</f>
        <v>-0.987877776075339</v>
      </c>
      <c r="S613" s="46">
        <f>(VLOOKUP($A613,'The List'!$B1:$AH730,31,FALSE)-AVERAGE('The List'!AF2:AF730))/STDEV('The List'!AF2:AF730)</f>
        <v>-0.5569063253591</v>
      </c>
      <c r="T613" s="46">
        <f>(VLOOKUP($A613,'The List'!$B1:$AH730,32,FALSE)-AVERAGE('The List'!AG2:AG730))/STDEV('The List'!AG2:AG730)</f>
        <v>-0.600856269042678</v>
      </c>
      <c r="U613" s="46">
        <f>(VLOOKUP($A613,'The List'!$B1:$AH730,33,FALSE)-AVERAGE('The List'!AH2:AH730))/STDEV('The List'!AH2:AH730)</f>
        <v>-1.2363238714826</v>
      </c>
      <c r="V613" s="46"/>
      <c r="W613" s="48"/>
      <c r="X613" s="46"/>
      <c r="Y613" s="46"/>
      <c r="Z613" s="46"/>
      <c r="AA613" s="46"/>
      <c r="AB613" s="46"/>
      <c r="AC613" s="46"/>
      <c r="AD613" s="46"/>
      <c r="AE613" s="46"/>
    </row>
    <row r="614" ht="21.25" customHeight="1">
      <c r="A614" t="s" s="8">
        <v>643</v>
      </c>
      <c r="B614" t="s" s="42">
        <f>VLOOKUP(A614,'Player Data'!A1:B734,2,FALSE)</f>
        <v>225</v>
      </c>
      <c r="C614" s="44">
        <f>((E614)*'Settings'!$C$12)+(F614*'Settings'!$C$2)+(G614*'Settings'!$C$3)+(H614*'Settings'!$C$4)+(I614*'Settings'!$C$5)+(K614*'Settings'!$C$9)+(N614*'Settings'!$C$6)+(J614*'Settings'!$C$8)+(O614*'Settings'!$C$7)+(P614*'Settings'!$C$14)+(Q614*'Settings'!$C$15)+(R614*'Settings'!$C$16)+(S614*'Settings'!$C$17)+(T614*'Settings'!$C$18)+(U614*'Settings'!$C$19)+(L614*'Settings'!$C$10)+('Settings'!$C$11*M614)</f>
        <v>-4.66968469881513</v>
      </c>
      <c r="D614" s="48">
        <f>IF('Settings'!$E$12="YES",VLOOKUP(A614,'Player Data'!A1:E734,5,FALSE),82)</f>
        <v>72.7435714285714</v>
      </c>
      <c r="E614" s="46">
        <f>(VLOOKUP($A614,'The List'!$B1:$AH730,17,FALSE)-AVERAGE('The List'!R2:R730))/STDEV('The List'!R2:R730)</f>
        <v>-0.014556330375686</v>
      </c>
      <c r="F614" s="46">
        <f>(VLOOKUP($A614,'The List'!$B1:$AH730,18,FALSE)-AVERAGE('The List'!S2:S730))/STDEV('The List'!S2:S730)</f>
        <v>-1.07113883076015</v>
      </c>
      <c r="G614" s="46">
        <f>(VLOOKUP($A614,'The List'!$B1:$AH730,19,FALSE)-AVERAGE('The List'!T2:T730))/STDEV('The List'!T2:T730)</f>
        <v>-0.900851777393374</v>
      </c>
      <c r="H614" s="46">
        <f>(VLOOKUP($A614,'The List'!$B1:$AH730,20,FALSE)-AVERAGE('The List'!U2:U730))/STDEV('The List'!U2:U730)</f>
        <v>-1.04275293069092</v>
      </c>
      <c r="I614" s="46">
        <f>(VLOOKUP($A614,'The List'!$B1:$AH730,21,FALSE)-AVERAGE('The List'!V2:V730))/STDEV('The List'!V2:V730)</f>
        <v>-1.28347520228122</v>
      </c>
      <c r="J614" s="46">
        <f>(VLOOKUP($A614,'The List'!$B1:$AH730,22,FALSE)-AVERAGE('The List'!W2:W730))/STDEV('The List'!W2:W730)</f>
        <v>-0.710422110564396</v>
      </c>
      <c r="K614" s="46">
        <f>(VLOOKUP($A614,'The List'!$B1:$AH730,23,FALSE)-AVERAGE('The List'!X2:X730))/STDEV('The List'!X2:X730)</f>
        <v>-0.793727493194003</v>
      </c>
      <c r="L614" s="46">
        <f>(VLOOKUP($A614,'The List'!$B1:$AH730,24,FALSE)-AVERAGE('The List'!Y2:Y730))/STDEV('The List'!Y2:Y730)</f>
        <v>-0.503065474526771</v>
      </c>
      <c r="M614" s="46">
        <f>(VLOOKUP($A614,'The List'!$B1:$AH730,25,FALSE)-AVERAGE('The List'!Z2:Z730))/STDEV('The List'!Z2:Z730)</f>
        <v>-0.113204720770116</v>
      </c>
      <c r="N614" s="46">
        <f>(VLOOKUP($A614,'The List'!$B1:$AH730,26,FALSE)-AVERAGE('The List'!AA2:AA730))/STDEV('The List'!AA2:AA730)</f>
        <v>1.2118545907128</v>
      </c>
      <c r="O614" s="46">
        <f>(VLOOKUP($A614,'The List'!$B1:$AH730,27,FALSE)-AVERAGE('The List'!AB2:AB730))/STDEV('The List'!AB2:AB730)</f>
        <v>0.856234916428439</v>
      </c>
      <c r="P614" s="46">
        <f>(VLOOKUP($A614,'The List'!$B1:$AH730,28,FALSE)-AVERAGE('The List'!AC2:AC730))/STDEV('The List'!AC2:AC730)</f>
        <v>-1.83234598589918</v>
      </c>
      <c r="Q614" s="46">
        <f>(VLOOKUP($A614,'The List'!$B1:$AH730,29,FALSE)-AVERAGE('The List'!AD2:AD730))/STDEV('The List'!AD2:AD730)</f>
        <v>-0.175870040183506</v>
      </c>
      <c r="R614" s="46">
        <f>(VLOOKUP($A614,'The List'!$B1:$AH730,30,FALSE)-AVERAGE('The List'!AE2:AE730))/STDEV('The List'!AE2:AE730)</f>
        <v>-1.01336756974074</v>
      </c>
      <c r="S614" s="46">
        <f>(VLOOKUP($A614,'The List'!$B1:$AH730,31,FALSE)-AVERAGE('The List'!AF2:AF730))/STDEV('The List'!AF2:AF730)</f>
        <v>-0.5569063253591</v>
      </c>
      <c r="T614" s="46">
        <f>(VLOOKUP($A614,'The List'!$B1:$AH730,32,FALSE)-AVERAGE('The List'!AG2:AG730))/STDEV('The List'!AG2:AG730)</f>
        <v>-0.600856269042678</v>
      </c>
      <c r="U614" s="46">
        <f>(VLOOKUP($A614,'The List'!$B1:$AH730,33,FALSE)-AVERAGE('The List'!AH2:AH730))/STDEV('The List'!AH2:AH730)</f>
        <v>-1.2363238714826</v>
      </c>
      <c r="V614" s="46"/>
      <c r="W614" s="48"/>
      <c r="X614" s="46"/>
      <c r="Y614" s="46"/>
      <c r="Z614" s="46"/>
      <c r="AA614" s="46"/>
      <c r="AB614" s="46"/>
      <c r="AC614" s="46"/>
      <c r="AD614" s="46"/>
      <c r="AE614" s="46"/>
    </row>
    <row r="615" ht="21.25" customHeight="1">
      <c r="A615" t="s" s="8">
        <v>659</v>
      </c>
      <c r="B615" t="s" s="42">
        <f>VLOOKUP(A615,'Player Data'!A1:B734,2,FALSE)</f>
        <v>164</v>
      </c>
      <c r="C615" s="44">
        <f>((E615)*'Settings'!$C$12)+(F615*'Settings'!$C$2)+(G615*'Settings'!$C$3)+(H615*'Settings'!$C$4)+(I615*'Settings'!$C$5)+(K615*'Settings'!$C$9)+(N615*'Settings'!$C$6)+(J615*'Settings'!$C$8)+(O615*'Settings'!$C$7)+(P615*'Settings'!$C$14)+(Q615*'Settings'!$C$15)+(R615*'Settings'!$C$16)+(S615*'Settings'!$C$17)+(T615*'Settings'!$C$18)+(U615*'Settings'!$C$19)+(L615*'Settings'!$C$10)+('Settings'!$C$11*M615)</f>
        <v>-3.52289022610572</v>
      </c>
      <c r="D615" s="48">
        <f>IF('Settings'!$E$12="YES",VLOOKUP(A615,'Player Data'!A1:E734,5,FALSE),82)</f>
        <v>64.7653571428571</v>
      </c>
      <c r="E615" s="46">
        <f>(VLOOKUP($A615,'The List'!$B1:$AH730,17,FALSE)-AVERAGE('The List'!R2:R730))/STDEV('The List'!R2:R730)</f>
        <v>-0.777881758155315</v>
      </c>
      <c r="F615" s="46">
        <f>(VLOOKUP($A615,'The List'!$B1:$AH730,18,FALSE)-AVERAGE('The List'!S2:S730))/STDEV('The List'!S2:S730)</f>
        <v>-1.10090726460624</v>
      </c>
      <c r="G615" s="46">
        <f>(VLOOKUP($A615,'The List'!$B1:$AH730,19,FALSE)-AVERAGE('The List'!T2:T730))/STDEV('The List'!T2:T730)</f>
        <v>-0.9799008773601759</v>
      </c>
      <c r="H615" s="46">
        <f>(VLOOKUP($A615,'The List'!$B1:$AH730,20,FALSE)-AVERAGE('The List'!U2:U730))/STDEV('The List'!U2:U730)</f>
        <v>-1.10503089625123</v>
      </c>
      <c r="I615" s="46">
        <f>(VLOOKUP($A615,'The List'!$B1:$AH730,21,FALSE)-AVERAGE('The List'!V2:V730))/STDEV('The List'!V2:V730)</f>
        <v>-1.09746428091494</v>
      </c>
      <c r="J615" s="46">
        <f>(VLOOKUP($A615,'The List'!$B1:$AH730,22,FALSE)-AVERAGE('The List'!W2:W730))/STDEV('The List'!W2:W730)</f>
        <v>-0.714003731735278</v>
      </c>
      <c r="K615" s="46">
        <f>(VLOOKUP($A615,'The List'!$B1:$AH730,23,FALSE)-AVERAGE('The List'!X2:X730))/STDEV('The List'!X2:X730)</f>
        <v>-0.803598106524084</v>
      </c>
      <c r="L615" s="46">
        <f>(VLOOKUP($A615,'The List'!$B1:$AH730,24,FALSE)-AVERAGE('The List'!Y2:Y730))/STDEV('The List'!Y2:Y730)</f>
        <v>-0.485003285850791</v>
      </c>
      <c r="M615" s="46">
        <f>(VLOOKUP($A615,'The List'!$B1:$AH730,25,FALSE)-AVERAGE('The List'!Z2:Z730))/STDEV('The List'!Z2:Z730)</f>
        <v>-0.286470547804961</v>
      </c>
      <c r="N615" s="46">
        <f>(VLOOKUP($A615,'The List'!$B1:$AH730,26,FALSE)-AVERAGE('The List'!AA2:AA730))/STDEV('The List'!AA2:AA730)</f>
        <v>0.419059149654955</v>
      </c>
      <c r="O615" s="46">
        <f>(VLOOKUP($A615,'The List'!$B1:$AH730,27,FALSE)-AVERAGE('The List'!AB2:AB730))/STDEV('The List'!AB2:AB730)</f>
        <v>0.405283668000895</v>
      </c>
      <c r="P615" s="46">
        <f>(VLOOKUP($A615,'The List'!$B1:$AH730,28,FALSE)-AVERAGE('The List'!AC2:AC730))/STDEV('The List'!AC2:AC730)</f>
        <v>0.0399211536447602</v>
      </c>
      <c r="Q615" s="46">
        <f>(VLOOKUP($A615,'The List'!$B1:$AH730,29,FALSE)-AVERAGE('The List'!AD2:AD730))/STDEV('The List'!AD2:AD730)</f>
        <v>0.69872342435074</v>
      </c>
      <c r="R615" s="46">
        <f>(VLOOKUP($A615,'The List'!$B1:$AH730,30,FALSE)-AVERAGE('The List'!AE2:AE730))/STDEV('The List'!AE2:AE730)</f>
        <v>-0.986895990736388</v>
      </c>
      <c r="S615" s="46">
        <f>(VLOOKUP($A615,'The List'!$B1:$AH730,31,FALSE)-AVERAGE('The List'!AF2:AF730))/STDEV('The List'!AF2:AF730)</f>
        <v>-0.5569063253591</v>
      </c>
      <c r="T615" s="46">
        <f>(VLOOKUP($A615,'The List'!$B1:$AH730,32,FALSE)-AVERAGE('The List'!AG2:AG730))/STDEV('The List'!AG2:AG730)</f>
        <v>-0.600856269042678</v>
      </c>
      <c r="U615" s="46">
        <f>(VLOOKUP($A615,'The List'!$B1:$AH730,33,FALSE)-AVERAGE('The List'!AH2:AH730))/STDEV('The List'!AH2:AH730)</f>
        <v>-1.2363238714826</v>
      </c>
      <c r="V615" s="46"/>
      <c r="W615" s="50"/>
      <c r="X615" s="48"/>
      <c r="Y615" s="48"/>
      <c r="Z615" s="48"/>
      <c r="AA615" s="48"/>
      <c r="AB615" s="48"/>
      <c r="AC615" s="51"/>
      <c r="AD615" s="52"/>
      <c r="AE615" s="46"/>
    </row>
    <row r="616" ht="21.25" customHeight="1">
      <c r="A616" t="s" s="8">
        <v>640</v>
      </c>
      <c r="B616" t="s" s="42">
        <f>VLOOKUP(A616,'Player Data'!A1:B734,2,FALSE)</f>
        <v>194</v>
      </c>
      <c r="C616" s="44">
        <f>((E616)*'Settings'!$C$12)+(F616*'Settings'!$C$2)+(G616*'Settings'!$C$3)+(H616*'Settings'!$C$4)+(I616*'Settings'!$C$5)+(K616*'Settings'!$C$9)+(N616*'Settings'!$C$6)+(J616*'Settings'!$C$8)+(O616*'Settings'!$C$7)+(P616*'Settings'!$C$14)+(Q616*'Settings'!$C$15)+(R616*'Settings'!$C$16)+(S616*'Settings'!$C$17)+(T616*'Settings'!$C$18)+(U616*'Settings'!$C$19)+(L616*'Settings'!$C$10)+('Settings'!$C$11*M616)</f>
        <v>-4.05225348476026</v>
      </c>
      <c r="D616" s="48">
        <f>IF('Settings'!$E$12="YES",VLOOKUP(A616,'Player Data'!A1:E734,5,FALSE),82)</f>
        <v>68.34999999999999</v>
      </c>
      <c r="E616" s="46">
        <f>(VLOOKUP($A616,'The List'!$B1:$AH730,17,FALSE)-AVERAGE('The List'!R2:R730))/STDEV('The List'!R2:R730)</f>
        <v>0.33482666333996</v>
      </c>
      <c r="F616" s="46">
        <f>(VLOOKUP($A616,'The List'!$B1:$AH730,18,FALSE)-AVERAGE('The List'!S2:S730))/STDEV('The List'!S2:S730)</f>
        <v>-1.01970665209859</v>
      </c>
      <c r="G616" s="46">
        <f>(VLOOKUP($A616,'The List'!$B1:$AH730,19,FALSE)-AVERAGE('The List'!T2:T730))/STDEV('The List'!T2:T730)</f>
        <v>-1.0005932464236</v>
      </c>
      <c r="H616" s="46">
        <f>(VLOOKUP($A616,'The List'!$B1:$AH730,20,FALSE)-AVERAGE('The List'!U2:U730))/STDEV('The List'!U2:U730)</f>
        <v>-1.08083956257898</v>
      </c>
      <c r="I616" s="46">
        <f>(VLOOKUP($A616,'The List'!$B1:$AH730,21,FALSE)-AVERAGE('The List'!V2:V730))/STDEV('The List'!V2:V730)</f>
        <v>-1.02501930686733</v>
      </c>
      <c r="J616" s="46">
        <f>(VLOOKUP($A616,'The List'!$B1:$AH730,22,FALSE)-AVERAGE('The List'!W2:W730))/STDEV('The List'!W2:W730)</f>
        <v>-0.70880385811271</v>
      </c>
      <c r="K616" s="46">
        <f>(VLOOKUP($A616,'The List'!$B1:$AH730,23,FALSE)-AVERAGE('The List'!X2:X730))/STDEV('The List'!X2:X730)</f>
        <v>-0.78944645725178</v>
      </c>
      <c r="L616" s="46">
        <f>(VLOOKUP($A616,'The List'!$B1:$AH730,24,FALSE)-AVERAGE('The List'!Y2:Y730))/STDEV('The List'!Y2:Y730)</f>
        <v>-0.490633602979393</v>
      </c>
      <c r="M616" s="46">
        <f>(VLOOKUP($A616,'The List'!$B1:$AH730,25,FALSE)-AVERAGE('The List'!Z2:Z730))/STDEV('The List'!Z2:Z730)</f>
        <v>0.447674261253425</v>
      </c>
      <c r="N616" s="46">
        <f>(VLOOKUP($A616,'The List'!$B1:$AH730,26,FALSE)-AVERAGE('The List'!AA2:AA730))/STDEV('The List'!AA2:AA730)</f>
        <v>0.655872005778822</v>
      </c>
      <c r="O616" s="46">
        <f>(VLOOKUP($A616,'The List'!$B1:$AH730,27,FALSE)-AVERAGE('The List'!AB2:AB730))/STDEV('The List'!AB2:AB730)</f>
        <v>0.0955179921868602</v>
      </c>
      <c r="P616" s="46">
        <f>(VLOOKUP($A616,'The List'!$B1:$AH730,28,FALSE)-AVERAGE('The List'!AC2:AC730))/STDEV('The List'!AC2:AC730)</f>
        <v>-0.873359827897783</v>
      </c>
      <c r="Q616" s="46">
        <f>(VLOOKUP($A616,'The List'!$B1:$AH730,29,FALSE)-AVERAGE('The List'!AD2:AD730))/STDEV('The List'!AD2:AD730)</f>
        <v>-0.524303936105445</v>
      </c>
      <c r="R616" s="46">
        <f>(VLOOKUP($A616,'The List'!$B1:$AH730,30,FALSE)-AVERAGE('The List'!AE2:AE730))/STDEV('The List'!AE2:AE730)</f>
        <v>-0.977935038203674</v>
      </c>
      <c r="S616" s="46">
        <f>(VLOOKUP($A616,'The List'!$B1:$AH730,31,FALSE)-AVERAGE('The List'!AF2:AF730))/STDEV('The List'!AF2:AF730)</f>
        <v>-0.5569063253591</v>
      </c>
      <c r="T616" s="46">
        <f>(VLOOKUP($A616,'The List'!$B1:$AH730,32,FALSE)-AVERAGE('The List'!AG2:AG730))/STDEV('The List'!AG2:AG730)</f>
        <v>-0.600856269042678</v>
      </c>
      <c r="U616" s="46">
        <f>(VLOOKUP($A616,'The List'!$B1:$AH730,33,FALSE)-AVERAGE('The List'!AH2:AH730))/STDEV('The List'!AH2:AH730)</f>
        <v>-1.2363238714826</v>
      </c>
      <c r="V616" s="46"/>
      <c r="W616" s="50"/>
      <c r="X616" s="48"/>
      <c r="Y616" s="48"/>
      <c r="Z616" s="48"/>
      <c r="AA616" s="48"/>
      <c r="AB616" s="48"/>
      <c r="AC616" s="51"/>
      <c r="AD616" s="52"/>
      <c r="AE616" s="46"/>
    </row>
    <row r="617" ht="21.25" customHeight="1">
      <c r="A617" t="s" s="8">
        <v>874</v>
      </c>
      <c r="B617" t="s" s="42">
        <f>VLOOKUP(A617,'Player Data'!A1:B734,2,FALSE)</f>
        <v>236</v>
      </c>
      <c r="C617" s="44">
        <f>((E617)*'Settings'!$C$12)+(F617*'Settings'!$C$2)+(G617*'Settings'!$C$3)+(H617*'Settings'!$C$4)+(I617*'Settings'!$C$5)+(K617*'Settings'!$C$9)+(N617*'Settings'!$C$6)+(J617*'Settings'!$C$8)+(O617*'Settings'!$C$7)+(P617*'Settings'!$C$14)+(Q617*'Settings'!$C$15)+(R617*'Settings'!$C$16)+(S617*'Settings'!$C$17)+(T617*'Settings'!$C$18)+(U617*'Settings'!$C$19)+(L617*'Settings'!$C$10)+('Settings'!$C$11*M617)</f>
        <v>-6.51375491759583</v>
      </c>
      <c r="D617" s="48">
        <f>IF('Settings'!$E$12="YES",VLOOKUP(A617,'Player Data'!A1:E734,5,FALSE),82)</f>
        <v>54.5496428571429</v>
      </c>
      <c r="E617" s="46">
        <f>(VLOOKUP($A617,'The List'!$B1:$AH730,17,FALSE)-AVERAGE('The List'!R2:R730))/STDEV('The List'!R2:R730)</f>
        <v>-1.88907948930993</v>
      </c>
      <c r="F617" s="46">
        <f>(VLOOKUP($A617,'The List'!$B1:$AH730,18,FALSE)-AVERAGE('The List'!S2:S730))/STDEV('The List'!S2:S730)</f>
        <v>-0.885162154571175</v>
      </c>
      <c r="G617" s="46">
        <f>(VLOOKUP($A617,'The List'!$B1:$AH730,19,FALSE)-AVERAGE('The List'!T2:T730))/STDEV('The List'!T2:T730)</f>
        <v>-1.2710464649357</v>
      </c>
      <c r="H617" s="46">
        <f>(VLOOKUP($A617,'The List'!$B1:$AH730,20,FALSE)-AVERAGE('The List'!U2:U730))/STDEV('The List'!U2:U730)</f>
        <v>-1.18634997228273</v>
      </c>
      <c r="I617" s="46">
        <f>(VLOOKUP($A617,'The List'!$B1:$AH730,21,FALSE)-AVERAGE('The List'!V2:V730))/STDEV('The List'!V2:V730)</f>
        <v>-1.4260956917871</v>
      </c>
      <c r="J617" s="46">
        <f>(VLOOKUP($A617,'The List'!$B1:$AH730,22,FALSE)-AVERAGE('The List'!W2:W730))/STDEV('The List'!W2:W730)</f>
        <v>-0.681547503453072</v>
      </c>
      <c r="K617" s="46">
        <f>(VLOOKUP($A617,'The List'!$B1:$AH730,23,FALSE)-AVERAGE('The List'!X2:X730))/STDEV('The List'!X2:X730)</f>
        <v>-0.771792726257116</v>
      </c>
      <c r="L617" s="46">
        <f>(VLOOKUP($A617,'The List'!$B1:$AH730,24,FALSE)-AVERAGE('The List'!Y2:Y730))/STDEV('The List'!Y2:Y730)</f>
        <v>-0.458550035792299</v>
      </c>
      <c r="M617" s="46">
        <f>(VLOOKUP($A617,'The List'!$B1:$AH730,25,FALSE)-AVERAGE('The List'!Z2:Z730))/STDEV('The List'!Z2:Z730)</f>
        <v>-0.626361736645963</v>
      </c>
      <c r="N617" s="46">
        <f>(VLOOKUP($A617,'The List'!$B1:$AH730,26,FALSE)-AVERAGE('The List'!AA2:AA730))/STDEV('The List'!AA2:AA730)</f>
        <v>-1.03751383716396</v>
      </c>
      <c r="O617" s="46">
        <f>(VLOOKUP($A617,'The List'!$B1:$AH730,27,FALSE)-AVERAGE('The List'!AB2:AB730))/STDEV('The List'!AB2:AB730)</f>
        <v>-0.605484315155007</v>
      </c>
      <c r="P617" s="46">
        <f>(VLOOKUP($A617,'The List'!$B1:$AH730,28,FALSE)-AVERAGE('The List'!AC2:AC730))/STDEV('The List'!AC2:AC730)</f>
        <v>-1.12214404288078</v>
      </c>
      <c r="Q617" s="46">
        <f>(VLOOKUP($A617,'The List'!$B1:$AH730,29,FALSE)-AVERAGE('The List'!AD2:AD730))/STDEV('The List'!AD2:AD730)</f>
        <v>-1.55099897615332</v>
      </c>
      <c r="R617" s="46">
        <f>(VLOOKUP($A617,'The List'!$B1:$AH730,30,FALSE)-AVERAGE('The List'!AE2:AE730))/STDEV('The List'!AE2:AE730)</f>
        <v>-0.870585462794636</v>
      </c>
      <c r="S617" s="46">
        <f>(VLOOKUP($A617,'The List'!$B1:$AH730,31,FALSE)-AVERAGE('The List'!AF2:AF730))/STDEV('The List'!AF2:AF730)</f>
        <v>-0.138168204842825</v>
      </c>
      <c r="T617" s="46">
        <f>(VLOOKUP($A617,'The List'!$B1:$AH730,32,FALSE)-AVERAGE('The List'!AG2:AG730))/STDEV('The List'!AG2:AG730)</f>
        <v>-0.16663930494559</v>
      </c>
      <c r="U617" s="46">
        <f>(VLOOKUP($A617,'The List'!$B1:$AH730,33,FALSE)-AVERAGE('The List'!AH2:AH730))/STDEV('The List'!AH2:AH730)</f>
        <v>1.03785803938743</v>
      </c>
      <c r="V617" s="46"/>
      <c r="W617" s="48"/>
      <c r="X617" s="46"/>
      <c r="Y617" s="46"/>
      <c r="Z617" s="46"/>
      <c r="AA617" s="46"/>
      <c r="AB617" s="46"/>
      <c r="AC617" s="46"/>
      <c r="AD617" s="46"/>
      <c r="AE617" s="46"/>
    </row>
    <row r="618" ht="21.25" customHeight="1">
      <c r="A618" t="s" s="8">
        <v>693</v>
      </c>
      <c r="B618" t="s" s="42">
        <f>VLOOKUP(A618,'Player Data'!A1:B734,2,FALSE)</f>
        <v>173</v>
      </c>
      <c r="C618" s="44">
        <f>((E618)*'Settings'!$C$12)+(F618*'Settings'!$C$2)+(G618*'Settings'!$C$3)+(H618*'Settings'!$C$4)+(I618*'Settings'!$C$5)+(K618*'Settings'!$C$9)+(N618*'Settings'!$C$6)+(J618*'Settings'!$C$8)+(O618*'Settings'!$C$7)+(P618*'Settings'!$C$14)+(Q618*'Settings'!$C$15)+(R618*'Settings'!$C$16)+(S618*'Settings'!$C$17)+(T618*'Settings'!$C$18)+(U618*'Settings'!$C$19)+(L618*'Settings'!$C$10)+('Settings'!$C$11*M618)</f>
        <v>-4.26483726243566</v>
      </c>
      <c r="D618" s="48">
        <f>IF('Settings'!$E$12="YES",VLOOKUP(A618,'Player Data'!A1:E734,5,FALSE),82)</f>
        <v>53.2046428571429</v>
      </c>
      <c r="E618" s="46">
        <f>(VLOOKUP($A618,'The List'!$B1:$AH730,17,FALSE)-AVERAGE('The List'!R2:R730))/STDEV('The List'!R2:R730)</f>
        <v>-0.123388505488839</v>
      </c>
      <c r="F618" s="46">
        <f>(VLOOKUP($A618,'The List'!$B1:$AH730,18,FALSE)-AVERAGE('The List'!S2:S730))/STDEV('The List'!S2:S730)</f>
        <v>-1.13581376352461</v>
      </c>
      <c r="G618" s="46">
        <f>(VLOOKUP($A618,'The List'!$B1:$AH730,19,FALSE)-AVERAGE('The List'!T2:T730))/STDEV('The List'!T2:T730)</f>
        <v>-1.10330978732518</v>
      </c>
      <c r="H618" s="46">
        <f>(VLOOKUP($A618,'The List'!$B1:$AH730,20,FALSE)-AVERAGE('The List'!U2:U730))/STDEV('The List'!U2:U730)</f>
        <v>-1.19699402427976</v>
      </c>
      <c r="I618" s="46">
        <f>(VLOOKUP($A618,'The List'!$B1:$AH730,21,FALSE)-AVERAGE('The List'!V2:V730))/STDEV('The List'!V2:V730)</f>
        <v>-1.18088295813068</v>
      </c>
      <c r="J618" s="46">
        <f>(VLOOKUP($A618,'The List'!$B1:$AH730,22,FALSE)-AVERAGE('The List'!W2:W730))/STDEV('The List'!W2:W730)</f>
        <v>-0.709763429779029</v>
      </c>
      <c r="K618" s="46">
        <f>(VLOOKUP($A618,'The List'!$B1:$AH730,23,FALSE)-AVERAGE('The List'!X2:X730))/STDEV('The List'!X2:X730)</f>
        <v>-0.792647849870497</v>
      </c>
      <c r="L618" s="46">
        <f>(VLOOKUP($A618,'The List'!$B1:$AH730,24,FALSE)-AVERAGE('The List'!Y2:Y730))/STDEV('The List'!Y2:Y730)</f>
        <v>-0.503704743723164</v>
      </c>
      <c r="M618" s="46">
        <f>(VLOOKUP($A618,'The List'!$B1:$AH730,25,FALSE)-AVERAGE('The List'!Z2:Z730))/STDEV('The List'!Z2:Z730)</f>
        <v>-0.6334434791392199</v>
      </c>
      <c r="N618" s="46">
        <f>(VLOOKUP($A618,'The List'!$B1:$AH730,26,FALSE)-AVERAGE('The List'!AA2:AA730))/STDEV('The List'!AA2:AA730)</f>
        <v>0.0818621536262957</v>
      </c>
      <c r="O618" s="46">
        <f>(VLOOKUP($A618,'The List'!$B1:$AH730,27,FALSE)-AVERAGE('The List'!AB2:AB730))/STDEV('The List'!AB2:AB730)</f>
        <v>-0.53825551515782</v>
      </c>
      <c r="P618" s="46">
        <f>(VLOOKUP($A618,'The List'!$B1:$AH730,28,FALSE)-AVERAGE('The List'!AC2:AC730))/STDEV('The List'!AC2:AC730)</f>
        <v>-0.134045057210989</v>
      </c>
      <c r="Q618" s="46">
        <f>(VLOOKUP($A618,'The List'!$B1:$AH730,29,FALSE)-AVERAGE('The List'!AD2:AD730))/STDEV('The List'!AD2:AD730)</f>
        <v>-0.495695631419388</v>
      </c>
      <c r="R618" s="46">
        <f>(VLOOKUP($A618,'The List'!$B1:$AH730,30,FALSE)-AVERAGE('The List'!AE2:AE730))/STDEV('The List'!AE2:AE730)</f>
        <v>-1.02816961103225</v>
      </c>
      <c r="S618" s="46">
        <f>(VLOOKUP($A618,'The List'!$B1:$AH730,31,FALSE)-AVERAGE('The List'!AF2:AF730))/STDEV('The List'!AF2:AF730)</f>
        <v>-0.5569063253591</v>
      </c>
      <c r="T618" s="46">
        <f>(VLOOKUP($A618,'The List'!$B1:$AH730,32,FALSE)-AVERAGE('The List'!AG2:AG730))/STDEV('The List'!AG2:AG730)</f>
        <v>-0.600856269042678</v>
      </c>
      <c r="U618" s="46">
        <f>(VLOOKUP($A618,'The List'!$B1:$AH730,33,FALSE)-AVERAGE('The List'!AH2:AH730))/STDEV('The List'!AH2:AH730)</f>
        <v>-1.2363238714826</v>
      </c>
      <c r="V618" s="46"/>
      <c r="W618" s="50"/>
      <c r="X618" s="48"/>
      <c r="Y618" s="48"/>
      <c r="Z618" s="48"/>
      <c r="AA618" s="48"/>
      <c r="AB618" s="48"/>
      <c r="AC618" s="51"/>
      <c r="AD618" s="52"/>
      <c r="AE618" s="46"/>
    </row>
    <row r="619" ht="21.25" customHeight="1">
      <c r="A619" t="s" s="8">
        <v>580</v>
      </c>
      <c r="B619" t="s" s="42">
        <f>VLOOKUP(A619,'Player Data'!A1:B734,2,FALSE)</f>
        <v>189</v>
      </c>
      <c r="C619" s="44">
        <f>((E619)*'Settings'!$C$12)+(F619*'Settings'!$C$2)+(G619*'Settings'!$C$3)+(H619*'Settings'!$C$4)+(I619*'Settings'!$C$5)+(K619*'Settings'!$C$9)+(N619*'Settings'!$C$6)+(J619*'Settings'!$C$8)+(O619*'Settings'!$C$7)+(P619*'Settings'!$C$14)+(Q619*'Settings'!$C$15)+(R619*'Settings'!$C$16)+(S619*'Settings'!$C$17)+(T619*'Settings'!$C$18)+(U619*'Settings'!$C$19)+(L619*'Settings'!$C$10)+('Settings'!$C$11*M619)</f>
        <v>-3.64324909742125</v>
      </c>
      <c r="D619" s="48">
        <f>IF('Settings'!$E$12="YES",VLOOKUP(A619,'Player Data'!A1:E734,5,FALSE),82)</f>
        <v>75.55</v>
      </c>
      <c r="E619" s="46">
        <f>(VLOOKUP($A619,'The List'!$B1:$AH730,17,FALSE)-AVERAGE('The List'!R2:R730))/STDEV('The List'!R2:R730)</f>
        <v>0.2650787180663</v>
      </c>
      <c r="F619" s="46">
        <f>(VLOOKUP($A619,'The List'!$B1:$AH730,18,FALSE)-AVERAGE('The List'!S2:S730))/STDEV('The List'!S2:S730)</f>
        <v>-1.0246360071476</v>
      </c>
      <c r="G619" s="46">
        <f>(VLOOKUP($A619,'The List'!$B1:$AH730,19,FALSE)-AVERAGE('The List'!T2:T730))/STDEV('The List'!T2:T730)</f>
        <v>-0.912811886659031</v>
      </c>
      <c r="H619" s="46">
        <f>(VLOOKUP($A619,'The List'!$B1:$AH730,20,FALSE)-AVERAGE('The List'!U2:U730))/STDEV('The List'!U2:U730)</f>
        <v>-1.02896646346303</v>
      </c>
      <c r="I619" s="46">
        <f>(VLOOKUP($A619,'The List'!$B1:$AH730,21,FALSE)-AVERAGE('The List'!V2:V730))/STDEV('The List'!V2:V730)</f>
        <v>-0.565730514782504</v>
      </c>
      <c r="J619" s="46">
        <f>(VLOOKUP($A619,'The List'!$B1:$AH730,22,FALSE)-AVERAGE('The List'!W2:W730))/STDEV('The List'!W2:W730)</f>
        <v>-0.708960900282413</v>
      </c>
      <c r="K619" s="46">
        <f>(VLOOKUP($A619,'The List'!$B1:$AH730,23,FALSE)-AVERAGE('The List'!X2:X730))/STDEV('The List'!X2:X730)</f>
        <v>-0.789871557953731</v>
      </c>
      <c r="L619" s="46">
        <f>(VLOOKUP($A619,'The List'!$B1:$AH730,24,FALSE)-AVERAGE('The List'!Y2:Y730))/STDEV('The List'!Y2:Y730)</f>
        <v>-0.50767902081176</v>
      </c>
      <c r="M619" s="46">
        <f>(VLOOKUP($A619,'The List'!$B1:$AH730,25,FALSE)-AVERAGE('The List'!Z2:Z730))/STDEV('The List'!Z2:Z730)</f>
        <v>-0.602502897531477</v>
      </c>
      <c r="N619" s="46">
        <f>(VLOOKUP($A619,'The List'!$B1:$AH730,26,FALSE)-AVERAGE('The List'!AA2:AA730))/STDEV('The List'!AA2:AA730)</f>
        <v>1.3318894821651</v>
      </c>
      <c r="O619" s="46">
        <f>(VLOOKUP($A619,'The List'!$B1:$AH730,27,FALSE)-AVERAGE('The List'!AB2:AB730))/STDEV('The List'!AB2:AB730)</f>
        <v>0.476988336610866</v>
      </c>
      <c r="P619" s="46">
        <f>(VLOOKUP($A619,'The List'!$B1:$AH730,28,FALSE)-AVERAGE('The List'!AC2:AC730))/STDEV('The List'!AC2:AC730)</f>
        <v>-1.68208861304348</v>
      </c>
      <c r="Q619" s="46">
        <f>(VLOOKUP($A619,'The List'!$B1:$AH730,29,FALSE)-AVERAGE('The List'!AD2:AD730))/STDEV('The List'!AD2:AD730)</f>
        <v>1.71747200545513</v>
      </c>
      <c r="R619" s="46">
        <f>(VLOOKUP($A619,'The List'!$B1:$AH730,30,FALSE)-AVERAGE('The List'!AE2:AE730))/STDEV('The List'!AE2:AE730)</f>
        <v>-0.995580734575868</v>
      </c>
      <c r="S619" s="46">
        <f>(VLOOKUP($A619,'The List'!$B1:$AH730,31,FALSE)-AVERAGE('The List'!AF2:AF730))/STDEV('The List'!AF2:AF730)</f>
        <v>-0.5569063253591</v>
      </c>
      <c r="T619" s="46">
        <f>(VLOOKUP($A619,'The List'!$B1:$AH730,32,FALSE)-AVERAGE('The List'!AG2:AG730))/STDEV('The List'!AG2:AG730)</f>
        <v>-0.600856269042678</v>
      </c>
      <c r="U619" s="46">
        <f>(VLOOKUP($A619,'The List'!$B1:$AH730,33,FALSE)-AVERAGE('The List'!AH2:AH730))/STDEV('The List'!AH2:AH730)</f>
        <v>-1.2363238714826</v>
      </c>
      <c r="V619" s="46"/>
      <c r="W619" s="50"/>
      <c r="X619" s="48"/>
      <c r="Y619" s="48"/>
      <c r="Z619" s="48"/>
      <c r="AA619" s="48"/>
      <c r="AB619" s="48"/>
      <c r="AC619" s="51"/>
      <c r="AD619" s="52"/>
      <c r="AE619" s="46"/>
    </row>
    <row r="620" ht="21.25" customHeight="1">
      <c r="A620" t="s" s="8">
        <v>627</v>
      </c>
      <c r="B620" t="s" s="42">
        <f>VLOOKUP(A620,'Player Data'!A1:B734,2,FALSE)</f>
        <v>236</v>
      </c>
      <c r="C620" s="44">
        <f>((E620)*'Settings'!$C$12)+(F620*'Settings'!$C$2)+(G620*'Settings'!$C$3)+(H620*'Settings'!$C$4)+(I620*'Settings'!$C$5)+(K620*'Settings'!$C$9)+(N620*'Settings'!$C$6)+(J620*'Settings'!$C$8)+(O620*'Settings'!$C$7)+(P620*'Settings'!$C$14)+(Q620*'Settings'!$C$15)+(R620*'Settings'!$C$16)+(S620*'Settings'!$C$17)+(T620*'Settings'!$C$18)+(U620*'Settings'!$C$19)+(L620*'Settings'!$C$10)+('Settings'!$C$11*M620)</f>
        <v>-4.14470348191571</v>
      </c>
      <c r="D620" s="48">
        <f>IF('Settings'!$E$12="YES",VLOOKUP(A620,'Player Data'!A1:E734,5,FALSE),82)</f>
        <v>77</v>
      </c>
      <c r="E620" s="46">
        <f>(VLOOKUP($A620,'The List'!$B1:$AH730,17,FALSE)-AVERAGE('The List'!R2:R730))/STDEV('The List'!R2:R730)</f>
        <v>-0.0295950137635682</v>
      </c>
      <c r="F620" s="46">
        <f>(VLOOKUP($A620,'The List'!$B1:$AH730,18,FALSE)-AVERAGE('The List'!S2:S730))/STDEV('The List'!S2:S730)</f>
        <v>-1.05346968186607</v>
      </c>
      <c r="G620" s="46">
        <f>(VLOOKUP($A620,'The List'!$B1:$AH730,19,FALSE)-AVERAGE('The List'!T2:T730))/STDEV('The List'!T2:T730)</f>
        <v>-0.875985262419229</v>
      </c>
      <c r="H620" s="46">
        <f>(VLOOKUP($A620,'The List'!$B1:$AH730,20,FALSE)-AVERAGE('The List'!U2:U730))/STDEV('The List'!U2:U730)</f>
        <v>-1.01938323393289</v>
      </c>
      <c r="I620" s="46">
        <f>(VLOOKUP($A620,'The List'!$B1:$AH730,21,FALSE)-AVERAGE('The List'!V2:V730))/STDEV('The List'!V2:V730)</f>
        <v>-1.12147019082985</v>
      </c>
      <c r="J620" s="46">
        <f>(VLOOKUP($A620,'The List'!$B1:$AH730,22,FALSE)-AVERAGE('The List'!W2:W730))/STDEV('The List'!W2:W730)</f>
        <v>-0.709676986218323</v>
      </c>
      <c r="K620" s="46">
        <f>(VLOOKUP($A620,'The List'!$B1:$AH730,23,FALSE)-AVERAGE('The List'!X2:X730))/STDEV('The List'!X2:X730)</f>
        <v>-0.791045270456281</v>
      </c>
      <c r="L620" s="46">
        <f>(VLOOKUP($A620,'The List'!$B1:$AH730,24,FALSE)-AVERAGE('The List'!Y2:Y730))/STDEV('The List'!Y2:Y730)</f>
        <v>-0.514951117180542</v>
      </c>
      <c r="M620" s="46">
        <f>(VLOOKUP($A620,'The List'!$B1:$AH730,25,FALSE)-AVERAGE('The List'!Z2:Z730))/STDEV('The List'!Z2:Z730)</f>
        <v>-0.648777440339102</v>
      </c>
      <c r="N620" s="46">
        <f>(VLOOKUP($A620,'The List'!$B1:$AH730,26,FALSE)-AVERAGE('The List'!AA2:AA730))/STDEV('The List'!AA2:AA730)</f>
        <v>1.03909429308872</v>
      </c>
      <c r="O620" s="46">
        <f>(VLOOKUP($A620,'The List'!$B1:$AH730,27,FALSE)-AVERAGE('The List'!AB2:AB730))/STDEV('The List'!AB2:AB730)</f>
        <v>0.672695184733563</v>
      </c>
      <c r="P620" s="46">
        <f>(VLOOKUP($A620,'The List'!$B1:$AH730,28,FALSE)-AVERAGE('The List'!AC2:AC730))/STDEV('The List'!AC2:AC730)</f>
        <v>-1.341827369433</v>
      </c>
      <c r="Q620" s="46">
        <f>(VLOOKUP($A620,'The List'!$B1:$AH730,29,FALSE)-AVERAGE('The List'!AD2:AD730))/STDEV('The List'!AD2:AD730)</f>
        <v>-0.188473497467705</v>
      </c>
      <c r="R620" s="46">
        <f>(VLOOKUP($A620,'The List'!$B1:$AH730,30,FALSE)-AVERAGE('The List'!AE2:AE730))/STDEV('The List'!AE2:AE730)</f>
        <v>-0.999321062700554</v>
      </c>
      <c r="S620" s="46">
        <f>(VLOOKUP($A620,'The List'!$B1:$AH730,31,FALSE)-AVERAGE('The List'!AF2:AF730))/STDEV('The List'!AF2:AF730)</f>
        <v>-0.5569063253591</v>
      </c>
      <c r="T620" s="46">
        <f>(VLOOKUP($A620,'The List'!$B1:$AH730,32,FALSE)-AVERAGE('The List'!AG2:AG730))/STDEV('The List'!AG2:AG730)</f>
        <v>-0.600856269042678</v>
      </c>
      <c r="U620" s="46">
        <f>(VLOOKUP($A620,'The List'!$B1:$AH730,33,FALSE)-AVERAGE('The List'!AH2:AH730))/STDEV('The List'!AH2:AH730)</f>
        <v>-1.2363238714826</v>
      </c>
      <c r="V620" s="46"/>
      <c r="W620" s="50"/>
      <c r="X620" s="48"/>
      <c r="Y620" s="48"/>
      <c r="Z620" s="48"/>
      <c r="AA620" s="48"/>
      <c r="AB620" s="48"/>
      <c r="AC620" s="51"/>
      <c r="AD620" s="52"/>
      <c r="AE620" s="46"/>
    </row>
    <row r="621" ht="21.25" customHeight="1">
      <c r="A621" t="s" s="8">
        <v>619</v>
      </c>
      <c r="B621" t="s" s="42">
        <f>VLOOKUP(A621,'Player Data'!A1:B734,2,FALSE)</f>
        <v>131</v>
      </c>
      <c r="C621" s="44">
        <f>((E621)*'Settings'!$C$12)+(F621*'Settings'!$C$2)+(G621*'Settings'!$C$3)+(H621*'Settings'!$C$4)+(I621*'Settings'!$C$5)+(K621*'Settings'!$C$9)+(N621*'Settings'!$C$6)+(J621*'Settings'!$C$8)+(O621*'Settings'!$C$7)+(P621*'Settings'!$C$14)+(Q621*'Settings'!$C$15)+(R621*'Settings'!$C$16)+(S621*'Settings'!$C$17)+(T621*'Settings'!$C$18)+(U621*'Settings'!$C$19)+(L621*'Settings'!$C$10)+('Settings'!$C$11*M621)</f>
        <v>-3.80742529827439</v>
      </c>
      <c r="D621" s="48">
        <f>IF('Settings'!$E$12="YES",VLOOKUP(A621,'Player Data'!A1:E734,5,FALSE),82)</f>
        <v>74.97107142857141</v>
      </c>
      <c r="E621" s="46">
        <f>(VLOOKUP($A621,'The List'!$B1:$AH730,17,FALSE)-AVERAGE('The List'!R2:R730))/STDEV('The List'!R2:R730)</f>
        <v>-0.0792932324777723</v>
      </c>
      <c r="F621" s="46">
        <f>(VLOOKUP($A621,'The List'!$B1:$AH730,18,FALSE)-AVERAGE('The List'!S2:S730))/STDEV('The List'!S2:S730)</f>
        <v>-1.01674277688993</v>
      </c>
      <c r="G621" s="46">
        <f>(VLOOKUP($A621,'The List'!$B1:$AH730,19,FALSE)-AVERAGE('The List'!T2:T730))/STDEV('The List'!T2:T730)</f>
        <v>-0.931438382503942</v>
      </c>
      <c r="H621" s="46">
        <f>(VLOOKUP($A621,'The List'!$B1:$AH730,20,FALSE)-AVERAGE('The List'!U2:U730))/STDEV('The List'!U2:U730)</f>
        <v>-1.03685787525926</v>
      </c>
      <c r="I621" s="46">
        <f>(VLOOKUP($A621,'The List'!$B1:$AH730,21,FALSE)-AVERAGE('The List'!V2:V730))/STDEV('The List'!V2:V730)</f>
        <v>-0.800635627185908</v>
      </c>
      <c r="J621" s="46">
        <f>(VLOOKUP($A621,'The List'!$B1:$AH730,22,FALSE)-AVERAGE('The List'!W2:W730))/STDEV('The List'!W2:W730)</f>
        <v>-0.70848235561109</v>
      </c>
      <c r="K621" s="46">
        <f>(VLOOKUP($A621,'The List'!$B1:$AH730,23,FALSE)-AVERAGE('The List'!X2:X730))/STDEV('The List'!X2:X730)</f>
        <v>-0.789031574953926</v>
      </c>
      <c r="L621" s="46">
        <f>(VLOOKUP($A621,'The List'!$B1:$AH730,24,FALSE)-AVERAGE('The List'!Y2:Y730))/STDEV('The List'!Y2:Y730)</f>
        <v>-0.499546863349993</v>
      </c>
      <c r="M621" s="46">
        <f>(VLOOKUP($A621,'The List'!$B1:$AH730,25,FALSE)-AVERAGE('The List'!Z2:Z730))/STDEV('The List'!Z2:Z730)</f>
        <v>-0.0644097930981798</v>
      </c>
      <c r="N621" s="46">
        <f>(VLOOKUP($A621,'The List'!$B1:$AH730,26,FALSE)-AVERAGE('The List'!AA2:AA730))/STDEV('The List'!AA2:AA730)</f>
        <v>0.502170379355328</v>
      </c>
      <c r="O621" s="46">
        <f>(VLOOKUP($A621,'The List'!$B1:$AH730,27,FALSE)-AVERAGE('The List'!AB2:AB730))/STDEV('The List'!AB2:AB730)</f>
        <v>2.67207819585391</v>
      </c>
      <c r="P621" s="46">
        <f>(VLOOKUP($A621,'The List'!$B1:$AH730,28,FALSE)-AVERAGE('The List'!AC2:AC730))/STDEV('The List'!AC2:AC730)</f>
        <v>-0.771747316096014</v>
      </c>
      <c r="Q621" s="46">
        <f>(VLOOKUP($A621,'The List'!$B1:$AH730,29,FALSE)-AVERAGE('The List'!AD2:AD730))/STDEV('The List'!AD2:AD730)</f>
        <v>2.08881108066583</v>
      </c>
      <c r="R621" s="46">
        <f>(VLOOKUP($A621,'The List'!$B1:$AH730,30,FALSE)-AVERAGE('The List'!AE2:AE730))/STDEV('The List'!AE2:AE730)</f>
        <v>-0.919558908752624</v>
      </c>
      <c r="S621" s="46">
        <f>(VLOOKUP($A621,'The List'!$B1:$AH730,31,FALSE)-AVERAGE('The List'!AF2:AF730))/STDEV('The List'!AF2:AF730)</f>
        <v>-0.5569063253591</v>
      </c>
      <c r="T621" s="46">
        <f>(VLOOKUP($A621,'The List'!$B1:$AH730,32,FALSE)-AVERAGE('The List'!AG2:AG730))/STDEV('The List'!AG2:AG730)</f>
        <v>-0.600856269042678</v>
      </c>
      <c r="U621" s="46">
        <f>(VLOOKUP($A621,'The List'!$B1:$AH730,33,FALSE)-AVERAGE('The List'!AH2:AH730))/STDEV('The List'!AH2:AH730)</f>
        <v>-1.2363238714826</v>
      </c>
      <c r="V621" s="46"/>
      <c r="W621" s="50"/>
      <c r="X621" s="48"/>
      <c r="Y621" s="48"/>
      <c r="Z621" s="48"/>
      <c r="AA621" s="48"/>
      <c r="AB621" s="48"/>
      <c r="AC621" s="51"/>
      <c r="AD621" s="52"/>
      <c r="AE621" s="46"/>
    </row>
    <row r="622" ht="21.25" customHeight="1">
      <c r="A622" t="s" s="8">
        <v>645</v>
      </c>
      <c r="B622" t="s" s="42">
        <f>VLOOKUP(A622,'Player Data'!A1:B734,2,FALSE)</f>
        <v>238</v>
      </c>
      <c r="C622" s="44">
        <f>((E622)*'Settings'!$C$12)+(F622*'Settings'!$C$2)+(G622*'Settings'!$C$3)+(H622*'Settings'!$C$4)+(I622*'Settings'!$C$5)+(K622*'Settings'!$C$9)+(N622*'Settings'!$C$6)+(J622*'Settings'!$C$8)+(O622*'Settings'!$C$7)+(P622*'Settings'!$C$14)+(Q622*'Settings'!$C$15)+(R622*'Settings'!$C$16)+(S622*'Settings'!$C$17)+(T622*'Settings'!$C$18)+(U622*'Settings'!$C$19)+(L622*'Settings'!$C$10)+('Settings'!$C$11*M622)</f>
        <v>-3.39279713160796</v>
      </c>
      <c r="D622" s="48">
        <f>IF('Settings'!$E$12="YES",VLOOKUP(A622,'Player Data'!A1:E734,5,FALSE),82)</f>
        <v>69.7139285714286</v>
      </c>
      <c r="E622" s="46">
        <f>(VLOOKUP($A622,'The List'!$B1:$AH730,17,FALSE)-AVERAGE('The List'!R2:R730))/STDEV('The List'!R2:R730)</f>
        <v>-0.474798151704135</v>
      </c>
      <c r="F622" s="46">
        <f>(VLOOKUP($A622,'The List'!$B1:$AH730,18,FALSE)-AVERAGE('The List'!S2:S730))/STDEV('The List'!S2:S730)</f>
        <v>-1.08117411481861</v>
      </c>
      <c r="G622" s="46">
        <f>(VLOOKUP($A622,'The List'!$B1:$AH730,19,FALSE)-AVERAGE('The List'!T2:T730))/STDEV('The List'!T2:T730)</f>
        <v>-0.948005796837624</v>
      </c>
      <c r="H622" s="46">
        <f>(VLOOKUP($A622,'The List'!$B1:$AH730,20,FALSE)-AVERAGE('The List'!U2:U730))/STDEV('The List'!U2:U730)</f>
        <v>-1.07638901941227</v>
      </c>
      <c r="I622" s="46">
        <f>(VLOOKUP($A622,'The List'!$B1:$AH730,21,FALSE)-AVERAGE('The List'!V2:V730))/STDEV('The List'!V2:V730)</f>
        <v>-1.02197590817078</v>
      </c>
      <c r="J622" s="46">
        <f>(VLOOKUP($A622,'The List'!$B1:$AH730,22,FALSE)-AVERAGE('The List'!W2:W730))/STDEV('The List'!W2:W730)</f>
        <v>-0.711697994877448</v>
      </c>
      <c r="K622" s="46">
        <f>(VLOOKUP($A622,'The List'!$B1:$AH730,23,FALSE)-AVERAGE('The List'!X2:X730))/STDEV('The List'!X2:X730)</f>
        <v>-0.792524283655031</v>
      </c>
      <c r="L622" s="46">
        <f>(VLOOKUP($A622,'The List'!$B1:$AH730,24,FALSE)-AVERAGE('The List'!Y2:Y730))/STDEV('The List'!Y2:Y730)</f>
        <v>-0.5264352336404921</v>
      </c>
      <c r="M622" s="46">
        <f>(VLOOKUP($A622,'The List'!$B1:$AH730,25,FALSE)-AVERAGE('The List'!Z2:Z730))/STDEV('The List'!Z2:Z730)</f>
        <v>-0.682525361874139</v>
      </c>
      <c r="N622" s="46">
        <f>(VLOOKUP($A622,'The List'!$B1:$AH730,26,FALSE)-AVERAGE('The List'!AA2:AA730))/STDEV('The List'!AA2:AA730)</f>
        <v>0.466523841096768</v>
      </c>
      <c r="O622" s="46">
        <f>(VLOOKUP($A622,'The List'!$B1:$AH730,27,FALSE)-AVERAGE('The List'!AB2:AB730))/STDEV('The List'!AB2:AB730)</f>
        <v>-0.566179098479215</v>
      </c>
      <c r="P622" s="46">
        <f>(VLOOKUP($A622,'The List'!$B1:$AH730,28,FALSE)-AVERAGE('The List'!AC2:AC730))/STDEV('The List'!AC2:AC730)</f>
        <v>-0.0156408692226828</v>
      </c>
      <c r="Q622" s="46">
        <f>(VLOOKUP($A622,'The List'!$B1:$AH730,29,FALSE)-AVERAGE('The List'!AD2:AD730))/STDEV('The List'!AD2:AD730)</f>
        <v>-0.948345060660534</v>
      </c>
      <c r="R622" s="46">
        <f>(VLOOKUP($A622,'The List'!$B1:$AH730,30,FALSE)-AVERAGE('The List'!AE2:AE730))/STDEV('The List'!AE2:AE730)</f>
        <v>-0.951387144236306</v>
      </c>
      <c r="S622" s="46">
        <f>(VLOOKUP($A622,'The List'!$B1:$AH730,31,FALSE)-AVERAGE('The List'!AF2:AF730))/STDEV('The List'!AF2:AF730)</f>
        <v>-0.556694434624283</v>
      </c>
      <c r="T622" s="46">
        <f>(VLOOKUP($A622,'The List'!$B1:$AH730,32,FALSE)-AVERAGE('The List'!AG2:AG730))/STDEV('The List'!AG2:AG730)</f>
        <v>-0.600119615874261</v>
      </c>
      <c r="U622" s="46">
        <f>(VLOOKUP($A622,'The List'!$B1:$AH730,33,FALSE)-AVERAGE('The List'!AH2:AH730))/STDEV('The List'!AH2:AH730)</f>
        <v>-0.187337389303118</v>
      </c>
      <c r="V622" s="46"/>
      <c r="W622" s="50"/>
      <c r="X622" s="48"/>
      <c r="Y622" s="48"/>
      <c r="Z622" s="48"/>
      <c r="AA622" s="48"/>
      <c r="AB622" s="48"/>
      <c r="AC622" s="51"/>
      <c r="AD622" s="52"/>
      <c r="AE622" s="46"/>
    </row>
    <row r="623" ht="21.25" customHeight="1">
      <c r="A623" t="s" s="8">
        <v>830</v>
      </c>
      <c r="B623" t="s" s="42">
        <f>VLOOKUP(A623,'Player Data'!A1:B734,2,FALSE)</f>
        <v>173</v>
      </c>
      <c r="C623" s="44">
        <f>((E623)*'Settings'!$C$12)+(F623*'Settings'!$C$2)+(G623*'Settings'!$C$3)+(H623*'Settings'!$C$4)+(I623*'Settings'!$C$5)+(K623*'Settings'!$C$9)+(N623*'Settings'!$C$6)+(J623*'Settings'!$C$8)+(O623*'Settings'!$C$7)+(P623*'Settings'!$C$14)+(Q623*'Settings'!$C$15)+(R623*'Settings'!$C$16)+(S623*'Settings'!$C$17)+(T623*'Settings'!$C$18)+(U623*'Settings'!$C$19)+(L623*'Settings'!$C$10)+('Settings'!$C$11*M623)</f>
        <v>-4.24041100123769</v>
      </c>
      <c r="D623" s="48">
        <f>IF('Settings'!$E$12="YES",VLOOKUP(A623,'Player Data'!A1:E734,5,FALSE),82)</f>
        <v>73.2310714285714</v>
      </c>
      <c r="E623" s="46">
        <f>(VLOOKUP($A623,'The List'!$B1:$AH730,17,FALSE)-AVERAGE('The List'!R2:R730))/STDEV('The List'!R2:R730)</f>
        <v>-1.59175321305035</v>
      </c>
      <c r="F623" s="46">
        <f>(VLOOKUP($A623,'The List'!$B1:$AH730,18,FALSE)-AVERAGE('The List'!S2:S730))/STDEV('The List'!S2:S730)</f>
        <v>-0.830177220142044</v>
      </c>
      <c r="G623" s="46">
        <f>(VLOOKUP($A623,'The List'!$B1:$AH730,19,FALSE)-AVERAGE('The List'!T2:T730))/STDEV('The List'!T2:T730)</f>
        <v>-1.10077543255992</v>
      </c>
      <c r="H623" s="46">
        <f>(VLOOKUP($A623,'The List'!$B1:$AH730,20,FALSE)-AVERAGE('The List'!U2:U730))/STDEV('The List'!U2:U730)</f>
        <v>-1.05636087088416</v>
      </c>
      <c r="I623" s="46">
        <f>(VLOOKUP($A623,'The List'!$B1:$AH730,21,FALSE)-AVERAGE('The List'!V2:V730))/STDEV('The List'!V2:V730)</f>
        <v>-0.727547326800596</v>
      </c>
      <c r="J623" s="46">
        <f>(VLOOKUP($A623,'The List'!$B1:$AH730,22,FALSE)-AVERAGE('The List'!W2:W730))/STDEV('The List'!W2:W730)</f>
        <v>-0.703321948563888</v>
      </c>
      <c r="K623" s="46">
        <f>(VLOOKUP($A623,'The List'!$B1:$AH730,23,FALSE)-AVERAGE('The List'!X2:X730))/STDEV('The List'!X2:X730)</f>
        <v>-0.793048214626725</v>
      </c>
      <c r="L623" s="46">
        <f>(VLOOKUP($A623,'The List'!$B1:$AH730,24,FALSE)-AVERAGE('The List'!Y2:Y730))/STDEV('The List'!Y2:Y730)</f>
        <v>-0.521250946704085</v>
      </c>
      <c r="M623" s="46">
        <f>(VLOOKUP($A623,'The List'!$B1:$AH730,25,FALSE)-AVERAGE('The List'!Z2:Z730))/STDEV('The List'!Z2:Z730)</f>
        <v>-0.697141943574443</v>
      </c>
      <c r="N623" s="46">
        <f>(VLOOKUP($A623,'The List'!$B1:$AH730,26,FALSE)-AVERAGE('The List'!AA2:AA730))/STDEV('The List'!AA2:AA730)</f>
        <v>-0.657019337813929</v>
      </c>
      <c r="O623" s="46">
        <f>(VLOOKUP($A623,'The List'!$B1:$AH730,27,FALSE)-AVERAGE('The List'!AB2:AB730))/STDEV('The List'!AB2:AB730)</f>
        <v>1.65962450431798</v>
      </c>
      <c r="P623" s="46">
        <f>(VLOOKUP($A623,'The List'!$B1:$AH730,28,FALSE)-AVERAGE('The List'!AC2:AC730))/STDEV('The List'!AC2:AC730)</f>
        <v>-0.13184346929448</v>
      </c>
      <c r="Q623" s="46">
        <f>(VLOOKUP($A623,'The List'!$B1:$AH730,29,FALSE)-AVERAGE('The List'!AD2:AD730))/STDEV('The List'!AD2:AD730)</f>
        <v>2.96065422837835</v>
      </c>
      <c r="R623" s="46">
        <f>(VLOOKUP($A623,'The List'!$B1:$AH730,30,FALSE)-AVERAGE('The List'!AE2:AE730))/STDEV('The List'!AE2:AE730)</f>
        <v>-0.729080219032042</v>
      </c>
      <c r="S623" s="46">
        <f>(VLOOKUP($A623,'The List'!$B1:$AH730,31,FALSE)-AVERAGE('The List'!AF2:AF730))/STDEV('The List'!AF2:AF730)</f>
        <v>-0.474453266687595</v>
      </c>
      <c r="T623" s="46">
        <f>(VLOOKUP($A623,'The List'!$B1:$AH730,32,FALSE)-AVERAGE('The List'!AG2:AG730))/STDEV('The List'!AG2:AG730)</f>
        <v>-0.510501376836315</v>
      </c>
      <c r="U623" s="46">
        <f>(VLOOKUP($A623,'The List'!$B1:$AH730,33,FALSE)-AVERAGE('The List'!AH2:AH730))/STDEV('The List'!AH2:AH730)</f>
        <v>0.975519586677481</v>
      </c>
      <c r="V623" s="46"/>
      <c r="W623" s="50"/>
      <c r="X623" s="48"/>
      <c r="Y623" s="48"/>
      <c r="Z623" s="48"/>
      <c r="AA623" s="48"/>
      <c r="AB623" s="48"/>
      <c r="AC623" s="51"/>
      <c r="AD623" s="52"/>
      <c r="AE623" s="46"/>
    </row>
    <row r="624" ht="21.25" customHeight="1">
      <c r="A624" t="s" s="8">
        <v>873</v>
      </c>
      <c r="B624" t="s" s="42">
        <f>VLOOKUP(A624,'Player Data'!A1:B734,2,FALSE)</f>
        <v>113</v>
      </c>
      <c r="C624" s="44">
        <f>((E624)*'Settings'!$C$12)+(F624*'Settings'!$C$2)+(G624*'Settings'!$C$3)+(H624*'Settings'!$C$4)+(I624*'Settings'!$C$5)+(K624*'Settings'!$C$9)+(N624*'Settings'!$C$6)+(J624*'Settings'!$C$8)+(O624*'Settings'!$C$7)+(P624*'Settings'!$C$14)+(Q624*'Settings'!$C$15)+(R624*'Settings'!$C$16)+(S624*'Settings'!$C$17)+(T624*'Settings'!$C$18)+(U624*'Settings'!$C$19)+(L624*'Settings'!$C$10)+('Settings'!$C$11*M624)</f>
        <v>-4.7711294145642</v>
      </c>
      <c r="D624" s="48">
        <f>IF('Settings'!$E$12="YES",VLOOKUP(A624,'Player Data'!A1:E734,5,FALSE),82)</f>
        <v>55.61</v>
      </c>
      <c r="E624" s="46">
        <f>(VLOOKUP($A624,'The List'!$B1:$AH730,17,FALSE)-AVERAGE('The List'!R2:R730))/STDEV('The List'!R2:R730)</f>
        <v>-1.89789498710868</v>
      </c>
      <c r="F624" s="46">
        <f>(VLOOKUP($A624,'The List'!$B1:$AH730,18,FALSE)-AVERAGE('The List'!S2:S730))/STDEV('The List'!S2:S730)</f>
        <v>-0.717659849557748</v>
      </c>
      <c r="G624" s="46">
        <f>(VLOOKUP($A624,'The List'!$B1:$AH730,19,FALSE)-AVERAGE('The List'!T2:T730))/STDEV('The List'!T2:T730)</f>
        <v>-1.3960282192265</v>
      </c>
      <c r="H624" s="46">
        <f>(VLOOKUP($A624,'The List'!$B1:$AH730,20,FALSE)-AVERAGE('The List'!U2:U730))/STDEV('The List'!U2:U730)</f>
        <v>-1.18718267292614</v>
      </c>
      <c r="I624" s="46">
        <f>(VLOOKUP($A624,'The List'!$B1:$AH730,21,FALSE)-AVERAGE('The List'!V2:V730))/STDEV('The List'!V2:V730)</f>
        <v>-1.32508307774156</v>
      </c>
      <c r="J624" s="46">
        <f>(VLOOKUP($A624,'The List'!$B1:$AH730,22,FALSE)-AVERAGE('The List'!W2:W730))/STDEV('The List'!W2:W730)</f>
        <v>-0.702277265771116</v>
      </c>
      <c r="K624" s="46">
        <f>(VLOOKUP($A624,'The List'!$B1:$AH730,23,FALSE)-AVERAGE('The List'!X2:X730))/STDEV('The List'!X2:X730)</f>
        <v>-0.791924257224365</v>
      </c>
      <c r="L624" s="46">
        <f>(VLOOKUP($A624,'The List'!$B1:$AH730,24,FALSE)-AVERAGE('The List'!Y2:Y730))/STDEV('The List'!Y2:Y730)</f>
        <v>-0.533102055660811</v>
      </c>
      <c r="M624" s="46">
        <f>(VLOOKUP($A624,'The List'!$B1:$AH730,25,FALSE)-AVERAGE('The List'!Z2:Z730))/STDEV('The List'!Z2:Z730)</f>
        <v>-0.71057348696284</v>
      </c>
      <c r="N624" s="46">
        <f>(VLOOKUP($A624,'The List'!$B1:$AH730,26,FALSE)-AVERAGE('The List'!AA2:AA730))/STDEV('The List'!AA2:AA730)</f>
        <v>-1.02934368089051</v>
      </c>
      <c r="O624" s="46">
        <f>(VLOOKUP($A624,'The List'!$B1:$AH730,27,FALSE)-AVERAGE('The List'!AB2:AB730))/STDEV('The List'!AB2:AB730)</f>
        <v>-0.86723288941524</v>
      </c>
      <c r="P624" s="46">
        <f>(VLOOKUP($A624,'The List'!$B1:$AH730,28,FALSE)-AVERAGE('The List'!AC2:AC730))/STDEV('The List'!AC2:AC730)</f>
        <v>0.488909670076484</v>
      </c>
      <c r="Q624" s="46">
        <f>(VLOOKUP($A624,'The List'!$B1:$AH730,29,FALSE)-AVERAGE('The List'!AD2:AD730))/STDEV('The List'!AD2:AD730)</f>
        <v>-1.43502819305226</v>
      </c>
      <c r="R624" s="46">
        <f>(VLOOKUP($A624,'The List'!$B1:$AH730,30,FALSE)-AVERAGE('The List'!AE2:AE730))/STDEV('The List'!AE2:AE730)</f>
        <v>-0.5895323309298039</v>
      </c>
      <c r="S624" s="46">
        <f>(VLOOKUP($A624,'The List'!$B1:$AH730,31,FALSE)-AVERAGE('The List'!AF2:AF730))/STDEV('The List'!AF2:AF730)</f>
        <v>0.0984376306865688</v>
      </c>
      <c r="T624" s="46">
        <f>(VLOOKUP($A624,'The List'!$B1:$AH730,32,FALSE)-AVERAGE('The List'!AG2:AG730))/STDEV('The List'!AG2:AG730)</f>
        <v>0.0669586024511388</v>
      </c>
      <c r="U624" s="46">
        <f>(VLOOKUP($A624,'The List'!$B1:$AH730,33,FALSE)-AVERAGE('The List'!AH2:AH730))/STDEV('The List'!AH2:AH730)</f>
        <v>1.05755544814414</v>
      </c>
      <c r="V624" s="46"/>
      <c r="W624" s="48"/>
      <c r="X624" s="46"/>
      <c r="Y624" s="46"/>
      <c r="Z624" s="46"/>
      <c r="AA624" s="46"/>
      <c r="AB624" s="46"/>
      <c r="AC624" s="46"/>
      <c r="AD624" s="46"/>
      <c r="AE624" s="46"/>
    </row>
    <row r="625" ht="21.25" customHeight="1">
      <c r="A625" t="s" s="8">
        <v>702</v>
      </c>
      <c r="B625" t="s" s="42">
        <f>VLOOKUP(A625,'Player Data'!A1:B734,2,FALSE)</f>
        <v>108</v>
      </c>
      <c r="C625" s="44">
        <f>((E625)*'Settings'!$C$12)+(F625*'Settings'!$C$2)+(G625*'Settings'!$C$3)+(H625*'Settings'!$C$4)+(I625*'Settings'!$C$5)+(K625*'Settings'!$C$9)+(N625*'Settings'!$C$6)+(J625*'Settings'!$C$8)+(O625*'Settings'!$C$7)+(P625*'Settings'!$C$14)+(Q625*'Settings'!$C$15)+(R625*'Settings'!$C$16)+(S625*'Settings'!$C$17)+(T625*'Settings'!$C$18)+(U625*'Settings'!$C$19)+(L625*'Settings'!$C$10)+('Settings'!$C$11*M625)</f>
        <v>-3.57560280099055</v>
      </c>
      <c r="D625" s="48">
        <f>IF('Settings'!$E$12="YES",VLOOKUP(A625,'Player Data'!A1:E734,5,FALSE),82)</f>
        <v>62.8275</v>
      </c>
      <c r="E625" s="46">
        <f>(VLOOKUP($A625,'The List'!$B1:$AH730,17,FALSE)-AVERAGE('The List'!R2:R730))/STDEV('The List'!R2:R730)</f>
        <v>-1.1717633926343</v>
      </c>
      <c r="F625" s="46">
        <f>(VLOOKUP($A625,'The List'!$B1:$AH730,18,FALSE)-AVERAGE('The List'!S2:S730))/STDEV('The List'!S2:S730)</f>
        <v>-1.10401467052471</v>
      </c>
      <c r="G625" s="46">
        <f>(VLOOKUP($A625,'The List'!$B1:$AH730,19,FALSE)-AVERAGE('The List'!T2:T730))/STDEV('The List'!T2:T730)</f>
        <v>-1.02805004236064</v>
      </c>
      <c r="H625" s="46">
        <f>(VLOOKUP($A625,'The List'!$B1:$AH730,20,FALSE)-AVERAGE('The List'!U2:U730))/STDEV('The List'!U2:U730)</f>
        <v>-1.136128155631</v>
      </c>
      <c r="I625" s="46">
        <f>(VLOOKUP($A625,'The List'!$B1:$AH730,21,FALSE)-AVERAGE('The List'!V2:V730))/STDEV('The List'!V2:V730)</f>
        <v>-1.36043541872851</v>
      </c>
      <c r="J625" s="46">
        <f>(VLOOKUP($A625,'The List'!$B1:$AH730,22,FALSE)-AVERAGE('The List'!W2:W730))/STDEV('The List'!W2:W730)</f>
        <v>-0.703885152583982</v>
      </c>
      <c r="K625" s="46">
        <f>(VLOOKUP($A625,'The List'!$B1:$AH730,23,FALSE)-AVERAGE('The List'!X2:X730))/STDEV('The List'!X2:X730)</f>
        <v>-0.777561549619762</v>
      </c>
      <c r="L625" s="46">
        <f>(VLOOKUP($A625,'The List'!$B1:$AH730,24,FALSE)-AVERAGE('The List'!Y2:Y730))/STDEV('The List'!Y2:Y730)</f>
        <v>-0.506973926658516</v>
      </c>
      <c r="M625" s="46">
        <f>(VLOOKUP($A625,'The List'!$B1:$AH730,25,FALSE)-AVERAGE('The List'!Z2:Z730))/STDEV('The List'!Z2:Z730)</f>
        <v>-0.641112567806301</v>
      </c>
      <c r="N625" s="46">
        <f>(VLOOKUP($A625,'The List'!$B1:$AH730,26,FALSE)-AVERAGE('The List'!AA2:AA730))/STDEV('The List'!AA2:AA730)</f>
        <v>-0.262682623547825</v>
      </c>
      <c r="O625" s="46">
        <f>(VLOOKUP($A625,'The List'!$B1:$AH730,27,FALSE)-AVERAGE('The List'!AB2:AB730))/STDEV('The List'!AB2:AB730)</f>
        <v>-0.81744800595712</v>
      </c>
      <c r="P625" s="46">
        <f>(VLOOKUP($A625,'The List'!$B1:$AH730,28,FALSE)-AVERAGE('The List'!AC2:AC730))/STDEV('The List'!AC2:AC730)</f>
        <v>0.957141503790895</v>
      </c>
      <c r="Q625" s="46">
        <f>(VLOOKUP($A625,'The List'!$B1:$AH730,29,FALSE)-AVERAGE('The List'!AD2:AD730))/STDEV('The List'!AD2:AD730)</f>
        <v>-1.33908994199721</v>
      </c>
      <c r="R625" s="46">
        <f>(VLOOKUP($A625,'The List'!$B1:$AH730,30,FALSE)-AVERAGE('The List'!AE2:AE730))/STDEV('The List'!AE2:AE730)</f>
        <v>-0.987201371037939</v>
      </c>
      <c r="S625" s="46">
        <f>(VLOOKUP($A625,'The List'!$B1:$AH730,31,FALSE)-AVERAGE('The List'!AF2:AF730))/STDEV('The List'!AF2:AF730)</f>
        <v>-0.5569063253591</v>
      </c>
      <c r="T625" s="46">
        <f>(VLOOKUP($A625,'The List'!$B1:$AH730,32,FALSE)-AVERAGE('The List'!AG2:AG730))/STDEV('The List'!AG2:AG730)</f>
        <v>-0.600856269042678</v>
      </c>
      <c r="U625" s="46">
        <f>(VLOOKUP($A625,'The List'!$B1:$AH730,33,FALSE)-AVERAGE('The List'!AH2:AH730))/STDEV('The List'!AH2:AH730)</f>
        <v>-1.2363238714826</v>
      </c>
      <c r="V625" s="46"/>
      <c r="W625" s="48"/>
      <c r="X625" s="46"/>
      <c r="Y625" s="46"/>
      <c r="Z625" s="46"/>
      <c r="AA625" s="46"/>
      <c r="AB625" s="46"/>
      <c r="AC625" s="46"/>
      <c r="AD625" s="46"/>
      <c r="AE625" s="46"/>
    </row>
    <row r="626" ht="21.25" customHeight="1">
      <c r="A626" t="s" s="8">
        <v>656</v>
      </c>
      <c r="B626" t="s" s="42">
        <f>VLOOKUP(A626,'Player Data'!A1:B734,2,FALSE)</f>
        <v>119</v>
      </c>
      <c r="C626" s="44">
        <f>((E626)*'Settings'!$C$12)+(F626*'Settings'!$C$2)+(G626*'Settings'!$C$3)+(H626*'Settings'!$C$4)+(I626*'Settings'!$C$5)+(K626*'Settings'!$C$9)+(N626*'Settings'!$C$6)+(J626*'Settings'!$C$8)+(O626*'Settings'!$C$7)+(P626*'Settings'!$C$14)+(Q626*'Settings'!$C$15)+(R626*'Settings'!$C$16)+(S626*'Settings'!$C$17)+(T626*'Settings'!$C$18)+(U626*'Settings'!$C$19)+(L626*'Settings'!$C$10)+('Settings'!$C$11*M626)</f>
        <v>-3.47969863292542</v>
      </c>
      <c r="D626" s="48">
        <f>IF('Settings'!$E$12="YES",VLOOKUP(A626,'Player Data'!A1:E734,5,FALSE),82)</f>
        <v>67</v>
      </c>
      <c r="E626" s="46">
        <f>(VLOOKUP($A626,'The List'!$B1:$AH730,17,FALSE)-AVERAGE('The List'!R2:R730))/STDEV('The List'!R2:R730)</f>
        <v>0.275301616345936</v>
      </c>
      <c r="F626" s="46">
        <f>(VLOOKUP($A626,'The List'!$B1:$AH730,18,FALSE)-AVERAGE('The List'!S2:S730))/STDEV('The List'!S2:S730)</f>
        <v>-1.07057952349003</v>
      </c>
      <c r="G626" s="46">
        <f>(VLOOKUP($A626,'The List'!$B1:$AH730,19,FALSE)-AVERAGE('The List'!T2:T730))/STDEV('The List'!T2:T730)</f>
        <v>-1.01329055246128</v>
      </c>
      <c r="H626" s="46">
        <f>(VLOOKUP($A626,'The List'!$B1:$AH730,20,FALSE)-AVERAGE('The List'!U2:U730))/STDEV('The List'!U2:U730)</f>
        <v>-1.111815461636</v>
      </c>
      <c r="I626" s="46">
        <f>(VLOOKUP($A626,'The List'!$B1:$AH730,21,FALSE)-AVERAGE('The List'!V2:V730))/STDEV('The List'!V2:V730)</f>
        <v>-1.18652426862785</v>
      </c>
      <c r="J626" s="46">
        <f>(VLOOKUP($A626,'The List'!$B1:$AH730,22,FALSE)-AVERAGE('The List'!W2:W730))/STDEV('The List'!W2:W730)</f>
        <v>-0.710085707122443</v>
      </c>
      <c r="K626" s="46">
        <f>(VLOOKUP($A626,'The List'!$B1:$AH730,23,FALSE)-AVERAGE('The List'!X2:X730))/STDEV('The List'!X2:X730)</f>
        <v>-0.793188931423418</v>
      </c>
      <c r="L626" s="46">
        <f>(VLOOKUP($A626,'The List'!$B1:$AH730,24,FALSE)-AVERAGE('The List'!Y2:Y730))/STDEV('The List'!Y2:Y730)</f>
        <v>-0.0271191095403038</v>
      </c>
      <c r="M626" s="46">
        <f>(VLOOKUP($A626,'The List'!$B1:$AH730,25,FALSE)-AVERAGE('The List'!Z2:Z730))/STDEV('The List'!Z2:Z730)</f>
        <v>-0.302408793008237</v>
      </c>
      <c r="N626" s="46">
        <f>(VLOOKUP($A626,'The List'!$B1:$AH730,26,FALSE)-AVERAGE('The List'!AA2:AA730))/STDEV('The List'!AA2:AA730)</f>
        <v>0.837529095971849</v>
      </c>
      <c r="O626" s="46">
        <f>(VLOOKUP($A626,'The List'!$B1:$AH730,27,FALSE)-AVERAGE('The List'!AB2:AB730))/STDEV('The List'!AB2:AB730)</f>
        <v>0.628242533774833</v>
      </c>
      <c r="P626" s="46">
        <f>(VLOOKUP($A626,'The List'!$B1:$AH730,28,FALSE)-AVERAGE('The List'!AC2:AC730))/STDEV('The List'!AC2:AC730)</f>
        <v>-0.253644452894693</v>
      </c>
      <c r="Q626" s="46">
        <f>(VLOOKUP($A626,'The List'!$B1:$AH730,29,FALSE)-AVERAGE('The List'!AD2:AD730))/STDEV('The List'!AD2:AD730)</f>
        <v>1.19385807877887</v>
      </c>
      <c r="R626" s="46">
        <f>(VLOOKUP($A626,'The List'!$B1:$AH730,30,FALSE)-AVERAGE('The List'!AE2:AE730))/STDEV('The List'!AE2:AE730)</f>
        <v>-0.974483009300894</v>
      </c>
      <c r="S626" s="46">
        <f>(VLOOKUP($A626,'The List'!$B1:$AH730,31,FALSE)-AVERAGE('The List'!AF2:AF730))/STDEV('The List'!AF2:AF730)</f>
        <v>-0.5569063253591</v>
      </c>
      <c r="T626" s="46">
        <f>(VLOOKUP($A626,'The List'!$B1:$AH730,32,FALSE)-AVERAGE('The List'!AG2:AG730))/STDEV('The List'!AG2:AG730)</f>
        <v>-0.600856269042678</v>
      </c>
      <c r="U626" s="46">
        <f>(VLOOKUP($A626,'The List'!$B1:$AH730,33,FALSE)-AVERAGE('The List'!AH2:AH730))/STDEV('The List'!AH2:AH730)</f>
        <v>-1.2363238714826</v>
      </c>
      <c r="V626" s="46"/>
      <c r="W626" s="48"/>
      <c r="X626" s="46"/>
      <c r="Y626" s="46"/>
      <c r="Z626" s="46"/>
      <c r="AA626" s="46"/>
      <c r="AB626" s="46"/>
      <c r="AC626" s="46"/>
      <c r="AD626" s="46"/>
      <c r="AE626" s="46"/>
    </row>
    <row r="627" ht="21.25" customHeight="1">
      <c r="A627" t="s" s="8">
        <v>651</v>
      </c>
      <c r="B627" t="s" s="42">
        <f>VLOOKUP(A627,'Player Data'!A1:B734,2,FALSE)</f>
        <v>218</v>
      </c>
      <c r="C627" s="44">
        <f>((E627)*'Settings'!$C$12)+(F627*'Settings'!$C$2)+(G627*'Settings'!$C$3)+(H627*'Settings'!$C$4)+(I627*'Settings'!$C$5)+(K627*'Settings'!$C$9)+(N627*'Settings'!$C$6)+(J627*'Settings'!$C$8)+(O627*'Settings'!$C$7)+(P627*'Settings'!$C$14)+(Q627*'Settings'!$C$15)+(R627*'Settings'!$C$16)+(S627*'Settings'!$C$17)+(T627*'Settings'!$C$18)+(U627*'Settings'!$C$19)+(L627*'Settings'!$C$10)+('Settings'!$C$11*M627)</f>
        <v>-2.96579292632784</v>
      </c>
      <c r="D627" s="48">
        <f>IF('Settings'!$E$12="YES",VLOOKUP(A627,'Player Data'!A1:E734,5,FALSE),82)</f>
        <v>67.04178571428569</v>
      </c>
      <c r="E627" s="46">
        <f>(VLOOKUP($A627,'The List'!$B1:$AH730,17,FALSE)-AVERAGE('The List'!R2:R730))/STDEV('The List'!R2:R730)</f>
        <v>-1.09029197768094</v>
      </c>
      <c r="F627" s="46">
        <f>(VLOOKUP($A627,'The List'!$B1:$AH730,18,FALSE)-AVERAGE('The List'!S2:S730))/STDEV('The List'!S2:S730)</f>
        <v>-1.02468372594061</v>
      </c>
      <c r="G627" s="46">
        <f>(VLOOKUP($A627,'The List'!$B1:$AH730,19,FALSE)-AVERAGE('The List'!T2:T730))/STDEV('The List'!T2:T730)</f>
        <v>-1.05252383966081</v>
      </c>
      <c r="H627" s="46">
        <f>(VLOOKUP($A627,'The List'!$B1:$AH730,20,FALSE)-AVERAGE('The List'!U2:U730))/STDEV('The List'!U2:U730)</f>
        <v>-1.11511875916753</v>
      </c>
      <c r="I627" s="46">
        <f>(VLOOKUP($A627,'The List'!$B1:$AH730,21,FALSE)-AVERAGE('The List'!V2:V730))/STDEV('The List'!V2:V730)</f>
        <v>-0.940268611206053</v>
      </c>
      <c r="J627" s="46">
        <f>(VLOOKUP($A627,'The List'!$B1:$AH730,22,FALSE)-AVERAGE('The List'!W2:W730))/STDEV('The List'!W2:W730)</f>
        <v>-0.696476326791803</v>
      </c>
      <c r="K627" s="46">
        <f>(VLOOKUP($A627,'The List'!$B1:$AH730,23,FALSE)-AVERAGE('The List'!X2:X730))/STDEV('The List'!X2:X730)</f>
        <v>-0.734376504148969</v>
      </c>
      <c r="L627" s="46">
        <f>(VLOOKUP($A627,'The List'!$B1:$AH730,24,FALSE)-AVERAGE('The List'!Y2:Y730))/STDEV('The List'!Y2:Y730)</f>
        <v>-0.530913476252421</v>
      </c>
      <c r="M627" s="46">
        <f>(VLOOKUP($A627,'The List'!$B1:$AH730,25,FALSE)-AVERAGE('The List'!Z2:Z730))/STDEV('The List'!Z2:Z730)</f>
        <v>-0.6941803566677121</v>
      </c>
      <c r="N627" s="46">
        <f>(VLOOKUP($A627,'The List'!$B1:$AH730,26,FALSE)-AVERAGE('The List'!AA2:AA730))/STDEV('The List'!AA2:AA730)</f>
        <v>0.0115535037221608</v>
      </c>
      <c r="O627" s="46">
        <f>(VLOOKUP($A627,'The List'!$B1:$AH730,27,FALSE)-AVERAGE('The List'!AB2:AB730))/STDEV('The List'!AB2:AB730)</f>
        <v>-0.778677367339686</v>
      </c>
      <c r="P627" s="46">
        <f>(VLOOKUP($A627,'The List'!$B1:$AH730,28,FALSE)-AVERAGE('The List'!AC2:AC730))/STDEV('The List'!AC2:AC730)</f>
        <v>0.77450625090644</v>
      </c>
      <c r="Q627" s="46">
        <f>(VLOOKUP($A627,'The List'!$B1:$AH730,29,FALSE)-AVERAGE('The List'!AD2:AD730))/STDEV('The List'!AD2:AD730)</f>
        <v>-0.819047851417266</v>
      </c>
      <c r="R627" s="46">
        <f>(VLOOKUP($A627,'The List'!$B1:$AH730,30,FALSE)-AVERAGE('The List'!AE2:AE730))/STDEV('The List'!AE2:AE730)</f>
        <v>-0.896433882036481</v>
      </c>
      <c r="S627" s="46">
        <f>(VLOOKUP($A627,'The List'!$B1:$AH730,31,FALSE)-AVERAGE('The List'!AF2:AF730))/STDEV('The List'!AF2:AF730)</f>
        <v>-0.5569063253591</v>
      </c>
      <c r="T627" s="46">
        <f>(VLOOKUP($A627,'The List'!$B1:$AH730,32,FALSE)-AVERAGE('The List'!AG2:AG730))/STDEV('The List'!AG2:AG730)</f>
        <v>-0.600856269042678</v>
      </c>
      <c r="U627" s="46">
        <f>(VLOOKUP($A627,'The List'!$B1:$AH730,33,FALSE)-AVERAGE('The List'!AH2:AH730))/STDEV('The List'!AH2:AH730)</f>
        <v>-1.2363238714826</v>
      </c>
      <c r="V627" s="46"/>
      <c r="W627" s="48"/>
      <c r="X627" s="46"/>
      <c r="Y627" s="46"/>
      <c r="Z627" s="46"/>
      <c r="AA627" s="46"/>
      <c r="AB627" s="46"/>
      <c r="AC627" s="46"/>
      <c r="AD627" s="46"/>
      <c r="AE627" s="46"/>
    </row>
    <row r="628" ht="21.25" customHeight="1">
      <c r="A628" t="s" s="8">
        <v>872</v>
      </c>
      <c r="B628" t="s" s="42">
        <f>VLOOKUP(A628,'Player Data'!A1:B734,2,FALSE)</f>
        <v>122</v>
      </c>
      <c r="C628" s="44">
        <f>((E628)*'Settings'!$C$12)+(F628*'Settings'!$C$2)+(G628*'Settings'!$C$3)+(H628*'Settings'!$C$4)+(I628*'Settings'!$C$5)+(K628*'Settings'!$C$9)+(N628*'Settings'!$C$6)+(J628*'Settings'!$C$8)+(O628*'Settings'!$C$7)+(P628*'Settings'!$C$14)+(Q628*'Settings'!$C$15)+(R628*'Settings'!$C$16)+(S628*'Settings'!$C$17)+(T628*'Settings'!$C$18)+(U628*'Settings'!$C$19)+(L628*'Settings'!$C$10)+('Settings'!$C$11*M628)</f>
        <v>-5.09629595551862</v>
      </c>
      <c r="D628" s="48">
        <f>IF('Settings'!$E$12="YES",VLOOKUP(A628,'Player Data'!A1:E734,5,FALSE),82)</f>
        <v>61.5375</v>
      </c>
      <c r="E628" s="46">
        <f>(VLOOKUP($A628,'The List'!$B1:$AH730,17,FALSE)-AVERAGE('The List'!R2:R730))/STDEV('The List'!R2:R730)</f>
        <v>-1.53515409247649</v>
      </c>
      <c r="F628" s="46">
        <f>(VLOOKUP($A628,'The List'!$B1:$AH730,18,FALSE)-AVERAGE('The List'!S2:S730))/STDEV('The List'!S2:S730)</f>
        <v>-1.0509050753924</v>
      </c>
      <c r="G628" s="46">
        <f>(VLOOKUP($A628,'The List'!$B1:$AH730,19,FALSE)-AVERAGE('The List'!T2:T730))/STDEV('The List'!T2:T730)</f>
        <v>-1.10173975574397</v>
      </c>
      <c r="H628" s="46">
        <f>(VLOOKUP($A628,'The List'!$B1:$AH730,20,FALSE)-AVERAGE('The List'!U2:U730))/STDEV('The List'!U2:U730)</f>
        <v>-1.15739096444269</v>
      </c>
      <c r="I628" s="46">
        <f>(VLOOKUP($A628,'The List'!$B1:$AH730,21,FALSE)-AVERAGE('The List'!V2:V730))/STDEV('The List'!V2:V730)</f>
        <v>-1.38618984644422</v>
      </c>
      <c r="J628" s="46">
        <f>(VLOOKUP($A628,'The List'!$B1:$AH730,22,FALSE)-AVERAGE('The List'!W2:W730))/STDEV('The List'!W2:W730)</f>
        <v>-0.710458267076433</v>
      </c>
      <c r="K628" s="46">
        <f>(VLOOKUP($A628,'The List'!$B1:$AH730,23,FALSE)-AVERAGE('The List'!X2:X730))/STDEV('The List'!X2:X730)</f>
        <v>-0.799561815873559</v>
      </c>
      <c r="L628" s="46">
        <f>(VLOOKUP($A628,'The List'!$B1:$AH730,24,FALSE)-AVERAGE('The List'!Y2:Y730))/STDEV('The List'!Y2:Y730)</f>
        <v>-0.340811135293806</v>
      </c>
      <c r="M628" s="46">
        <f>(VLOOKUP($A628,'The List'!$B1:$AH730,25,FALSE)-AVERAGE('The List'!Z2:Z730))/STDEV('The List'!Z2:Z730)</f>
        <v>-0.456104692049157</v>
      </c>
      <c r="N628" s="46">
        <f>(VLOOKUP($A628,'The List'!$B1:$AH730,26,FALSE)-AVERAGE('The List'!AA2:AA730))/STDEV('The List'!AA2:AA730)</f>
        <v>-0.8559652327142639</v>
      </c>
      <c r="O628" s="46">
        <f>(VLOOKUP($A628,'The List'!$B1:$AH730,27,FALSE)-AVERAGE('The List'!AB2:AB730))/STDEV('The List'!AB2:AB730)</f>
        <v>-0.559837298222473</v>
      </c>
      <c r="P628" s="46">
        <f>(VLOOKUP($A628,'The List'!$B1:$AH730,28,FALSE)-AVERAGE('The List'!AC2:AC730))/STDEV('The List'!AC2:AC730)</f>
        <v>0.0980657706497972</v>
      </c>
      <c r="Q628" s="46">
        <f>(VLOOKUP($A628,'The List'!$B1:$AH730,29,FALSE)-AVERAGE('The List'!AD2:AD730))/STDEV('The List'!AD2:AD730)</f>
        <v>-1.37483378251029</v>
      </c>
      <c r="R628" s="46">
        <f>(VLOOKUP($A628,'The List'!$B1:$AH730,30,FALSE)-AVERAGE('The List'!AE2:AE730))/STDEV('The List'!AE2:AE730)</f>
        <v>-0.917229768795733</v>
      </c>
      <c r="S628" s="46">
        <f>(VLOOKUP($A628,'The List'!$B1:$AH730,31,FALSE)-AVERAGE('The List'!AF2:AF730))/STDEV('The List'!AF2:AF730)</f>
        <v>0.296040731627002</v>
      </c>
      <c r="T628" s="46">
        <f>(VLOOKUP($A628,'The List'!$B1:$AH730,32,FALSE)-AVERAGE('The List'!AG2:AG730))/STDEV('The List'!AG2:AG730)</f>
        <v>0.242486954824952</v>
      </c>
      <c r="U628" s="46">
        <f>(VLOOKUP($A628,'The List'!$B1:$AH730,33,FALSE)-AVERAGE('The List'!AH2:AH730))/STDEV('The List'!AH2:AH730)</f>
        <v>1.09160554094054</v>
      </c>
      <c r="V628" s="46"/>
      <c r="W628" s="48"/>
      <c r="X628" s="46"/>
      <c r="Y628" s="46"/>
      <c r="Z628" s="46"/>
      <c r="AA628" s="46"/>
      <c r="AB628" s="46"/>
      <c r="AC628" s="46"/>
      <c r="AD628" s="46"/>
      <c r="AE628" s="46"/>
    </row>
    <row r="629" ht="21.25" customHeight="1">
      <c r="A629" t="s" s="8">
        <v>654</v>
      </c>
      <c r="B629" t="s" s="42">
        <f>VLOOKUP(A629,'Player Data'!A1:B734,2,FALSE)</f>
        <v>202</v>
      </c>
      <c r="C629" s="44">
        <f>((E629)*'Settings'!$C$12)+(F629*'Settings'!$C$2)+(G629*'Settings'!$C$3)+(H629*'Settings'!$C$4)+(I629*'Settings'!$C$5)+(K629*'Settings'!$C$9)+(N629*'Settings'!$C$6)+(J629*'Settings'!$C$8)+(O629*'Settings'!$C$7)+(P629*'Settings'!$C$14)+(Q629*'Settings'!$C$15)+(R629*'Settings'!$C$16)+(S629*'Settings'!$C$17)+(T629*'Settings'!$C$18)+(U629*'Settings'!$C$19)+(L629*'Settings'!$C$10)+('Settings'!$C$11*M629)</f>
        <v>-2.44776039744161</v>
      </c>
      <c r="D629" s="48">
        <f>IF('Settings'!$E$12="YES",VLOOKUP(A629,'Player Data'!A1:E734,5,FALSE),82)</f>
        <v>68</v>
      </c>
      <c r="E629" s="46">
        <f>(VLOOKUP($A629,'The List'!$B1:$AH730,17,FALSE)-AVERAGE('The List'!R2:R730))/STDEV('The List'!R2:R730)</f>
        <v>-0.765662100036267</v>
      </c>
      <c r="F629" s="46">
        <f>(VLOOKUP($A629,'The List'!$B1:$AH730,18,FALSE)-AVERAGE('The List'!S2:S730))/STDEV('The List'!S2:S730)</f>
        <v>-0.986499135092444</v>
      </c>
      <c r="G629" s="46">
        <f>(VLOOKUP($A629,'The List'!$B1:$AH730,19,FALSE)-AVERAGE('The List'!T2:T730))/STDEV('The List'!T2:T730)</f>
        <v>-1.08257424565438</v>
      </c>
      <c r="H629" s="46">
        <f>(VLOOKUP($A629,'The List'!$B1:$AH730,20,FALSE)-AVERAGE('The List'!U2:U730))/STDEV('The List'!U2:U730)</f>
        <v>-1.11626968483513</v>
      </c>
      <c r="I629" s="46">
        <f>(VLOOKUP($A629,'The List'!$B1:$AH730,21,FALSE)-AVERAGE('The List'!V2:V730))/STDEV('The List'!V2:V730)</f>
        <v>-0.925114479230023</v>
      </c>
      <c r="J629" s="46">
        <f>(VLOOKUP($A629,'The List'!$B1:$AH730,22,FALSE)-AVERAGE('The List'!W2:W730))/STDEV('The List'!W2:W730)</f>
        <v>-0.711497670189272</v>
      </c>
      <c r="K629" s="46">
        <f>(VLOOKUP($A629,'The List'!$B1:$AH730,23,FALSE)-AVERAGE('The List'!X2:X730))/STDEV('The List'!X2:X730)</f>
        <v>-0.79699076354661</v>
      </c>
      <c r="L629" s="46">
        <f>(VLOOKUP($A629,'The List'!$B1:$AH730,24,FALSE)-AVERAGE('The List'!Y2:Y730))/STDEV('The List'!Y2:Y730)</f>
        <v>-0.168424079117853</v>
      </c>
      <c r="M629" s="46">
        <f>(VLOOKUP($A629,'The List'!$B1:$AH730,25,FALSE)-AVERAGE('The List'!Z2:Z730))/STDEV('The List'!Z2:Z730)</f>
        <v>-0.228392497018635</v>
      </c>
      <c r="N629" s="46">
        <f>(VLOOKUP($A629,'The List'!$B1:$AH730,26,FALSE)-AVERAGE('The List'!AA2:AA730))/STDEV('The List'!AA2:AA730)</f>
        <v>-0.0653267947134941</v>
      </c>
      <c r="O629" s="46">
        <f>(VLOOKUP($A629,'The List'!$B1:$AH730,27,FALSE)-AVERAGE('The List'!AB2:AB730))/STDEV('The List'!AB2:AB730)</f>
        <v>-0.315025274645186</v>
      </c>
      <c r="P629" s="46">
        <f>(VLOOKUP($A629,'The List'!$B1:$AH730,28,FALSE)-AVERAGE('The List'!AC2:AC730))/STDEV('The List'!AC2:AC730)</f>
        <v>1.40874502079534</v>
      </c>
      <c r="Q629" s="46">
        <f>(VLOOKUP($A629,'The List'!$B1:$AH730,29,FALSE)-AVERAGE('The List'!AD2:AD730))/STDEV('The List'!AD2:AD730)</f>
        <v>-0.146570199980308</v>
      </c>
      <c r="R629" s="46">
        <f>(VLOOKUP($A629,'The List'!$B1:$AH730,30,FALSE)-AVERAGE('The List'!AE2:AE730))/STDEV('The List'!AE2:AE730)</f>
        <v>-0.823660131943362</v>
      </c>
      <c r="S629" s="46">
        <f>(VLOOKUP($A629,'The List'!$B1:$AH730,31,FALSE)-AVERAGE('The List'!AF2:AF730))/STDEV('The List'!AF2:AF730)</f>
        <v>-0.5569063253591</v>
      </c>
      <c r="T629" s="46">
        <f>(VLOOKUP($A629,'The List'!$B1:$AH730,32,FALSE)-AVERAGE('The List'!AG2:AG730))/STDEV('The List'!AG2:AG730)</f>
        <v>-0.600856269042678</v>
      </c>
      <c r="U629" s="46">
        <f>(VLOOKUP($A629,'The List'!$B1:$AH730,33,FALSE)-AVERAGE('The List'!AH2:AH730))/STDEV('The List'!AH2:AH730)</f>
        <v>-1.2363238714826</v>
      </c>
      <c r="V629" s="46"/>
      <c r="W629" s="48"/>
      <c r="X629" s="46"/>
      <c r="Y629" s="46"/>
      <c r="Z629" s="46"/>
      <c r="AA629" s="46"/>
      <c r="AB629" s="46"/>
      <c r="AC629" s="46"/>
      <c r="AD629" s="46"/>
      <c r="AE629" s="46"/>
    </row>
    <row r="630" ht="21.25" customHeight="1">
      <c r="A630" t="s" s="8">
        <v>845</v>
      </c>
      <c r="B630" t="s" s="42">
        <f>VLOOKUP(A630,'Player Data'!A1:B734,2,FALSE)</f>
        <v>115</v>
      </c>
      <c r="C630" s="44">
        <f>((E630)*'Settings'!$C$12)+(F630*'Settings'!$C$2)+(G630*'Settings'!$C$3)+(H630*'Settings'!$C$4)+(I630*'Settings'!$C$5)+(K630*'Settings'!$C$9)+(N630*'Settings'!$C$6)+(J630*'Settings'!$C$8)+(O630*'Settings'!$C$7)+(P630*'Settings'!$C$14)+(Q630*'Settings'!$C$15)+(R630*'Settings'!$C$16)+(S630*'Settings'!$C$17)+(T630*'Settings'!$C$18)+(U630*'Settings'!$C$19)+(L630*'Settings'!$C$10)+('Settings'!$C$11*M630)</f>
        <v>-4.45288513433045</v>
      </c>
      <c r="D630" s="48">
        <f>IF('Settings'!$E$12="YES",VLOOKUP(A630,'Player Data'!A1:E734,5,FALSE),82)</f>
        <v>75.8628571428571</v>
      </c>
      <c r="E630" s="46">
        <f>(VLOOKUP($A630,'The List'!$B1:$AH730,17,FALSE)-AVERAGE('The List'!R2:R730))/STDEV('The List'!R2:R730)</f>
        <v>-1.92557238022184</v>
      </c>
      <c r="F630" s="46">
        <f>(VLOOKUP($A630,'The List'!$B1:$AH730,18,FALSE)-AVERAGE('The List'!S2:S730))/STDEV('The List'!S2:S730)</f>
        <v>-0.901604586201015</v>
      </c>
      <c r="G630" s="46">
        <f>(VLOOKUP($A630,'The List'!$B1:$AH730,19,FALSE)-AVERAGE('The List'!T2:T730))/STDEV('The List'!T2:T730)</f>
        <v>-1.06068980527056</v>
      </c>
      <c r="H630" s="46">
        <f>(VLOOKUP($A630,'The List'!$B1:$AH730,20,FALSE)-AVERAGE('The List'!U2:U730))/STDEV('The List'!U2:U730)</f>
        <v>-1.06414949261544</v>
      </c>
      <c r="I630" s="46">
        <f>(VLOOKUP($A630,'The List'!$B1:$AH730,21,FALSE)-AVERAGE('The List'!V2:V730))/STDEV('The List'!V2:V730)</f>
        <v>-1.31785280534349</v>
      </c>
      <c r="J630" s="46">
        <f>(VLOOKUP($A630,'The List'!$B1:$AH730,22,FALSE)-AVERAGE('The List'!W2:W730))/STDEV('The List'!W2:W730)</f>
        <v>-0.708336978181316</v>
      </c>
      <c r="K630" s="46">
        <f>(VLOOKUP($A630,'The List'!$B1:$AH730,23,FALSE)-AVERAGE('The List'!X2:X730))/STDEV('The List'!X2:X730)</f>
        <v>-0.797628039037227</v>
      </c>
      <c r="L630" s="46">
        <f>(VLOOKUP($A630,'The List'!$B1:$AH730,24,FALSE)-AVERAGE('The List'!Y2:Y730))/STDEV('The List'!Y2:Y730)</f>
        <v>-0.538709678379331</v>
      </c>
      <c r="M630" s="46">
        <f>(VLOOKUP($A630,'The List'!$B1:$AH730,25,FALSE)-AVERAGE('The List'!Z2:Z730))/STDEV('The List'!Z2:Z730)</f>
        <v>-0.71674469024177</v>
      </c>
      <c r="N630" s="46">
        <f>(VLOOKUP($A630,'The List'!$B1:$AH730,26,FALSE)-AVERAGE('The List'!AA2:AA730))/STDEV('The List'!AA2:AA730)</f>
        <v>-0.917421737753961</v>
      </c>
      <c r="O630" s="46">
        <f>(VLOOKUP($A630,'The List'!$B1:$AH730,27,FALSE)-AVERAGE('The List'!AB2:AB730))/STDEV('The List'!AB2:AB730)</f>
        <v>2.44533796077655</v>
      </c>
      <c r="P630" s="46">
        <f>(VLOOKUP($A630,'The List'!$B1:$AH730,28,FALSE)-AVERAGE('The List'!AC2:AC730))/STDEV('The List'!AC2:AC730)</f>
        <v>0.542311839275806</v>
      </c>
      <c r="Q630" s="46">
        <f>(VLOOKUP($A630,'The List'!$B1:$AH730,29,FALSE)-AVERAGE('The List'!AD2:AD730))/STDEV('The List'!AD2:AD730)</f>
        <v>0.416324186231472</v>
      </c>
      <c r="R630" s="46">
        <f>(VLOOKUP($A630,'The List'!$B1:$AH730,30,FALSE)-AVERAGE('The List'!AE2:AE730))/STDEV('The List'!AE2:AE730)</f>
        <v>-0.772666674311522</v>
      </c>
      <c r="S630" s="46">
        <f>(VLOOKUP($A630,'The List'!$B1:$AH730,31,FALSE)-AVERAGE('The List'!AF2:AF730))/STDEV('The List'!AF2:AF730)</f>
        <v>-0.52905610345263</v>
      </c>
      <c r="T630" s="46">
        <f>(VLOOKUP($A630,'The List'!$B1:$AH730,32,FALSE)-AVERAGE('The List'!AG2:AG730))/STDEV('The List'!AG2:AG730)</f>
        <v>-0.550333548760896</v>
      </c>
      <c r="U630" s="46">
        <f>(VLOOKUP($A630,'The List'!$B1:$AH730,33,FALSE)-AVERAGE('The List'!AH2:AH730))/STDEV('The List'!AH2:AH730)</f>
        <v>0.421179180507938</v>
      </c>
      <c r="V630" s="46"/>
      <c r="W630" s="48"/>
      <c r="X630" s="46"/>
      <c r="Y630" s="46"/>
      <c r="Z630" s="46"/>
      <c r="AA630" s="46"/>
      <c r="AB630" s="46"/>
      <c r="AC630" s="46"/>
      <c r="AD630" s="46"/>
      <c r="AE630" s="46"/>
    </row>
    <row r="631" ht="21.25" customHeight="1">
      <c r="A631" t="s" s="8">
        <v>593</v>
      </c>
      <c r="B631" t="s" s="42">
        <f>VLOOKUP(A631,'Player Data'!A1:B734,2,FALSE)</f>
        <v>136</v>
      </c>
      <c r="C631" s="44">
        <f>((E631)*'Settings'!$C$12)+(F631*'Settings'!$C$2)+(G631*'Settings'!$C$3)+(H631*'Settings'!$C$4)+(I631*'Settings'!$C$5)+(K631*'Settings'!$C$9)+(N631*'Settings'!$C$6)+(J631*'Settings'!$C$8)+(O631*'Settings'!$C$7)+(P631*'Settings'!$C$14)+(Q631*'Settings'!$C$15)+(R631*'Settings'!$C$16)+(S631*'Settings'!$C$17)+(T631*'Settings'!$C$18)+(U631*'Settings'!$C$19)+(L631*'Settings'!$C$10)+('Settings'!$C$11*M631)</f>
        <v>-1.03764860702179</v>
      </c>
      <c r="D631" s="48">
        <f>IF('Settings'!$E$12="YES",VLOOKUP(A631,'Player Data'!A1:E734,5,FALSE),82)</f>
        <v>81.9014285714286</v>
      </c>
      <c r="E631" s="46">
        <f>(VLOOKUP($A631,'The List'!$B1:$AH730,17,FALSE)-AVERAGE('The List'!R2:R730))/STDEV('The List'!R2:R730)</f>
        <v>0.490838822552982</v>
      </c>
      <c r="F631" s="46">
        <f>(VLOOKUP($A631,'The List'!$B1:$AH730,18,FALSE)-AVERAGE('The List'!S2:S730))/STDEV('The List'!S2:S730)</f>
        <v>-0.8855312099493819</v>
      </c>
      <c r="G631" s="46">
        <f>(VLOOKUP($A631,'The List'!$B1:$AH730,19,FALSE)-AVERAGE('The List'!T2:T730))/STDEV('The List'!T2:T730)</f>
        <v>-1.01120814180542</v>
      </c>
      <c r="H631" s="46">
        <f>(VLOOKUP($A631,'The List'!$B1:$AH730,20,FALSE)-AVERAGE('The List'!U2:U730))/STDEV('The List'!U2:U730)</f>
        <v>-1.02633098890295</v>
      </c>
      <c r="I631" s="46">
        <f>(VLOOKUP($A631,'The List'!$B1:$AH730,21,FALSE)-AVERAGE('The List'!V2:V730))/STDEV('The List'!V2:V730)</f>
        <v>-0.831465591333284</v>
      </c>
      <c r="J631" s="46">
        <f>(VLOOKUP($A631,'The List'!$B1:$AH730,22,FALSE)-AVERAGE('The List'!W2:W730))/STDEV('The List'!W2:W730)</f>
        <v>-0.70685244307189</v>
      </c>
      <c r="K631" s="46">
        <f>(VLOOKUP($A631,'The List'!$B1:$AH730,23,FALSE)-AVERAGE('The List'!X2:X730))/STDEV('The List'!X2:X730)</f>
        <v>-0.784773918312045</v>
      </c>
      <c r="L631" s="46">
        <f>(VLOOKUP($A631,'The List'!$B1:$AH730,24,FALSE)-AVERAGE('The List'!Y2:Y730))/STDEV('The List'!Y2:Y730)</f>
        <v>-0.496455231138996</v>
      </c>
      <c r="M631" s="46">
        <f>(VLOOKUP($A631,'The List'!$B1:$AH730,25,FALSE)-AVERAGE('The List'!Z2:Z730))/STDEV('The List'!Z2:Z730)</f>
        <v>-0.0439100458730211</v>
      </c>
      <c r="N631" s="46">
        <f>(VLOOKUP($A631,'The List'!$B1:$AH730,26,FALSE)-AVERAGE('The List'!AA2:AA730))/STDEV('The List'!AA2:AA730)</f>
        <v>1.68718266426305</v>
      </c>
      <c r="O631" s="46">
        <f>(VLOOKUP($A631,'The List'!$B1:$AH730,27,FALSE)-AVERAGE('The List'!AB2:AB730))/STDEV('The List'!AB2:AB730)</f>
        <v>2.53896648417532</v>
      </c>
      <c r="P631" s="46">
        <f>(VLOOKUP($A631,'The List'!$B1:$AH730,28,FALSE)-AVERAGE('The List'!AC2:AC730))/STDEV('The List'!AC2:AC730)</f>
        <v>0.788147590115289</v>
      </c>
      <c r="Q631" s="46">
        <f>(VLOOKUP($A631,'The List'!$B1:$AH730,29,FALSE)-AVERAGE('The List'!AD2:AD730))/STDEV('The List'!AD2:AD730)</f>
        <v>1.20665644699434</v>
      </c>
      <c r="R631" s="46">
        <f>(VLOOKUP($A631,'The List'!$B1:$AH730,30,FALSE)-AVERAGE('The List'!AE2:AE730))/STDEV('The List'!AE2:AE730)</f>
        <v>-0.757616538235054</v>
      </c>
      <c r="S631" s="46">
        <f>(VLOOKUP($A631,'The List'!$B1:$AH730,31,FALSE)-AVERAGE('The List'!AF2:AF730))/STDEV('The List'!AF2:AF730)</f>
        <v>-0.5569063253591</v>
      </c>
      <c r="T631" s="46">
        <f>(VLOOKUP($A631,'The List'!$B1:$AH730,32,FALSE)-AVERAGE('The List'!AG2:AG730))/STDEV('The List'!AG2:AG730)</f>
        <v>-0.600856269042678</v>
      </c>
      <c r="U631" s="46">
        <f>(VLOOKUP($A631,'The List'!$B1:$AH730,33,FALSE)-AVERAGE('The List'!AH2:AH730))/STDEV('The List'!AH2:AH730)</f>
        <v>-1.2363238714826</v>
      </c>
      <c r="V631" s="46"/>
      <c r="W631" s="48"/>
      <c r="X631" s="46"/>
      <c r="Y631" s="46"/>
      <c r="Z631" s="46"/>
      <c r="AA631" s="46"/>
      <c r="AB631" s="46"/>
      <c r="AC631" s="46"/>
      <c r="AD631" s="46"/>
      <c r="AE631" s="46"/>
    </row>
    <row r="632" ht="21.25" customHeight="1">
      <c r="A632" t="s" s="8">
        <v>840</v>
      </c>
      <c r="B632" t="s" s="42">
        <f>VLOOKUP(A632,'Player Data'!A1:B734,2,FALSE)</f>
        <v>204</v>
      </c>
      <c r="C632" s="44">
        <f>((E632)*'Settings'!$C$12)+(F632*'Settings'!$C$2)+(G632*'Settings'!$C$3)+(H632*'Settings'!$C$4)+(I632*'Settings'!$C$5)+(K632*'Settings'!$C$9)+(N632*'Settings'!$C$6)+(J632*'Settings'!$C$8)+(O632*'Settings'!$C$7)+(P632*'Settings'!$C$14)+(Q632*'Settings'!$C$15)+(R632*'Settings'!$C$16)+(S632*'Settings'!$C$17)+(T632*'Settings'!$C$18)+(U632*'Settings'!$C$19)+(L632*'Settings'!$C$10)+('Settings'!$C$11*M632)</f>
        <v>-4.69361316543525</v>
      </c>
      <c r="D632" s="48">
        <f>IF('Settings'!$E$12="YES",VLOOKUP(A632,'Player Data'!A1:E734,5,FALSE),82)</f>
        <v>65</v>
      </c>
      <c r="E632" s="46">
        <f>(VLOOKUP($A632,'The List'!$B1:$AH730,17,FALSE)-AVERAGE('The List'!R2:R730))/STDEV('The List'!R2:R730)</f>
        <v>-1.54124752406294</v>
      </c>
      <c r="F632" s="46">
        <f>(VLOOKUP($A632,'The List'!$B1:$AH730,18,FALSE)-AVERAGE('The List'!S2:S730))/STDEV('The List'!S2:S730)</f>
        <v>-0.869889640519665</v>
      </c>
      <c r="G632" s="46">
        <f>(VLOOKUP($A632,'The List'!$B1:$AH730,19,FALSE)-AVERAGE('The List'!T2:T730))/STDEV('The List'!T2:T730)</f>
        <v>-1.21477894770663</v>
      </c>
      <c r="H632" s="46">
        <f>(VLOOKUP($A632,'The List'!$B1:$AH730,20,FALSE)-AVERAGE('The List'!U2:U730))/STDEV('The List'!U2:U730)</f>
        <v>-1.14471248727876</v>
      </c>
      <c r="I632" s="46">
        <f>(VLOOKUP($A632,'The List'!$B1:$AH730,21,FALSE)-AVERAGE('The List'!V2:V730))/STDEV('The List'!V2:V730)</f>
        <v>-0.691601838416101</v>
      </c>
      <c r="J632" s="46">
        <f>(VLOOKUP($A632,'The List'!$B1:$AH730,22,FALSE)-AVERAGE('The List'!W2:W730))/STDEV('The List'!W2:W730)</f>
        <v>-0.678234960603422</v>
      </c>
      <c r="K632" s="46">
        <f>(VLOOKUP($A632,'The List'!$B1:$AH730,23,FALSE)-AVERAGE('The List'!X2:X730))/STDEV('The List'!X2:X730)</f>
        <v>-0.774462158311466</v>
      </c>
      <c r="L632" s="46">
        <f>(VLOOKUP($A632,'The List'!$B1:$AH730,24,FALSE)-AVERAGE('The List'!Y2:Y730))/STDEV('The List'!Y2:Y730)</f>
        <v>0.740028439919388</v>
      </c>
      <c r="M632" s="46">
        <f>(VLOOKUP($A632,'The List'!$B1:$AH730,25,FALSE)-AVERAGE('The List'!Z2:Z730))/STDEV('The List'!Z2:Z730)</f>
        <v>0.155860407314986</v>
      </c>
      <c r="N632" s="46">
        <f>(VLOOKUP($A632,'The List'!$B1:$AH730,26,FALSE)-AVERAGE('The List'!AA2:AA730))/STDEV('The List'!AA2:AA730)</f>
        <v>-0.868637178445792</v>
      </c>
      <c r="O632" s="46">
        <f>(VLOOKUP($A632,'The List'!$B1:$AH730,27,FALSE)-AVERAGE('The List'!AB2:AB730))/STDEV('The List'!AB2:AB730)</f>
        <v>0.397374081291351</v>
      </c>
      <c r="P632" s="46">
        <f>(VLOOKUP($A632,'The List'!$B1:$AH730,28,FALSE)-AVERAGE('The List'!AC2:AC730))/STDEV('The List'!AC2:AC730)</f>
        <v>-0.274243402035596</v>
      </c>
      <c r="Q632" s="46">
        <f>(VLOOKUP($A632,'The List'!$B1:$AH730,29,FALSE)-AVERAGE('The List'!AD2:AD730))/STDEV('The List'!AD2:AD730)</f>
        <v>-1.4114995987636</v>
      </c>
      <c r="R632" s="46">
        <f>(VLOOKUP($A632,'The List'!$B1:$AH730,30,FALSE)-AVERAGE('The List'!AE2:AE730))/STDEV('The List'!AE2:AE730)</f>
        <v>-0.774381382380775</v>
      </c>
      <c r="S632" s="46">
        <f>(VLOOKUP($A632,'The List'!$B1:$AH730,31,FALSE)-AVERAGE('The List'!AF2:AF730))/STDEV('The List'!AF2:AF730)</f>
        <v>-0.147719182138182</v>
      </c>
      <c r="T632" s="46">
        <f>(VLOOKUP($A632,'The List'!$B1:$AH730,32,FALSE)-AVERAGE('The List'!AG2:AG730))/STDEV('The List'!AG2:AG730)</f>
        <v>-0.0678401135467275</v>
      </c>
      <c r="U632" s="46">
        <f>(VLOOKUP($A632,'The List'!$B1:$AH730,33,FALSE)-AVERAGE('The List'!AH2:AH730))/STDEV('The List'!AH2:AH730)</f>
        <v>0.781252352625958</v>
      </c>
      <c r="V632" s="46"/>
      <c r="W632" s="48"/>
      <c r="X632" s="46"/>
      <c r="Y632" s="46"/>
      <c r="Z632" s="46"/>
      <c r="AA632" s="46"/>
      <c r="AB632" s="46"/>
      <c r="AC632" s="46"/>
      <c r="AD632" s="46"/>
      <c r="AE632" s="46"/>
    </row>
    <row r="633" ht="21.25" customHeight="1">
      <c r="A633" t="s" s="8">
        <v>820</v>
      </c>
      <c r="B633" t="s" s="42">
        <f>VLOOKUP(A633,'Player Data'!A1:B734,2,FALSE)</f>
        <v>149</v>
      </c>
      <c r="C633" s="44">
        <f>((E633)*'Settings'!$C$12)+(F633*'Settings'!$C$2)+(G633*'Settings'!$C$3)+(H633*'Settings'!$C$4)+(I633*'Settings'!$C$5)+(K633*'Settings'!$C$9)+(N633*'Settings'!$C$6)+(J633*'Settings'!$C$8)+(O633*'Settings'!$C$7)+(P633*'Settings'!$C$14)+(Q633*'Settings'!$C$15)+(R633*'Settings'!$C$16)+(S633*'Settings'!$C$17)+(T633*'Settings'!$C$18)+(U633*'Settings'!$C$19)+(L633*'Settings'!$C$10)+('Settings'!$C$11*M633)</f>
        <v>-4.49809365165263</v>
      </c>
      <c r="D633" s="48">
        <f>IF('Settings'!$E$12="YES",VLOOKUP(A633,'Player Data'!A1:E734,5,FALSE),82)</f>
        <v>80.0471428571429</v>
      </c>
      <c r="E633" s="46">
        <f>(VLOOKUP($A633,'The List'!$B1:$AH730,17,FALSE)-AVERAGE('The List'!R2:R730))/STDEV('The List'!R2:R730)</f>
        <v>-1.57280769482681</v>
      </c>
      <c r="F633" s="46">
        <f>(VLOOKUP($A633,'The List'!$B1:$AH730,18,FALSE)-AVERAGE('The List'!S2:S730))/STDEV('The List'!S2:S730)</f>
        <v>-0.834369854432209</v>
      </c>
      <c r="G633" s="46">
        <f>(VLOOKUP($A633,'The List'!$B1:$AH730,19,FALSE)-AVERAGE('The List'!T2:T730))/STDEV('The List'!T2:T730)</f>
        <v>-1.07752812946643</v>
      </c>
      <c r="H633" s="46">
        <f>(VLOOKUP($A633,'The List'!$B1:$AH730,20,FALSE)-AVERAGE('The List'!U2:U730))/STDEV('The List'!U2:U730)</f>
        <v>-1.04393694677033</v>
      </c>
      <c r="I633" s="46">
        <f>(VLOOKUP($A633,'The List'!$B1:$AH730,21,FALSE)-AVERAGE('The List'!V2:V730))/STDEV('The List'!V2:V730)</f>
        <v>-0.861080331490784</v>
      </c>
      <c r="J633" s="46">
        <f>(VLOOKUP($A633,'The List'!$B1:$AH730,22,FALSE)-AVERAGE('The List'!W2:W730))/STDEV('The List'!W2:W730)</f>
        <v>-0.699454651756502</v>
      </c>
      <c r="K633" s="46">
        <f>(VLOOKUP($A633,'The List'!$B1:$AH730,23,FALSE)-AVERAGE('The List'!X2:X730))/STDEV('The List'!X2:X730)</f>
        <v>-0.789400635152821</v>
      </c>
      <c r="L633" s="46">
        <f>(VLOOKUP($A633,'The List'!$B1:$AH730,24,FALSE)-AVERAGE('The List'!Y2:Y730))/STDEV('The List'!Y2:Y730)</f>
        <v>-0.483999541341956</v>
      </c>
      <c r="M633" s="46">
        <f>(VLOOKUP($A633,'The List'!$B1:$AH730,25,FALSE)-AVERAGE('The List'!Z2:Z730))/STDEV('The List'!Z2:Z730)</f>
        <v>-0.651691556926951</v>
      </c>
      <c r="N633" s="46">
        <f>(VLOOKUP($A633,'The List'!$B1:$AH730,26,FALSE)-AVERAGE('The List'!AA2:AA730))/STDEV('The List'!AA2:AA730)</f>
        <v>-0.584351177711207</v>
      </c>
      <c r="O633" s="46">
        <f>(VLOOKUP($A633,'The List'!$B1:$AH730,27,FALSE)-AVERAGE('The List'!AB2:AB730))/STDEV('The List'!AB2:AB730)</f>
        <v>3.38755454023958</v>
      </c>
      <c r="P633" s="46">
        <f>(VLOOKUP($A633,'The List'!$B1:$AH730,28,FALSE)-AVERAGE('The List'!AC2:AC730))/STDEV('The List'!AC2:AC730)</f>
        <v>-0.351363523399183</v>
      </c>
      <c r="Q633" s="46">
        <f>(VLOOKUP($A633,'The List'!$B1:$AH730,29,FALSE)-AVERAGE('The List'!AD2:AD730))/STDEV('The List'!AD2:AD730)</f>
        <v>0.951066016902041</v>
      </c>
      <c r="R633" s="46">
        <f>(VLOOKUP($A633,'The List'!$B1:$AH730,30,FALSE)-AVERAGE('The List'!AE2:AE730))/STDEV('The List'!AE2:AE730)</f>
        <v>-0.720771233261968</v>
      </c>
      <c r="S633" s="46">
        <f>(VLOOKUP($A633,'The List'!$B1:$AH730,31,FALSE)-AVERAGE('The List'!AF2:AF730))/STDEV('The List'!AF2:AF730)</f>
        <v>-0.5159406553757629</v>
      </c>
      <c r="T633" s="46">
        <f>(VLOOKUP($A633,'The List'!$B1:$AH730,32,FALSE)-AVERAGE('The List'!AG2:AG730))/STDEV('The List'!AG2:AG730)</f>
        <v>-0.520409528061056</v>
      </c>
      <c r="U633" s="46">
        <f>(VLOOKUP($A633,'The List'!$B1:$AH730,33,FALSE)-AVERAGE('The List'!AH2:AH730))/STDEV('The List'!AH2:AH730)</f>
        <v>0.338910599302192</v>
      </c>
      <c r="V633" s="46"/>
      <c r="W633" s="48"/>
      <c r="X633" s="46"/>
      <c r="Y633" s="46"/>
      <c r="Z633" s="46"/>
      <c r="AA633" s="46"/>
      <c r="AB633" s="46"/>
      <c r="AC633" s="46"/>
      <c r="AD633" s="46"/>
      <c r="AE633" s="46"/>
    </row>
    <row r="634" ht="21.25" customHeight="1">
      <c r="A634" t="s" s="8">
        <v>853</v>
      </c>
      <c r="B634" t="s" s="42">
        <f>VLOOKUP(A634,'Player Data'!A1:B734,2,FALSE)</f>
        <v>248</v>
      </c>
      <c r="C634" s="44">
        <f>((E634)*'Settings'!$C$12)+(F634*'Settings'!$C$2)+(G634*'Settings'!$C$3)+(H634*'Settings'!$C$4)+(I634*'Settings'!$C$5)+(K634*'Settings'!$C$9)+(N634*'Settings'!$C$6)+(J634*'Settings'!$C$8)+(O634*'Settings'!$C$7)+(P634*'Settings'!$C$14)+(Q634*'Settings'!$C$15)+(R634*'Settings'!$C$16)+(S634*'Settings'!$C$17)+(T634*'Settings'!$C$18)+(U634*'Settings'!$C$19)+(L634*'Settings'!$C$10)+('Settings'!$C$11*M634)</f>
        <v>-4.74653809985724</v>
      </c>
      <c r="D634" s="48">
        <f>IF('Settings'!$E$12="YES",VLOOKUP(A634,'Player Data'!A1:E734,5,FALSE),82)</f>
        <v>70</v>
      </c>
      <c r="E634" s="46">
        <f>(VLOOKUP($A634,'The List'!$B1:$AH730,17,FALSE)-AVERAGE('The List'!R2:R730))/STDEV('The List'!R2:R730)</f>
        <v>-1.39679784411729</v>
      </c>
      <c r="F634" s="46">
        <f>(VLOOKUP($A634,'The List'!$B1:$AH730,18,FALSE)-AVERAGE('The List'!S2:S730))/STDEV('The List'!S2:S730)</f>
        <v>-0.877889813801079</v>
      </c>
      <c r="G634" s="46">
        <f>(VLOOKUP($A634,'The List'!$B1:$AH730,19,FALSE)-AVERAGE('The List'!T2:T730))/STDEV('The List'!T2:T730)</f>
        <v>-1.16644812976458</v>
      </c>
      <c r="H634" s="46">
        <f>(VLOOKUP($A634,'The List'!$B1:$AH730,20,FALSE)-AVERAGE('The List'!U2:U730))/STDEV('The List'!U2:U730)</f>
        <v>-1.11855741255431</v>
      </c>
      <c r="I634" s="46">
        <f>(VLOOKUP($A634,'The List'!$B1:$AH730,21,FALSE)-AVERAGE('The List'!V2:V730))/STDEV('The List'!V2:V730)</f>
        <v>-1.25439803505357</v>
      </c>
      <c r="J634" s="46">
        <f>(VLOOKUP($A634,'The List'!$B1:$AH730,22,FALSE)-AVERAGE('The List'!W2:W730))/STDEV('The List'!W2:W730)</f>
        <v>-0.710638481188378</v>
      </c>
      <c r="K634" s="46">
        <f>(VLOOKUP($A634,'The List'!$B1:$AH730,23,FALSE)-AVERAGE('The List'!X2:X730))/STDEV('The List'!X2:X730)</f>
        <v>-0.80015952562093</v>
      </c>
      <c r="L634" s="46">
        <f>(VLOOKUP($A634,'The List'!$B1:$AH730,24,FALSE)-AVERAGE('The List'!Y2:Y730))/STDEV('The List'!Y2:Y730)</f>
        <v>-0.109050308755618</v>
      </c>
      <c r="M634" s="46">
        <f>(VLOOKUP($A634,'The List'!$B1:$AH730,25,FALSE)-AVERAGE('The List'!Z2:Z730))/STDEV('The List'!Z2:Z730)</f>
        <v>0.0119878408053098</v>
      </c>
      <c r="N634" s="46">
        <f>(VLOOKUP($A634,'The List'!$B1:$AH730,26,FALSE)-AVERAGE('The List'!AA2:AA730))/STDEV('The List'!AA2:AA730)</f>
        <v>-0.465403027781608</v>
      </c>
      <c r="O634" s="46">
        <f>(VLOOKUP($A634,'The List'!$B1:$AH730,27,FALSE)-AVERAGE('The List'!AB2:AB730))/STDEV('The List'!AB2:AB730)</f>
        <v>-0.467469251767049</v>
      </c>
      <c r="P634" s="46">
        <f>(VLOOKUP($A634,'The List'!$B1:$AH730,28,FALSE)-AVERAGE('The List'!AC2:AC730))/STDEV('The List'!AC2:AC730)</f>
        <v>-0.18223956783547</v>
      </c>
      <c r="Q634" s="46">
        <f>(VLOOKUP($A634,'The List'!$B1:$AH730,29,FALSE)-AVERAGE('The List'!AD2:AD730))/STDEV('The List'!AD2:AD730)</f>
        <v>-0.787276058834271</v>
      </c>
      <c r="R634" s="46">
        <f>(VLOOKUP($A634,'The List'!$B1:$AH730,30,FALSE)-AVERAGE('The List'!AE2:AE730))/STDEV('The List'!AE2:AE730)</f>
        <v>-0.802472630893994</v>
      </c>
      <c r="S634" s="46">
        <f>(VLOOKUP($A634,'The List'!$B1:$AH730,31,FALSE)-AVERAGE('The List'!AF2:AF730))/STDEV('The List'!AF2:AF730)</f>
        <v>1.03386932088291</v>
      </c>
      <c r="T634" s="46">
        <f>(VLOOKUP($A634,'The List'!$B1:$AH730,32,FALSE)-AVERAGE('The List'!AG2:AG730))/STDEV('The List'!AG2:AG730)</f>
        <v>0.857094776541849</v>
      </c>
      <c r="U634" s="46">
        <f>(VLOOKUP($A634,'The List'!$B1:$AH730,33,FALSE)-AVERAGE('The List'!AH2:AH730))/STDEV('The List'!AH2:AH730)</f>
        <v>1.17704222355906</v>
      </c>
      <c r="V634" s="46"/>
      <c r="W634" s="48"/>
      <c r="X634" s="46"/>
      <c r="Y634" s="46"/>
      <c r="Z634" s="46"/>
      <c r="AA634" s="46"/>
      <c r="AB634" s="46"/>
      <c r="AC634" s="46"/>
      <c r="AD634" s="46"/>
      <c r="AE634" s="46"/>
    </row>
    <row r="635" ht="21.25" customHeight="1">
      <c r="A635" t="s" s="8">
        <v>658</v>
      </c>
      <c r="B635" t="s" s="42">
        <f>VLOOKUP(A635,'Player Data'!A1:B734,2,FALSE)</f>
        <v>139</v>
      </c>
      <c r="C635" s="44">
        <f>((E635)*'Settings'!$C$12)+(F635*'Settings'!$C$2)+(G635*'Settings'!$C$3)+(H635*'Settings'!$C$4)+(I635*'Settings'!$C$5)+(K635*'Settings'!$C$9)+(N635*'Settings'!$C$6)+(J635*'Settings'!$C$8)+(O635*'Settings'!$C$7)+(P635*'Settings'!$C$14)+(Q635*'Settings'!$C$15)+(R635*'Settings'!$C$16)+(S635*'Settings'!$C$17)+(T635*'Settings'!$C$18)+(U635*'Settings'!$C$19)+(L635*'Settings'!$C$10)+('Settings'!$C$11*M635)</f>
        <v>-3.96286087433605</v>
      </c>
      <c r="D635" s="48">
        <f>IF('Settings'!$E$12="YES",VLOOKUP(A635,'Player Data'!A1:E734,5,FALSE),82)</f>
        <v>80</v>
      </c>
      <c r="E635" s="46">
        <f>(VLOOKUP($A635,'The List'!$B1:$AH730,17,FALSE)-AVERAGE('The List'!R2:R730))/STDEV('The List'!R2:R730)</f>
        <v>-0.688416863627786</v>
      </c>
      <c r="F635" s="46">
        <f>(VLOOKUP($A635,'The List'!$B1:$AH730,18,FALSE)-AVERAGE('The List'!S2:S730))/STDEV('The List'!S2:S730)</f>
        <v>-1.10695257257284</v>
      </c>
      <c r="G635" s="46">
        <f>(VLOOKUP($A635,'The List'!$B1:$AH730,19,FALSE)-AVERAGE('The List'!T2:T730))/STDEV('The List'!T2:T730)</f>
        <v>-0.903185516781</v>
      </c>
      <c r="H635" s="46">
        <f>(VLOOKUP($A635,'The List'!$B1:$AH730,20,FALSE)-AVERAGE('The List'!U2:U730))/STDEV('The List'!U2:U730)</f>
        <v>-1.06048762114386</v>
      </c>
      <c r="I635" s="46">
        <f>(VLOOKUP($A635,'The List'!$B1:$AH730,21,FALSE)-AVERAGE('The List'!V2:V730))/STDEV('The List'!V2:V730)</f>
        <v>-1.32585992036642</v>
      </c>
      <c r="J635" s="46">
        <f>(VLOOKUP($A635,'The List'!$B1:$AH730,22,FALSE)-AVERAGE('The List'!W2:W730))/STDEV('The List'!W2:W730)</f>
        <v>-0.71052424843093</v>
      </c>
      <c r="K635" s="46">
        <f>(VLOOKUP($A635,'The List'!$B1:$AH730,23,FALSE)-AVERAGE('The List'!X2:X730))/STDEV('The List'!X2:X730)</f>
        <v>-0.794147693429603</v>
      </c>
      <c r="L635" s="46">
        <f>(VLOOKUP($A635,'The List'!$B1:$AH730,24,FALSE)-AVERAGE('The List'!Y2:Y730))/STDEV('The List'!Y2:Y730)</f>
        <v>-0.0706068072268683</v>
      </c>
      <c r="M635" s="46">
        <f>(VLOOKUP($A635,'The List'!$B1:$AH730,25,FALSE)-AVERAGE('The List'!Z2:Z730))/STDEV('The List'!Z2:Z730)</f>
        <v>0.0823079660007997</v>
      </c>
      <c r="N635" s="46">
        <f>(VLOOKUP($A635,'The List'!$B1:$AH730,26,FALSE)-AVERAGE('The List'!AA2:AA730))/STDEV('The List'!AA2:AA730)</f>
        <v>0.9099099756544889</v>
      </c>
      <c r="O635" s="46">
        <f>(VLOOKUP($A635,'The List'!$B1:$AH730,27,FALSE)-AVERAGE('The List'!AB2:AB730))/STDEV('The List'!AB2:AB730)</f>
        <v>0.648168372720486</v>
      </c>
      <c r="P635" s="46">
        <f>(VLOOKUP($A635,'The List'!$B1:$AH730,28,FALSE)-AVERAGE('The List'!AC2:AC730))/STDEV('The List'!AC2:AC730)</f>
        <v>-0.742625146840675</v>
      </c>
      <c r="Q635" s="46">
        <f>(VLOOKUP($A635,'The List'!$B1:$AH730,29,FALSE)-AVERAGE('The List'!AD2:AD730))/STDEV('The List'!AD2:AD730)</f>
        <v>0.339766584669624</v>
      </c>
      <c r="R635" s="46">
        <f>(VLOOKUP($A635,'The List'!$B1:$AH730,30,FALSE)-AVERAGE('The List'!AE2:AE730))/STDEV('The List'!AE2:AE730)</f>
        <v>-1.02737593867771</v>
      </c>
      <c r="S635" s="46">
        <f>(VLOOKUP($A635,'The List'!$B1:$AH730,31,FALSE)-AVERAGE('The List'!AF2:AF730))/STDEV('The List'!AF2:AF730)</f>
        <v>-0.5569063253591</v>
      </c>
      <c r="T635" s="46">
        <f>(VLOOKUP($A635,'The List'!$B1:$AH730,32,FALSE)-AVERAGE('The List'!AG2:AG730))/STDEV('The List'!AG2:AG730)</f>
        <v>-0.600856269042678</v>
      </c>
      <c r="U635" s="46">
        <f>(VLOOKUP($A635,'The List'!$B1:$AH730,33,FALSE)-AVERAGE('The List'!AH2:AH730))/STDEV('The List'!AH2:AH730)</f>
        <v>-1.2363238714826</v>
      </c>
      <c r="V635" s="46"/>
      <c r="W635" s="48"/>
      <c r="X635" s="46"/>
      <c r="Y635" s="46"/>
      <c r="Z635" s="46"/>
      <c r="AA635" s="46"/>
      <c r="AB635" s="46"/>
      <c r="AC635" s="46"/>
      <c r="AD635" s="46"/>
      <c r="AE635" s="46"/>
    </row>
    <row r="636" ht="21.25" customHeight="1">
      <c r="A636" t="s" s="8">
        <v>876</v>
      </c>
      <c r="B636" t="s" s="42">
        <f>VLOOKUP(A636,'Player Data'!A1:B734,2,FALSE)</f>
        <v>149</v>
      </c>
      <c r="C636" s="44">
        <f>((E636)*'Settings'!$C$12)+(F636*'Settings'!$C$2)+(G636*'Settings'!$C$3)+(H636*'Settings'!$C$4)+(I636*'Settings'!$C$5)+(K636*'Settings'!$C$9)+(N636*'Settings'!$C$6)+(J636*'Settings'!$C$8)+(O636*'Settings'!$C$7)+(P636*'Settings'!$C$14)+(Q636*'Settings'!$C$15)+(R636*'Settings'!$C$16)+(S636*'Settings'!$C$17)+(T636*'Settings'!$C$18)+(U636*'Settings'!$C$19)+(L636*'Settings'!$C$10)+('Settings'!$C$11*M636)</f>
        <v>-6.04687529093529</v>
      </c>
      <c r="D636" s="48">
        <f>IF('Settings'!$E$12="YES",VLOOKUP(A636,'Player Data'!A1:E734,5,FALSE),82)</f>
        <v>56.9971428571429</v>
      </c>
      <c r="E636" s="46">
        <f>(VLOOKUP($A636,'The List'!$B1:$AH730,17,FALSE)-AVERAGE('The List'!R2:R730))/STDEV('The List'!R2:R730)</f>
        <v>-2.33366006541641</v>
      </c>
      <c r="F636" s="46">
        <f>(VLOOKUP($A636,'The List'!$B1:$AH730,18,FALSE)-AVERAGE('The List'!S2:S730))/STDEV('The List'!S2:S730)</f>
        <v>-1.04390240301653</v>
      </c>
      <c r="G636" s="46">
        <f>(VLOOKUP($A636,'The List'!$B1:$AH730,19,FALSE)-AVERAGE('The List'!T2:T730))/STDEV('The List'!T2:T730)</f>
        <v>-1.21060786765687</v>
      </c>
      <c r="H636" s="46">
        <f>(VLOOKUP($A636,'The List'!$B1:$AH730,20,FALSE)-AVERAGE('The List'!U2:U730))/STDEV('The List'!U2:U730)</f>
        <v>-1.22132036813506</v>
      </c>
      <c r="I636" s="46">
        <f>(VLOOKUP($A636,'The List'!$B1:$AH730,21,FALSE)-AVERAGE('The List'!V2:V730))/STDEV('The List'!V2:V730)</f>
        <v>-1.76896926854209</v>
      </c>
      <c r="J636" s="46">
        <f>(VLOOKUP($A636,'The List'!$B1:$AH730,22,FALSE)-AVERAGE('The List'!W2:W730))/STDEV('The List'!W2:W730)</f>
        <v>-0.709596841280406</v>
      </c>
      <c r="K636" s="46">
        <f>(VLOOKUP($A636,'The List'!$B1:$AH730,23,FALSE)-AVERAGE('The List'!X2:X730))/STDEV('The List'!X2:X730)</f>
        <v>-0.799124102065587</v>
      </c>
      <c r="L636" s="46">
        <f>(VLOOKUP($A636,'The List'!$B1:$AH730,24,FALSE)-AVERAGE('The List'!Y2:Y730))/STDEV('The List'!Y2:Y730)</f>
        <v>-0.542843480388394</v>
      </c>
      <c r="M636" s="46">
        <f>(VLOOKUP($A636,'The List'!$B1:$AH730,25,FALSE)-AVERAGE('The List'!Z2:Z730))/STDEV('The List'!Z2:Z730)</f>
        <v>-0.72177514995105</v>
      </c>
      <c r="N636" s="46">
        <f>(VLOOKUP($A636,'The List'!$B1:$AH730,26,FALSE)-AVERAGE('The List'!AA2:AA730))/STDEV('The List'!AA2:AA730)</f>
        <v>-1.03341411577982</v>
      </c>
      <c r="O636" s="46">
        <f>(VLOOKUP($A636,'The List'!$B1:$AH730,27,FALSE)-AVERAGE('The List'!AB2:AB730))/STDEV('The List'!AB2:AB730)</f>
        <v>0.170320217660567</v>
      </c>
      <c r="P636" s="46">
        <f>(VLOOKUP($A636,'The List'!$B1:$AH730,28,FALSE)-AVERAGE('The List'!AC2:AC730))/STDEV('The List'!AC2:AC730)</f>
        <v>-0.190857533874389</v>
      </c>
      <c r="Q636" s="46">
        <f>(VLOOKUP($A636,'The List'!$B1:$AH730,29,FALSE)-AVERAGE('The List'!AD2:AD730))/STDEV('The List'!AD2:AD730)</f>
        <v>0.182369212434489</v>
      </c>
      <c r="R636" s="46">
        <f>(VLOOKUP($A636,'The List'!$B1:$AH730,30,FALSE)-AVERAGE('The List'!AE2:AE730))/STDEV('The List'!AE2:AE730)</f>
        <v>-0.931454480235935</v>
      </c>
      <c r="S636" s="46">
        <f>(VLOOKUP($A636,'The List'!$B1:$AH730,31,FALSE)-AVERAGE('The List'!AF2:AF730))/STDEV('The List'!AF2:AF730)</f>
        <v>-0.550554118015233</v>
      </c>
      <c r="T636" s="46">
        <f>(VLOOKUP($A636,'The List'!$B1:$AH730,32,FALSE)-AVERAGE('The List'!AG2:AG730))/STDEV('The List'!AG2:AG730)</f>
        <v>-0.585659311751263</v>
      </c>
      <c r="U636" s="46">
        <f>(VLOOKUP($A636,'The List'!$B1:$AH730,33,FALSE)-AVERAGE('The List'!AH2:AH730))/STDEV('The List'!AH2:AH730)</f>
        <v>0.142870863506983</v>
      </c>
      <c r="V636" s="46"/>
      <c r="W636" s="48"/>
      <c r="X636" s="46"/>
      <c r="Y636" s="46"/>
      <c r="Z636" s="46"/>
      <c r="AA636" s="46"/>
      <c r="AB636" s="46"/>
      <c r="AC636" s="46"/>
      <c r="AD636" s="46"/>
      <c r="AE636" s="46"/>
    </row>
    <row r="637" ht="21.25" customHeight="1">
      <c r="A637" t="s" s="8">
        <v>715</v>
      </c>
      <c r="B637" t="s" s="42">
        <f>VLOOKUP(A637,'Player Data'!A1:B734,2,FALSE)</f>
        <v>108</v>
      </c>
      <c r="C637" s="44">
        <f>((E637)*'Settings'!$C$12)+(F637*'Settings'!$C$2)+(G637*'Settings'!$C$3)+(H637*'Settings'!$C$4)+(I637*'Settings'!$C$5)+(K637*'Settings'!$C$9)+(N637*'Settings'!$C$6)+(J637*'Settings'!$C$8)+(O637*'Settings'!$C$7)+(P637*'Settings'!$C$14)+(Q637*'Settings'!$C$15)+(R637*'Settings'!$C$16)+(S637*'Settings'!$C$17)+(T637*'Settings'!$C$18)+(U637*'Settings'!$C$19)+(L637*'Settings'!$C$10)+('Settings'!$C$11*M637)</f>
        <v>-3.09135971956826</v>
      </c>
      <c r="D637" s="48">
        <f>IF('Settings'!$E$12="YES",VLOOKUP(A637,'Player Data'!A1:E734,5,FALSE),82)</f>
        <v>62.94</v>
      </c>
      <c r="E637" s="46">
        <f>(VLOOKUP($A637,'The List'!$B1:$AH730,17,FALSE)-AVERAGE('The List'!R2:R730))/STDEV('The List'!R2:R730)</f>
        <v>-0.82135829184094</v>
      </c>
      <c r="F637" s="46">
        <f>(VLOOKUP($A637,'The List'!$B1:$AH730,18,FALSE)-AVERAGE('The List'!S2:S730))/STDEV('The List'!S2:S730)</f>
        <v>-1.17807359466999</v>
      </c>
      <c r="G637" s="46">
        <f>(VLOOKUP($A637,'The List'!$B1:$AH730,19,FALSE)-AVERAGE('The List'!T2:T730))/STDEV('The List'!T2:T730)</f>
        <v>-1.05610517995644</v>
      </c>
      <c r="H637" s="46">
        <f>(VLOOKUP($A637,'The List'!$B1:$AH730,20,FALSE)-AVERAGE('The List'!U2:U730))/STDEV('The List'!U2:U730)</f>
        <v>-1.18712207500069</v>
      </c>
      <c r="I637" s="46">
        <f>(VLOOKUP($A637,'The List'!$B1:$AH730,21,FALSE)-AVERAGE('The List'!V2:V730))/STDEV('The List'!V2:V730)</f>
        <v>-1.54507506522278</v>
      </c>
      <c r="J637" s="46">
        <f>(VLOOKUP($A637,'The List'!$B1:$AH730,22,FALSE)-AVERAGE('The List'!W2:W730))/STDEV('The List'!W2:W730)</f>
        <v>-0.711204071249714</v>
      </c>
      <c r="K637" s="46">
        <f>(VLOOKUP($A637,'The List'!$B1:$AH730,23,FALSE)-AVERAGE('The List'!X2:X730))/STDEV('The List'!X2:X730)</f>
        <v>-0.796192934225176</v>
      </c>
      <c r="L637" s="46">
        <f>(VLOOKUP($A637,'The List'!$B1:$AH730,24,FALSE)-AVERAGE('The List'!Y2:Y730))/STDEV('The List'!Y2:Y730)</f>
        <v>-0.459603526510499</v>
      </c>
      <c r="M637" s="46">
        <f>(VLOOKUP($A637,'The List'!$B1:$AH730,25,FALSE)-AVERAGE('The List'!Z2:Z730))/STDEV('The List'!Z2:Z730)</f>
        <v>0.584747445645683</v>
      </c>
      <c r="N637" s="46">
        <f>(VLOOKUP($A637,'The List'!$B1:$AH730,26,FALSE)-AVERAGE('The List'!AA2:AA730))/STDEV('The List'!AA2:AA730)</f>
        <v>0.475491557936631</v>
      </c>
      <c r="O637" s="46">
        <f>(VLOOKUP($A637,'The List'!$B1:$AH730,27,FALSE)-AVERAGE('The List'!AB2:AB730))/STDEV('The List'!AB2:AB730)</f>
        <v>-0.283367489398977</v>
      </c>
      <c r="P637" s="46">
        <f>(VLOOKUP($A637,'The List'!$B1:$AH730,28,FALSE)-AVERAGE('The List'!AC2:AC730))/STDEV('The List'!AC2:AC730)</f>
        <v>1.0085954965695</v>
      </c>
      <c r="Q637" s="46">
        <f>(VLOOKUP($A637,'The List'!$B1:$AH730,29,FALSE)-AVERAGE('The List'!AD2:AD730))/STDEV('The List'!AD2:AD730)</f>
        <v>0.374304210587187</v>
      </c>
      <c r="R637" s="46">
        <f>(VLOOKUP($A637,'The List'!$B1:$AH730,30,FALSE)-AVERAGE('The List'!AE2:AE730))/STDEV('The List'!AE2:AE730)</f>
        <v>-1.06348255890423</v>
      </c>
      <c r="S637" s="46">
        <f>(VLOOKUP($A637,'The List'!$B1:$AH730,31,FALSE)-AVERAGE('The List'!AF2:AF730))/STDEV('The List'!AF2:AF730)</f>
        <v>-0.5569063253591</v>
      </c>
      <c r="T637" s="46">
        <f>(VLOOKUP($A637,'The List'!$B1:$AH730,32,FALSE)-AVERAGE('The List'!AG2:AG730))/STDEV('The List'!AG2:AG730)</f>
        <v>-0.600856269042678</v>
      </c>
      <c r="U637" s="46">
        <f>(VLOOKUP($A637,'The List'!$B1:$AH730,33,FALSE)-AVERAGE('The List'!AH2:AH730))/STDEV('The List'!AH2:AH730)</f>
        <v>-1.2363238714826</v>
      </c>
      <c r="V637" s="46"/>
      <c r="W637" s="48"/>
      <c r="X637" s="46"/>
      <c r="Y637" s="46"/>
      <c r="Z637" s="46"/>
      <c r="AA637" s="46"/>
      <c r="AB637" s="46"/>
      <c r="AC637" s="46"/>
      <c r="AD637" s="46"/>
      <c r="AE637" s="46"/>
    </row>
    <row r="638" ht="21.25" customHeight="1">
      <c r="A638" t="s" s="8">
        <v>859</v>
      </c>
      <c r="B638" t="s" s="42">
        <f>VLOOKUP(A638,'Player Data'!A1:B734,2,FALSE)</f>
        <v>238</v>
      </c>
      <c r="C638" s="44">
        <f>((E638)*'Settings'!$C$12)+(F638*'Settings'!$C$2)+(G638*'Settings'!$C$3)+(H638*'Settings'!$C$4)+(I638*'Settings'!$C$5)+(K638*'Settings'!$C$9)+(N638*'Settings'!$C$6)+(J638*'Settings'!$C$8)+(O638*'Settings'!$C$7)+(P638*'Settings'!$C$14)+(Q638*'Settings'!$C$15)+(R638*'Settings'!$C$16)+(S638*'Settings'!$C$17)+(T638*'Settings'!$C$18)+(U638*'Settings'!$C$19)+(L638*'Settings'!$C$10)+('Settings'!$C$11*M638)</f>
        <v>-4.84128254230979</v>
      </c>
      <c r="D638" s="48">
        <f>IF('Settings'!$E$12="YES",VLOOKUP(A638,'Player Data'!A1:E734,5,FALSE),82)</f>
        <v>67.3121428571429</v>
      </c>
      <c r="E638" s="46">
        <f>(VLOOKUP($A638,'The List'!$B1:$AH730,17,FALSE)-AVERAGE('The List'!R2:R730))/STDEV('The List'!R2:R730)</f>
        <v>-2.07370489012771</v>
      </c>
      <c r="F638" s="46">
        <f>(VLOOKUP($A638,'The List'!$B1:$AH730,18,FALSE)-AVERAGE('The List'!S2:S730))/STDEV('The List'!S2:S730)</f>
        <v>-0.857123735513646</v>
      </c>
      <c r="G638" s="46">
        <f>(VLOOKUP($A638,'The List'!$B1:$AH730,19,FALSE)-AVERAGE('The List'!T2:T730))/STDEV('The List'!T2:T730)</f>
        <v>-1.24750555556215</v>
      </c>
      <c r="H638" s="46">
        <f>(VLOOKUP($A638,'The List'!$B1:$AH730,20,FALSE)-AVERAGE('The List'!U2:U730))/STDEV('The List'!U2:U730)</f>
        <v>-1.1590792680668</v>
      </c>
      <c r="I638" s="46">
        <f>(VLOOKUP($A638,'The List'!$B1:$AH730,21,FALSE)-AVERAGE('The List'!V2:V730))/STDEV('The List'!V2:V730)</f>
        <v>-1.25894232336622</v>
      </c>
      <c r="J638" s="46">
        <f>(VLOOKUP($A638,'The List'!$B1:$AH730,22,FALSE)-AVERAGE('The List'!W2:W730))/STDEV('The List'!W2:W730)</f>
        <v>-0.701111335525186</v>
      </c>
      <c r="K638" s="46">
        <f>(VLOOKUP($A638,'The List'!$B1:$AH730,23,FALSE)-AVERAGE('The List'!X2:X730))/STDEV('The List'!X2:X730)</f>
        <v>-0.790857967087512</v>
      </c>
      <c r="L638" s="46">
        <f>(VLOOKUP($A638,'The List'!$B1:$AH730,24,FALSE)-AVERAGE('The List'!Y2:Y730))/STDEV('The List'!Y2:Y730)</f>
        <v>-0.461292512646537</v>
      </c>
      <c r="M638" s="46">
        <f>(VLOOKUP($A638,'The List'!$B1:$AH730,25,FALSE)-AVERAGE('The List'!Z2:Z730))/STDEV('The List'!Z2:Z730)</f>
        <v>-0.654613825395732</v>
      </c>
      <c r="N638" s="46">
        <f>(VLOOKUP($A638,'The List'!$B1:$AH730,26,FALSE)-AVERAGE('The List'!AA2:AA730))/STDEV('The List'!AA2:AA730)</f>
        <v>-0.774785211664507</v>
      </c>
      <c r="O638" s="46">
        <f>(VLOOKUP($A638,'The List'!$B1:$AH730,27,FALSE)-AVERAGE('The List'!AB2:AB730))/STDEV('The List'!AB2:AB730)</f>
        <v>-0.169425629452716</v>
      </c>
      <c r="P638" s="46">
        <f>(VLOOKUP($A638,'The List'!$B1:$AH730,28,FALSE)-AVERAGE('The List'!AC2:AC730))/STDEV('The List'!AC2:AC730)</f>
        <v>0.0879322508842495</v>
      </c>
      <c r="Q638" s="46">
        <f>(VLOOKUP($A638,'The List'!$B1:$AH730,29,FALSE)-AVERAGE('The List'!AD2:AD730))/STDEV('The List'!AD2:AD730)</f>
        <v>-0.88568093188484</v>
      </c>
      <c r="R638" s="46">
        <f>(VLOOKUP($A638,'The List'!$B1:$AH730,30,FALSE)-AVERAGE('The List'!AE2:AE730))/STDEV('The List'!AE2:AE730)</f>
        <v>-0.707770939526881</v>
      </c>
      <c r="S638" s="46">
        <f>(VLOOKUP($A638,'The List'!$B1:$AH730,31,FALSE)-AVERAGE('The List'!AF2:AF730))/STDEV('The List'!AF2:AF730)</f>
        <v>0.224002253122514</v>
      </c>
      <c r="T638" s="46">
        <f>(VLOOKUP($A638,'The List'!$B1:$AH730,32,FALSE)-AVERAGE('The List'!AG2:AG730))/STDEV('The List'!AG2:AG730)</f>
        <v>0.423249766155892</v>
      </c>
      <c r="U638" s="46">
        <f>(VLOOKUP($A638,'The List'!$B1:$AH730,33,FALSE)-AVERAGE('The List'!AH2:AH730))/STDEV('The List'!AH2:AH730)</f>
        <v>0.77373349653422</v>
      </c>
      <c r="V638" s="46"/>
      <c r="W638" s="48"/>
      <c r="X638" s="46"/>
      <c r="Y638" s="46"/>
      <c r="Z638" s="46"/>
      <c r="AA638" s="46"/>
      <c r="AB638" s="46"/>
      <c r="AC638" s="46"/>
      <c r="AD638" s="46"/>
      <c r="AE638" s="46"/>
    </row>
    <row r="639" ht="21.25" customHeight="1">
      <c r="A639" t="s" s="8">
        <v>647</v>
      </c>
      <c r="B639" t="s" s="42">
        <f>VLOOKUP(A639,'Player Data'!A1:B734,2,FALSE)</f>
        <v>141</v>
      </c>
      <c r="C639" s="44">
        <f>((E639)*'Settings'!$C$12)+(F639*'Settings'!$C$2)+(G639*'Settings'!$C$3)+(H639*'Settings'!$C$4)+(I639*'Settings'!$C$5)+(K639*'Settings'!$C$9)+(N639*'Settings'!$C$6)+(J639*'Settings'!$C$8)+(O639*'Settings'!$C$7)+(P639*'Settings'!$C$14)+(Q639*'Settings'!$C$15)+(R639*'Settings'!$C$16)+(S639*'Settings'!$C$17)+(T639*'Settings'!$C$18)+(U639*'Settings'!$C$19)+(L639*'Settings'!$C$10)+('Settings'!$C$11*M639)</f>
        <v>-3.07763097099712</v>
      </c>
      <c r="D639" s="48">
        <f>IF('Settings'!$E$12="YES",VLOOKUP(A639,'Player Data'!A1:E734,5,FALSE),82)</f>
        <v>66.61714285714289</v>
      </c>
      <c r="E639" s="46">
        <f>(VLOOKUP($A639,'The List'!$B1:$AH730,17,FALSE)-AVERAGE('The List'!R2:R730))/STDEV('The List'!R2:R730)</f>
        <v>0.0509442427625578</v>
      </c>
      <c r="F639" s="46">
        <f>(VLOOKUP($A639,'The List'!$B1:$AH730,18,FALSE)-AVERAGE('The List'!S2:S730))/STDEV('The List'!S2:S730)</f>
        <v>-1.03383963380018</v>
      </c>
      <c r="G639" s="46">
        <f>(VLOOKUP($A639,'The List'!$B1:$AH730,19,FALSE)-AVERAGE('The List'!T2:T730))/STDEV('The List'!T2:T730)</f>
        <v>-1.12729315795146</v>
      </c>
      <c r="H639" s="46">
        <f>(VLOOKUP($A639,'The List'!$B1:$AH730,20,FALSE)-AVERAGE('The List'!U2:U730))/STDEV('The List'!U2:U730)</f>
        <v>-1.1653791828541</v>
      </c>
      <c r="I639" s="46">
        <f>(VLOOKUP($A639,'The List'!$B1:$AH730,21,FALSE)-AVERAGE('The List'!V2:V730))/STDEV('The List'!V2:V730)</f>
        <v>-1.06906064808841</v>
      </c>
      <c r="J639" s="46">
        <f>(VLOOKUP($A639,'The List'!$B1:$AH730,22,FALSE)-AVERAGE('The List'!W2:W730))/STDEV('The List'!W2:W730)</f>
        <v>-0.688295587628044</v>
      </c>
      <c r="K639" s="46">
        <f>(VLOOKUP($A639,'The List'!$B1:$AH730,23,FALSE)-AVERAGE('The List'!X2:X730))/STDEV('The List'!X2:X730)</f>
        <v>-0.735011106715029</v>
      </c>
      <c r="L639" s="46">
        <f>(VLOOKUP($A639,'The List'!$B1:$AH730,24,FALSE)-AVERAGE('The List'!Y2:Y730))/STDEV('The List'!Y2:Y730)</f>
        <v>-0.489196267605167</v>
      </c>
      <c r="M639" s="46">
        <f>(VLOOKUP($A639,'The List'!$B1:$AH730,25,FALSE)-AVERAGE('The List'!Z2:Z730))/STDEV('The List'!Z2:Z730)</f>
        <v>-0.596691550093018</v>
      </c>
      <c r="N639" s="46">
        <f>(VLOOKUP($A639,'The List'!$B1:$AH730,26,FALSE)-AVERAGE('The List'!AA2:AA730))/STDEV('The List'!AA2:AA730)</f>
        <v>1.14634707312427</v>
      </c>
      <c r="O639" s="46">
        <f>(VLOOKUP($A639,'The List'!$B1:$AH730,27,FALSE)-AVERAGE('The List'!AB2:AB730))/STDEV('The List'!AB2:AB730)</f>
        <v>0.990912087394617</v>
      </c>
      <c r="P639" s="46">
        <f>(VLOOKUP($A639,'The List'!$B1:$AH730,28,FALSE)-AVERAGE('The List'!AC2:AC730))/STDEV('The List'!AC2:AC730)</f>
        <v>-0.258773497566308</v>
      </c>
      <c r="Q639" s="46">
        <f>(VLOOKUP($A639,'The List'!$B1:$AH730,29,FALSE)-AVERAGE('The List'!AD2:AD730))/STDEV('The List'!AD2:AD730)</f>
        <v>0.205751237107227</v>
      </c>
      <c r="R639" s="46">
        <f>(VLOOKUP($A639,'The List'!$B1:$AH730,30,FALSE)-AVERAGE('The List'!AE2:AE730))/STDEV('The List'!AE2:AE730)</f>
        <v>-0.973049450615771</v>
      </c>
      <c r="S639" s="46">
        <f>(VLOOKUP($A639,'The List'!$B1:$AH730,31,FALSE)-AVERAGE('The List'!AF2:AF730))/STDEV('The List'!AF2:AF730)</f>
        <v>-0.5569063253591</v>
      </c>
      <c r="T639" s="46">
        <f>(VLOOKUP($A639,'The List'!$B1:$AH730,32,FALSE)-AVERAGE('The List'!AG2:AG730))/STDEV('The List'!AG2:AG730)</f>
        <v>-0.600856269042678</v>
      </c>
      <c r="U639" s="46">
        <f>(VLOOKUP($A639,'The List'!$B1:$AH730,33,FALSE)-AVERAGE('The List'!AH2:AH730))/STDEV('The List'!AH2:AH730)</f>
        <v>-1.2363238714826</v>
      </c>
      <c r="V639" s="46"/>
      <c r="W639" s="48"/>
      <c r="X639" s="46"/>
      <c r="Y639" s="46"/>
      <c r="Z639" s="46"/>
      <c r="AA639" s="46"/>
      <c r="AB639" s="46"/>
      <c r="AC639" s="46"/>
      <c r="AD639" s="46"/>
      <c r="AE639" s="46"/>
    </row>
    <row r="640" ht="21.25" customHeight="1">
      <c r="A640" t="s" s="8">
        <v>862</v>
      </c>
      <c r="B640" t="s" s="42">
        <f>VLOOKUP(A640,'Player Data'!A1:B734,2,FALSE)</f>
        <v>141</v>
      </c>
      <c r="C640" s="44">
        <f>((E640)*'Settings'!$C$12)+(F640*'Settings'!$C$2)+(G640*'Settings'!$C$3)+(H640*'Settings'!$C$4)+(I640*'Settings'!$C$5)+(K640*'Settings'!$C$9)+(N640*'Settings'!$C$6)+(J640*'Settings'!$C$8)+(O640*'Settings'!$C$7)+(P640*'Settings'!$C$14)+(Q640*'Settings'!$C$15)+(R640*'Settings'!$C$16)+(S640*'Settings'!$C$17)+(T640*'Settings'!$C$18)+(U640*'Settings'!$C$19)+(L640*'Settings'!$C$10)+('Settings'!$C$11*M640)</f>
        <v>-5.58687108813121</v>
      </c>
      <c r="D640" s="48">
        <f>IF('Settings'!$E$12="YES",VLOOKUP(A640,'Player Data'!A1:E734,5,FALSE),82)</f>
        <v>63.0578571428571</v>
      </c>
      <c r="E640" s="46">
        <f>(VLOOKUP($A640,'The List'!$B1:$AH730,17,FALSE)-AVERAGE('The List'!R2:R730))/STDEV('The List'!R2:R730)</f>
        <v>-2.54528034434995</v>
      </c>
      <c r="F640" s="46">
        <f>(VLOOKUP($A640,'The List'!$B1:$AH730,18,FALSE)-AVERAGE('The List'!S2:S730))/STDEV('The List'!S2:S730)</f>
        <v>-0.9313677074268319</v>
      </c>
      <c r="G640" s="46">
        <f>(VLOOKUP($A640,'The List'!$B1:$AH730,19,FALSE)-AVERAGE('The List'!T2:T730))/STDEV('The List'!T2:T730)</f>
        <v>-1.26429845332523</v>
      </c>
      <c r="H640" s="46">
        <f>(VLOOKUP($A640,'The List'!$B1:$AH730,20,FALSE)-AVERAGE('The List'!U2:U730))/STDEV('The List'!U2:U730)</f>
        <v>-1.20321436505254</v>
      </c>
      <c r="I640" s="46">
        <f>(VLOOKUP($A640,'The List'!$B1:$AH730,21,FALSE)-AVERAGE('The List'!V2:V730))/STDEV('The List'!V2:V730)</f>
        <v>-1.34344134437494</v>
      </c>
      <c r="J640" s="46">
        <f>(VLOOKUP($A640,'The List'!$B1:$AH730,22,FALSE)-AVERAGE('The List'!W2:W730))/STDEV('The List'!W2:W730)</f>
        <v>-0.702032645299949</v>
      </c>
      <c r="K640" s="46">
        <f>(VLOOKUP($A640,'The List'!$B1:$AH730,23,FALSE)-AVERAGE('The List'!X2:X730))/STDEV('The List'!X2:X730)</f>
        <v>-0.791935535459966</v>
      </c>
      <c r="L640" s="46">
        <f>(VLOOKUP($A640,'The List'!$B1:$AH730,24,FALSE)-AVERAGE('The List'!Y2:Y730))/STDEV('The List'!Y2:Y730)</f>
        <v>-0.535870894275729</v>
      </c>
      <c r="M640" s="46">
        <f>(VLOOKUP($A640,'The List'!$B1:$AH730,25,FALSE)-AVERAGE('The List'!Z2:Z730))/STDEV('The List'!Z2:Z730)</f>
        <v>-0.713928799327712</v>
      </c>
      <c r="N640" s="46">
        <f>(VLOOKUP($A640,'The List'!$B1:$AH730,26,FALSE)-AVERAGE('The List'!AA2:AA730))/STDEV('The List'!AA2:AA730)</f>
        <v>-1.07599606323218</v>
      </c>
      <c r="O640" s="46">
        <f>(VLOOKUP($A640,'The List'!$B1:$AH730,27,FALSE)-AVERAGE('The List'!AB2:AB730))/STDEV('The List'!AB2:AB730)</f>
        <v>0.0786465679389286</v>
      </c>
      <c r="P640" s="46">
        <f>(VLOOKUP($A640,'The List'!$B1:$AH730,28,FALSE)-AVERAGE('The List'!AC2:AC730))/STDEV('The List'!AC2:AC730)</f>
        <v>-0.179831984312061</v>
      </c>
      <c r="Q640" s="46">
        <f>(VLOOKUP($A640,'The List'!$B1:$AH730,29,FALSE)-AVERAGE('The List'!AD2:AD730))/STDEV('The List'!AD2:AD730)</f>
        <v>1.33696985098153</v>
      </c>
      <c r="R640" s="46">
        <f>(VLOOKUP($A640,'The List'!$B1:$AH730,30,FALSE)-AVERAGE('The List'!AE2:AE730))/STDEV('The List'!AE2:AE730)</f>
        <v>-0.890262794401125</v>
      </c>
      <c r="S640" s="46">
        <f>(VLOOKUP($A640,'The List'!$B1:$AH730,31,FALSE)-AVERAGE('The List'!AF2:AF730))/STDEV('The List'!AF2:AF730)</f>
        <v>-0.556321238119216</v>
      </c>
      <c r="T640" s="46">
        <f>(VLOOKUP($A640,'The List'!$B1:$AH730,32,FALSE)-AVERAGE('The List'!AG2:AG730))/STDEV('The List'!AG2:AG730)</f>
        <v>-0.59890013618815</v>
      </c>
      <c r="U640" s="46">
        <f>(VLOOKUP($A640,'The List'!$B1:$AH730,33,FALSE)-AVERAGE('The List'!AH2:AH730))/STDEV('The List'!AH2:AH730)</f>
        <v>-0.155533673355958</v>
      </c>
      <c r="V640" s="46"/>
      <c r="W640" s="48"/>
      <c r="X640" s="46"/>
      <c r="Y640" s="46"/>
      <c r="Z640" s="46"/>
      <c r="AA640" s="46"/>
      <c r="AB640" s="46"/>
      <c r="AC640" s="46"/>
      <c r="AD640" s="46"/>
      <c r="AE640" s="46"/>
    </row>
    <row r="641" ht="21.25" customHeight="1">
      <c r="A641" t="s" s="8">
        <v>708</v>
      </c>
      <c r="B641" t="s" s="42">
        <f>VLOOKUP(A641,'Player Data'!A1:B734,2,FALSE)</f>
        <v>204</v>
      </c>
      <c r="C641" s="44">
        <f>((E641)*'Settings'!$C$12)+(F641*'Settings'!$C$2)+(G641*'Settings'!$C$3)+(H641*'Settings'!$C$4)+(I641*'Settings'!$C$5)+(K641*'Settings'!$C$9)+(N641*'Settings'!$C$6)+(J641*'Settings'!$C$8)+(O641*'Settings'!$C$7)+(P641*'Settings'!$C$14)+(Q641*'Settings'!$C$15)+(R641*'Settings'!$C$16)+(S641*'Settings'!$C$17)+(T641*'Settings'!$C$18)+(U641*'Settings'!$C$19)+(L641*'Settings'!$C$10)+('Settings'!$C$11*M641)</f>
        <v>-4.63878259708861</v>
      </c>
      <c r="D641" s="48">
        <f>IF('Settings'!$E$12="YES",VLOOKUP(A641,'Player Data'!A1:E734,5,FALSE),82)</f>
        <v>64.2321428571429</v>
      </c>
      <c r="E641" s="46">
        <f>(VLOOKUP($A641,'The List'!$B1:$AH730,17,FALSE)-AVERAGE('The List'!R2:R730))/STDEV('The List'!R2:R730)</f>
        <v>-0.617227126211693</v>
      </c>
      <c r="F641" s="46">
        <f>(VLOOKUP($A641,'The List'!$B1:$AH730,18,FALSE)-AVERAGE('The List'!S2:S730))/STDEV('The List'!S2:S730)</f>
        <v>-1.18321311314346</v>
      </c>
      <c r="G641" s="46">
        <f>(VLOOKUP($A641,'The List'!$B1:$AH730,19,FALSE)-AVERAGE('The List'!T2:T730))/STDEV('The List'!T2:T730)</f>
        <v>-1.0678039399114</v>
      </c>
      <c r="H641" s="46">
        <f>(VLOOKUP($A641,'The List'!$B1:$AH730,20,FALSE)-AVERAGE('The List'!U2:U730))/STDEV('The List'!U2:U730)</f>
        <v>-1.19667279073026</v>
      </c>
      <c r="I641" s="46">
        <f>(VLOOKUP($A641,'The List'!$B1:$AH730,21,FALSE)-AVERAGE('The List'!V2:V730))/STDEV('The List'!V2:V730)</f>
        <v>-1.34333812183472</v>
      </c>
      <c r="J641" s="46">
        <f>(VLOOKUP($A641,'The List'!$B1:$AH730,22,FALSE)-AVERAGE('The List'!W2:W730))/STDEV('The List'!W2:W730)</f>
        <v>-0.710464031265105</v>
      </c>
      <c r="K641" s="46">
        <f>(VLOOKUP($A641,'The List'!$B1:$AH730,23,FALSE)-AVERAGE('The List'!X2:X730))/STDEV('The List'!X2:X730)</f>
        <v>-0.794954232942811</v>
      </c>
      <c r="L641" s="46">
        <f>(VLOOKUP($A641,'The List'!$B1:$AH730,24,FALSE)-AVERAGE('The List'!Y2:Y730))/STDEV('The List'!Y2:Y730)</f>
        <v>-0.492039255871341</v>
      </c>
      <c r="M641" s="46">
        <f>(VLOOKUP($A641,'The List'!$B1:$AH730,25,FALSE)-AVERAGE('The List'!Z2:Z730))/STDEV('The List'!Z2:Z730)</f>
        <v>-0.613351543827672</v>
      </c>
      <c r="N641" s="46">
        <f>(VLOOKUP($A641,'The List'!$B1:$AH730,26,FALSE)-AVERAGE('The List'!AA2:AA730))/STDEV('The List'!AA2:AA730)</f>
        <v>-0.00847738845034343</v>
      </c>
      <c r="O641" s="46">
        <f>(VLOOKUP($A641,'The List'!$B1:$AH730,27,FALSE)-AVERAGE('The List'!AB2:AB730))/STDEV('The List'!AB2:AB730)</f>
        <v>-0.470870780878184</v>
      </c>
      <c r="P641" s="46">
        <f>(VLOOKUP($A641,'The List'!$B1:$AH730,28,FALSE)-AVERAGE('The List'!AC2:AC730))/STDEV('The List'!AC2:AC730)</f>
        <v>-0.240995800805875</v>
      </c>
      <c r="Q641" s="46">
        <f>(VLOOKUP($A641,'The List'!$B1:$AH730,29,FALSE)-AVERAGE('The List'!AD2:AD730))/STDEV('The List'!AD2:AD730)</f>
        <v>-1.08249029084265</v>
      </c>
      <c r="R641" s="46">
        <f>(VLOOKUP($A641,'The List'!$B1:$AH730,30,FALSE)-AVERAGE('The List'!AE2:AE730))/STDEV('The List'!AE2:AE730)</f>
        <v>-1.07625305474332</v>
      </c>
      <c r="S641" s="46">
        <f>(VLOOKUP($A641,'The List'!$B1:$AH730,31,FALSE)-AVERAGE('The List'!AF2:AF730))/STDEV('The List'!AF2:AF730)</f>
        <v>-0.5569063253591</v>
      </c>
      <c r="T641" s="46">
        <f>(VLOOKUP($A641,'The List'!$B1:$AH730,32,FALSE)-AVERAGE('The List'!AG2:AG730))/STDEV('The List'!AG2:AG730)</f>
        <v>-0.600856269042678</v>
      </c>
      <c r="U641" s="46">
        <f>(VLOOKUP($A641,'The List'!$B1:$AH730,33,FALSE)-AVERAGE('The List'!AH2:AH730))/STDEV('The List'!AH2:AH730)</f>
        <v>-1.2363238714826</v>
      </c>
      <c r="V641" s="46"/>
      <c r="W641" s="48"/>
      <c r="X641" s="46"/>
      <c r="Y641" s="46"/>
      <c r="Z641" s="46"/>
      <c r="AA641" s="46"/>
      <c r="AB641" s="46"/>
      <c r="AC641" s="46"/>
      <c r="AD641" s="46"/>
      <c r="AE641" s="46"/>
    </row>
    <row r="642" ht="21.25" customHeight="1">
      <c r="A642" t="s" s="8">
        <v>837</v>
      </c>
      <c r="B642" t="s" s="42">
        <f>VLOOKUP(A642,'Player Data'!A1:B734,2,FALSE)</f>
        <v>236</v>
      </c>
      <c r="C642" s="44">
        <f>((E642)*'Settings'!$C$12)+(F642*'Settings'!$C$2)+(G642*'Settings'!$C$3)+(H642*'Settings'!$C$4)+(I642*'Settings'!$C$5)+(K642*'Settings'!$C$9)+(N642*'Settings'!$C$6)+(J642*'Settings'!$C$8)+(O642*'Settings'!$C$7)+(P642*'Settings'!$C$14)+(Q642*'Settings'!$C$15)+(R642*'Settings'!$C$16)+(S642*'Settings'!$C$17)+(T642*'Settings'!$C$18)+(U642*'Settings'!$C$19)+(L642*'Settings'!$C$10)+('Settings'!$C$11*M642)</f>
        <v>-6.33414716400225</v>
      </c>
      <c r="D642" s="48">
        <f>IF('Settings'!$E$12="YES",VLOOKUP(A642,'Player Data'!A1:E734,5,FALSE),82)</f>
        <v>80.5125</v>
      </c>
      <c r="E642" s="46">
        <f>(VLOOKUP($A642,'The List'!$B1:$AH730,17,FALSE)-AVERAGE('The List'!R2:R730))/STDEV('The List'!R2:R730)</f>
        <v>-1.87384322094758</v>
      </c>
      <c r="F642" s="46">
        <f>(VLOOKUP($A642,'The List'!$B1:$AH730,18,FALSE)-AVERAGE('The List'!S2:S730))/STDEV('The List'!S2:S730)</f>
        <v>-0.75214544520419</v>
      </c>
      <c r="G642" s="46">
        <f>(VLOOKUP($A642,'The List'!$B1:$AH730,19,FALSE)-AVERAGE('The List'!T2:T730))/STDEV('The List'!T2:T730)</f>
        <v>-1.23362957126913</v>
      </c>
      <c r="H642" s="46">
        <f>(VLOOKUP($A642,'The List'!$B1:$AH730,20,FALSE)-AVERAGE('The List'!U2:U730))/STDEV('The List'!U2:U730)</f>
        <v>-1.10275767862784</v>
      </c>
      <c r="I642" s="46">
        <f>(VLOOKUP($A642,'The List'!$B1:$AH730,21,FALSE)-AVERAGE('The List'!V2:V730))/STDEV('The List'!V2:V730)</f>
        <v>-0.954330105415088</v>
      </c>
      <c r="J642" s="46">
        <f>(VLOOKUP($A642,'The List'!$B1:$AH730,22,FALSE)-AVERAGE('The List'!W2:W730))/STDEV('The List'!W2:W730)</f>
        <v>-0.70087064831891</v>
      </c>
      <c r="K642" s="46">
        <f>(VLOOKUP($A642,'The List'!$B1:$AH730,23,FALSE)-AVERAGE('The List'!X2:X730))/STDEV('The List'!X2:X730)</f>
        <v>-0.790722769367766</v>
      </c>
      <c r="L642" s="46">
        <f>(VLOOKUP($A642,'The List'!$B1:$AH730,24,FALSE)-AVERAGE('The List'!Y2:Y730))/STDEV('The List'!Y2:Y730)</f>
        <v>-0.307946234006134</v>
      </c>
      <c r="M642" s="46">
        <f>(VLOOKUP($A642,'The List'!$B1:$AH730,25,FALSE)-AVERAGE('The List'!Z2:Z730))/STDEV('The List'!Z2:Z730)</f>
        <v>-0.5542832836321731</v>
      </c>
      <c r="N642" s="46">
        <f>(VLOOKUP($A642,'The List'!$B1:$AH730,26,FALSE)-AVERAGE('The List'!AA2:AA730))/STDEV('The List'!AA2:AA730)</f>
        <v>-0.786150931601321</v>
      </c>
      <c r="O642" s="46">
        <f>(VLOOKUP($A642,'The List'!$B1:$AH730,27,FALSE)-AVERAGE('The List'!AB2:AB730))/STDEV('The List'!AB2:AB730)</f>
        <v>3.48696230397606</v>
      </c>
      <c r="P642" s="46">
        <f>(VLOOKUP($A642,'The List'!$B1:$AH730,28,FALSE)-AVERAGE('The List'!AC2:AC730))/STDEV('The List'!AC2:AC730)</f>
        <v>-1.81716834114475</v>
      </c>
      <c r="Q642" s="46">
        <f>(VLOOKUP($A642,'The List'!$B1:$AH730,29,FALSE)-AVERAGE('The List'!AD2:AD730))/STDEV('The List'!AD2:AD730)</f>
        <v>2.45196361687275</v>
      </c>
      <c r="R642" s="46">
        <f>(VLOOKUP($A642,'The List'!$B1:$AH730,30,FALSE)-AVERAGE('The List'!AE2:AE730))/STDEV('The List'!AE2:AE730)</f>
        <v>-0.76884321660343</v>
      </c>
      <c r="S642" s="46">
        <f>(VLOOKUP($A642,'The List'!$B1:$AH730,31,FALSE)-AVERAGE('The List'!AF2:AF730))/STDEV('The List'!AF2:AF730)</f>
        <v>-0.545745834690325</v>
      </c>
      <c r="T642" s="46">
        <f>(VLOOKUP($A642,'The List'!$B1:$AH730,32,FALSE)-AVERAGE('The List'!AG2:AG730))/STDEV('The List'!AG2:AG730)</f>
        <v>-0.567390985213584</v>
      </c>
      <c r="U642" s="46">
        <f>(VLOOKUP($A642,'The List'!$B1:$AH730,33,FALSE)-AVERAGE('The List'!AH2:AH730))/STDEV('The List'!AH2:AH730)</f>
        <v>-0.06353540401669611</v>
      </c>
      <c r="V642" s="46"/>
      <c r="W642" s="48"/>
      <c r="X642" s="46"/>
      <c r="Y642" s="46"/>
      <c r="Z642" s="46"/>
      <c r="AA642" s="46"/>
      <c r="AB642" s="46"/>
      <c r="AC642" s="46"/>
      <c r="AD642" s="46"/>
      <c r="AE642" s="46"/>
    </row>
    <row r="643" ht="21.25" customHeight="1">
      <c r="A643" t="s" s="8">
        <v>688</v>
      </c>
      <c r="B643" t="s" s="42">
        <f>VLOOKUP(A643,'Player Data'!A1:B734,2,FALSE)</f>
        <v>127</v>
      </c>
      <c r="C643" s="44">
        <f>((E643)*'Settings'!$C$12)+(F643*'Settings'!$C$2)+(G643*'Settings'!$C$3)+(H643*'Settings'!$C$4)+(I643*'Settings'!$C$5)+(K643*'Settings'!$C$9)+(N643*'Settings'!$C$6)+(J643*'Settings'!$C$8)+(O643*'Settings'!$C$7)+(P643*'Settings'!$C$14)+(Q643*'Settings'!$C$15)+(R643*'Settings'!$C$16)+(S643*'Settings'!$C$17)+(T643*'Settings'!$C$18)+(U643*'Settings'!$C$19)+(L643*'Settings'!$C$10)+('Settings'!$C$11*M643)</f>
        <v>-3.96076169475203</v>
      </c>
      <c r="D643" s="48">
        <f>IF('Settings'!$E$12="YES",VLOOKUP(A643,'Player Data'!A1:E734,5,FALSE),82)</f>
        <v>60</v>
      </c>
      <c r="E643" s="46">
        <f>(VLOOKUP($A643,'The List'!$B1:$AH730,17,FALSE)-AVERAGE('The List'!R2:R730))/STDEV('The List'!R2:R730)</f>
        <v>-0.25786357147761</v>
      </c>
      <c r="F643" s="46">
        <f>(VLOOKUP($A643,'The List'!$B1:$AH730,18,FALSE)-AVERAGE('The List'!S2:S730))/STDEV('The List'!S2:S730)</f>
        <v>-1.0451603648211</v>
      </c>
      <c r="G643" s="46">
        <f>(VLOOKUP($A643,'The List'!$B1:$AH730,19,FALSE)-AVERAGE('The List'!T2:T730))/STDEV('The List'!T2:T730)</f>
        <v>-1.2305358904904</v>
      </c>
      <c r="H643" s="46">
        <f>(VLOOKUP($A643,'The List'!$B1:$AH730,20,FALSE)-AVERAGE('The List'!U2:U730))/STDEV('The List'!U2:U730)</f>
        <v>-1.2341781301348</v>
      </c>
      <c r="I643" s="46">
        <f>(VLOOKUP($A643,'The List'!$B1:$AH730,21,FALSE)-AVERAGE('The List'!V2:V730))/STDEV('The List'!V2:V730)</f>
        <v>-1.10548221394306</v>
      </c>
      <c r="J643" s="46">
        <f>(VLOOKUP($A643,'The List'!$B1:$AH730,22,FALSE)-AVERAGE('The List'!W2:W730))/STDEV('The List'!W2:W730)</f>
        <v>-0.7099222823575499</v>
      </c>
      <c r="K643" s="46">
        <f>(VLOOKUP($A643,'The List'!$B1:$AH730,23,FALSE)-AVERAGE('The List'!X2:X730))/STDEV('The List'!X2:X730)</f>
        <v>-0.792824410928741</v>
      </c>
      <c r="L643" s="46">
        <f>(VLOOKUP($A643,'The List'!$B1:$AH730,24,FALSE)-AVERAGE('The List'!Y2:Y730))/STDEV('The List'!Y2:Y730)</f>
        <v>-0.497354498634763</v>
      </c>
      <c r="M643" s="46">
        <f>(VLOOKUP($A643,'The List'!$B1:$AH730,25,FALSE)-AVERAGE('The List'!Z2:Z730))/STDEV('The List'!Z2:Z730)</f>
        <v>-0.180833418216678</v>
      </c>
      <c r="N643" s="46">
        <f>(VLOOKUP($A643,'The List'!$B1:$AH730,26,FALSE)-AVERAGE('The List'!AA2:AA730))/STDEV('The List'!AA2:AA730)</f>
        <v>0.334051801754033</v>
      </c>
      <c r="O643" s="46">
        <f>(VLOOKUP($A643,'The List'!$B1:$AH730,27,FALSE)-AVERAGE('The List'!AB2:AB730))/STDEV('The List'!AB2:AB730)</f>
        <v>0.157811620140461</v>
      </c>
      <c r="P643" s="46">
        <f>(VLOOKUP($A643,'The List'!$B1:$AH730,28,FALSE)-AVERAGE('The List'!AC2:AC730))/STDEV('The List'!AC2:AC730)</f>
        <v>-0.120810616322766</v>
      </c>
      <c r="Q643" s="46">
        <f>(VLOOKUP($A643,'The List'!$B1:$AH730,29,FALSE)-AVERAGE('The List'!AD2:AD730))/STDEV('The List'!AD2:AD730)</f>
        <v>1.68321346891088</v>
      </c>
      <c r="R643" s="46">
        <f>(VLOOKUP($A643,'The List'!$B1:$AH730,30,FALSE)-AVERAGE('The List'!AE2:AE730))/STDEV('The List'!AE2:AE730)</f>
        <v>-0.945010732669563</v>
      </c>
      <c r="S643" s="46">
        <f>(VLOOKUP($A643,'The List'!$B1:$AH730,31,FALSE)-AVERAGE('The List'!AF2:AF730))/STDEV('The List'!AF2:AF730)</f>
        <v>-0.5569063253591</v>
      </c>
      <c r="T643" s="46">
        <f>(VLOOKUP($A643,'The List'!$B1:$AH730,32,FALSE)-AVERAGE('The List'!AG2:AG730))/STDEV('The List'!AG2:AG730)</f>
        <v>-0.600856269042678</v>
      </c>
      <c r="U643" s="46">
        <f>(VLOOKUP($A643,'The List'!$B1:$AH730,33,FALSE)-AVERAGE('The List'!AH2:AH730))/STDEV('The List'!AH2:AH730)</f>
        <v>-1.2363238714826</v>
      </c>
      <c r="V643" s="46"/>
      <c r="W643" s="48"/>
      <c r="X643" s="46"/>
      <c r="Y643" s="46"/>
      <c r="Z643" s="46"/>
      <c r="AA643" s="46"/>
      <c r="AB643" s="46"/>
      <c r="AC643" s="46"/>
      <c r="AD643" s="46"/>
      <c r="AE643" s="46"/>
    </row>
    <row r="644" ht="21.25" customHeight="1">
      <c r="A644" t="s" s="8">
        <v>726</v>
      </c>
      <c r="B644" t="s" s="42">
        <f>VLOOKUP(A644,'Player Data'!A1:B734,2,FALSE)</f>
        <v>136</v>
      </c>
      <c r="C644" s="44">
        <f>((E644)*'Settings'!$C$12)+(F644*'Settings'!$C$2)+(G644*'Settings'!$C$3)+(H644*'Settings'!$C$4)+(I644*'Settings'!$C$5)+(K644*'Settings'!$C$9)+(N644*'Settings'!$C$6)+(J644*'Settings'!$C$8)+(O644*'Settings'!$C$7)+(P644*'Settings'!$C$14)+(Q644*'Settings'!$C$15)+(R644*'Settings'!$C$16)+(S644*'Settings'!$C$17)+(T644*'Settings'!$C$18)+(U644*'Settings'!$C$19)+(L644*'Settings'!$C$10)+('Settings'!$C$11*M644)</f>
        <v>-3.88143064808504</v>
      </c>
      <c r="D644" s="48">
        <f>IF('Settings'!$E$12="YES",VLOOKUP(A644,'Player Data'!A1:E734,5,FALSE),82)</f>
        <v>63.79</v>
      </c>
      <c r="E644" s="46">
        <f>(VLOOKUP($A644,'The List'!$B1:$AH730,17,FALSE)-AVERAGE('The List'!R2:R730))/STDEV('The List'!R2:R730)</f>
        <v>-1.30164112132123</v>
      </c>
      <c r="F644" s="46">
        <f>(VLOOKUP($A644,'The List'!$B1:$AH730,18,FALSE)-AVERAGE('The List'!S2:S730))/STDEV('The List'!S2:S730)</f>
        <v>-1.16157273104821</v>
      </c>
      <c r="G644" s="46">
        <f>(VLOOKUP($A644,'The List'!$B1:$AH730,19,FALSE)-AVERAGE('The List'!T2:T730))/STDEV('The List'!T2:T730)</f>
        <v>-1.13432280809983</v>
      </c>
      <c r="H644" s="46">
        <f>(VLOOKUP($A644,'The List'!$B1:$AH730,20,FALSE)-AVERAGE('The List'!U2:U730))/STDEV('The List'!U2:U730)</f>
        <v>-1.2278339907995</v>
      </c>
      <c r="I644" s="46">
        <f>(VLOOKUP($A644,'The List'!$B1:$AH730,21,FALSE)-AVERAGE('The List'!V2:V730))/STDEV('The List'!V2:V730)</f>
        <v>-1.53983784784674</v>
      </c>
      <c r="J644" s="46">
        <f>(VLOOKUP($A644,'The List'!$B1:$AH730,22,FALSE)-AVERAGE('The List'!W2:W730))/STDEV('The List'!W2:W730)</f>
        <v>-0.712338561520635</v>
      </c>
      <c r="K644" s="46">
        <f>(VLOOKUP($A644,'The List'!$B1:$AH730,23,FALSE)-AVERAGE('The List'!X2:X730))/STDEV('The List'!X2:X730)</f>
        <v>-0.798909532762256</v>
      </c>
      <c r="L644" s="46">
        <f>(VLOOKUP($A644,'The List'!$B1:$AH730,24,FALSE)-AVERAGE('The List'!Y2:Y730))/STDEV('The List'!Y2:Y730)</f>
        <v>-0.539072296671131</v>
      </c>
      <c r="M644" s="46">
        <f>(VLOOKUP($A644,'The List'!$B1:$AH730,25,FALSE)-AVERAGE('The List'!Z2:Z730))/STDEV('The List'!Z2:Z730)</f>
        <v>-0.712495278998487</v>
      </c>
      <c r="N644" s="46">
        <f>(VLOOKUP($A644,'The List'!$B1:$AH730,26,FALSE)-AVERAGE('The List'!AA2:AA730))/STDEV('The List'!AA2:AA730)</f>
        <v>0.00986773634225028</v>
      </c>
      <c r="O644" s="46">
        <f>(VLOOKUP($A644,'The List'!$B1:$AH730,27,FALSE)-AVERAGE('The List'!AB2:AB730))/STDEV('The List'!AB2:AB730)</f>
        <v>-0.427888657253779</v>
      </c>
      <c r="P644" s="46">
        <f>(VLOOKUP($A644,'The List'!$B1:$AH730,28,FALSE)-AVERAGE('The List'!AC2:AC730))/STDEV('The List'!AC2:AC730)</f>
        <v>0.743344535329744</v>
      </c>
      <c r="Q644" s="46">
        <f>(VLOOKUP($A644,'The List'!$B1:$AH730,29,FALSE)-AVERAGE('The List'!AD2:AD730))/STDEV('The List'!AD2:AD730)</f>
        <v>-1.00731150611697</v>
      </c>
      <c r="R644" s="46">
        <f>(VLOOKUP($A644,'The List'!$B1:$AH730,30,FALSE)-AVERAGE('The List'!AE2:AE730))/STDEV('The List'!AE2:AE730)</f>
        <v>-1.04500130220984</v>
      </c>
      <c r="S644" s="46">
        <f>(VLOOKUP($A644,'The List'!$B1:$AH730,31,FALSE)-AVERAGE('The List'!AF2:AF730))/STDEV('The List'!AF2:AF730)</f>
        <v>-0.5569063253591</v>
      </c>
      <c r="T644" s="46">
        <f>(VLOOKUP($A644,'The List'!$B1:$AH730,32,FALSE)-AVERAGE('The List'!AG2:AG730))/STDEV('The List'!AG2:AG730)</f>
        <v>-0.600856269042678</v>
      </c>
      <c r="U644" s="46">
        <f>(VLOOKUP($A644,'The List'!$B1:$AH730,33,FALSE)-AVERAGE('The List'!AH2:AH730))/STDEV('The List'!AH2:AH730)</f>
        <v>-1.2363238714826</v>
      </c>
      <c r="V644" s="46"/>
      <c r="W644" s="48"/>
      <c r="X644" s="46"/>
      <c r="Y644" s="46"/>
      <c r="Z644" s="46"/>
      <c r="AA644" s="46"/>
      <c r="AB644" s="46"/>
      <c r="AC644" s="46"/>
      <c r="AD644" s="46"/>
      <c r="AE644" s="46"/>
    </row>
    <row r="645" ht="21.25" customHeight="1">
      <c r="A645" t="s" s="8">
        <v>684</v>
      </c>
      <c r="B645" t="s" s="42">
        <f>VLOOKUP(A645,'Player Data'!A1:B734,2,FALSE)</f>
        <v>170</v>
      </c>
      <c r="C645" s="44">
        <f>((E645)*'Settings'!$C$12)+(F645*'Settings'!$C$2)+(G645*'Settings'!$C$3)+(H645*'Settings'!$C$4)+(I645*'Settings'!$C$5)+(K645*'Settings'!$C$9)+(N645*'Settings'!$C$6)+(J645*'Settings'!$C$8)+(O645*'Settings'!$C$7)+(P645*'Settings'!$C$14)+(Q645*'Settings'!$C$15)+(R645*'Settings'!$C$16)+(S645*'Settings'!$C$17)+(T645*'Settings'!$C$18)+(U645*'Settings'!$C$19)+(L645*'Settings'!$C$10)+('Settings'!$C$11*M645)</f>
        <v>-3.35942458820104</v>
      </c>
      <c r="D645" s="48">
        <f>IF('Settings'!$E$12="YES",VLOOKUP(A645,'Player Data'!A1:E734,5,FALSE),82)</f>
        <v>69.5567857142857</v>
      </c>
      <c r="E645" s="46">
        <f>(VLOOKUP($A645,'The List'!$B1:$AH730,17,FALSE)-AVERAGE('The List'!R2:R730))/STDEV('The List'!R2:R730)</f>
        <v>-0.450395988321894</v>
      </c>
      <c r="F645" s="46">
        <f>(VLOOKUP($A645,'The List'!$B1:$AH730,18,FALSE)-AVERAGE('The List'!S2:S730))/STDEV('The List'!S2:S730)</f>
        <v>-1.09258378239911</v>
      </c>
      <c r="G645" s="46">
        <f>(VLOOKUP($A645,'The List'!$B1:$AH730,19,FALSE)-AVERAGE('The List'!T2:T730))/STDEV('The List'!T2:T730)</f>
        <v>-1.14365071759018</v>
      </c>
      <c r="H645" s="46">
        <f>(VLOOKUP($A645,'The List'!$B1:$AH730,20,FALSE)-AVERAGE('The List'!U2:U730))/STDEV('The List'!U2:U730)</f>
        <v>-1.20219316914033</v>
      </c>
      <c r="I645" s="46">
        <f>(VLOOKUP($A645,'The List'!$B1:$AH730,21,FALSE)-AVERAGE('The List'!V2:V730))/STDEV('The List'!V2:V730)</f>
        <v>-1.15966136762928</v>
      </c>
      <c r="J645" s="46">
        <f>(VLOOKUP($A645,'The List'!$B1:$AH730,22,FALSE)-AVERAGE('The List'!W2:W730))/STDEV('The List'!W2:W730)</f>
        <v>-0.71382591045211</v>
      </c>
      <c r="K645" s="46">
        <f>(VLOOKUP($A645,'The List'!$B1:$AH730,23,FALSE)-AVERAGE('The List'!X2:X730))/STDEV('The List'!X2:X730)</f>
        <v>-0.803109604680915</v>
      </c>
      <c r="L645" s="46">
        <f>(VLOOKUP($A645,'The List'!$B1:$AH730,24,FALSE)-AVERAGE('The List'!Y2:Y730))/STDEV('The List'!Y2:Y730)</f>
        <v>-0.496792620342689</v>
      </c>
      <c r="M645" s="46">
        <f>(VLOOKUP($A645,'The List'!$B1:$AH730,25,FALSE)-AVERAGE('The List'!Z2:Z730))/STDEV('The List'!Z2:Z730)</f>
        <v>-0.56413429278603</v>
      </c>
      <c r="N645" s="46">
        <f>(VLOOKUP($A645,'The List'!$B1:$AH730,26,FALSE)-AVERAGE('The List'!AA2:AA730))/STDEV('The List'!AA2:AA730)</f>
        <v>0.531940126640726</v>
      </c>
      <c r="O645" s="46">
        <f>(VLOOKUP($A645,'The List'!$B1:$AH730,27,FALSE)-AVERAGE('The List'!AB2:AB730))/STDEV('The List'!AB2:AB730)</f>
        <v>0.6460004832037251</v>
      </c>
      <c r="P645" s="46">
        <f>(VLOOKUP($A645,'The List'!$B1:$AH730,28,FALSE)-AVERAGE('The List'!AC2:AC730))/STDEV('The List'!AC2:AC730)</f>
        <v>0.307640757457718</v>
      </c>
      <c r="Q645" s="46">
        <f>(VLOOKUP($A645,'The List'!$B1:$AH730,29,FALSE)-AVERAGE('The List'!AD2:AD730))/STDEV('The List'!AD2:AD730)</f>
        <v>-0.575177643238701</v>
      </c>
      <c r="R645" s="46">
        <f>(VLOOKUP($A645,'The List'!$B1:$AH730,30,FALSE)-AVERAGE('The List'!AE2:AE730))/STDEV('The List'!AE2:AE730)</f>
        <v>-0.972481250541945</v>
      </c>
      <c r="S645" s="46">
        <f>(VLOOKUP($A645,'The List'!$B1:$AH730,31,FALSE)-AVERAGE('The List'!AF2:AF730))/STDEV('The List'!AF2:AF730)</f>
        <v>-0.5569063253591</v>
      </c>
      <c r="T645" s="46">
        <f>(VLOOKUP($A645,'The List'!$B1:$AH730,32,FALSE)-AVERAGE('The List'!AG2:AG730))/STDEV('The List'!AG2:AG730)</f>
        <v>-0.600856269042678</v>
      </c>
      <c r="U645" s="46">
        <f>(VLOOKUP($A645,'The List'!$B1:$AH730,33,FALSE)-AVERAGE('The List'!AH2:AH730))/STDEV('The List'!AH2:AH730)</f>
        <v>-1.2363238714826</v>
      </c>
      <c r="V645" s="46"/>
      <c r="W645" s="48"/>
      <c r="X645" s="46"/>
      <c r="Y645" s="46"/>
      <c r="Z645" s="46"/>
      <c r="AA645" s="46"/>
      <c r="AB645" s="46"/>
      <c r="AC645" s="46"/>
      <c r="AD645" s="46"/>
      <c r="AE645" s="46"/>
    </row>
    <row r="646" ht="21.25" customHeight="1">
      <c r="A646" t="s" s="8">
        <v>871</v>
      </c>
      <c r="B646" t="s" s="42">
        <f>VLOOKUP(A646,'Player Data'!A1:B734,2,FALSE)</f>
        <v>141</v>
      </c>
      <c r="C646" s="44">
        <f>((E646)*'Settings'!$C$12)+(F646*'Settings'!$C$2)+(G646*'Settings'!$C$3)+(H646*'Settings'!$C$4)+(I646*'Settings'!$C$5)+(K646*'Settings'!$C$9)+(N646*'Settings'!$C$6)+(J646*'Settings'!$C$8)+(O646*'Settings'!$C$7)+(P646*'Settings'!$C$14)+(Q646*'Settings'!$C$15)+(R646*'Settings'!$C$16)+(S646*'Settings'!$C$17)+(T646*'Settings'!$C$18)+(U646*'Settings'!$C$19)+(L646*'Settings'!$C$10)+('Settings'!$C$11*M646)</f>
        <v>-5.266635017848</v>
      </c>
      <c r="D646" s="48">
        <f>IF('Settings'!$E$12="YES",VLOOKUP(A646,'Player Data'!A1:E734,5,FALSE),82)</f>
        <v>66.9746428571429</v>
      </c>
      <c r="E646" s="46">
        <f>(VLOOKUP($A646,'The List'!$B1:$AH730,17,FALSE)-AVERAGE('The List'!R2:R730))/STDEV('The List'!R2:R730)</f>
        <v>-1.97021494749293</v>
      </c>
      <c r="F646" s="46">
        <f>(VLOOKUP($A646,'The List'!$B1:$AH730,18,FALSE)-AVERAGE('The List'!S2:S730))/STDEV('The List'!S2:S730)</f>
        <v>-1.00715313404345</v>
      </c>
      <c r="G646" s="46">
        <f>(VLOOKUP($A646,'The List'!$B1:$AH730,19,FALSE)-AVERAGE('The List'!T2:T730))/STDEV('The List'!T2:T730)</f>
        <v>-1.23569694579433</v>
      </c>
      <c r="H646" s="46">
        <f>(VLOOKUP($A646,'The List'!$B1:$AH730,20,FALSE)-AVERAGE('The List'!U2:U730))/STDEV('The List'!U2:U730)</f>
        <v>-1.22006580062901</v>
      </c>
      <c r="I646" s="46">
        <f>(VLOOKUP($A646,'The List'!$B1:$AH730,21,FALSE)-AVERAGE('The List'!V2:V730))/STDEV('The List'!V2:V730)</f>
        <v>-1.27077977009239</v>
      </c>
      <c r="J646" s="46">
        <f>(VLOOKUP($A646,'The List'!$B1:$AH730,22,FALSE)-AVERAGE('The List'!W2:W730))/STDEV('The List'!W2:W730)</f>
        <v>-0.701554373785536</v>
      </c>
      <c r="K646" s="46">
        <f>(VLOOKUP($A646,'The List'!$B1:$AH730,23,FALSE)-AVERAGE('The List'!X2:X730))/STDEV('The List'!X2:X730)</f>
        <v>-0.790416060675262</v>
      </c>
      <c r="L646" s="46">
        <f>(VLOOKUP($A646,'The List'!$B1:$AH730,24,FALSE)-AVERAGE('The List'!Y2:Y730))/STDEV('The List'!Y2:Y730)</f>
        <v>-0.193291632123249</v>
      </c>
      <c r="M646" s="46">
        <f>(VLOOKUP($A646,'The List'!$B1:$AH730,25,FALSE)-AVERAGE('The List'!Z2:Z730))/STDEV('The List'!Z2:Z730)</f>
        <v>-0.417605169968396</v>
      </c>
      <c r="N646" s="46">
        <f>(VLOOKUP($A646,'The List'!$B1:$AH730,26,FALSE)-AVERAGE('The List'!AA2:AA730))/STDEV('The List'!AA2:AA730)</f>
        <v>-0.752898641512023</v>
      </c>
      <c r="O646" s="46">
        <f>(VLOOKUP($A646,'The List'!$B1:$AH730,27,FALSE)-AVERAGE('The List'!AB2:AB730))/STDEV('The List'!AB2:AB730)</f>
        <v>0.184835800906091</v>
      </c>
      <c r="P646" s="46">
        <f>(VLOOKUP($A646,'The List'!$B1:$AH730,28,FALSE)-AVERAGE('The List'!AC2:AC730))/STDEV('The List'!AC2:AC730)</f>
        <v>-0.209690465730549</v>
      </c>
      <c r="Q646" s="46">
        <f>(VLOOKUP($A646,'The List'!$B1:$AH730,29,FALSE)-AVERAGE('The List'!AD2:AD730))/STDEV('The List'!AD2:AD730)</f>
        <v>-0.798046074454874</v>
      </c>
      <c r="R646" s="46">
        <f>(VLOOKUP($A646,'The List'!$B1:$AH730,30,FALSE)-AVERAGE('The List'!AE2:AE730))/STDEV('The List'!AE2:AE730)</f>
        <v>-0.951489535045501</v>
      </c>
      <c r="S646" s="46">
        <f>(VLOOKUP($A646,'The List'!$B1:$AH730,31,FALSE)-AVERAGE('The List'!AF2:AF730))/STDEV('The List'!AF2:AF730)</f>
        <v>0.185285813239188</v>
      </c>
      <c r="T646" s="46">
        <f>(VLOOKUP($A646,'The List'!$B1:$AH730,32,FALSE)-AVERAGE('The List'!AG2:AG730))/STDEV('The List'!AG2:AG730)</f>
        <v>0.143669253051399</v>
      </c>
      <c r="U646" s="46">
        <f>(VLOOKUP($A646,'The List'!$B1:$AH730,33,FALSE)-AVERAGE('The List'!AH2:AH730))/STDEV('The List'!AH2:AH730)</f>
        <v>1.07528842472048</v>
      </c>
      <c r="V646" s="46"/>
      <c r="W646" s="48"/>
      <c r="X646" s="46"/>
      <c r="Y646" s="46"/>
      <c r="Z646" s="46"/>
      <c r="AA646" s="46"/>
      <c r="AB646" s="46"/>
      <c r="AC646" s="46"/>
      <c r="AD646" s="46"/>
      <c r="AE646" s="46"/>
    </row>
    <row r="647" ht="21.25" customHeight="1">
      <c r="A647" t="s" s="8">
        <v>666</v>
      </c>
      <c r="B647" t="s" s="42">
        <f>VLOOKUP(A647,'Player Data'!A1:B734,2,FALSE)</f>
        <v>124</v>
      </c>
      <c r="C647" s="44">
        <f>((E647)*'Settings'!$C$12)+(F647*'Settings'!$C$2)+(G647*'Settings'!$C$3)+(H647*'Settings'!$C$4)+(I647*'Settings'!$C$5)+(K647*'Settings'!$C$9)+(N647*'Settings'!$C$6)+(J647*'Settings'!$C$8)+(O647*'Settings'!$C$7)+(P647*'Settings'!$C$14)+(Q647*'Settings'!$C$15)+(R647*'Settings'!$C$16)+(S647*'Settings'!$C$17)+(T647*'Settings'!$C$18)+(U647*'Settings'!$C$19)+(L647*'Settings'!$C$10)+('Settings'!$C$11*M647)</f>
        <v>-3.95044045268618</v>
      </c>
      <c r="D647" s="48">
        <f>IF('Settings'!$E$12="YES",VLOOKUP(A647,'Player Data'!A1:E734,5,FALSE),82)</f>
        <v>69.35428571428569</v>
      </c>
      <c r="E647" s="46">
        <f>(VLOOKUP($A647,'The List'!$B1:$AH730,17,FALSE)-AVERAGE('The List'!R2:R730))/STDEV('The List'!R2:R730)</f>
        <v>-0.436105647344426</v>
      </c>
      <c r="F647" s="46">
        <f>(VLOOKUP($A647,'The List'!$B1:$AH730,18,FALSE)-AVERAGE('The List'!S2:S730))/STDEV('The List'!S2:S730)</f>
        <v>-1.09966618406383</v>
      </c>
      <c r="G647" s="46">
        <f>(VLOOKUP($A647,'The List'!$B1:$AH730,19,FALSE)-AVERAGE('The List'!T2:T730))/STDEV('The List'!T2:T730)</f>
        <v>-1.15262291243635</v>
      </c>
      <c r="H647" s="46">
        <f>(VLOOKUP($A647,'The List'!$B1:$AH730,20,FALSE)-AVERAGE('The List'!U2:U730))/STDEV('The List'!U2:U730)</f>
        <v>-1.21094704413533</v>
      </c>
      <c r="I647" s="46">
        <f>(VLOOKUP($A647,'The List'!$B1:$AH730,21,FALSE)-AVERAGE('The List'!V2:V730))/STDEV('The List'!V2:V730)</f>
        <v>-0.916837729886142</v>
      </c>
      <c r="J647" s="46">
        <f>(VLOOKUP($A647,'The List'!$B1:$AH730,22,FALSE)-AVERAGE('The List'!W2:W730))/STDEV('The List'!W2:W730)</f>
        <v>-0.712742004226767</v>
      </c>
      <c r="K647" s="46">
        <f>(VLOOKUP($A647,'The List'!$B1:$AH730,23,FALSE)-AVERAGE('The List'!X2:X730))/STDEV('The List'!X2:X730)</f>
        <v>-0.800120324095798</v>
      </c>
      <c r="L647" s="46">
        <f>(VLOOKUP($A647,'The List'!$B1:$AH730,24,FALSE)-AVERAGE('The List'!Y2:Y730))/STDEV('The List'!Y2:Y730)</f>
        <v>-0.514672247555151</v>
      </c>
      <c r="M647" s="46">
        <f>(VLOOKUP($A647,'The List'!$B1:$AH730,25,FALSE)-AVERAGE('The List'!Z2:Z730))/STDEV('The List'!Z2:Z730)</f>
        <v>-0.653913436956351</v>
      </c>
      <c r="N647" s="46">
        <f>(VLOOKUP($A647,'The List'!$B1:$AH730,26,FALSE)-AVERAGE('The List'!AA2:AA730))/STDEV('The List'!AA2:AA730)</f>
        <v>0.245791176992064</v>
      </c>
      <c r="O647" s="46">
        <f>(VLOOKUP($A647,'The List'!$B1:$AH730,27,FALSE)-AVERAGE('The List'!AB2:AB730))/STDEV('The List'!AB2:AB730)</f>
        <v>1.09373826814359</v>
      </c>
      <c r="P647" s="46">
        <f>(VLOOKUP($A647,'The List'!$B1:$AH730,28,FALSE)-AVERAGE('The List'!AC2:AC730))/STDEV('The List'!AC2:AC730)</f>
        <v>-0.226984479196125</v>
      </c>
      <c r="Q647" s="46">
        <f>(VLOOKUP($A647,'The List'!$B1:$AH730,29,FALSE)-AVERAGE('The List'!AD2:AD730))/STDEV('The List'!AD2:AD730)</f>
        <v>0.631506830423241</v>
      </c>
      <c r="R647" s="46">
        <f>(VLOOKUP($A647,'The List'!$B1:$AH730,30,FALSE)-AVERAGE('The List'!AE2:AE730))/STDEV('The List'!AE2:AE730)</f>
        <v>-0.98500261193493</v>
      </c>
      <c r="S647" s="46">
        <f>(VLOOKUP($A647,'The List'!$B1:$AH730,31,FALSE)-AVERAGE('The List'!AF2:AF730))/STDEV('The List'!AF2:AF730)</f>
        <v>-0.554775910028631</v>
      </c>
      <c r="T647" s="46">
        <f>(VLOOKUP($A647,'The List'!$B1:$AH730,32,FALSE)-AVERAGE('The List'!AG2:AG730))/STDEV('The List'!AG2:AG730)</f>
        <v>-0.5976144207908189</v>
      </c>
      <c r="U647" s="46">
        <f>(VLOOKUP($A647,'The List'!$B1:$AH730,33,FALSE)-AVERAGE('The List'!AH2:AH730))/STDEV('The List'!AH2:AH730)</f>
        <v>0.609499049812415</v>
      </c>
      <c r="V647" s="46"/>
      <c r="W647" s="48"/>
      <c r="X647" s="46"/>
      <c r="Y647" s="46"/>
      <c r="Z647" s="46"/>
      <c r="AA647" s="46"/>
      <c r="AB647" s="46"/>
      <c r="AC647" s="46"/>
      <c r="AD647" s="46"/>
      <c r="AE647" s="46"/>
    </row>
    <row r="648" ht="21.25" customHeight="1">
      <c r="A648" t="s" s="8">
        <v>857</v>
      </c>
      <c r="B648" t="s" s="42">
        <f>VLOOKUP(A648,'Player Data'!A1:B734,2,FALSE)</f>
        <v>124</v>
      </c>
      <c r="C648" s="44">
        <f>((E648)*'Settings'!$C$12)+(F648*'Settings'!$C$2)+(G648*'Settings'!$C$3)+(H648*'Settings'!$C$4)+(I648*'Settings'!$C$5)+(K648*'Settings'!$C$9)+(N648*'Settings'!$C$6)+(J648*'Settings'!$C$8)+(O648*'Settings'!$C$7)+(P648*'Settings'!$C$14)+(Q648*'Settings'!$C$15)+(R648*'Settings'!$C$16)+(S648*'Settings'!$C$17)+(T648*'Settings'!$C$18)+(U648*'Settings'!$C$19)+(L648*'Settings'!$C$10)+('Settings'!$C$11*M648)</f>
        <v>-4.58605876013904</v>
      </c>
      <c r="D648" s="48">
        <f>IF('Settings'!$E$12="YES",VLOOKUP(A648,'Player Data'!A1:E734,5,FALSE),82)</f>
        <v>72.40000000000001</v>
      </c>
      <c r="E648" s="46">
        <f>(VLOOKUP($A648,'The List'!$B1:$AH730,17,FALSE)-AVERAGE('The List'!R2:R730))/STDEV('The List'!R2:R730)</f>
        <v>-1.32494809205817</v>
      </c>
      <c r="F648" s="46">
        <f>(VLOOKUP($A648,'The List'!$B1:$AH730,18,FALSE)-AVERAGE('The List'!S2:S730))/STDEV('The List'!S2:S730)</f>
        <v>-0.890943226429355</v>
      </c>
      <c r="G648" s="46">
        <f>(VLOOKUP($A648,'The List'!$B1:$AH730,19,FALSE)-AVERAGE('The List'!T2:T730))/STDEV('The List'!T2:T730)</f>
        <v>-1.32486202888283</v>
      </c>
      <c r="H648" s="46">
        <f>(VLOOKUP($A648,'The List'!$B1:$AH730,20,FALSE)-AVERAGE('The List'!U2:U730))/STDEV('The List'!U2:U730)</f>
        <v>-1.22215706376059</v>
      </c>
      <c r="I648" s="46">
        <f>(VLOOKUP($A648,'The List'!$B1:$AH730,21,FALSE)-AVERAGE('The List'!V2:V730))/STDEV('The List'!V2:V730)</f>
        <v>-0.990232850169085</v>
      </c>
      <c r="J648" s="46">
        <f>(VLOOKUP($A648,'The List'!$B1:$AH730,22,FALSE)-AVERAGE('The List'!W2:W730))/STDEV('The List'!W2:W730)</f>
        <v>-0.702493580616816</v>
      </c>
      <c r="K648" s="46">
        <f>(VLOOKUP($A648,'The List'!$B1:$AH730,23,FALSE)-AVERAGE('The List'!X2:X730))/STDEV('The List'!X2:X730)</f>
        <v>-0.792236519858927</v>
      </c>
      <c r="L648" s="46">
        <f>(VLOOKUP($A648,'The List'!$B1:$AH730,24,FALSE)-AVERAGE('The List'!Y2:Y730))/STDEV('The List'!Y2:Y730)</f>
        <v>0.628329604382155</v>
      </c>
      <c r="M648" s="46">
        <f>(VLOOKUP($A648,'The List'!$B1:$AH730,25,FALSE)-AVERAGE('The List'!Z2:Z730))/STDEV('The List'!Z2:Z730)</f>
        <v>0.443821340995226</v>
      </c>
      <c r="N648" s="46">
        <f>(VLOOKUP($A648,'The List'!$B1:$AH730,26,FALSE)-AVERAGE('The List'!AA2:AA730))/STDEV('The List'!AA2:AA730)</f>
        <v>-0.214744124195573</v>
      </c>
      <c r="O648" s="46">
        <f>(VLOOKUP($A648,'The List'!$B1:$AH730,27,FALSE)-AVERAGE('The List'!AB2:AB730))/STDEV('The List'!AB2:AB730)</f>
        <v>0.573260295270463</v>
      </c>
      <c r="P648" s="46">
        <f>(VLOOKUP($A648,'The List'!$B1:$AH730,28,FALSE)-AVERAGE('The List'!AC2:AC730))/STDEV('The List'!AC2:AC730)</f>
        <v>-0.373040010603268</v>
      </c>
      <c r="Q648" s="46">
        <f>(VLOOKUP($A648,'The List'!$B1:$AH730,29,FALSE)-AVERAGE('The List'!AD2:AD730))/STDEV('The List'!AD2:AD730)</f>
        <v>-0.747452439551949</v>
      </c>
      <c r="R648" s="46">
        <f>(VLOOKUP($A648,'The List'!$B1:$AH730,30,FALSE)-AVERAGE('The List'!AE2:AE730))/STDEV('The List'!AE2:AE730)</f>
        <v>-0.77244622568111</v>
      </c>
      <c r="S648" s="46">
        <f>(VLOOKUP($A648,'The List'!$B1:$AH730,31,FALSE)-AVERAGE('The List'!AF2:AF730))/STDEV('The List'!AF2:AF730)</f>
        <v>1.27469831409921</v>
      </c>
      <c r="T648" s="46">
        <f>(VLOOKUP($A648,'The List'!$B1:$AH730,32,FALSE)-AVERAGE('The List'!AG2:AG730))/STDEV('The List'!AG2:AG730)</f>
        <v>0.722384173004098</v>
      </c>
      <c r="U648" s="46">
        <f>(VLOOKUP($A648,'The List'!$B1:$AH730,33,FALSE)-AVERAGE('The List'!AH2:AH730))/STDEV('The List'!AH2:AH730)</f>
        <v>1.44100275999068</v>
      </c>
      <c r="V648" s="46"/>
      <c r="W648" s="48"/>
      <c r="X648" s="46"/>
      <c r="Y648" s="46"/>
      <c r="Z648" s="46"/>
      <c r="AA648" s="46"/>
      <c r="AB648" s="46"/>
      <c r="AC648" s="46"/>
      <c r="AD648" s="46"/>
      <c r="AE648" s="46"/>
    </row>
    <row r="649" ht="21.25" customHeight="1">
      <c r="A649" t="s" s="8">
        <v>745</v>
      </c>
      <c r="B649" t="s" s="42">
        <f>VLOOKUP(A649,'Player Data'!A1:B734,2,FALSE)</f>
        <v>204</v>
      </c>
      <c r="C649" s="44">
        <f>((E649)*'Settings'!$C$12)+(F649*'Settings'!$C$2)+(G649*'Settings'!$C$3)+(H649*'Settings'!$C$4)+(I649*'Settings'!$C$5)+(K649*'Settings'!$C$9)+(N649*'Settings'!$C$6)+(J649*'Settings'!$C$8)+(O649*'Settings'!$C$7)+(P649*'Settings'!$C$14)+(Q649*'Settings'!$C$15)+(R649*'Settings'!$C$16)+(S649*'Settings'!$C$17)+(T649*'Settings'!$C$18)+(U649*'Settings'!$C$19)+(L649*'Settings'!$C$10)+('Settings'!$C$11*M649)</f>
        <v>-5.18772651089224</v>
      </c>
      <c r="D649" s="48">
        <f>IF('Settings'!$E$12="YES",VLOOKUP(A649,'Player Data'!A1:E734,5,FALSE),82)</f>
        <v>56.3425</v>
      </c>
      <c r="E649" s="46">
        <f>(VLOOKUP($A649,'The List'!$B1:$AH730,17,FALSE)-AVERAGE('The List'!R2:R730))/STDEV('The List'!R2:R730)</f>
        <v>-1.15624244317724</v>
      </c>
      <c r="F649" s="46">
        <f>(VLOOKUP($A649,'The List'!$B1:$AH730,18,FALSE)-AVERAGE('The List'!S2:S730))/STDEV('The List'!S2:S730)</f>
        <v>-1.20245985785273</v>
      </c>
      <c r="G649" s="46">
        <f>(VLOOKUP($A649,'The List'!$B1:$AH730,19,FALSE)-AVERAGE('The List'!T2:T730))/STDEV('The List'!T2:T730)</f>
        <v>-1.23147927227011</v>
      </c>
      <c r="H649" s="46">
        <f>(VLOOKUP($A649,'The List'!$B1:$AH730,20,FALSE)-AVERAGE('The List'!U2:U730))/STDEV('The List'!U2:U730)</f>
        <v>-1.30633413668314</v>
      </c>
      <c r="I649" s="46">
        <f>(VLOOKUP($A649,'The List'!$B1:$AH730,21,FALSE)-AVERAGE('The List'!V2:V730))/STDEV('The List'!V2:V730)</f>
        <v>-1.51996036460635</v>
      </c>
      <c r="J649" s="46">
        <f>(VLOOKUP($A649,'The List'!$B1:$AH730,22,FALSE)-AVERAGE('The List'!W2:W730))/STDEV('The List'!W2:W730)</f>
        <v>-0.713182987595643</v>
      </c>
      <c r="K649" s="46">
        <f>(VLOOKUP($A649,'The List'!$B1:$AH730,23,FALSE)-AVERAGE('The List'!X2:X730))/STDEV('The List'!X2:X730)</f>
        <v>-0.801420028086667</v>
      </c>
      <c r="L649" s="46">
        <f>(VLOOKUP($A649,'The List'!$B1:$AH730,24,FALSE)-AVERAGE('The List'!Y2:Y730))/STDEV('The List'!Y2:Y730)</f>
        <v>-0.4894256689767</v>
      </c>
      <c r="M649" s="46">
        <f>(VLOOKUP($A649,'The List'!$B1:$AH730,25,FALSE)-AVERAGE('The List'!Z2:Z730))/STDEV('The List'!Z2:Z730)</f>
        <v>-0.5978858087132251</v>
      </c>
      <c r="N649" s="46">
        <f>(VLOOKUP($A649,'The List'!$B1:$AH730,26,FALSE)-AVERAGE('The List'!AA2:AA730))/STDEV('The List'!AA2:AA730)</f>
        <v>-0.33441980943264</v>
      </c>
      <c r="O649" s="46">
        <f>(VLOOKUP($A649,'The List'!$B1:$AH730,27,FALSE)-AVERAGE('The List'!AB2:AB730))/STDEV('The List'!AB2:AB730)</f>
        <v>0.463828005487635</v>
      </c>
      <c r="P649" s="46">
        <f>(VLOOKUP($A649,'The List'!$B1:$AH730,28,FALSE)-AVERAGE('The List'!AC2:AC730))/STDEV('The List'!AC2:AC730)</f>
        <v>-0.0979871786437438</v>
      </c>
      <c r="Q649" s="46">
        <f>(VLOOKUP($A649,'The List'!$B1:$AH730,29,FALSE)-AVERAGE('The List'!AD2:AD730))/STDEV('The List'!AD2:AD730)</f>
        <v>-0.0893572083797011</v>
      </c>
      <c r="R649" s="46">
        <f>(VLOOKUP($A649,'The List'!$B1:$AH730,30,FALSE)-AVERAGE('The List'!AE2:AE730))/STDEV('The List'!AE2:AE730)</f>
        <v>-1.09479634153977</v>
      </c>
      <c r="S649" s="46">
        <f>(VLOOKUP($A649,'The List'!$B1:$AH730,31,FALSE)-AVERAGE('The List'!AF2:AF730))/STDEV('The List'!AF2:AF730)</f>
        <v>-0.5569063253591</v>
      </c>
      <c r="T649" s="46">
        <f>(VLOOKUP($A649,'The List'!$B1:$AH730,32,FALSE)-AVERAGE('The List'!AG2:AG730))/STDEV('The List'!AG2:AG730)</f>
        <v>-0.600856269042678</v>
      </c>
      <c r="U649" s="46">
        <f>(VLOOKUP($A649,'The List'!$B1:$AH730,33,FALSE)-AVERAGE('The List'!AH2:AH730))/STDEV('The List'!AH2:AH730)</f>
        <v>-1.2363238714826</v>
      </c>
      <c r="V649" s="46"/>
      <c r="W649" s="48"/>
      <c r="X649" s="46"/>
      <c r="Y649" s="46"/>
      <c r="Z649" s="46"/>
      <c r="AA649" s="46"/>
      <c r="AB649" s="46"/>
      <c r="AC649" s="46"/>
      <c r="AD649" s="46"/>
      <c r="AE649" s="46"/>
    </row>
    <row r="650" ht="21.25" customHeight="1">
      <c r="A650" t="s" s="8">
        <v>662</v>
      </c>
      <c r="B650" t="s" s="42">
        <f>VLOOKUP(A650,'Player Data'!A1:B734,2,FALSE)</f>
        <v>196</v>
      </c>
      <c r="C650" s="44">
        <f>((E650)*'Settings'!$C$12)+(F650*'Settings'!$C$2)+(G650*'Settings'!$C$3)+(H650*'Settings'!$C$4)+(I650*'Settings'!$C$5)+(K650*'Settings'!$C$9)+(N650*'Settings'!$C$6)+(J650*'Settings'!$C$8)+(O650*'Settings'!$C$7)+(P650*'Settings'!$C$14)+(Q650*'Settings'!$C$15)+(R650*'Settings'!$C$16)+(S650*'Settings'!$C$17)+(T650*'Settings'!$C$18)+(U650*'Settings'!$C$19)+(L650*'Settings'!$C$10)+('Settings'!$C$11*M650)</f>
        <v>-4.15385920789243</v>
      </c>
      <c r="D650" s="48">
        <f>IF('Settings'!$E$12="YES",VLOOKUP(A650,'Player Data'!A1:E734,5,FALSE),82)</f>
        <v>71.02714285714291</v>
      </c>
      <c r="E650" s="46">
        <f>(VLOOKUP($A650,'The List'!$B1:$AH730,17,FALSE)-AVERAGE('The List'!R2:R730))/STDEV('The List'!R2:R730)</f>
        <v>-0.278627203063874</v>
      </c>
      <c r="F650" s="46">
        <f>(VLOOKUP($A650,'The List'!$B1:$AH730,18,FALSE)-AVERAGE('The List'!S2:S730))/STDEV('The List'!S2:S730)</f>
        <v>-1.08520667025115</v>
      </c>
      <c r="G650" s="46">
        <f>(VLOOKUP($A650,'The List'!$B1:$AH730,19,FALSE)-AVERAGE('The List'!T2:T730))/STDEV('The List'!T2:T730)</f>
        <v>-1.19658079008437</v>
      </c>
      <c r="H650" s="46">
        <f>(VLOOKUP($A650,'The List'!$B1:$AH730,20,FALSE)-AVERAGE('The List'!U2:U730))/STDEV('The List'!U2:U730)</f>
        <v>-1.2314671291567</v>
      </c>
      <c r="I650" s="46">
        <f>(VLOOKUP($A650,'The List'!$B1:$AH730,21,FALSE)-AVERAGE('The List'!V2:V730))/STDEV('The List'!V2:V730)</f>
        <v>-1.07896268862678</v>
      </c>
      <c r="J650" s="46">
        <f>(VLOOKUP($A650,'The List'!$B1:$AH730,22,FALSE)-AVERAGE('The List'!W2:W730))/STDEV('The List'!W2:W730)</f>
        <v>-0.711030179186055</v>
      </c>
      <c r="K650" s="46">
        <f>(VLOOKUP($A650,'The List'!$B1:$AH730,23,FALSE)-AVERAGE('The List'!X2:X730))/STDEV('The List'!X2:X730)</f>
        <v>-0.7956339299681821</v>
      </c>
      <c r="L650" s="46">
        <f>(VLOOKUP($A650,'The List'!$B1:$AH730,24,FALSE)-AVERAGE('The List'!Y2:Y730))/STDEV('The List'!Y2:Y730)</f>
        <v>-0.496809214220581</v>
      </c>
      <c r="M650" s="46">
        <f>(VLOOKUP($A650,'The List'!$B1:$AH730,25,FALSE)-AVERAGE('The List'!Z2:Z730))/STDEV('The List'!Z2:Z730)</f>
        <v>-0.568138417812407</v>
      </c>
      <c r="N650" s="46">
        <f>(VLOOKUP($A650,'The List'!$B1:$AH730,26,FALSE)-AVERAGE('The List'!AA2:AA730))/STDEV('The List'!AA2:AA730)</f>
        <v>1.27393579649236</v>
      </c>
      <c r="O650" s="46">
        <f>(VLOOKUP($A650,'The List'!$B1:$AH730,27,FALSE)-AVERAGE('The List'!AB2:AB730))/STDEV('The List'!AB2:AB730)</f>
        <v>1.11263298691685</v>
      </c>
      <c r="P650" s="46">
        <f>(VLOOKUP($A650,'The List'!$B1:$AH730,28,FALSE)-AVERAGE('The List'!AC2:AC730))/STDEV('The List'!AC2:AC730)</f>
        <v>-1.27141092545431</v>
      </c>
      <c r="Q650" s="46">
        <f>(VLOOKUP($A650,'The List'!$B1:$AH730,29,FALSE)-AVERAGE('The List'!AD2:AD730))/STDEV('The List'!AD2:AD730)</f>
        <v>1.88430818500275</v>
      </c>
      <c r="R650" s="46">
        <f>(VLOOKUP($A650,'The List'!$B1:$AH730,30,FALSE)-AVERAGE('The List'!AE2:AE730))/STDEV('The List'!AE2:AE730)</f>
        <v>-1.01175530211824</v>
      </c>
      <c r="S650" s="46">
        <f>(VLOOKUP($A650,'The List'!$B1:$AH730,31,FALSE)-AVERAGE('The List'!AF2:AF730))/STDEV('The List'!AF2:AF730)</f>
        <v>-0.5569063253591</v>
      </c>
      <c r="T650" s="46">
        <f>(VLOOKUP($A650,'The List'!$B1:$AH730,32,FALSE)-AVERAGE('The List'!AG2:AG730))/STDEV('The List'!AG2:AG730)</f>
        <v>-0.600856269042678</v>
      </c>
      <c r="U650" s="46">
        <f>(VLOOKUP($A650,'The List'!$B1:$AH730,33,FALSE)-AVERAGE('The List'!AH2:AH730))/STDEV('The List'!AH2:AH730)</f>
        <v>-1.2363238714826</v>
      </c>
      <c r="V650" s="46"/>
      <c r="W650" s="48"/>
      <c r="X650" s="46"/>
      <c r="Y650" s="46"/>
      <c r="Z650" s="46"/>
      <c r="AA650" s="46"/>
      <c r="AB650" s="46"/>
      <c r="AC650" s="46"/>
      <c r="AD650" s="46"/>
      <c r="AE650" s="46"/>
    </row>
    <row r="651" ht="21.25" customHeight="1">
      <c r="A651" t="s" s="8">
        <v>673</v>
      </c>
      <c r="B651" t="s" s="42">
        <f>VLOOKUP(A651,'Player Data'!A1:B734,2,FALSE)</f>
        <v>124</v>
      </c>
      <c r="C651" s="44">
        <f>((E651)*'Settings'!$C$12)+(F651*'Settings'!$C$2)+(G651*'Settings'!$C$3)+(H651*'Settings'!$C$4)+(I651*'Settings'!$C$5)+(K651*'Settings'!$C$9)+(N651*'Settings'!$C$6)+(J651*'Settings'!$C$8)+(O651*'Settings'!$C$7)+(P651*'Settings'!$C$14)+(Q651*'Settings'!$C$15)+(R651*'Settings'!$C$16)+(S651*'Settings'!$C$17)+(T651*'Settings'!$C$18)+(U651*'Settings'!$C$19)+(L651*'Settings'!$C$10)+('Settings'!$C$11*M651)</f>
        <v>-3.84419677629199</v>
      </c>
      <c r="D651" s="48">
        <f>IF('Settings'!$E$12="YES",VLOOKUP(A651,'Player Data'!A1:E734,5,FALSE),82)</f>
        <v>64.97964285714291</v>
      </c>
      <c r="E651" s="46">
        <f>(VLOOKUP($A651,'The List'!$B1:$AH730,17,FALSE)-AVERAGE('The List'!R2:R730))/STDEV('The List'!R2:R730)</f>
        <v>-0.56882130259136</v>
      </c>
      <c r="F651" s="46">
        <f>(VLOOKUP($A651,'The List'!$B1:$AH730,18,FALSE)-AVERAGE('The List'!S2:S730))/STDEV('The List'!S2:S730)</f>
        <v>-1.03971940560568</v>
      </c>
      <c r="G651" s="46">
        <f>(VLOOKUP($A651,'The List'!$B1:$AH730,19,FALSE)-AVERAGE('The List'!T2:T730))/STDEV('The List'!T2:T730)</f>
        <v>-1.30173143219247</v>
      </c>
      <c r="H651" s="46">
        <f>(VLOOKUP($A651,'The List'!$B1:$AH730,20,FALSE)-AVERAGE('The List'!U2:U730))/STDEV('The List'!U2:U730)</f>
        <v>-1.27559350025758</v>
      </c>
      <c r="I651" s="46">
        <f>(VLOOKUP($A651,'The List'!$B1:$AH730,21,FALSE)-AVERAGE('The List'!V2:V730))/STDEV('The List'!V2:V730)</f>
        <v>-0.885928291931886</v>
      </c>
      <c r="J651" s="46">
        <f>(VLOOKUP($A651,'The List'!$B1:$AH730,22,FALSE)-AVERAGE('The List'!W2:W730))/STDEV('The List'!W2:W730)</f>
        <v>-0.7113661643885409</v>
      </c>
      <c r="K651" s="46">
        <f>(VLOOKUP($A651,'The List'!$B1:$AH730,23,FALSE)-AVERAGE('The List'!X2:X730))/STDEV('The List'!X2:X730)</f>
        <v>-0.796574293262006</v>
      </c>
      <c r="L651" s="46">
        <f>(VLOOKUP($A651,'The List'!$B1:$AH730,24,FALSE)-AVERAGE('The List'!Y2:Y730))/STDEV('The List'!Y2:Y730)</f>
        <v>-0.512755173658379</v>
      </c>
      <c r="M651" s="46">
        <f>(VLOOKUP($A651,'The List'!$B1:$AH730,25,FALSE)-AVERAGE('The List'!Z2:Z730))/STDEV('The List'!Z2:Z730)</f>
        <v>-0.6517507695252091</v>
      </c>
      <c r="N651" s="46">
        <f>(VLOOKUP($A651,'The List'!$B1:$AH730,26,FALSE)-AVERAGE('The List'!AA2:AA730))/STDEV('The List'!AA2:AA730)</f>
        <v>0.431541881528499</v>
      </c>
      <c r="O651" s="46">
        <f>(VLOOKUP($A651,'The List'!$B1:$AH730,27,FALSE)-AVERAGE('The List'!AB2:AB730))/STDEV('The List'!AB2:AB730)</f>
        <v>-0.106529267803052</v>
      </c>
      <c r="P651" s="46">
        <f>(VLOOKUP($A651,'The List'!$B1:$AH730,28,FALSE)-AVERAGE('The List'!AC2:AC730))/STDEV('The List'!AC2:AC730)</f>
        <v>-0.251785234828445</v>
      </c>
      <c r="Q651" s="46">
        <f>(VLOOKUP($A651,'The List'!$B1:$AH730,29,FALSE)-AVERAGE('The List'!AD2:AD730))/STDEV('The List'!AD2:AD730)</f>
        <v>-1.00830480664634</v>
      </c>
      <c r="R651" s="46">
        <f>(VLOOKUP($A651,'The List'!$B1:$AH730,30,FALSE)-AVERAGE('The List'!AE2:AE730))/STDEV('The List'!AE2:AE730)</f>
        <v>-0.923954844401199</v>
      </c>
      <c r="S651" s="46">
        <f>(VLOOKUP($A651,'The List'!$B1:$AH730,31,FALSE)-AVERAGE('The List'!AF2:AF730))/STDEV('The List'!AF2:AF730)</f>
        <v>-0.5569063253591</v>
      </c>
      <c r="T651" s="46">
        <f>(VLOOKUP($A651,'The List'!$B1:$AH730,32,FALSE)-AVERAGE('The List'!AG2:AG730))/STDEV('The List'!AG2:AG730)</f>
        <v>-0.600856269042678</v>
      </c>
      <c r="U651" s="46">
        <f>(VLOOKUP($A651,'The List'!$B1:$AH730,33,FALSE)-AVERAGE('The List'!AH2:AH730))/STDEV('The List'!AH2:AH730)</f>
        <v>-1.2363238714826</v>
      </c>
      <c r="V651" s="46"/>
      <c r="W651" s="48"/>
      <c r="X651" s="46"/>
      <c r="Y651" s="46"/>
      <c r="Z651" s="46"/>
      <c r="AA651" s="46"/>
      <c r="AB651" s="46"/>
      <c r="AC651" s="46"/>
      <c r="AD651" s="46"/>
      <c r="AE651" s="46"/>
    </row>
    <row r="652" ht="21.25" customHeight="1">
      <c r="A652" t="s" s="8">
        <v>686</v>
      </c>
      <c r="B652" t="s" s="42">
        <f>VLOOKUP(A652,'Player Data'!A1:B734,2,FALSE)</f>
        <v>156</v>
      </c>
      <c r="C652" s="44">
        <f>((E652)*'Settings'!$C$12)+(F652*'Settings'!$C$2)+(G652*'Settings'!$C$3)+(H652*'Settings'!$C$4)+(I652*'Settings'!$C$5)+(K652*'Settings'!$C$9)+(N652*'Settings'!$C$6)+(J652*'Settings'!$C$8)+(O652*'Settings'!$C$7)+(P652*'Settings'!$C$14)+(Q652*'Settings'!$C$15)+(R652*'Settings'!$C$16)+(S652*'Settings'!$C$17)+(T652*'Settings'!$C$18)+(U652*'Settings'!$C$19)+(L652*'Settings'!$C$10)+('Settings'!$C$11*M652)</f>
        <v>-4.12495411797356</v>
      </c>
      <c r="D652" s="48">
        <f>IF('Settings'!$E$12="YES",VLOOKUP(A652,'Player Data'!A1:E734,5,FALSE),82)</f>
        <v>64.6792857142857</v>
      </c>
      <c r="E652" s="46">
        <f>(VLOOKUP($A652,'The List'!$B1:$AH730,17,FALSE)-AVERAGE('The List'!R2:R730))/STDEV('The List'!R2:R730)</f>
        <v>-1.1039616089725</v>
      </c>
      <c r="F652" s="46">
        <f>(VLOOKUP($A652,'The List'!$B1:$AH730,18,FALSE)-AVERAGE('The List'!S2:S730))/STDEV('The List'!S2:S730)</f>
        <v>-1.13469326306041</v>
      </c>
      <c r="G652" s="46">
        <f>(VLOOKUP($A652,'The List'!$B1:$AH730,19,FALSE)-AVERAGE('The List'!T2:T730))/STDEV('The List'!T2:T730)</f>
        <v>-1.27288582856699</v>
      </c>
      <c r="H652" s="46">
        <f>(VLOOKUP($A652,'The List'!$B1:$AH730,20,FALSE)-AVERAGE('The List'!U2:U730))/STDEV('The List'!U2:U730)</f>
        <v>-1.30102557466879</v>
      </c>
      <c r="I652" s="46">
        <f>(VLOOKUP($A652,'The List'!$B1:$AH730,21,FALSE)-AVERAGE('The List'!V2:V730))/STDEV('The List'!V2:V730)</f>
        <v>-0.904008581149801</v>
      </c>
      <c r="J652" s="46">
        <f>(VLOOKUP($A652,'The List'!$B1:$AH730,22,FALSE)-AVERAGE('The List'!W2:W730))/STDEV('The List'!W2:W730)</f>
        <v>-0.7135954811384581</v>
      </c>
      <c r="K652" s="46">
        <f>(VLOOKUP($A652,'The List'!$B1:$AH730,23,FALSE)-AVERAGE('The List'!X2:X730))/STDEV('The List'!X2:X730)</f>
        <v>-0.802470101504978</v>
      </c>
      <c r="L652" s="46">
        <f>(VLOOKUP($A652,'The List'!$B1:$AH730,24,FALSE)-AVERAGE('The List'!Y2:Y730))/STDEV('The List'!Y2:Y730)</f>
        <v>-0.532201908801023</v>
      </c>
      <c r="M652" s="46">
        <f>(VLOOKUP($A652,'The List'!$B1:$AH730,25,FALSE)-AVERAGE('The List'!Z2:Z730))/STDEV('The List'!Z2:Z730)</f>
        <v>-0.696078760683389</v>
      </c>
      <c r="N652" s="46">
        <f>(VLOOKUP($A652,'The List'!$B1:$AH730,26,FALSE)-AVERAGE('The List'!AA2:AA730))/STDEV('The List'!AA2:AA730)</f>
        <v>0.219672949564081</v>
      </c>
      <c r="O652" s="46">
        <f>(VLOOKUP($A652,'The List'!$B1:$AH730,27,FALSE)-AVERAGE('The List'!AB2:AB730))/STDEV('The List'!AB2:AB730)</f>
        <v>0.322141643466157</v>
      </c>
      <c r="P652" s="46">
        <f>(VLOOKUP($A652,'The List'!$B1:$AH730,28,FALSE)-AVERAGE('The List'!AC2:AC730))/STDEV('The List'!AC2:AC730)</f>
        <v>-0.230569293255465</v>
      </c>
      <c r="Q652" s="46">
        <f>(VLOOKUP($A652,'The List'!$B1:$AH730,29,FALSE)-AVERAGE('The List'!AD2:AD730))/STDEV('The List'!AD2:AD730)</f>
        <v>-0.0675931106117659</v>
      </c>
      <c r="R652" s="46">
        <f>(VLOOKUP($A652,'The List'!$B1:$AH730,30,FALSE)-AVERAGE('The List'!AE2:AE730))/STDEV('The List'!AE2:AE730)</f>
        <v>-1.0363117188763</v>
      </c>
      <c r="S652" s="46">
        <f>(VLOOKUP($A652,'The List'!$B1:$AH730,31,FALSE)-AVERAGE('The List'!AF2:AF730))/STDEV('The List'!AF2:AF730)</f>
        <v>-0.5569063253591</v>
      </c>
      <c r="T652" s="46">
        <f>(VLOOKUP($A652,'The List'!$B1:$AH730,32,FALSE)-AVERAGE('The List'!AG2:AG730))/STDEV('The List'!AG2:AG730)</f>
        <v>-0.600856269042678</v>
      </c>
      <c r="U652" s="46">
        <f>(VLOOKUP($A652,'The List'!$B1:$AH730,33,FALSE)-AVERAGE('The List'!AH2:AH730))/STDEV('The List'!AH2:AH730)</f>
        <v>-1.2363238714826</v>
      </c>
      <c r="V652" s="46"/>
      <c r="W652" s="48"/>
      <c r="X652" s="46"/>
      <c r="Y652" s="46"/>
      <c r="Z652" s="46"/>
      <c r="AA652" s="46"/>
      <c r="AB652" s="46"/>
      <c r="AC652" s="46"/>
      <c r="AD652" s="46"/>
      <c r="AE652" s="46"/>
    </row>
    <row r="653" ht="21.25" customHeight="1">
      <c r="A653" t="s" s="8">
        <v>721</v>
      </c>
      <c r="B653" t="s" s="42">
        <f>VLOOKUP(A653,'Player Data'!A1:B734,2,FALSE)</f>
        <v>194</v>
      </c>
      <c r="C653" s="44">
        <f>((E653)*'Settings'!$C$12)+(F653*'Settings'!$C$2)+(G653*'Settings'!$C$3)+(H653*'Settings'!$C$4)+(I653*'Settings'!$C$5)+(K653*'Settings'!$C$9)+(N653*'Settings'!$C$6)+(J653*'Settings'!$C$8)+(O653*'Settings'!$C$7)+(P653*'Settings'!$C$14)+(Q653*'Settings'!$C$15)+(R653*'Settings'!$C$16)+(S653*'Settings'!$C$17)+(T653*'Settings'!$C$18)+(U653*'Settings'!$C$19)+(L653*'Settings'!$C$10)+('Settings'!$C$11*M653)</f>
        <v>-4.86667800818838</v>
      </c>
      <c r="D653" s="48">
        <f>IF('Settings'!$E$12="YES",VLOOKUP(A653,'Player Data'!A1:E734,5,FALSE),82)</f>
        <v>71.52714285714291</v>
      </c>
      <c r="E653" s="46">
        <f>(VLOOKUP($A653,'The List'!$B1:$AH730,17,FALSE)-AVERAGE('The List'!R2:R730))/STDEV('The List'!R2:R730)</f>
        <v>-0.989804772229709</v>
      </c>
      <c r="F653" s="46">
        <f>(VLOOKUP($A653,'The List'!$B1:$AH730,18,FALSE)-AVERAGE('The List'!S2:S730))/STDEV('The List'!S2:S730)</f>
        <v>-1.15359058142605</v>
      </c>
      <c r="G653" s="46">
        <f>(VLOOKUP($A653,'The List'!$B1:$AH730,19,FALSE)-AVERAGE('The List'!T2:T730))/STDEV('The List'!T2:T730)</f>
        <v>-1.27079408245023</v>
      </c>
      <c r="H653" s="46">
        <f>(VLOOKUP($A653,'The List'!$B1:$AH730,20,FALSE)-AVERAGE('The List'!U2:U730))/STDEV('The List'!U2:U730)</f>
        <v>-1.30833469953634</v>
      </c>
      <c r="I653" s="46">
        <f>(VLOOKUP($A653,'The List'!$B1:$AH730,21,FALSE)-AVERAGE('The List'!V2:V730))/STDEV('The List'!V2:V730)</f>
        <v>-1.37239557421283</v>
      </c>
      <c r="J653" s="46">
        <f>(VLOOKUP($A653,'The List'!$B1:$AH730,22,FALSE)-AVERAGE('The List'!W2:W730))/STDEV('The List'!W2:W730)</f>
        <v>-0.71135930139027</v>
      </c>
      <c r="K653" s="46">
        <f>(VLOOKUP($A653,'The List'!$B1:$AH730,23,FALSE)-AVERAGE('The List'!X2:X730))/STDEV('The List'!X2:X730)</f>
        <v>-0.796120744636745</v>
      </c>
      <c r="L653" s="46">
        <f>(VLOOKUP($A653,'The List'!$B1:$AH730,24,FALSE)-AVERAGE('The List'!Y2:Y730))/STDEV('The List'!Y2:Y730)</f>
        <v>-0.501008518830338</v>
      </c>
      <c r="M653" s="46">
        <f>(VLOOKUP($A653,'The List'!$B1:$AH730,25,FALSE)-AVERAGE('The List'!Z2:Z730))/STDEV('The List'!Z2:Z730)</f>
        <v>-0.574372864421157</v>
      </c>
      <c r="N653" s="46">
        <f>(VLOOKUP($A653,'The List'!$B1:$AH730,26,FALSE)-AVERAGE('The List'!AA2:AA730))/STDEV('The List'!AA2:AA730)</f>
        <v>0.6096955745800871</v>
      </c>
      <c r="O653" s="46">
        <f>(VLOOKUP($A653,'The List'!$B1:$AH730,27,FALSE)-AVERAGE('The List'!AB2:AB730))/STDEV('The List'!AB2:AB730)</f>
        <v>0.268603195370169</v>
      </c>
      <c r="P653" s="46">
        <f>(VLOOKUP($A653,'The List'!$B1:$AH730,28,FALSE)-AVERAGE('The List'!AC2:AC730))/STDEV('The List'!AC2:AC730)</f>
        <v>-0.883472600042616</v>
      </c>
      <c r="Q653" s="46">
        <f>(VLOOKUP($A653,'The List'!$B1:$AH730,29,FALSE)-AVERAGE('The List'!AD2:AD730))/STDEV('The List'!AD2:AD730)</f>
        <v>0.52255202950252</v>
      </c>
      <c r="R653" s="46">
        <f>(VLOOKUP($A653,'The List'!$B1:$AH730,30,FALSE)-AVERAGE('The List'!AE2:AE730))/STDEV('The List'!AE2:AE730)</f>
        <v>-1.07818621064974</v>
      </c>
      <c r="S653" s="46">
        <f>(VLOOKUP($A653,'The List'!$B1:$AH730,31,FALSE)-AVERAGE('The List'!AF2:AF730))/STDEV('The List'!AF2:AF730)</f>
        <v>-0.5569063253591</v>
      </c>
      <c r="T653" s="46">
        <f>(VLOOKUP($A653,'The List'!$B1:$AH730,32,FALSE)-AVERAGE('The List'!AG2:AG730))/STDEV('The List'!AG2:AG730)</f>
        <v>-0.600856269042678</v>
      </c>
      <c r="U653" s="46">
        <f>(VLOOKUP($A653,'The List'!$B1:$AH730,33,FALSE)-AVERAGE('The List'!AH2:AH730))/STDEV('The List'!AH2:AH730)</f>
        <v>-1.2363238714826</v>
      </c>
      <c r="V653" s="46"/>
      <c r="W653" s="48"/>
      <c r="X653" s="46"/>
      <c r="Y653" s="46"/>
      <c r="Z653" s="46"/>
      <c r="AA653" s="46"/>
      <c r="AB653" s="46"/>
      <c r="AC653" s="46"/>
      <c r="AD653" s="46"/>
      <c r="AE653" s="46"/>
    </row>
    <row r="654" ht="21.25" customHeight="1">
      <c r="A654" t="s" s="8">
        <v>695</v>
      </c>
      <c r="B654" t="s" s="42">
        <f>VLOOKUP(A654,'Player Data'!A1:B734,2,FALSE)</f>
        <v>113</v>
      </c>
      <c r="C654" s="44">
        <f>((E654)*'Settings'!$C$12)+(F654*'Settings'!$C$2)+(G654*'Settings'!$C$3)+(H654*'Settings'!$C$4)+(I654*'Settings'!$C$5)+(K654*'Settings'!$C$9)+(N654*'Settings'!$C$6)+(J654*'Settings'!$C$8)+(O654*'Settings'!$C$7)+(P654*'Settings'!$C$14)+(Q654*'Settings'!$C$15)+(R654*'Settings'!$C$16)+(S654*'Settings'!$C$17)+(T654*'Settings'!$C$18)+(U654*'Settings'!$C$19)+(L654*'Settings'!$C$10)+('Settings'!$C$11*M654)</f>
        <v>-3.31410249051995</v>
      </c>
      <c r="D654" s="48">
        <f>IF('Settings'!$E$12="YES",VLOOKUP(A654,'Player Data'!A1:E734,5,FALSE),82)</f>
        <v>74.8110714285714</v>
      </c>
      <c r="E654" s="46">
        <f>(VLOOKUP($A654,'The List'!$B1:$AH730,17,FALSE)-AVERAGE('The List'!R2:R730))/STDEV('The List'!R2:R730)</f>
        <v>-0.276867752133063</v>
      </c>
      <c r="F654" s="46">
        <f>(VLOOKUP($A654,'The List'!$B1:$AH730,18,FALSE)-AVERAGE('The List'!S2:S730))/STDEV('The List'!S2:S730)</f>
        <v>-1.19603015390862</v>
      </c>
      <c r="G654" s="46">
        <f>(VLOOKUP($A654,'The List'!$B1:$AH730,19,FALSE)-AVERAGE('The List'!T2:T730))/STDEV('The List'!T2:T730)</f>
        <v>-1.23698736507698</v>
      </c>
      <c r="H654" s="46">
        <f>(VLOOKUP($A654,'The List'!$B1:$AH730,20,FALSE)-AVERAGE('The List'!U2:U730))/STDEV('The List'!U2:U730)</f>
        <v>-1.3068041592552</v>
      </c>
      <c r="I654" s="46">
        <f>(VLOOKUP($A654,'The List'!$B1:$AH730,21,FALSE)-AVERAGE('The List'!V2:V730))/STDEV('The List'!V2:V730)</f>
        <v>-1.1260900351071</v>
      </c>
      <c r="J654" s="46">
        <f>(VLOOKUP($A654,'The List'!$B1:$AH730,22,FALSE)-AVERAGE('The List'!W2:W730))/STDEV('The List'!W2:W730)</f>
        <v>-0.710041434044428</v>
      </c>
      <c r="K654" s="46">
        <f>(VLOOKUP($A654,'The List'!$B1:$AH730,23,FALSE)-AVERAGE('The List'!X2:X730))/STDEV('The List'!X2:X730)</f>
        <v>-0.790361056267796</v>
      </c>
      <c r="L654" s="46">
        <f>(VLOOKUP($A654,'The List'!$B1:$AH730,24,FALSE)-AVERAGE('The List'!Y2:Y730))/STDEV('The List'!Y2:Y730)</f>
        <v>-0.5149754621889</v>
      </c>
      <c r="M654" s="46">
        <f>(VLOOKUP($A654,'The List'!$B1:$AH730,25,FALSE)-AVERAGE('The List'!Z2:Z730))/STDEV('The List'!Z2:Z730)</f>
        <v>0.516548647767321</v>
      </c>
      <c r="N654" s="46">
        <f>(VLOOKUP($A654,'The List'!$B1:$AH730,26,FALSE)-AVERAGE('The List'!AA2:AA730))/STDEV('The List'!AA2:AA730)</f>
        <v>0.752987392344547</v>
      </c>
      <c r="O654" s="46">
        <f>(VLOOKUP($A654,'The List'!$B1:$AH730,27,FALSE)-AVERAGE('The List'!AB2:AB730))/STDEV('The List'!AB2:AB730)</f>
        <v>-0.0215407158797698</v>
      </c>
      <c r="P654" s="46">
        <f>(VLOOKUP($A654,'The List'!$B1:$AH730,28,FALSE)-AVERAGE('The List'!AC2:AC730))/STDEV('The List'!AC2:AC730)</f>
        <v>0.282378727495996</v>
      </c>
      <c r="Q654" s="46">
        <f>(VLOOKUP($A654,'The List'!$B1:$AH730,29,FALSE)-AVERAGE('The List'!AD2:AD730))/STDEV('The List'!AD2:AD730)</f>
        <v>-0.402631259811797</v>
      </c>
      <c r="R654" s="46">
        <f>(VLOOKUP($A654,'The List'!$B1:$AH730,30,FALSE)-AVERAGE('The List'!AE2:AE730))/STDEV('The List'!AE2:AE730)</f>
        <v>-1.08202598496587</v>
      </c>
      <c r="S654" s="46">
        <f>(VLOOKUP($A654,'The List'!$B1:$AH730,31,FALSE)-AVERAGE('The List'!AF2:AF730))/STDEV('The List'!AF2:AF730)</f>
        <v>-0.5569063253591</v>
      </c>
      <c r="T654" s="46">
        <f>(VLOOKUP($A654,'The List'!$B1:$AH730,32,FALSE)-AVERAGE('The List'!AG2:AG730))/STDEV('The List'!AG2:AG730)</f>
        <v>-0.59768190506642</v>
      </c>
      <c r="U654" s="46">
        <f>(VLOOKUP($A654,'The List'!$B1:$AH730,33,FALSE)-AVERAGE('The List'!AH2:AH730))/STDEV('The List'!AH2:AH730)</f>
        <v>-1.2363238714826</v>
      </c>
      <c r="V654" s="46"/>
      <c r="W654" s="48"/>
      <c r="X654" s="46"/>
      <c r="Y654" s="46"/>
      <c r="Z654" s="46"/>
      <c r="AA654" s="46"/>
      <c r="AB654" s="46"/>
      <c r="AC654" s="46"/>
      <c r="AD654" s="46"/>
      <c r="AE654" s="46"/>
    </row>
    <row r="655" ht="21.25" customHeight="1">
      <c r="A655" t="s" s="8">
        <v>591</v>
      </c>
      <c r="B655" t="s" s="42">
        <f>VLOOKUP(A655,'Player Data'!A1:B734,2,FALSE)</f>
        <v>234</v>
      </c>
      <c r="C655" s="44">
        <f>((E655)*'Settings'!$C$12)+(F655*'Settings'!$C$2)+(G655*'Settings'!$C$3)+(H655*'Settings'!$C$4)+(I655*'Settings'!$C$5)+(K655*'Settings'!$C$9)+(N655*'Settings'!$C$6)+(J655*'Settings'!$C$8)+(O655*'Settings'!$C$7)+(P655*'Settings'!$C$14)+(Q655*'Settings'!$C$15)+(R655*'Settings'!$C$16)+(S655*'Settings'!$C$17)+(T655*'Settings'!$C$18)+(U655*'Settings'!$C$19)+(L655*'Settings'!$C$10)+('Settings'!$C$11*M655)</f>
        <v>-1.24001667747042</v>
      </c>
      <c r="D655" s="48">
        <f>IF('Settings'!$E$12="YES",VLOOKUP(A655,'Player Data'!A1:E734,5,FALSE),82)</f>
        <v>66</v>
      </c>
      <c r="E655" s="46">
        <f>(VLOOKUP($A655,'The List'!$B1:$AH730,17,FALSE)-AVERAGE('The List'!R2:R730))/STDEV('The List'!R2:R730)</f>
        <v>-0.934901600988743</v>
      </c>
      <c r="F655" s="46">
        <f>(VLOOKUP($A655,'The List'!$B1:$AH730,18,FALSE)-AVERAGE('The List'!S2:S730))/STDEV('The List'!S2:S730)</f>
        <v>-0.0734661380982794</v>
      </c>
      <c r="G655" s="46">
        <f>(VLOOKUP($A655,'The List'!$B1:$AH730,19,FALSE)-AVERAGE('The List'!T2:T730))/STDEV('The List'!T2:T730)</f>
        <v>0.06760588504103</v>
      </c>
      <c r="H655" s="46">
        <f>(VLOOKUP($A655,'The List'!$B1:$AH730,20,FALSE)-AVERAGE('The List'!U2:U730))/STDEV('The List'!U2:U730)</f>
        <v>0.00824957328833756</v>
      </c>
      <c r="I655" s="46">
        <f>(VLOOKUP($A655,'The List'!$B1:$AH730,21,FALSE)-AVERAGE('The List'!V2:V730))/STDEV('The List'!V2:V730)</f>
        <v>-0.372231163399983</v>
      </c>
      <c r="J655" s="46">
        <f>(VLOOKUP($A655,'The List'!$B1:$AH730,22,FALSE)-AVERAGE('The List'!W2:W730))/STDEV('The List'!W2:W730)</f>
        <v>0.106319981329964</v>
      </c>
      <c r="K655" s="46">
        <f>(VLOOKUP($A655,'The List'!$B1:$AH730,23,FALSE)-AVERAGE('The List'!X2:X730))/STDEV('The List'!X2:X730)</f>
        <v>0.105150841898065</v>
      </c>
      <c r="L655" s="46">
        <f>(VLOOKUP($A655,'The List'!$B1:$AH730,24,FALSE)-AVERAGE('The List'!Y2:Y730))/STDEV('The List'!Y2:Y730)</f>
        <v>-0.542843480388394</v>
      </c>
      <c r="M655" s="46">
        <f>(VLOOKUP($A655,'The List'!$B1:$AH730,25,FALSE)-AVERAGE('The List'!Z2:Z730))/STDEV('The List'!Z2:Z730)</f>
        <v>-0.72177514995105</v>
      </c>
      <c r="N655" s="46">
        <f>(VLOOKUP($A655,'The List'!$B1:$AH730,26,FALSE)-AVERAGE('The List'!AA2:AA730))/STDEV('The List'!AA2:AA730)</f>
        <v>-0.814317674968344</v>
      </c>
      <c r="O655" s="46">
        <f>(VLOOKUP($A655,'The List'!$B1:$AH730,27,FALSE)-AVERAGE('The List'!AB2:AB730))/STDEV('The List'!AB2:AB730)</f>
        <v>-1.25654976382229</v>
      </c>
      <c r="P655" s="46">
        <f>(VLOOKUP($A655,'The List'!$B1:$AH730,28,FALSE)-AVERAGE('The List'!AC2:AC730))/STDEV('The List'!AC2:AC730)</f>
        <v>-0.152758427942908</v>
      </c>
      <c r="Q655" s="46">
        <f>(VLOOKUP($A655,'The List'!$B1:$AH730,29,FALSE)-AVERAGE('The List'!AD2:AD730))/STDEV('The List'!AD2:AD730)</f>
        <v>-1.06499349134439</v>
      </c>
      <c r="R655" s="46">
        <f>(VLOOKUP($A655,'The List'!$B1:$AH730,30,FALSE)-AVERAGE('The List'!AE2:AE730))/STDEV('The List'!AE2:AE730)</f>
        <v>-0.422158335970225</v>
      </c>
      <c r="S655" s="46">
        <f>(VLOOKUP($A655,'The List'!$B1:$AH730,31,FALSE)-AVERAGE('The List'!AF2:AF730))/STDEV('The List'!AF2:AF730)</f>
        <v>-0.199447943220879</v>
      </c>
      <c r="T655" s="46">
        <f>(VLOOKUP($A655,'The List'!$B1:$AH730,32,FALSE)-AVERAGE('The List'!AG2:AG730))/STDEV('The List'!AG2:AG730)</f>
        <v>-0.0577954518381565</v>
      </c>
      <c r="U655" s="46">
        <f>(VLOOKUP($A655,'The List'!$B1:$AH730,33,FALSE)-AVERAGE('The List'!AH2:AH730))/STDEV('The List'!AH2:AH730)</f>
        <v>0.615377892960761</v>
      </c>
      <c r="V655" s="46"/>
      <c r="W655" s="48"/>
      <c r="X655" s="46"/>
      <c r="Y655" s="46"/>
      <c r="Z655" s="46"/>
      <c r="AA655" s="46"/>
      <c r="AB655" s="46"/>
      <c r="AC655" s="46"/>
      <c r="AD655" s="46"/>
      <c r="AE655" s="46"/>
    </row>
    <row r="656" ht="21.25" customHeight="1">
      <c r="A656" t="s" s="8">
        <v>392</v>
      </c>
      <c r="B656" t="s" s="42">
        <f>VLOOKUP(A656,'Player Data'!A1:B734,2,FALSE)</f>
        <v>234</v>
      </c>
      <c r="C656" s="44">
        <f>((E656)*'Settings'!$C$12)+(F656*'Settings'!$C$2)+(G656*'Settings'!$C$3)+(H656*'Settings'!$C$4)+(I656*'Settings'!$C$5)+(K656*'Settings'!$C$9)+(N656*'Settings'!$C$6)+(J656*'Settings'!$C$8)+(O656*'Settings'!$C$7)+(P656*'Settings'!$C$14)+(Q656*'Settings'!$C$15)+(R656*'Settings'!$C$16)+(S656*'Settings'!$C$17)+(T656*'Settings'!$C$18)+(U656*'Settings'!$C$19)+(L656*'Settings'!$C$10)+('Settings'!$C$11*M656)</f>
        <v>-0.328814336617973</v>
      </c>
      <c r="D656" s="48">
        <f>IF('Settings'!$E$12="YES",VLOOKUP(A656,'Player Data'!A1:E734,5,FALSE),82)</f>
        <v>66</v>
      </c>
      <c r="E656" s="46">
        <f>(VLOOKUP($A656,'The List'!$B1:$AH730,17,FALSE)-AVERAGE('The List'!R2:R730))/STDEV('The List'!R2:R730)</f>
        <v>0.679063732001328</v>
      </c>
      <c r="F656" s="46">
        <f>(VLOOKUP($A656,'The List'!$B1:$AH730,18,FALSE)-AVERAGE('The List'!S2:S730))/STDEV('The List'!S2:S730)</f>
        <v>-0.617766302259479</v>
      </c>
      <c r="G656" s="46">
        <f>(VLOOKUP($A656,'The List'!$B1:$AH730,19,FALSE)-AVERAGE('The List'!T2:T730))/STDEV('The List'!T2:T730)</f>
        <v>-0.00285139637536635</v>
      </c>
      <c r="H656" s="46">
        <f>(VLOOKUP($A656,'The List'!$B1:$AH730,20,FALSE)-AVERAGE('The List'!U2:U730))/STDEV('The List'!U2:U730)</f>
        <v>-0.282853905650588</v>
      </c>
      <c r="I656" s="46">
        <f>(VLOOKUP($A656,'The List'!$B1:$AH730,21,FALSE)-AVERAGE('The List'!V2:V730))/STDEV('The List'!V2:V730)</f>
        <v>-0.179016954125868</v>
      </c>
      <c r="J656" s="46">
        <f>(VLOOKUP($A656,'The List'!$B1:$AH730,22,FALSE)-AVERAGE('The List'!W2:W730))/STDEV('The List'!W2:W730)</f>
        <v>-0.323720412500227</v>
      </c>
      <c r="K656" s="46">
        <f>(VLOOKUP($A656,'The List'!$B1:$AH730,23,FALSE)-AVERAGE('The List'!X2:X730))/STDEV('The List'!X2:X730)</f>
        <v>-0.165313134244321</v>
      </c>
      <c r="L656" s="46">
        <f>(VLOOKUP($A656,'The List'!$B1:$AH730,24,FALSE)-AVERAGE('The List'!Y2:Y730))/STDEV('The List'!Y2:Y730)</f>
        <v>-0.542843480388394</v>
      </c>
      <c r="M656" s="46">
        <f>(VLOOKUP($A656,'The List'!$B1:$AH730,25,FALSE)-AVERAGE('The List'!Z2:Z730))/STDEV('The List'!Z2:Z730)</f>
        <v>-0.72177514995105</v>
      </c>
      <c r="N656" s="46">
        <f>(VLOOKUP($A656,'The List'!$B1:$AH730,26,FALSE)-AVERAGE('The List'!AA2:AA730))/STDEV('The List'!AA2:AA730)</f>
        <v>0.597990997972856</v>
      </c>
      <c r="O656" s="46">
        <f>(VLOOKUP($A656,'The List'!$B1:$AH730,27,FALSE)-AVERAGE('The List'!AB2:AB730))/STDEV('The List'!AB2:AB730)</f>
        <v>-0.177525667976435</v>
      </c>
      <c r="P656" s="46">
        <f>(VLOOKUP($A656,'The List'!$B1:$AH730,28,FALSE)-AVERAGE('The List'!AC2:AC730))/STDEV('The List'!AC2:AC730)</f>
        <v>0.0381424524142051</v>
      </c>
      <c r="Q656" s="46">
        <f>(VLOOKUP($A656,'The List'!$B1:$AH730,29,FALSE)-AVERAGE('The List'!AD2:AD730))/STDEV('The List'!AD2:AD730)</f>
        <v>-0.23616629097535</v>
      </c>
      <c r="R656" s="46">
        <f>(VLOOKUP($A656,'The List'!$B1:$AH730,30,FALSE)-AVERAGE('The List'!AE2:AE730))/STDEV('The List'!AE2:AE730)</f>
        <v>-0.761688360906514</v>
      </c>
      <c r="S656" s="46">
        <f>(VLOOKUP($A656,'The List'!$B1:$AH730,31,FALSE)-AVERAGE('The List'!AF2:AF730))/STDEV('The List'!AF2:AF730)</f>
        <v>-0.5569063253591</v>
      </c>
      <c r="T656" s="46">
        <f>(VLOOKUP($A656,'The List'!$B1:$AH730,32,FALSE)-AVERAGE('The List'!AG2:AG730))/STDEV('The List'!AG2:AG730)</f>
        <v>-0.600856269042678</v>
      </c>
      <c r="U656" s="46">
        <f>(VLOOKUP($A656,'The List'!$B1:$AH730,33,FALSE)-AVERAGE('The List'!AH2:AH730))/STDEV('The List'!AH2:AH730)</f>
        <v>-1.2363238714826</v>
      </c>
      <c r="V656" s="46"/>
      <c r="W656" s="48"/>
      <c r="X656" s="46"/>
      <c r="Y656" s="46"/>
      <c r="Z656" s="46"/>
      <c r="AA656" s="46"/>
      <c r="AB656" s="46"/>
      <c r="AC656" s="46"/>
      <c r="AD656" s="46"/>
      <c r="AE656" s="46"/>
    </row>
    <row r="657" ht="21.25" customHeight="1">
      <c r="A657" t="s" s="8">
        <v>328</v>
      </c>
      <c r="B657" t="s" s="42">
        <f>VLOOKUP(A657,'Player Data'!A1:B734,2,FALSE)</f>
        <v>234</v>
      </c>
      <c r="C657" s="44">
        <f>((E657)*'Settings'!$C$12)+(F657*'Settings'!$C$2)+(G657*'Settings'!$C$3)+(H657*'Settings'!$C$4)+(I657*'Settings'!$C$5)+(K657*'Settings'!$C$9)+(N657*'Settings'!$C$6)+(J657*'Settings'!$C$8)+(O657*'Settings'!$C$7)+(P657*'Settings'!$C$14)+(Q657*'Settings'!$C$15)+(R657*'Settings'!$C$16)+(S657*'Settings'!$C$17)+(T657*'Settings'!$C$18)+(U657*'Settings'!$C$19)+(L657*'Settings'!$C$10)+('Settings'!$C$11*M657)</f>
        <v>1.38158369177577</v>
      </c>
      <c r="D657" s="48">
        <f>IF('Settings'!$E$12="YES",VLOOKUP(A657,'Player Data'!A1:E734,5,FALSE),82)</f>
        <v>74</v>
      </c>
      <c r="E657" s="46">
        <f>(VLOOKUP($A657,'The List'!$B1:$AH730,17,FALSE)-AVERAGE('The List'!R2:R730))/STDEV('The List'!R2:R730)</f>
        <v>0.94805795416634</v>
      </c>
      <c r="F657" s="46">
        <f>(VLOOKUP($A657,'The List'!$B1:$AH730,18,FALSE)-AVERAGE('The List'!S2:S730))/STDEV('The List'!S2:S730)</f>
        <v>-0.260380703540088</v>
      </c>
      <c r="G657" s="46">
        <f>(VLOOKUP($A657,'The List'!$B1:$AH730,19,FALSE)-AVERAGE('The List'!T2:T730))/STDEV('The List'!T2:T730)</f>
        <v>0.113306642901613</v>
      </c>
      <c r="H657" s="46">
        <f>(VLOOKUP($A657,'The List'!$B1:$AH730,20,FALSE)-AVERAGE('The List'!U2:U730))/STDEV('The List'!U2:U730)</f>
        <v>-0.0486263861449336</v>
      </c>
      <c r="I657" s="46">
        <f>(VLOOKUP($A657,'The List'!$B1:$AH730,21,FALSE)-AVERAGE('The List'!V2:V730))/STDEV('The List'!V2:V730)</f>
        <v>0.513301950001804</v>
      </c>
      <c r="J657" s="46">
        <f>(VLOOKUP($A657,'The List'!$B1:$AH730,22,FALSE)-AVERAGE('The List'!W2:W730))/STDEV('The List'!W2:W730)</f>
        <v>-0.0916135752805427</v>
      </c>
      <c r="K657" s="46">
        <f>(VLOOKUP($A657,'The List'!$B1:$AH730,23,FALSE)-AVERAGE('The List'!X2:X730))/STDEV('The List'!X2:X730)</f>
        <v>-0.0184438968872116</v>
      </c>
      <c r="L657" s="46">
        <f>(VLOOKUP($A657,'The List'!$B1:$AH730,24,FALSE)-AVERAGE('The List'!Y2:Y730))/STDEV('The List'!Y2:Y730)</f>
        <v>-0.542843480388394</v>
      </c>
      <c r="M657" s="46">
        <f>(VLOOKUP($A657,'The List'!$B1:$AH730,25,FALSE)-AVERAGE('The List'!Z2:Z730))/STDEV('The List'!Z2:Z730)</f>
        <v>-0.72177514995105</v>
      </c>
      <c r="N657" s="46">
        <f>(VLOOKUP($A657,'The List'!$B1:$AH730,26,FALSE)-AVERAGE('The List'!AA2:AA730))/STDEV('The List'!AA2:AA730)</f>
        <v>0.944316479819707</v>
      </c>
      <c r="O657" s="46">
        <f>(VLOOKUP($A657,'The List'!$B1:$AH730,27,FALSE)-AVERAGE('The List'!AB2:AB730))/STDEV('The List'!AB2:AB730)</f>
        <v>0.06264812046156509</v>
      </c>
      <c r="P657" s="46">
        <f>(VLOOKUP($A657,'The List'!$B1:$AH730,28,FALSE)-AVERAGE('The List'!AC2:AC730))/STDEV('The List'!AC2:AC730)</f>
        <v>0.0894832194799437</v>
      </c>
      <c r="Q657" s="46">
        <f>(VLOOKUP($A657,'The List'!$B1:$AH730,29,FALSE)-AVERAGE('The List'!AD2:AD730))/STDEV('The List'!AD2:AD730)</f>
        <v>0.0622929210789602</v>
      </c>
      <c r="R657" s="46">
        <f>(VLOOKUP($A657,'The List'!$B1:$AH730,30,FALSE)-AVERAGE('The List'!AE2:AE730))/STDEV('The List'!AE2:AE730)</f>
        <v>-0.538754124919165</v>
      </c>
      <c r="S657" s="46">
        <f>(VLOOKUP($A657,'The List'!$B1:$AH730,31,FALSE)-AVERAGE('The List'!AF2:AF730))/STDEV('The List'!AF2:AF730)</f>
        <v>-0.5569063253591</v>
      </c>
      <c r="T657" s="46">
        <f>(VLOOKUP($A657,'The List'!$B1:$AH730,32,FALSE)-AVERAGE('The List'!AG2:AG730))/STDEV('The List'!AG2:AG730)</f>
        <v>-0.600856269042678</v>
      </c>
      <c r="U657" s="46">
        <f>(VLOOKUP($A657,'The List'!$B1:$AH730,33,FALSE)-AVERAGE('The List'!AH2:AH730))/STDEV('The List'!AH2:AH730)</f>
        <v>-1.2363238714826</v>
      </c>
      <c r="V657" s="46"/>
      <c r="W657" s="48"/>
      <c r="X657" s="46"/>
      <c r="Y657" s="46"/>
      <c r="Z657" s="46"/>
      <c r="AA657" s="46"/>
      <c r="AB657" s="46"/>
      <c r="AC657" s="46"/>
      <c r="AD657" s="46"/>
      <c r="AE657" s="46"/>
    </row>
    <row r="658" ht="21.25" customHeight="1">
      <c r="A658" s="29"/>
      <c r="B658" s="14"/>
      <c r="C658" s="44"/>
      <c r="D658" s="48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8"/>
      <c r="X658" s="46"/>
      <c r="Y658" s="46"/>
      <c r="Z658" s="46"/>
      <c r="AA658" s="46"/>
      <c r="AB658" s="46"/>
      <c r="AC658" s="46"/>
      <c r="AD658" s="46"/>
      <c r="AE658" s="46"/>
    </row>
    <row r="659" ht="21.25" customHeight="1">
      <c r="A659" t="s" s="8">
        <v>263</v>
      </c>
      <c r="B659" t="s" s="42">
        <f>VLOOKUP(A659,'Player Data'!A1:B734,2,FALSE)</f>
        <v>234</v>
      </c>
      <c r="C659" s="44">
        <f>(W659*'Settings'!$C$29)+(X659*'Settings'!$C$21)+(Y659*'Settings'!$C$22)+(AA659*'Settings'!$C$24)+(AB659*'Settings'!$C$25)+(Z659*'Settings'!$C$23)+(AC659*'Settings'!$C$26)+(AD659*'Settings'!$C$28)</f>
        <v>-0.499842556685465</v>
      </c>
      <c r="D659" s="48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>
        <f>(VLOOKUP($A659,'The List'!$B1:$AR730,35,FALSE)-AVERAGE('The List'!AJ2:AJ730))/STDEV('The List'!AJ2:AJ730)</f>
        <v>1.21276300955988</v>
      </c>
      <c r="X659" s="46">
        <f>(VLOOKUP($A659,'The List'!$B1:$AR730,36,FALSE)-AVERAGE('The List'!AK2:AK730))/STDEV('The List'!AK2:AK730)</f>
        <v>0.394376977162693</v>
      </c>
      <c r="Y659" s="46">
        <f>(VLOOKUP($A659,'The List'!$B1:$AR730,37,FALSE)-AVERAGE('The List'!AL2:AL730))/STDEV('The List'!AL2:AL730)*-1</f>
        <v>-2.17293372725179</v>
      </c>
      <c r="Z659" s="46">
        <f>(VLOOKUP($A659,'The List'!$B1:$AR730,38,FALSE)-AVERAGE('The List'!AM2:AM730))/STDEV('The List'!AM2:AM730)</f>
        <v>1.21276300955988</v>
      </c>
      <c r="AA659" s="46">
        <f>(VLOOKUP($A659,'The List'!$B1:$AR730,39,FALSE)-AVERAGE('The List'!AN2:AN730))/STDEV('The List'!AN2:AN730)</f>
        <v>-0.123076591745841</v>
      </c>
      <c r="AB659" s="46">
        <f>(VLOOKUP($A659,'The List'!$B1:$AR730,40,FALSE)-AVERAGE('The List'!AO2:AO730))/STDEV('The List'!AO2:AO730)</f>
        <v>1.53257782717694</v>
      </c>
      <c r="AC659" s="46">
        <f>(VLOOKUP($A659,'The List'!$B1:$AR730,42,FALSE)-AVERAGE('The List'!AQ2:AQ730))/STDEV('The List'!AQ2:AQ730)</f>
        <v>0.344782729360803</v>
      </c>
      <c r="AD659" s="46">
        <f>(VLOOKUP($A659,'The List'!$B1:$AR730,43,FALSE)-AVERAGE('The List'!AR2:AR730))/STDEV('The List'!AR2:AR730)*-1</f>
        <v>-1.11592567146312</v>
      </c>
      <c r="AE659" s="46"/>
    </row>
    <row r="660" ht="21.25" customHeight="1">
      <c r="A660" t="s" s="8">
        <v>839</v>
      </c>
      <c r="B660" t="s" s="42">
        <f>VLOOKUP(A660,'Player Data'!A1:B734,2,FALSE)</f>
        <v>234</v>
      </c>
      <c r="C660" s="44">
        <f>(W660*'Settings'!$C$29)+(X660*'Settings'!$C$21)+(Y660*'Settings'!$C$22)+(AA660*'Settings'!$C$24)+(AB660*'Settings'!$C$25)+(Z660*'Settings'!$C$23)+(AC660*'Settings'!$C$26)+(AD660*'Settings'!$C$28)</f>
        <v>-4.90453977478707</v>
      </c>
      <c r="D660" s="48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>
        <f>(VLOOKUP($A660,'The List'!$B1:$AR730,35,FALSE)-AVERAGE('The List'!AJ2:AJ730))/STDEV('The List'!AJ2:AJ730)</f>
        <v>-1.02069262402341</v>
      </c>
      <c r="X660" s="46">
        <f>(VLOOKUP($A660,'The List'!$B1:$AR730,36,FALSE)-AVERAGE('The List'!AK2:AK730))/STDEV('The List'!AK2:AK730)</f>
        <v>-1.16374099407329</v>
      </c>
      <c r="Y660" s="46">
        <f>(VLOOKUP($A660,'The List'!$B1:$AR730,37,FALSE)-AVERAGE('The List'!AL2:AL730))/STDEV('The List'!AL2:AL730)*-1</f>
        <v>0.561834088842019</v>
      </c>
      <c r="Z660" s="46">
        <f>(VLOOKUP($A660,'The List'!$B1:$AR730,38,FALSE)-AVERAGE('The List'!AM2:AM730))/STDEV('The List'!AM2:AM730)</f>
        <v>-1.02069262402341</v>
      </c>
      <c r="AA660" s="46">
        <f>(VLOOKUP($A660,'The List'!$B1:$AR730,39,FALSE)-AVERAGE('The List'!AN2:AN730))/STDEV('The List'!AN2:AN730)</f>
        <v>-1.15757812553477</v>
      </c>
      <c r="AB660" s="46">
        <f>(VLOOKUP($A660,'The List'!$B1:$AR730,40,FALSE)-AVERAGE('The List'!AO2:AO730))/STDEV('The List'!AO2:AO730)</f>
        <v>-0.903987297190551</v>
      </c>
      <c r="AC660" s="46">
        <f>(VLOOKUP($A660,'The List'!$B1:$AR730,42,FALSE)-AVERAGE('The List'!AQ2:AQ730))/STDEV('The List'!AQ2:AQ730)</f>
        <v>-0.583646820774284</v>
      </c>
      <c r="AD660" s="46">
        <f>(VLOOKUP($A660,'The List'!$B1:$AR730,43,FALSE)-AVERAGE('The List'!AR2:AR730))/STDEV('The List'!AR2:AR730)*-1</f>
        <v>-1.99957383440473</v>
      </c>
      <c r="AE660" s="46"/>
    </row>
    <row r="661" ht="21.25" customHeight="1">
      <c r="A661" t="s" s="8">
        <v>417</v>
      </c>
      <c r="B661" t="s" s="42">
        <f>VLOOKUP(A661,'Player Data'!A1:B734,2,FALSE)</f>
        <v>196</v>
      </c>
      <c r="C661" s="44">
        <f>(W661*'Settings'!$C$29)+(X661*'Settings'!$C$21)+(Y661*'Settings'!$C$22)+(AA661*'Settings'!$C$24)+(AB661*'Settings'!$C$25)+(Z661*'Settings'!$C$23)+(AC661*'Settings'!$C$26)+(AD661*'Settings'!$C$28)</f>
        <v>0.42984307089246</v>
      </c>
      <c r="D661" s="48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>
        <f>(VLOOKUP($A661,'The List'!$B1:$AR730,35,FALSE)-AVERAGE('The List'!AJ2:AJ730))/STDEV('The List'!AJ2:AJ730)</f>
        <v>0.468277798365447</v>
      </c>
      <c r="X661" s="46">
        <f>(VLOOKUP($A661,'The List'!$B1:$AR730,36,FALSE)-AVERAGE('The List'!AK2:AK730))/STDEV('The List'!AK2:AK730)</f>
        <v>0.112863217597792</v>
      </c>
      <c r="Y661" s="46">
        <f>(VLOOKUP($A661,'The List'!$B1:$AR730,37,FALSE)-AVERAGE('The List'!AL2:AL730))/STDEV('The List'!AL2:AL730)*-1</f>
        <v>-0.8990578173961979</v>
      </c>
      <c r="Z661" s="46">
        <f>(VLOOKUP($A661,'The List'!$B1:$AR730,38,FALSE)-AVERAGE('The List'!AM2:AM730))/STDEV('The List'!AM2:AM730)</f>
        <v>0.468277798365447</v>
      </c>
      <c r="AA661" s="46">
        <f>(VLOOKUP($A661,'The List'!$B1:$AR730,39,FALSE)-AVERAGE('The List'!AN2:AN730))/STDEV('The List'!AN2:AN730)</f>
        <v>0.185545221132355</v>
      </c>
      <c r="AB661" s="46">
        <f>(VLOOKUP($A661,'The List'!$B1:$AR730,40,FALSE)-AVERAGE('The List'!AO2:AO730))/STDEV('The List'!AO2:AO730)</f>
        <v>0.452390447792619</v>
      </c>
      <c r="AC661" s="46">
        <f>(VLOOKUP($A661,'The List'!$B1:$AR730,42,FALSE)-AVERAGE('The List'!AQ2:AQ730))/STDEV('The List'!AQ2:AQ730)</f>
        <v>0.0586055392427175</v>
      </c>
      <c r="AD661" s="46">
        <f>(VLOOKUP($A661,'The List'!$B1:$AR730,43,FALSE)-AVERAGE('The List'!AR2:AR730))/STDEV('The List'!AR2:AR730)*-1</f>
        <v>0.0728290929195957</v>
      </c>
      <c r="AE661" s="46"/>
    </row>
    <row r="662" ht="21.25" customHeight="1">
      <c r="A662" t="s" s="8">
        <v>545</v>
      </c>
      <c r="B662" t="s" s="42">
        <f>VLOOKUP(A662,'Player Data'!A1:B734,2,FALSE)</f>
        <v>196</v>
      </c>
      <c r="C662" s="44">
        <f>(W662*'Settings'!$C$29)+(X662*'Settings'!$C$21)+(Y662*'Settings'!$C$22)+(AA662*'Settings'!$C$24)+(AB662*'Settings'!$C$25)+(Z662*'Settings'!$C$23)+(AC662*'Settings'!$C$26)+(AD662*'Settings'!$C$28)</f>
        <v>-0.0125923787961992</v>
      </c>
      <c r="D662" s="48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>
        <f>(VLOOKUP($A662,'The List'!$B1:$AR730,35,FALSE)-AVERAGE('The List'!AJ2:AJ730))/STDEV('The List'!AJ2:AJ730)</f>
        <v>0.0339947585020288</v>
      </c>
      <c r="X662" s="46">
        <f>(VLOOKUP($A662,'The List'!$B1:$AR730,36,FALSE)-AVERAGE('The List'!AK2:AK730))/STDEV('The List'!AK2:AK730)</f>
        <v>-0.219319830578548</v>
      </c>
      <c r="Y662" s="46">
        <f>(VLOOKUP($A662,'The List'!$B1:$AR730,37,FALSE)-AVERAGE('The List'!AL2:AL730))/STDEV('The List'!AL2:AL730)*-1</f>
        <v>-0.411796248620061</v>
      </c>
      <c r="Z662" s="46">
        <f>(VLOOKUP($A662,'The List'!$B1:$AR730,38,FALSE)-AVERAGE('The List'!AM2:AM730))/STDEV('The List'!AM2:AM730)</f>
        <v>0.0339947585020288</v>
      </c>
      <c r="AA662" s="46">
        <f>(VLOOKUP($A662,'The List'!$B1:$AR730,39,FALSE)-AVERAGE('The List'!AN2:AN730))/STDEV('The List'!AN2:AN730)</f>
        <v>-0.0528882052589392</v>
      </c>
      <c r="AB662" s="46">
        <f>(VLOOKUP($A662,'The List'!$B1:$AR730,40,FALSE)-AVERAGE('The List'!AO2:AO730))/STDEV('The List'!AO2:AO730)</f>
        <v>0.0259791362926645</v>
      </c>
      <c r="AC662" s="46">
        <f>(VLOOKUP($A662,'The List'!$B1:$AR730,42,FALSE)-AVERAGE('The List'!AQ2:AQ730))/STDEV('The List'!AQ2:AQ730)</f>
        <v>0.127426360486484</v>
      </c>
      <c r="AD662" s="46">
        <f>(VLOOKUP($A662,'The List'!$B1:$AR730,43,FALSE)-AVERAGE('The List'!AR2:AR730))/STDEV('The List'!AR2:AR730)*-1</f>
        <v>0.132189296554804</v>
      </c>
      <c r="AE662" s="46"/>
    </row>
    <row r="663" ht="21.25" customHeight="1">
      <c r="A663" t="s" s="8">
        <v>294</v>
      </c>
      <c r="B663" t="s" s="42">
        <f>VLOOKUP(A663,'Player Data'!A1:B734,2,FALSE)</f>
        <v>122</v>
      </c>
      <c r="C663" s="44">
        <f>(W663*'Settings'!$C$29)+(X663*'Settings'!$C$21)+(Y663*'Settings'!$C$22)+(AA663*'Settings'!$C$24)+(AB663*'Settings'!$C$25)+(Z663*'Settings'!$C$23)+(AC663*'Settings'!$C$26)+(AD663*'Settings'!$C$28)</f>
        <v>5.50623838700249</v>
      </c>
      <c r="D663" s="48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>
        <f>(VLOOKUP($A663,'The List'!$B1:$AR730,35,FALSE)-AVERAGE('The List'!AJ2:AJ730))/STDEV('The List'!AJ2:AJ730)</f>
        <v>0.592358666897852</v>
      </c>
      <c r="X663" s="46">
        <f>(VLOOKUP($A663,'The List'!$B1:$AR730,36,FALSE)-AVERAGE('The List'!AK2:AK730))/STDEV('The List'!AK2:AK730)</f>
        <v>0.9158930817040301</v>
      </c>
      <c r="Y663" s="46">
        <f>(VLOOKUP($A663,'The List'!$B1:$AR730,37,FALSE)-AVERAGE('The List'!AL2:AL730))/STDEV('The List'!AL2:AL730)*-1</f>
        <v>0.0402739729412726</v>
      </c>
      <c r="Z663" s="46">
        <f>(VLOOKUP($A663,'The List'!$B1:$AR730,38,FALSE)-AVERAGE('The List'!AM2:AM730))/STDEV('The List'!AM2:AM730)</f>
        <v>0.592358666897852</v>
      </c>
      <c r="AA663" s="46">
        <f>(VLOOKUP($A663,'The List'!$B1:$AR730,39,FALSE)-AVERAGE('The List'!AN2:AN730))/STDEV('The List'!AN2:AN730)</f>
        <v>1.05431360056249</v>
      </c>
      <c r="AB663" s="46">
        <f>(VLOOKUP($A663,'The List'!$B1:$AR730,40,FALSE)-AVERAGE('The List'!AO2:AO730))/STDEV('The List'!AO2:AO730)</f>
        <v>0.627430565764722</v>
      </c>
      <c r="AC663" s="46">
        <f>(VLOOKUP($A663,'The List'!$B1:$AR730,42,FALSE)-AVERAGE('The List'!AQ2:AQ730))/STDEV('The List'!AQ2:AQ730)</f>
        <v>1.93874163766183</v>
      </c>
      <c r="AD663" s="46">
        <f>(VLOOKUP($A663,'The List'!$B1:$AR730,43,FALSE)-AVERAGE('The List'!AR2:AR730))/STDEV('The List'!AR2:AR730)*-1</f>
        <v>1.59729006707414</v>
      </c>
      <c r="AE663" s="46"/>
    </row>
    <row r="664" ht="21.25" customHeight="1">
      <c r="A664" t="s" s="8">
        <v>426</v>
      </c>
      <c r="B664" t="s" s="42">
        <f>VLOOKUP(A664,'Player Data'!A1:B734,2,FALSE)</f>
        <v>122</v>
      </c>
      <c r="C664" s="44">
        <f>(W664*'Settings'!$C$29)+(X664*'Settings'!$C$21)+(Y664*'Settings'!$C$22)+(AA664*'Settings'!$C$24)+(AB664*'Settings'!$C$25)+(Z664*'Settings'!$C$23)+(AC664*'Settings'!$C$26)+(AD664*'Settings'!$C$28)</f>
        <v>2.33964588359492</v>
      </c>
      <c r="D664" s="48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>
        <f>(VLOOKUP($A664,'The List'!$B1:$AR730,35,FALSE)-AVERAGE('The List'!AJ2:AJ730))/STDEV('The List'!AJ2:AJ730)</f>
        <v>0.0960351927682314</v>
      </c>
      <c r="X664" s="46">
        <f>(VLOOKUP($A664,'The List'!$B1:$AR730,36,FALSE)-AVERAGE('The List'!AK2:AK730))/STDEV('The List'!AK2:AK730)</f>
        <v>0.33741679104407</v>
      </c>
      <c r="Y664" s="46">
        <f>(VLOOKUP($A664,'The List'!$B1:$AR730,37,FALSE)-AVERAGE('The List'!AL2:AL730))/STDEV('The List'!AL2:AL730)*-1</f>
        <v>0.294290249769082</v>
      </c>
      <c r="Z664" s="46">
        <f>(VLOOKUP($A664,'The List'!$B1:$AR730,38,FALSE)-AVERAGE('The List'!AM2:AM730))/STDEV('The List'!AM2:AM730)</f>
        <v>0.0960351927682314</v>
      </c>
      <c r="AA664" s="46">
        <f>(VLOOKUP($A664,'The List'!$B1:$AR730,39,FALSE)-AVERAGE('The List'!AN2:AN730))/STDEV('The List'!AN2:AN730)</f>
        <v>0.25510015216163</v>
      </c>
      <c r="AB664" s="46">
        <f>(VLOOKUP($A664,'The List'!$B1:$AR730,40,FALSE)-AVERAGE('The List'!AO2:AO730))/STDEV('The List'!AO2:AO730)</f>
        <v>0.116068786074546</v>
      </c>
      <c r="AC664" s="46">
        <f>(VLOOKUP($A664,'The List'!$B1:$AR730,42,FALSE)-AVERAGE('The List'!AQ2:AQ730))/STDEV('The List'!AQ2:AQ730)</f>
        <v>0.981720229267802</v>
      </c>
      <c r="AD664" s="46">
        <f>(VLOOKUP($A664,'The List'!$B1:$AR730,43,FALSE)-AVERAGE('The List'!AR2:AR730))/STDEV('The List'!AR2:AR730)*-1</f>
        <v>0.7654087111214189</v>
      </c>
      <c r="AE664" s="46"/>
    </row>
    <row r="665" ht="21.25" customHeight="1">
      <c r="A665" t="s" s="8">
        <v>338</v>
      </c>
      <c r="B665" t="s" s="42">
        <f>VLOOKUP(A665,'Player Data'!A1:B734,2,FALSE)</f>
        <v>139</v>
      </c>
      <c r="C665" s="44">
        <f>(W665*'Settings'!$C$29)+(X665*'Settings'!$C$21)+(Y665*'Settings'!$C$22)+(AA665*'Settings'!$C$24)+(AB665*'Settings'!$C$25)+(Z665*'Settings'!$C$23)+(AC665*'Settings'!$C$26)+(AD665*'Settings'!$C$28)</f>
        <v>0.746387144006544</v>
      </c>
      <c r="D665" s="48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>
        <f>(VLOOKUP($A665,'The List'!$B1:$AR730,35,FALSE)-AVERAGE('The List'!AJ2:AJ730))/STDEV('The List'!AJ2:AJ730)</f>
        <v>0.840520403962662</v>
      </c>
      <c r="X665" s="46">
        <f>(VLOOKUP($A665,'The List'!$B1:$AR730,36,FALSE)-AVERAGE('The List'!AK2:AK730))/STDEV('The List'!AK2:AK730)</f>
        <v>0.619527280407024</v>
      </c>
      <c r="Y665" s="46">
        <f>(VLOOKUP($A665,'The List'!$B1:$AR730,37,FALSE)-AVERAGE('The List'!AL2:AL730))/STDEV('The List'!AL2:AL730)*-1</f>
        <v>-0.978676771520702</v>
      </c>
      <c r="Z665" s="46">
        <f>(VLOOKUP($A665,'The List'!$B1:$AR730,38,FALSE)-AVERAGE('The List'!AM2:AM730))/STDEV('The List'!AM2:AM730)</f>
        <v>0.840520403962662</v>
      </c>
      <c r="AA665" s="46">
        <f>(VLOOKUP($A665,'The List'!$B1:$AR730,39,FALSE)-AVERAGE('The List'!AN2:AN730))/STDEV('The List'!AN2:AN730)</f>
        <v>0.289509674218664</v>
      </c>
      <c r="AB665" s="46">
        <f>(VLOOKUP($A665,'The List'!$B1:$AR730,40,FALSE)-AVERAGE('The List'!AO2:AO730))/STDEV('The List'!AO2:AO730)</f>
        <v>0.8470684192176871</v>
      </c>
      <c r="AC665" s="46">
        <f>(VLOOKUP($A665,'The List'!$B1:$AR730,42,FALSE)-AVERAGE('The List'!AQ2:AQ730))/STDEV('The List'!AQ2:AQ730)</f>
        <v>-0.021580232922609</v>
      </c>
      <c r="AD665" s="46">
        <f>(VLOOKUP($A665,'The List'!$B1:$AR730,43,FALSE)-AVERAGE('The List'!AR2:AR730))/STDEV('The List'!AR2:AR730)*-1</f>
        <v>-0.141069577696535</v>
      </c>
      <c r="AE665" s="46"/>
    </row>
    <row r="666" ht="21.25" customHeight="1">
      <c r="A666" t="s" s="8">
        <v>804</v>
      </c>
      <c r="B666" t="s" s="42">
        <f>VLOOKUP(A666,'Player Data'!A1:B734,2,FALSE)</f>
        <v>139</v>
      </c>
      <c r="C666" s="44">
        <f>(W666*'Settings'!$C$29)+(X666*'Settings'!$C$21)+(Y666*'Settings'!$C$22)+(AA666*'Settings'!$C$24)+(AB666*'Settings'!$C$25)+(Z666*'Settings'!$C$23)+(AC666*'Settings'!$C$26)+(AD666*'Settings'!$C$28)</f>
        <v>-3.18294529425041</v>
      </c>
      <c r="D666" s="48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>
        <f>(VLOOKUP($A666,'The List'!$B1:$AR730,35,FALSE)-AVERAGE('The List'!AJ2:AJ730))/STDEV('The List'!AJ2:AJ730)</f>
        <v>-0.7725308869586049</v>
      </c>
      <c r="X666" s="46">
        <f>(VLOOKUP($A666,'The List'!$B1:$AR730,36,FALSE)-AVERAGE('The List'!AK2:AK730))/STDEV('The List'!AK2:AK730)</f>
        <v>-0.765964559713797</v>
      </c>
      <c r="Y666" s="46">
        <f>(VLOOKUP($A666,'The List'!$B1:$AR730,37,FALSE)-AVERAGE('The List'!AL2:AL730))/STDEV('The List'!AL2:AL730)*-1</f>
        <v>0.6001423300915379</v>
      </c>
      <c r="Z666" s="46">
        <f>(VLOOKUP($A666,'The List'!$B1:$AR730,38,FALSE)-AVERAGE('The List'!AM2:AM730))/STDEV('The List'!AM2:AM730)</f>
        <v>-0.7725308869586049</v>
      </c>
      <c r="AA666" s="46">
        <f>(VLOOKUP($A666,'The List'!$B1:$AR730,39,FALSE)-AVERAGE('The List'!AN2:AN730))/STDEV('The List'!AN2:AN730)</f>
        <v>-0.798096879583198</v>
      </c>
      <c r="AB666" s="46">
        <f>(VLOOKUP($A666,'The List'!$B1:$AR730,40,FALSE)-AVERAGE('The List'!AO2:AO730))/STDEV('The List'!AO2:AO730)</f>
        <v>-0.762211934697005</v>
      </c>
      <c r="AC666" s="46">
        <f>(VLOOKUP($A666,'The List'!$B1:$AR730,42,FALSE)-AVERAGE('The List'!AQ2:AQ730))/STDEV('The List'!AQ2:AQ730)</f>
        <v>-0.799762032162966</v>
      </c>
      <c r="AD666" s="46">
        <f>(VLOOKUP($A666,'The List'!$B1:$AR730,43,FALSE)-AVERAGE('The List'!AR2:AR730))/STDEV('The List'!AR2:AR730)*-1</f>
        <v>-0.819121822790448</v>
      </c>
      <c r="AE666" s="46"/>
    </row>
    <row r="667" ht="21.25" customHeight="1">
      <c r="A667" t="s" s="8">
        <v>878</v>
      </c>
      <c r="B667" t="s" s="42">
        <f>VLOOKUP(A667,'Player Data'!A1:B734,2,FALSE)</f>
        <v>139</v>
      </c>
      <c r="C667" s="44">
        <f>(W667*'Settings'!$C$29)+(X667*'Settings'!$C$21)+(Y667*'Settings'!$C$22)+(AA667*'Settings'!$C$24)+(AB667*'Settings'!$C$25)+(Z667*'Settings'!$C$23)+(AC667*'Settings'!$C$26)+(AD667*'Settings'!$C$28)</f>
        <v>-4.44283414148109</v>
      </c>
      <c r="D667" s="48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>
        <f>(VLOOKUP($A667,'The List'!$B1:$AR730,35,FALSE)-AVERAGE('The List'!AJ2:AJ730))/STDEV('The List'!AJ2:AJ730)</f>
        <v>-1.39293522962063</v>
      </c>
      <c r="X667" s="46">
        <f>(VLOOKUP($A667,'The List'!$B1:$AR730,36,FALSE)-AVERAGE('The List'!AK2:AK730))/STDEV('The List'!AK2:AK730)</f>
        <v>-1.27780212569219</v>
      </c>
      <c r="Y667" s="46">
        <f>(VLOOKUP($A667,'The List'!$B1:$AR730,37,FALSE)-AVERAGE('The List'!AL2:AL730))/STDEV('The List'!AL2:AL730)*-1</f>
        <v>1.23943275878813</v>
      </c>
      <c r="Z667" s="46">
        <f>(VLOOKUP($A667,'The List'!$B1:$AR730,38,FALSE)-AVERAGE('The List'!AM2:AM730))/STDEV('The List'!AM2:AM730)</f>
        <v>-1.39293522962063</v>
      </c>
      <c r="AA667" s="46">
        <f>(VLOOKUP($A667,'The List'!$B1:$AR730,39,FALSE)-AVERAGE('The List'!AN2:AN730))/STDEV('The List'!AN2:AN730)</f>
        <v>-1.09793114070491</v>
      </c>
      <c r="AB667" s="46">
        <f>(VLOOKUP($A667,'The List'!$B1:$AR730,40,FALSE)-AVERAGE('The List'!AO2:AO730))/STDEV('The List'!AO2:AO730)</f>
        <v>-1.37670213714687</v>
      </c>
      <c r="AC667" s="46">
        <f>(VLOOKUP($A667,'The List'!$B1:$AR730,42,FALSE)-AVERAGE('The List'!AQ2:AQ730))/STDEV('The List'!AQ2:AQ730)</f>
        <v>-1.03928007428838</v>
      </c>
      <c r="AD667" s="46">
        <f>(VLOOKUP($A667,'The List'!$B1:$AR730,43,FALSE)-AVERAGE('The List'!AR2:AR730))/STDEV('The List'!AR2:AR730)*-1</f>
        <v>-1.02782080079561</v>
      </c>
      <c r="AE667" s="46"/>
    </row>
    <row r="668" ht="21.25" customHeight="1">
      <c r="A668" t="s" s="8">
        <v>382</v>
      </c>
      <c r="B668" t="s" s="42">
        <f>VLOOKUP(A668,'Player Data'!A1:B734,2,FALSE)</f>
        <v>202</v>
      </c>
      <c r="C668" s="44">
        <f>(W668*'Settings'!$C$29)+(X668*'Settings'!$C$21)+(Y668*'Settings'!$C$22)+(AA668*'Settings'!$C$24)+(AB668*'Settings'!$C$25)+(Z668*'Settings'!$C$23)+(AC668*'Settings'!$C$26)+(AD668*'Settings'!$C$28)</f>
        <v>2.80928100197081</v>
      </c>
      <c r="D668" s="48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>
        <f>(VLOOKUP($A668,'The List'!$B1:$AR730,35,FALSE)-AVERAGE('The List'!AJ2:AJ730))/STDEV('The List'!AJ2:AJ730)</f>
        <v>0.406237364099244</v>
      </c>
      <c r="X668" s="46">
        <f>(VLOOKUP($A668,'The List'!$B1:$AR730,36,FALSE)-AVERAGE('The List'!AK2:AK730))/STDEV('The List'!AK2:AK730)</f>
        <v>0.91947425283161</v>
      </c>
      <c r="Y668" s="46">
        <f>(VLOOKUP($A668,'The List'!$B1:$AR730,37,FALSE)-AVERAGE('The List'!AL2:AL730))/STDEV('The List'!AL2:AL730)*-1</f>
        <v>0.471392000286719</v>
      </c>
      <c r="Z668" s="46">
        <f>(VLOOKUP($A668,'The List'!$B1:$AR730,38,FALSE)-AVERAGE('The List'!AM2:AM730))/STDEV('The List'!AM2:AM730)</f>
        <v>0.406237364099244</v>
      </c>
      <c r="AA668" s="46">
        <f>(VLOOKUP($A668,'The List'!$B1:$AR730,39,FALSE)-AVERAGE('The List'!AN2:AN730))/STDEV('The List'!AN2:AN730)</f>
        <v>0.55749770262595</v>
      </c>
      <c r="AB668" s="46">
        <f>(VLOOKUP($A668,'The List'!$B1:$AR730,40,FALSE)-AVERAGE('The List'!AO2:AO730))/STDEV('The List'!AO2:AO730)</f>
        <v>0.299532996471286</v>
      </c>
      <c r="AC668" s="46">
        <f>(VLOOKUP($A668,'The List'!$B1:$AR730,42,FALSE)-AVERAGE('The List'!AQ2:AQ730))/STDEV('The List'!AQ2:AQ730)</f>
        <v>0.415264394838728</v>
      </c>
      <c r="AD668" s="46">
        <f>(VLOOKUP($A668,'The List'!$B1:$AR730,43,FALSE)-AVERAGE('The List'!AR2:AR730))/STDEV('The List'!AR2:AR730)*-1</f>
        <v>0.917044651674518</v>
      </c>
      <c r="AE668" s="46"/>
    </row>
    <row r="669" ht="21.25" customHeight="1">
      <c r="A669" t="s" s="8">
        <v>806</v>
      </c>
      <c r="B669" t="s" s="42">
        <f>VLOOKUP(A669,'Player Data'!A1:B734,2,FALSE)</f>
        <v>202</v>
      </c>
      <c r="C669" s="44">
        <f>(W669*'Settings'!$C$29)+(X669*'Settings'!$C$21)+(Y669*'Settings'!$C$22)+(AA669*'Settings'!$C$24)+(AB669*'Settings'!$C$25)+(Z669*'Settings'!$C$23)+(AC669*'Settings'!$C$26)+(AD669*'Settings'!$C$28)</f>
        <v>-1.92325371617245</v>
      </c>
      <c r="D669" s="48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>
        <f>(VLOOKUP($A669,'The List'!$B1:$AR730,35,FALSE)-AVERAGE('The List'!AJ2:AJ730))/STDEV('The List'!AJ2:AJ730)</f>
        <v>-0.834571321224807</v>
      </c>
      <c r="X669" s="46">
        <f>(VLOOKUP($A669,'The List'!$B1:$AR730,36,FALSE)-AVERAGE('The List'!AK2:AK730))/STDEV('The List'!AK2:AK730)</f>
        <v>-0.48876554597714</v>
      </c>
      <c r="Y669" s="46">
        <f>(VLOOKUP($A669,'The List'!$B1:$AR730,37,FALSE)-AVERAGE('The List'!AL2:AL730))/STDEV('The List'!AL2:AL730)*-1</f>
        <v>1.16423634903504</v>
      </c>
      <c r="Z669" s="46">
        <f>(VLOOKUP($A669,'The List'!$B1:$AR730,38,FALSE)-AVERAGE('The List'!AM2:AM730))/STDEV('The List'!AM2:AM730)</f>
        <v>-0.834571321224807</v>
      </c>
      <c r="AA669" s="46">
        <f>(VLOOKUP($A669,'The List'!$B1:$AR730,39,FALSE)-AVERAGE('The List'!AN2:AN730))/STDEV('The List'!AN2:AN730)</f>
        <v>-0.633943256988347</v>
      </c>
      <c r="AB669" s="46">
        <f>(VLOOKUP($A669,'The List'!$B1:$AR730,40,FALSE)-AVERAGE('The List'!AO2:AO730))/STDEV('The List'!AO2:AO730)</f>
        <v>-0.885696152973152</v>
      </c>
      <c r="AC669" s="46">
        <f>(VLOOKUP($A669,'The List'!$B1:$AR730,42,FALSE)-AVERAGE('The List'!AQ2:AQ730))/STDEV('The List'!AQ2:AQ730)</f>
        <v>-0.750845998087026</v>
      </c>
      <c r="AD669" s="46">
        <f>(VLOOKUP($A669,'The List'!$B1:$AR730,43,FALSE)-AVERAGE('The List'!AR2:AR730))/STDEV('The List'!AR2:AR730)*-1</f>
        <v>-0.0496989151199405</v>
      </c>
      <c r="AE669" s="46"/>
    </row>
    <row r="670" ht="21.25" customHeight="1">
      <c r="A670" t="s" s="8">
        <v>800</v>
      </c>
      <c r="B670" t="s" s="42">
        <f>VLOOKUP(A670,'Player Data'!A1:B734,2,FALSE)</f>
        <v>202</v>
      </c>
      <c r="C670" s="44">
        <f>(W670*'Settings'!$C$29)+(X670*'Settings'!$C$21)+(Y670*'Settings'!$C$22)+(AA670*'Settings'!$C$24)+(AB670*'Settings'!$C$25)+(Z670*'Settings'!$C$23)+(AC670*'Settings'!$C$26)+(AD670*'Settings'!$C$28)</f>
        <v>-0.8921724498886821</v>
      </c>
      <c r="D670" s="48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>
        <f>(VLOOKUP($A670,'The List'!$B1:$AR730,35,FALSE)-AVERAGE('The List'!AJ2:AJ730))/STDEV('The List'!AJ2:AJ730)</f>
        <v>-0.89661175549101</v>
      </c>
      <c r="X670" s="46">
        <f>(VLOOKUP($A670,'The List'!$B1:$AR730,36,FALSE)-AVERAGE('The List'!AK2:AK730))/STDEV('The List'!AK2:AK730)</f>
        <v>-0.510744393602041</v>
      </c>
      <c r="Y670" s="46">
        <f>(VLOOKUP($A670,'The List'!$B1:$AR730,37,FALSE)-AVERAGE('The List'!AL2:AL730))/STDEV('The List'!AL2:AL730)*-1</f>
        <v>1.27264784932112</v>
      </c>
      <c r="Z670" s="46">
        <f>(VLOOKUP($A670,'The List'!$B1:$AR730,38,FALSE)-AVERAGE('The List'!AM2:AM730))/STDEV('The List'!AM2:AM730)</f>
        <v>-0.89661175549101</v>
      </c>
      <c r="AA670" s="46">
        <f>(VLOOKUP($A670,'The List'!$B1:$AR730,39,FALSE)-AVERAGE('The List'!AN2:AN730))/STDEV('The List'!AN2:AN730)</f>
        <v>-0.6181901468095919</v>
      </c>
      <c r="AB670" s="46">
        <f>(VLOOKUP($A670,'The List'!$B1:$AR730,40,FALSE)-AVERAGE('The List'!AO2:AO730))/STDEV('The List'!AO2:AO730)</f>
        <v>-0.92750067527477</v>
      </c>
      <c r="AC670" s="46">
        <f>(VLOOKUP($A670,'The List'!$B1:$AR730,42,FALSE)-AVERAGE('The List'!AQ2:AQ730))/STDEV('The List'!AQ2:AQ730)</f>
        <v>-0.108100751440374</v>
      </c>
      <c r="AD670" s="46">
        <f>(VLOOKUP($A670,'The List'!$B1:$AR730,43,FALSE)-AVERAGE('The List'!AR2:AR730))/STDEV('The List'!AR2:AR730)*-1</f>
        <v>0.344862841963325</v>
      </c>
      <c r="AE670" s="46"/>
    </row>
    <row r="671" ht="21.25" customHeight="1">
      <c r="A671" t="s" s="8">
        <v>317</v>
      </c>
      <c r="B671" t="s" s="42">
        <f>VLOOKUP(A671,'Player Data'!A1:B734,2,FALSE)</f>
        <v>189</v>
      </c>
      <c r="C671" s="44">
        <f>(W671*'Settings'!$C$29)+(X671*'Settings'!$C$21)+(Y671*'Settings'!$C$22)+(AA671*'Settings'!$C$24)+(AB671*'Settings'!$C$25)+(Z671*'Settings'!$C$23)+(AC671*'Settings'!$C$26)+(AD671*'Settings'!$C$28)</f>
        <v>-0.724010907474024</v>
      </c>
      <c r="D671" s="48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>
        <f>(VLOOKUP($A671,'The List'!$B1:$AR730,35,FALSE)-AVERAGE('The List'!AJ2:AJ730))/STDEV('The List'!AJ2:AJ730)</f>
        <v>0.840520403962662</v>
      </c>
      <c r="X671" s="46">
        <f>(VLOOKUP($A671,'The List'!$B1:$AR730,36,FALSE)-AVERAGE('The List'!AK2:AK730))/STDEV('The List'!AK2:AK730)</f>
        <v>0.267967956912938</v>
      </c>
      <c r="Y671" s="46">
        <f>(VLOOKUP($A671,'The List'!$B1:$AR730,37,FALSE)-AVERAGE('The List'!AL2:AL730))/STDEV('The List'!AL2:AL730)*-1</f>
        <v>-1.51414232120483</v>
      </c>
      <c r="Z671" s="46">
        <f>(VLOOKUP($A671,'The List'!$B1:$AR730,38,FALSE)-AVERAGE('The List'!AM2:AM730))/STDEV('The List'!AM2:AM730)</f>
        <v>0.840520403962662</v>
      </c>
      <c r="AA671" s="46">
        <f>(VLOOKUP($A671,'The List'!$B1:$AR730,39,FALSE)-AVERAGE('The List'!AN2:AN730))/STDEV('The List'!AN2:AN730)</f>
        <v>-0.288085181848079</v>
      </c>
      <c r="AB671" s="46">
        <f>(VLOOKUP($A671,'The List'!$B1:$AR730,40,FALSE)-AVERAGE('The List'!AO2:AO730))/STDEV('The List'!AO2:AO730)</f>
        <v>1.07796760425706</v>
      </c>
      <c r="AC671" s="46">
        <f>(VLOOKUP($A671,'The List'!$B1:$AR730,42,FALSE)-AVERAGE('The List'!AQ2:AQ730))/STDEV('The List'!AQ2:AQ730)</f>
        <v>0.26228813429932</v>
      </c>
      <c r="AD671" s="46">
        <f>(VLOOKUP($A671,'The List'!$B1:$AR730,43,FALSE)-AVERAGE('The List'!AR2:AR730))/STDEV('The List'!AR2:AR730)*-1</f>
        <v>-0.966181816838203</v>
      </c>
      <c r="AE671" s="46"/>
    </row>
    <row r="672" ht="21.25" customHeight="1">
      <c r="A672" t="s" s="8">
        <v>749</v>
      </c>
      <c r="B672" t="s" s="42">
        <f>VLOOKUP(A672,'Player Data'!A1:B734,2,FALSE)</f>
        <v>189</v>
      </c>
      <c r="C672" s="44">
        <f>(W672*'Settings'!$C$29)+(X672*'Settings'!$C$21)+(Y672*'Settings'!$C$22)+(AA672*'Settings'!$C$24)+(AB672*'Settings'!$C$25)+(Z672*'Settings'!$C$23)+(AC672*'Settings'!$C$26)+(AD672*'Settings'!$C$28)</f>
        <v>-3.88703681310445</v>
      </c>
      <c r="D672" s="48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>
        <f>(VLOOKUP($A672,'The List'!$B1:$AR730,35,FALSE)-AVERAGE('The List'!AJ2:AJ730))/STDEV('The List'!AJ2:AJ730)</f>
        <v>-0.586409584159997</v>
      </c>
      <c r="X672" s="46">
        <f>(VLOOKUP($A672,'The List'!$B1:$AR730,36,FALSE)-AVERAGE('The List'!AK2:AK730))/STDEV('The List'!AK2:AK730)</f>
        <v>-0.829344921549391</v>
      </c>
      <c r="Y672" s="46">
        <f>(VLOOKUP($A672,'The List'!$B1:$AR730,37,FALSE)-AVERAGE('The List'!AL2:AL730))/STDEV('The List'!AL2:AL730)*-1</f>
        <v>0.077943212348926</v>
      </c>
      <c r="Z672" s="46">
        <f>(VLOOKUP($A672,'The List'!$B1:$AR730,38,FALSE)-AVERAGE('The List'!AM2:AM730))/STDEV('The List'!AM2:AM730)</f>
        <v>-0.586409584159997</v>
      </c>
      <c r="AA672" s="46">
        <f>(VLOOKUP($A672,'The List'!$B1:$AR730,39,FALSE)-AVERAGE('The List'!AN2:AN730))/STDEV('The List'!AN2:AN730)</f>
        <v>-0.938688746555233</v>
      </c>
      <c r="AB672" s="46">
        <f>(VLOOKUP($A672,'The List'!$B1:$AR730,40,FALSE)-AVERAGE('The List'!AO2:AO730))/STDEV('The List'!AO2:AO730)</f>
        <v>-0.475465916067894</v>
      </c>
      <c r="AC672" s="46">
        <f>(VLOOKUP($A672,'The List'!$B1:$AR730,42,FALSE)-AVERAGE('The List'!AQ2:AQ730))/STDEV('The List'!AQ2:AQ730)</f>
        <v>-0.550523907609531</v>
      </c>
      <c r="AD672" s="46">
        <f>(VLOOKUP($A672,'The List'!$B1:$AR730,43,FALSE)-AVERAGE('The List'!AR2:AR730))/STDEV('The List'!AR2:AR730)*-1</f>
        <v>-1.56847923739029</v>
      </c>
      <c r="AE672" s="46"/>
    </row>
    <row r="673" ht="21.25" customHeight="1">
      <c r="A673" t="s" s="8">
        <v>261</v>
      </c>
      <c r="B673" t="s" s="42">
        <f>VLOOKUP(A673,'Player Data'!A1:B734,2,FALSE)</f>
        <v>238</v>
      </c>
      <c r="C673" s="44">
        <f>(W673*'Settings'!$C$29)+(X673*'Settings'!$C$21)+(Y673*'Settings'!$C$22)+(AA673*'Settings'!$C$24)+(AB673*'Settings'!$C$25)+(Z673*'Settings'!$C$23)+(AC673*'Settings'!$C$26)+(AD673*'Settings'!$C$28)</f>
        <v>3.96778116592395</v>
      </c>
      <c r="D673" s="48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>
        <f>(VLOOKUP($A673,'The List'!$B1:$AR730,35,FALSE)-AVERAGE('The List'!AJ2:AJ730))/STDEV('The List'!AJ2:AJ730)</f>
        <v>1.33684387809228</v>
      </c>
      <c r="X673" s="46">
        <f>(VLOOKUP($A673,'The List'!$B1:$AR730,36,FALSE)-AVERAGE('The List'!AK2:AK730))/STDEV('The List'!AK2:AK730)</f>
        <v>1.44063731638103</v>
      </c>
      <c r="Y673" s="46">
        <f>(VLOOKUP($A673,'The List'!$B1:$AR730,37,FALSE)-AVERAGE('The List'!AL2:AL730))/STDEV('The List'!AL2:AL730)*-1</f>
        <v>-0.8631337645405009</v>
      </c>
      <c r="Z673" s="46">
        <f>(VLOOKUP($A673,'The List'!$B1:$AR730,38,FALSE)-AVERAGE('The List'!AM2:AM730))/STDEV('The List'!AM2:AM730)</f>
        <v>1.33684387809228</v>
      </c>
      <c r="AA673" s="46">
        <f>(VLOOKUP($A673,'The List'!$B1:$AR730,39,FALSE)-AVERAGE('The List'!AN2:AN730))/STDEV('The List'!AN2:AN730)</f>
        <v>1.25994583187291</v>
      </c>
      <c r="AB673" s="46">
        <f>(VLOOKUP($A673,'The List'!$B1:$AR730,40,FALSE)-AVERAGE('The List'!AO2:AO730))/STDEV('The List'!AO2:AO730)</f>
        <v>1.17481359274869</v>
      </c>
      <c r="AC673" s="46">
        <f>(VLOOKUP($A673,'The List'!$B1:$AR730,42,FALSE)-AVERAGE('The List'!AQ2:AQ730))/STDEV('The List'!AQ2:AQ730)</f>
        <v>0.366727902925668</v>
      </c>
      <c r="AD673" s="46">
        <f>(VLOOKUP($A673,'The List'!$B1:$AR730,43,FALSE)-AVERAGE('The List'!AR2:AR730))/STDEV('The List'!AR2:AR730)*-1</f>
        <v>0.900470114744339</v>
      </c>
      <c r="AE673" s="46"/>
    </row>
    <row r="674" ht="21.25" customHeight="1">
      <c r="A674" t="s" s="8">
        <v>852</v>
      </c>
      <c r="B674" t="s" s="42">
        <f>VLOOKUP(A674,'Player Data'!A1:B734,2,FALSE)</f>
        <v>238</v>
      </c>
      <c r="C674" s="44">
        <f>(W674*'Settings'!$C$29)+(X674*'Settings'!$C$21)+(Y674*'Settings'!$C$22)+(AA674*'Settings'!$C$24)+(AB674*'Settings'!$C$25)+(Z674*'Settings'!$C$23)+(AC674*'Settings'!$C$26)+(AD674*'Settings'!$C$28)</f>
        <v>-2.53810847458663</v>
      </c>
      <c r="D674" s="48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>
        <f>(VLOOKUP($A674,'The List'!$B1:$AR730,35,FALSE)-AVERAGE('The List'!AJ2:AJ730))/STDEV('The List'!AJ2:AJ730)</f>
        <v>-1.02069262402341</v>
      </c>
      <c r="X674" s="46">
        <f>(VLOOKUP($A674,'The List'!$B1:$AR730,36,FALSE)-AVERAGE('The List'!AK2:AK730))/STDEV('The List'!AK2:AK730)</f>
        <v>-0.885460388907645</v>
      </c>
      <c r="Y674" s="46">
        <f>(VLOOKUP($A674,'The List'!$B1:$AR730,37,FALSE)-AVERAGE('The List'!AL2:AL730))/STDEV('The List'!AL2:AL730)*-1</f>
        <v>0.985687667038934</v>
      </c>
      <c r="Z674" s="46">
        <f>(VLOOKUP($A674,'The List'!$B1:$AR730,38,FALSE)-AVERAGE('The List'!AM2:AM730))/STDEV('The List'!AM2:AM730)</f>
        <v>-1.02069262402341</v>
      </c>
      <c r="AA674" s="46">
        <f>(VLOOKUP($A674,'The List'!$B1:$AR730,39,FALSE)-AVERAGE('The List'!AN2:AN730))/STDEV('The List'!AN2:AN730)</f>
        <v>-0.749281254601153</v>
      </c>
      <c r="AB674" s="46">
        <f>(VLOOKUP($A674,'The List'!$B1:$AR730,40,FALSE)-AVERAGE('The List'!AO2:AO730))/STDEV('The List'!AO2:AO730)</f>
        <v>-1.0631626558199</v>
      </c>
      <c r="AC674" s="46">
        <f>(VLOOKUP($A674,'The List'!$B1:$AR730,42,FALSE)-AVERAGE('The List'!AQ2:AQ730))/STDEV('The List'!AQ2:AQ730)</f>
        <v>-0.820956868049307</v>
      </c>
      <c r="AD674" s="46">
        <f>(VLOOKUP($A674,'The List'!$B1:$AR730,43,FALSE)-AVERAGE('The List'!AR2:AR730))/STDEV('The List'!AR2:AR730)*-1</f>
        <v>-0.0824099630285212</v>
      </c>
      <c r="AE674" s="46"/>
    </row>
    <row r="675" ht="21.25" customHeight="1">
      <c r="A675" t="s" s="8">
        <v>880</v>
      </c>
      <c r="B675" t="s" s="42">
        <f>VLOOKUP(A675,'Player Data'!A1:B734,2,FALSE)</f>
        <v>238</v>
      </c>
      <c r="C675" s="44">
        <f>(W675*'Settings'!$C$29)+(X675*'Settings'!$C$21)+(Y675*'Settings'!$C$22)+(AA675*'Settings'!$C$24)+(AB675*'Settings'!$C$25)+(Z675*'Settings'!$C$23)+(AC675*'Settings'!$C$26)+(AD675*'Settings'!$C$28)</f>
        <v>-2.27730853474384</v>
      </c>
      <c r="D675" s="48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>
        <f>(VLOOKUP($A675,'The List'!$B1:$AR730,35,FALSE)-AVERAGE('The List'!AJ2:AJ730))/STDEV('The List'!AJ2:AJ730)</f>
        <v>-1.64109696668544</v>
      </c>
      <c r="X675" s="46">
        <f>(VLOOKUP($A675,'The List'!$B1:$AR730,36,FALSE)-AVERAGE('The List'!AK2:AK730))/STDEV('The List'!AK2:AK730)</f>
        <v>-1.39790283211483</v>
      </c>
      <c r="Y675" s="46">
        <f>(VLOOKUP($A675,'The List'!$B1:$AR730,37,FALSE)-AVERAGE('The List'!AL2:AL730))/STDEV('The List'!AL2:AL730)*-1</f>
        <v>1.62405679768949</v>
      </c>
      <c r="Z675" s="46">
        <f>(VLOOKUP($A675,'The List'!$B1:$AR730,38,FALSE)-AVERAGE('The List'!AM2:AM730))/STDEV('The List'!AM2:AM730)</f>
        <v>-1.64109696668544</v>
      </c>
      <c r="AA675" s="46">
        <f>(VLOOKUP($A675,'The List'!$B1:$AR730,39,FALSE)-AVERAGE('The List'!AN2:AN730))/STDEV('The List'!AN2:AN730)</f>
        <v>-1.0601820756627</v>
      </c>
      <c r="AB675" s="46">
        <f>(VLOOKUP($A675,'The List'!$B1:$AR730,40,FALSE)-AVERAGE('The List'!AO2:AO730))/STDEV('The List'!AO2:AO730)</f>
        <v>-1.6438961685369</v>
      </c>
      <c r="AC675" s="46">
        <f>(VLOOKUP($A675,'The List'!$B1:$AR730,42,FALSE)-AVERAGE('The List'!AQ2:AQ730))/STDEV('The List'!AQ2:AQ730)</f>
        <v>-0.22773783853166</v>
      </c>
      <c r="AD675" s="46">
        <f>(VLOOKUP($A675,'The List'!$B1:$AR730,43,FALSE)-AVERAGE('The List'!AR2:AR730))/STDEV('The List'!AR2:AR730)*-1</f>
        <v>0.408514211565355</v>
      </c>
      <c r="AE675" s="46"/>
    </row>
    <row r="676" ht="21.25" customHeight="1">
      <c r="A676" t="s" s="8">
        <v>598</v>
      </c>
      <c r="B676" t="s" s="42">
        <f>VLOOKUP(A676,'Player Data'!A1:B734,2,FALSE)</f>
        <v>225</v>
      </c>
      <c r="C676" s="44">
        <f>(W676*'Settings'!$C$29)+(X676*'Settings'!$C$21)+(Y676*'Settings'!$C$22)+(AA676*'Settings'!$C$24)+(AB676*'Settings'!$C$25)+(Z676*'Settings'!$C$23)+(AC676*'Settings'!$C$26)+(AD676*'Settings'!$C$28)</f>
        <v>-2.58290567101769</v>
      </c>
      <c r="D676" s="48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>
        <f>(VLOOKUP($A676,'The List'!$B1:$AR730,35,FALSE)-AVERAGE('The List'!AJ2:AJ730))/STDEV('The List'!AJ2:AJ730)</f>
        <v>0.220116061300636</v>
      </c>
      <c r="X676" s="46">
        <f>(VLOOKUP($A676,'The List'!$B1:$AR730,36,FALSE)-AVERAGE('The List'!AK2:AK730))/STDEV('The List'!AK2:AK730)</f>
        <v>-0.44342391419998</v>
      </c>
      <c r="Y676" s="46">
        <f>(VLOOKUP($A676,'The List'!$B1:$AR730,37,FALSE)-AVERAGE('The List'!AL2:AL730))/STDEV('The List'!AL2:AL730)*-1</f>
        <v>-1.17879620161852</v>
      </c>
      <c r="Z676" s="46">
        <f>(VLOOKUP($A676,'The List'!$B1:$AR730,38,FALSE)-AVERAGE('The List'!AM2:AM730))/STDEV('The List'!AM2:AM730)</f>
        <v>0.220116061300636</v>
      </c>
      <c r="AA676" s="46">
        <f>(VLOOKUP($A676,'The List'!$B1:$AR730,39,FALSE)-AVERAGE('The List'!AN2:AN730))/STDEV('The List'!AN2:AN730)</f>
        <v>-0.29460609656169</v>
      </c>
      <c r="AB676" s="46">
        <f>(VLOOKUP($A676,'The List'!$B1:$AR730,40,FALSE)-AVERAGE('The List'!AO2:AO730))/STDEV('The List'!AO2:AO730)</f>
        <v>0.193940664042764</v>
      </c>
      <c r="AC676" s="46">
        <f>(VLOOKUP($A676,'The List'!$B1:$AR730,42,FALSE)-AVERAGE('The List'!AQ2:AQ730))/STDEV('The List'!AQ2:AQ730)</f>
        <v>-0.99832831782397</v>
      </c>
      <c r="AD676" s="46">
        <f>(VLOOKUP($A676,'The List'!$B1:$AR730,43,FALSE)-AVERAGE('The List'!AR2:AR730))/STDEV('The List'!AR2:AR730)*-1</f>
        <v>-0.846547342432053</v>
      </c>
      <c r="AE676" s="46"/>
    </row>
    <row r="677" ht="21.25" customHeight="1">
      <c r="A677" t="s" s="8">
        <v>564</v>
      </c>
      <c r="B677" t="s" s="42">
        <f>VLOOKUP(A677,'Player Data'!A1:B734,2,FALSE)</f>
        <v>225</v>
      </c>
      <c r="C677" s="44">
        <f>(W677*'Settings'!$C$29)+(X677*'Settings'!$C$21)+(Y677*'Settings'!$C$22)+(AA677*'Settings'!$C$24)+(AB677*'Settings'!$C$25)+(Z677*'Settings'!$C$23)+(AC677*'Settings'!$C$26)+(AD677*'Settings'!$C$28)</f>
        <v>-1.59280533701957</v>
      </c>
      <c r="D677" s="48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>
        <f>(VLOOKUP($A677,'The List'!$B1:$AR730,35,FALSE)-AVERAGE('The List'!AJ2:AJ730))/STDEV('The List'!AJ2:AJ730)</f>
        <v>0.158075627034434</v>
      </c>
      <c r="X677" s="46">
        <f>(VLOOKUP($A677,'The List'!$B1:$AR730,36,FALSE)-AVERAGE('The List'!AK2:AK730))/STDEV('The List'!AK2:AK730)</f>
        <v>-0.435133281355397</v>
      </c>
      <c r="Y677" s="46">
        <f>(VLOOKUP($A677,'The List'!$B1:$AR730,37,FALSE)-AVERAGE('The List'!AL2:AL730))/STDEV('The List'!AL2:AL730)*-1</f>
        <v>-1.02428077828141</v>
      </c>
      <c r="Z677" s="46">
        <f>(VLOOKUP($A677,'The List'!$B1:$AR730,38,FALSE)-AVERAGE('The List'!AM2:AM730))/STDEV('The List'!AM2:AM730)</f>
        <v>0.158075627034434</v>
      </c>
      <c r="AA677" s="46">
        <f>(VLOOKUP($A677,'The List'!$B1:$AR730,39,FALSE)-AVERAGE('The List'!AN2:AN730))/STDEV('The List'!AN2:AN730)</f>
        <v>-0.249579021600117</v>
      </c>
      <c r="AB677" s="46">
        <f>(VLOOKUP($A677,'The List'!$B1:$AR730,40,FALSE)-AVERAGE('The List'!AO2:AO730))/STDEV('The List'!AO2:AO730)</f>
        <v>0.164469185358263</v>
      </c>
      <c r="AC677" s="46">
        <f>(VLOOKUP($A677,'The List'!$B1:$AR730,42,FALSE)-AVERAGE('The List'!AQ2:AQ730))/STDEV('The List'!AQ2:AQ730)</f>
        <v>-0.416113111801686</v>
      </c>
      <c r="AD677" s="46">
        <f>(VLOOKUP($A677,'The List'!$B1:$AR730,43,FALSE)-AVERAGE('The List'!AR2:AR730))/STDEV('The List'!AR2:AR730)*-1</f>
        <v>-0.491979922262365</v>
      </c>
      <c r="AE677" s="46"/>
    </row>
    <row r="678" ht="21.25" customHeight="1">
      <c r="A678" t="s" s="8">
        <v>205</v>
      </c>
      <c r="B678" t="s" s="42">
        <f>VLOOKUP(A678,'Player Data'!A1:B734,2,FALSE)</f>
        <v>113</v>
      </c>
      <c r="C678" s="44">
        <f>(W678*'Settings'!$C$29)+(X678*'Settings'!$C$21)+(Y678*'Settings'!$C$22)+(AA678*'Settings'!$C$24)+(AB678*'Settings'!$C$25)+(Z678*'Settings'!$C$23)+(AC678*'Settings'!$C$26)+(AD678*'Settings'!$C$28)</f>
        <v>6.07152474561053</v>
      </c>
      <c r="D678" s="48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>
        <f>(VLOOKUP($A678,'The List'!$B1:$AR730,35,FALSE)-AVERAGE('The List'!AJ2:AJ730))/STDEV('The List'!AJ2:AJ730)</f>
        <v>1.33684387809228</v>
      </c>
      <c r="X678" s="46">
        <f>(VLOOKUP($A678,'The List'!$B1:$AR730,36,FALSE)-AVERAGE('The List'!AK2:AK730))/STDEV('The List'!AK2:AK730)</f>
        <v>1.66592339271332</v>
      </c>
      <c r="Y678" s="46">
        <f>(VLOOKUP($A678,'The List'!$B1:$AR730,37,FALSE)-AVERAGE('The List'!AL2:AL730))/STDEV('The List'!AL2:AL730)*-1</f>
        <v>-0.519996988930346</v>
      </c>
      <c r="Z678" s="46">
        <f>(VLOOKUP($A678,'The List'!$B1:$AR730,38,FALSE)-AVERAGE('The List'!AM2:AM730))/STDEV('The List'!AM2:AM730)</f>
        <v>1.33684387809228</v>
      </c>
      <c r="AA678" s="46">
        <f>(VLOOKUP($A678,'The List'!$B1:$AR730,39,FALSE)-AVERAGE('The List'!AN2:AN730))/STDEV('The List'!AN2:AN730)</f>
        <v>1.61112488328202</v>
      </c>
      <c r="AB678" s="46">
        <f>(VLOOKUP($A678,'The List'!$B1:$AR730,40,FALSE)-AVERAGE('The List'!AO2:AO730))/STDEV('The List'!AO2:AO730)</f>
        <v>1.27371731740317</v>
      </c>
      <c r="AC678" s="46">
        <f>(VLOOKUP($A678,'The List'!$B1:$AR730,42,FALSE)-AVERAGE('The List'!AQ2:AQ730))/STDEV('The List'!AQ2:AQ730)</f>
        <v>1.36398146550059</v>
      </c>
      <c r="AD678" s="46">
        <f>(VLOOKUP($A678,'The List'!$B1:$AR730,43,FALSE)-AVERAGE('The List'!AR2:AR730))/STDEV('The List'!AR2:AR730)*-1</f>
        <v>1.4304950041146</v>
      </c>
      <c r="AE678" s="46"/>
    </row>
    <row r="679" ht="21.25" customHeight="1">
      <c r="A679" t="s" s="8">
        <v>762</v>
      </c>
      <c r="B679" t="s" s="42">
        <f>VLOOKUP(A679,'Player Data'!A1:B734,2,FALSE)</f>
        <v>113</v>
      </c>
      <c r="C679" s="44">
        <f>(W679*'Settings'!$C$29)+(X679*'Settings'!$C$21)+(Y679*'Settings'!$C$22)+(AA679*'Settings'!$C$24)+(AB679*'Settings'!$C$25)+(Z679*'Settings'!$C$23)+(AC679*'Settings'!$C$26)+(AD679*'Settings'!$C$28)</f>
        <v>-1.75169350725191</v>
      </c>
      <c r="D679" s="48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>
        <f>(VLOOKUP($A679,'The List'!$B1:$AR730,35,FALSE)-AVERAGE('The List'!AJ2:AJ730))/STDEV('The List'!AJ2:AJ730)</f>
        <v>-0.648450018426199</v>
      </c>
      <c r="X679" s="46">
        <f>(VLOOKUP($A679,'The List'!$B1:$AR730,36,FALSE)-AVERAGE('The List'!AK2:AK730))/STDEV('The List'!AK2:AK730)</f>
        <v>-0.437540674097084</v>
      </c>
      <c r="Y679" s="46">
        <f>(VLOOKUP($A679,'The List'!$B1:$AR730,37,FALSE)-AVERAGE('The List'!AL2:AL730))/STDEV('The List'!AL2:AL730)*-1</f>
        <v>0.8165942700826681</v>
      </c>
      <c r="Z679" s="46">
        <f>(VLOOKUP($A679,'The List'!$B1:$AR730,38,FALSE)-AVERAGE('The List'!AM2:AM730))/STDEV('The List'!AM2:AM730)</f>
        <v>-0.648450018426199</v>
      </c>
      <c r="AA679" s="46">
        <f>(VLOOKUP($A679,'The List'!$B1:$AR730,39,FALSE)-AVERAGE('The List'!AN2:AN730))/STDEV('The List'!AN2:AN730)</f>
        <v>-0.5665468191990169</v>
      </c>
      <c r="AB679" s="46">
        <f>(VLOOKUP($A679,'The List'!$B1:$AR730,40,FALSE)-AVERAGE('The List'!AO2:AO730))/STDEV('The List'!AO2:AO730)</f>
        <v>-0.678149176628429</v>
      </c>
      <c r="AC679" s="46">
        <f>(VLOOKUP($A679,'The List'!$B1:$AR730,42,FALSE)-AVERAGE('The List'!AQ2:AQ730))/STDEV('The List'!AQ2:AQ730)</f>
        <v>-0.553607668352878</v>
      </c>
      <c r="AD679" s="46">
        <f>(VLOOKUP($A679,'The List'!$B1:$AR730,43,FALSE)-AVERAGE('The List'!AR2:AR730))/STDEV('The List'!AR2:AR730)*-1</f>
        <v>-0.193998345602931</v>
      </c>
      <c r="AE679" s="46"/>
    </row>
    <row r="680" ht="21.25" customHeight="1">
      <c r="A680" t="s" s="8">
        <v>154</v>
      </c>
      <c r="B680" t="s" s="42">
        <f>VLOOKUP(A680,'Player Data'!A1:B734,2,FALSE)</f>
        <v>136</v>
      </c>
      <c r="C680" s="44">
        <f>(W680*'Settings'!$C$29)+(X680*'Settings'!$C$21)+(Y680*'Settings'!$C$22)+(AA680*'Settings'!$C$24)+(AB680*'Settings'!$C$25)+(Z680*'Settings'!$C$23)+(AC680*'Settings'!$C$26)+(AD680*'Settings'!$C$28)</f>
        <v>8.93195161600266</v>
      </c>
      <c r="D680" s="48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>
        <f>(VLOOKUP($A680,'The List'!$B1:$AR730,35,FALSE)-AVERAGE('The List'!AJ2:AJ730))/STDEV('The List'!AJ2:AJ730)</f>
        <v>1.7090864836895</v>
      </c>
      <c r="X680" s="46">
        <f>(VLOOKUP($A680,'The List'!$B1:$AR730,36,FALSE)-AVERAGE('The List'!AK2:AK730))/STDEV('The List'!AK2:AK730)</f>
        <v>2.10597107611086</v>
      </c>
      <c r="Y680" s="46">
        <f>(VLOOKUP($A680,'The List'!$B1:$AR730,37,FALSE)-AVERAGE('The List'!AL2:AL730))/STDEV('The List'!AL2:AL730)*-1</f>
        <v>-0.701080401073257</v>
      </c>
      <c r="Z680" s="46">
        <f>(VLOOKUP($A680,'The List'!$B1:$AR730,38,FALSE)-AVERAGE('The List'!AM2:AM730))/STDEV('The List'!AM2:AM730)</f>
        <v>1.7090864836895</v>
      </c>
      <c r="AA680" s="46">
        <f>(VLOOKUP($A680,'The List'!$B1:$AR730,39,FALSE)-AVERAGE('The List'!AN2:AN730))/STDEV('The List'!AN2:AN730)</f>
        <v>2.57860995774308</v>
      </c>
      <c r="AB680" s="46">
        <f>(VLOOKUP($A680,'The List'!$B1:$AR730,40,FALSE)-AVERAGE('The List'!AO2:AO730))/STDEV('The List'!AO2:AO730)</f>
        <v>1.52885531303911</v>
      </c>
      <c r="AC680" s="46">
        <f>(VLOOKUP($A680,'The List'!$B1:$AR730,42,FALSE)-AVERAGE('The List'!AQ2:AQ730))/STDEV('The List'!AQ2:AQ730)</f>
        <v>1.93669827357323</v>
      </c>
      <c r="AD680" s="46">
        <f>(VLOOKUP($A680,'The List'!$B1:$AR730,43,FALSE)-AVERAGE('The List'!AR2:AR730))/STDEV('The List'!AR2:AR730)*-1</f>
        <v>2.31067230857549</v>
      </c>
      <c r="AE680" s="46"/>
    </row>
    <row r="681" ht="21.25" customHeight="1">
      <c r="A681" t="s" s="8">
        <v>836</v>
      </c>
      <c r="B681" t="s" s="42">
        <f>VLOOKUP(A681,'Player Data'!A1:B734,2,FALSE)</f>
        <v>136</v>
      </c>
      <c r="C681" s="44">
        <f>(W681*'Settings'!$C$29)+(X681*'Settings'!$C$21)+(Y681*'Settings'!$C$22)+(AA681*'Settings'!$C$24)+(AB681*'Settings'!$C$25)+(Z681*'Settings'!$C$23)+(AC681*'Settings'!$C$26)+(AD681*'Settings'!$C$28)</f>
        <v>-1.42232621825562</v>
      </c>
      <c r="D681" s="48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>
        <f>(VLOOKUP($A681,'The List'!$B1:$AR730,35,FALSE)-AVERAGE('The List'!AJ2:AJ730))/STDEV('The List'!AJ2:AJ730)</f>
        <v>-1.02069262402341</v>
      </c>
      <c r="X681" s="46">
        <f>(VLOOKUP($A681,'The List'!$B1:$AR730,36,FALSE)-AVERAGE('The List'!AK2:AK730))/STDEV('The List'!AK2:AK730)</f>
        <v>-0.779948581748494</v>
      </c>
      <c r="Y681" s="46">
        <f>(VLOOKUP($A681,'The List'!$B1:$AR730,37,FALSE)-AVERAGE('The List'!AL2:AL730))/STDEV('The List'!AL2:AL730)*-1</f>
        <v>1.14639436443816</v>
      </c>
      <c r="Z681" s="46">
        <f>(VLOOKUP($A681,'The List'!$B1:$AR730,38,FALSE)-AVERAGE('The List'!AM2:AM730))/STDEV('The List'!AM2:AM730)</f>
        <v>-1.02069262402341</v>
      </c>
      <c r="AA681" s="46">
        <f>(VLOOKUP($A681,'The List'!$B1:$AR730,39,FALSE)-AVERAGE('The List'!AN2:AN730))/STDEV('The List'!AN2:AN730)</f>
        <v>-0.646733289221915</v>
      </c>
      <c r="AB681" s="46">
        <f>(VLOOKUP($A681,'The List'!$B1:$AR730,40,FALSE)-AVERAGE('The List'!AO2:AO730))/STDEV('The List'!AO2:AO730)</f>
        <v>-1.07005632388533</v>
      </c>
      <c r="AC681" s="46">
        <f>(VLOOKUP($A681,'The List'!$B1:$AR730,42,FALSE)-AVERAGE('The List'!AQ2:AQ730))/STDEV('The List'!AQ2:AQ730)</f>
        <v>-0.394749841033673</v>
      </c>
      <c r="AD681" s="46">
        <f>(VLOOKUP($A681,'The List'!$B1:$AR730,43,FALSE)-AVERAGE('The List'!AR2:AR730))/STDEV('The List'!AR2:AR730)*-1</f>
        <v>0.399105493748464</v>
      </c>
      <c r="AE681" s="46"/>
    </row>
    <row r="682" ht="21.25" customHeight="1">
      <c r="A682" t="s" s="8">
        <v>379</v>
      </c>
      <c r="B682" t="s" s="42">
        <f>VLOOKUP(A682,'Player Data'!A1:B734,2,FALSE)</f>
        <v>184</v>
      </c>
      <c r="C682" s="44">
        <f>(W682*'Settings'!$C$29)+(X682*'Settings'!$C$21)+(Y682*'Settings'!$C$22)+(AA682*'Settings'!$C$24)+(AB682*'Settings'!$C$25)+(Z682*'Settings'!$C$23)+(AC682*'Settings'!$C$26)+(AD682*'Settings'!$C$28)</f>
        <v>1.83977356608382</v>
      </c>
      <c r="D682" s="48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>
        <f>(VLOOKUP($A682,'The List'!$B1:$AR730,35,FALSE)-AVERAGE('The List'!AJ2:AJ730))/STDEV('The List'!AJ2:AJ730)</f>
        <v>0.592358666897852</v>
      </c>
      <c r="X682" s="46">
        <f>(VLOOKUP($A682,'The List'!$B1:$AR730,36,FALSE)-AVERAGE('The List'!AK2:AK730))/STDEV('The List'!AK2:AK730)</f>
        <v>0.316105306194909</v>
      </c>
      <c r="Y682" s="46">
        <f>(VLOOKUP($A682,'The List'!$B1:$AR730,37,FALSE)-AVERAGE('The List'!AL2:AL730))/STDEV('The List'!AL2:AL730)*-1</f>
        <v>-0.873272246555342</v>
      </c>
      <c r="Z682" s="46">
        <f>(VLOOKUP($A682,'The List'!$B1:$AR730,38,FALSE)-AVERAGE('The List'!AM2:AM730))/STDEV('The List'!AM2:AM730)</f>
        <v>0.592358666897852</v>
      </c>
      <c r="AA682" s="46">
        <f>(VLOOKUP($A682,'The List'!$B1:$AR730,39,FALSE)-AVERAGE('The List'!AN2:AN730))/STDEV('The List'!AN2:AN730)</f>
        <v>0.555056827481675</v>
      </c>
      <c r="AB682" s="46">
        <f>(VLOOKUP($A682,'The List'!$B1:$AR730,40,FALSE)-AVERAGE('The List'!AO2:AO730))/STDEV('The List'!AO2:AO730)</f>
        <v>0.514946499005681</v>
      </c>
      <c r="AC682" s="46">
        <f>(VLOOKUP($A682,'The List'!$B1:$AR730,42,FALSE)-AVERAGE('The List'!AQ2:AQ730))/STDEV('The List'!AQ2:AQ730)</f>
        <v>0.330339850997481</v>
      </c>
      <c r="AD682" s="46">
        <f>(VLOOKUP($A682,'The List'!$B1:$AR730,43,FALSE)-AVERAGE('The List'!AR2:AR730))/STDEV('The List'!AR2:AR730)*-1</f>
        <v>0.638271581409756</v>
      </c>
      <c r="AE682" s="46"/>
    </row>
    <row r="683" ht="21.25" customHeight="1">
      <c r="A683" t="s" s="8">
        <v>841</v>
      </c>
      <c r="B683" t="s" s="42">
        <f>VLOOKUP(A683,'Player Data'!A1:B734,2,FALSE)</f>
        <v>184</v>
      </c>
      <c r="C683" s="44">
        <f>(W683*'Settings'!$C$29)+(X683*'Settings'!$C$21)+(Y683*'Settings'!$C$22)+(AA683*'Settings'!$C$24)+(AB683*'Settings'!$C$25)+(Z683*'Settings'!$C$23)+(AC683*'Settings'!$C$26)+(AD683*'Settings'!$C$28)</f>
        <v>-3.50760724083681</v>
      </c>
      <c r="D683" s="48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>
        <f>(VLOOKUP($A683,'The List'!$B1:$AR730,35,FALSE)-AVERAGE('The List'!AJ2:AJ730))/STDEV('The List'!AJ2:AJ730)</f>
        <v>-0.89661175549101</v>
      </c>
      <c r="X683" s="46">
        <f>(VLOOKUP($A683,'The List'!$B1:$AR730,36,FALSE)-AVERAGE('The List'!AK2:AK730))/STDEV('The List'!AK2:AK730)</f>
        <v>-0.8908698760857739</v>
      </c>
      <c r="Y683" s="46">
        <f>(VLOOKUP($A683,'The List'!$B1:$AR730,37,FALSE)-AVERAGE('The List'!AL2:AL730))/STDEV('The List'!AL2:AL730)*-1</f>
        <v>0.6936727323931799</v>
      </c>
      <c r="Z683" s="46">
        <f>(VLOOKUP($A683,'The List'!$B1:$AR730,38,FALSE)-AVERAGE('The List'!AM2:AM730))/STDEV('The List'!AM2:AM730)</f>
        <v>-0.89661175549101</v>
      </c>
      <c r="AA683" s="46">
        <f>(VLOOKUP($A683,'The List'!$B1:$AR730,39,FALSE)-AVERAGE('The List'!AN2:AN730))/STDEV('The List'!AN2:AN730)</f>
        <v>-0.80771534373889</v>
      </c>
      <c r="AB683" s="46">
        <f>(VLOOKUP($A683,'The List'!$B1:$AR730,40,FALSE)-AVERAGE('The List'!AO2:AO730))/STDEV('The List'!AO2:AO730)</f>
        <v>-0.929053686229981</v>
      </c>
      <c r="AC683" s="46">
        <f>(VLOOKUP($A683,'The List'!$B1:$AR730,42,FALSE)-AVERAGE('The List'!AQ2:AQ730))/STDEV('The List'!AQ2:AQ730)</f>
        <v>-1.17762674775628</v>
      </c>
      <c r="AD683" s="46">
        <f>(VLOOKUP($A683,'The List'!$B1:$AR730,43,FALSE)-AVERAGE('The List'!AR2:AR730))/STDEV('The List'!AR2:AR730)*-1</f>
        <v>-0.631395273255862</v>
      </c>
      <c r="AE683" s="46"/>
    </row>
    <row r="684" ht="21.25" customHeight="1">
      <c r="A684" t="s" s="8">
        <v>854</v>
      </c>
      <c r="B684" t="s" s="42">
        <f>VLOOKUP(A684,'Player Data'!A1:B734,2,FALSE)</f>
        <v>184</v>
      </c>
      <c r="C684" s="44">
        <f>(W684*'Settings'!$C$29)+(X684*'Settings'!$C$21)+(Y684*'Settings'!$C$22)+(AA684*'Settings'!$C$24)+(AB684*'Settings'!$C$25)+(Z684*'Settings'!$C$23)+(AC684*'Settings'!$C$26)+(AD684*'Settings'!$C$28)</f>
        <v>-3.01625913082561</v>
      </c>
      <c r="D684" s="48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>
        <f>(VLOOKUP($A684,'The List'!$B1:$AR730,35,FALSE)-AVERAGE('The List'!AJ2:AJ730))/STDEV('The List'!AJ2:AJ730)</f>
        <v>-1.02069262402341</v>
      </c>
      <c r="X684" s="46">
        <f>(VLOOKUP($A684,'The List'!$B1:$AR730,36,FALSE)-AVERAGE('The List'!AK2:AK730))/STDEV('The List'!AK2:AK730)</f>
        <v>-0.994131190032295</v>
      </c>
      <c r="Y684" s="46">
        <f>(VLOOKUP($A684,'The List'!$B1:$AR730,37,FALSE)-AVERAGE('The List'!AL2:AL730))/STDEV('The List'!AL2:AL730)*-1</f>
        <v>0.820169456113705</v>
      </c>
      <c r="Z684" s="46">
        <f>(VLOOKUP($A684,'The List'!$B1:$AR730,38,FALSE)-AVERAGE('The List'!AM2:AM730))/STDEV('The List'!AM2:AM730)</f>
        <v>-1.02069262402341</v>
      </c>
      <c r="AA684" s="46">
        <f>(VLOOKUP($A684,'The List'!$B1:$AR730,39,FALSE)-AVERAGE('The List'!AN2:AN730))/STDEV('The List'!AN2:AN730)</f>
        <v>-0.808260495860417</v>
      </c>
      <c r="AB684" s="46">
        <f>(VLOOKUP($A684,'The List'!$B1:$AR730,40,FALSE)-AVERAGE('The List'!AO2:AO730))/STDEV('The List'!AO2:AO730)</f>
        <v>-1.04512884760696</v>
      </c>
      <c r="AC684" s="46">
        <f>(VLOOKUP($A684,'The List'!$B1:$AR730,42,FALSE)-AVERAGE('The List'!AQ2:AQ730))/STDEV('The List'!AQ2:AQ730)</f>
        <v>-0.854519600296592</v>
      </c>
      <c r="AD684" s="46">
        <f>(VLOOKUP($A684,'The List'!$B1:$AR730,43,FALSE)-AVERAGE('The List'!AR2:AR730))/STDEV('The List'!AR2:AR730)*-1</f>
        <v>-0.359347844636301</v>
      </c>
      <c r="AE684" s="46"/>
    </row>
    <row r="685" ht="21.25" customHeight="1">
      <c r="A685" t="s" s="8">
        <v>287</v>
      </c>
      <c r="B685" t="s" s="42">
        <f>VLOOKUP(A685,'Player Data'!A1:B734,2,FALSE)</f>
        <v>108</v>
      </c>
      <c r="C685" s="44">
        <f>(W685*'Settings'!$C$29)+(X685*'Settings'!$C$21)+(Y685*'Settings'!$C$22)+(AA685*'Settings'!$C$24)+(AB685*'Settings'!$C$25)+(Z685*'Settings'!$C$23)+(AC685*'Settings'!$C$26)+(AD685*'Settings'!$C$28)</f>
        <v>4.40105067591554</v>
      </c>
      <c r="D685" s="48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>
        <f>(VLOOKUP($A685,'The List'!$B1:$AR730,35,FALSE)-AVERAGE('The List'!AJ2:AJ730))/STDEV('The List'!AJ2:AJ730)</f>
        <v>0.840520403962662</v>
      </c>
      <c r="X685" s="46">
        <f>(VLOOKUP($A685,'The List'!$B1:$AR730,36,FALSE)-AVERAGE('The List'!AK2:AK730))/STDEV('The List'!AK2:AK730)</f>
        <v>1.32328152310075</v>
      </c>
      <c r="Y685" s="46">
        <f>(VLOOKUP($A685,'The List'!$B1:$AR730,37,FALSE)-AVERAGE('The List'!AL2:AL730))/STDEV('The List'!AL2:AL730)*-1</f>
        <v>0.09322241368997961</v>
      </c>
      <c r="Z685" s="46">
        <f>(VLOOKUP($A685,'The List'!$B1:$AR730,38,FALSE)-AVERAGE('The List'!AM2:AM730))/STDEV('The List'!AM2:AM730)</f>
        <v>0.840520403962662</v>
      </c>
      <c r="AA685" s="46">
        <f>(VLOOKUP($A685,'The List'!$B1:$AR730,39,FALSE)-AVERAGE('The List'!AN2:AN730))/STDEV('The List'!AN2:AN730)</f>
        <v>0.965667547138006</v>
      </c>
      <c r="AB685" s="46">
        <f>(VLOOKUP($A685,'The List'!$B1:$AR730,40,FALSE)-AVERAGE('The List'!AO2:AO730))/STDEV('The List'!AO2:AO730)</f>
        <v>0.8125786965120541</v>
      </c>
      <c r="AC685" s="46">
        <f>(VLOOKUP($A685,'The List'!$B1:$AR730,42,FALSE)-AVERAGE('The List'!AQ2:AQ730))/STDEV('The List'!AQ2:AQ730)</f>
        <v>1.06258027612781</v>
      </c>
      <c r="AD685" s="46">
        <f>(VLOOKUP($A685,'The List'!$B1:$AR730,43,FALSE)-AVERAGE('The List'!AR2:AR730))/STDEV('The List'!AR2:AR730)*-1</f>
        <v>1.04952132954897</v>
      </c>
      <c r="AE685" s="46"/>
    </row>
    <row r="686" ht="21.25" customHeight="1">
      <c r="A686" t="s" s="8">
        <v>599</v>
      </c>
      <c r="B686" t="s" s="42">
        <f>VLOOKUP(A686,'Player Data'!A1:B734,2,FALSE)</f>
        <v>108</v>
      </c>
      <c r="C686" s="44">
        <f>(W686*'Settings'!$C$29)+(X686*'Settings'!$C$21)+(Y686*'Settings'!$C$22)+(AA686*'Settings'!$C$24)+(AB686*'Settings'!$C$25)+(Z686*'Settings'!$C$23)+(AC686*'Settings'!$C$26)+(AD686*'Settings'!$C$28)</f>
        <v>-0.643667120283212</v>
      </c>
      <c r="D686" s="48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>
        <f>(VLOOKUP($A686,'The List'!$B1:$AR730,35,FALSE)-AVERAGE('The List'!AJ2:AJ730))/STDEV('The List'!AJ2:AJ730)</f>
        <v>-0.152126544296579</v>
      </c>
      <c r="X686" s="46">
        <f>(VLOOKUP($A686,'The List'!$B1:$AR730,36,FALSE)-AVERAGE('The List'!AK2:AK730))/STDEV('The List'!AK2:AK730)</f>
        <v>0.142438926921045</v>
      </c>
      <c r="Y686" s="46">
        <f>(VLOOKUP($A686,'The List'!$B1:$AR730,37,FALSE)-AVERAGE('The List'!AL2:AL730))/STDEV('The List'!AL2:AL730)*-1</f>
        <v>0.564867708968505</v>
      </c>
      <c r="Z686" s="46">
        <f>(VLOOKUP($A686,'The List'!$B1:$AR730,38,FALSE)-AVERAGE('The List'!AM2:AM730))/STDEV('The List'!AM2:AM730)</f>
        <v>-0.152126544296579</v>
      </c>
      <c r="AA686" s="46">
        <f>(VLOOKUP($A686,'The List'!$B1:$AR730,39,FALSE)-AVERAGE('The List'!AN2:AN730))/STDEV('The List'!AN2:AN730)</f>
        <v>-0.277783791749533</v>
      </c>
      <c r="AB686" s="46">
        <f>(VLOOKUP($A686,'The List'!$B1:$AR730,40,FALSE)-AVERAGE('The List'!AO2:AO730))/STDEV('The List'!AO2:AO730)</f>
        <v>-0.179391558357938</v>
      </c>
      <c r="AC686" s="46">
        <f>(VLOOKUP($A686,'The List'!$B1:$AR730,42,FALSE)-AVERAGE('The List'!AQ2:AQ730))/STDEV('The List'!AQ2:AQ730)</f>
        <v>-0.349797156843112</v>
      </c>
      <c r="AD686" s="46">
        <f>(VLOOKUP($A686,'The List'!$B1:$AR730,43,FALSE)-AVERAGE('The List'!AR2:AR730))/STDEV('The List'!AR2:AR730)*-1</f>
        <v>-0.158525098611612</v>
      </c>
      <c r="AE686" s="46"/>
    </row>
    <row r="687" ht="21.25" customHeight="1">
      <c r="A687" t="s" s="8">
        <v>280</v>
      </c>
      <c r="B687" t="s" s="42">
        <f>VLOOKUP(A687,'Player Data'!A1:B734,2,FALSE)</f>
        <v>119</v>
      </c>
      <c r="C687" s="44">
        <f>(W687*'Settings'!$C$29)+(X687*'Settings'!$C$21)+(Y687*'Settings'!$C$22)+(AA687*'Settings'!$C$24)+(AB687*'Settings'!$C$25)+(Z687*'Settings'!$C$23)+(AC687*'Settings'!$C$26)+(AD687*'Settings'!$C$28)</f>
        <v>1.92027526898999</v>
      </c>
      <c r="D687" s="48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>
        <f>(VLOOKUP($A687,'The List'!$B1:$AR730,35,FALSE)-AVERAGE('The List'!AJ2:AJ730))/STDEV('The List'!AJ2:AJ730)</f>
        <v>1.08868214102747</v>
      </c>
      <c r="X687" s="46">
        <f>(VLOOKUP($A687,'The List'!$B1:$AR730,36,FALSE)-AVERAGE('The List'!AK2:AK730))/STDEV('The List'!AK2:AK730)</f>
        <v>1.37635913257656</v>
      </c>
      <c r="Y687" s="46">
        <f>(VLOOKUP($A687,'The List'!$B1:$AR730,37,FALSE)-AVERAGE('The List'!AL2:AL730))/STDEV('The List'!AL2:AL730)*-1</f>
        <v>-0.393485561121449</v>
      </c>
      <c r="Z687" s="46">
        <f>(VLOOKUP($A687,'The List'!$B1:$AR730,38,FALSE)-AVERAGE('The List'!AM2:AM730))/STDEV('The List'!AM2:AM730)</f>
        <v>1.08868214102747</v>
      </c>
      <c r="AA687" s="46">
        <f>(VLOOKUP($A687,'The List'!$B1:$AR730,39,FALSE)-AVERAGE('The List'!AN2:AN730))/STDEV('The List'!AN2:AN730)</f>
        <v>0.453466766969069</v>
      </c>
      <c r="AB687" s="46">
        <f>(VLOOKUP($A687,'The List'!$B1:$AR730,40,FALSE)-AVERAGE('The List'!AO2:AO730))/STDEV('The List'!AO2:AO730)</f>
        <v>1.13156977444657</v>
      </c>
      <c r="AC687" s="46">
        <f>(VLOOKUP($A687,'The List'!$B1:$AR730,42,FALSE)-AVERAGE('The List'!AQ2:AQ730))/STDEV('The List'!AQ2:AQ730)</f>
        <v>0.192857978917606</v>
      </c>
      <c r="AD687" s="46">
        <f>(VLOOKUP($A687,'The List'!$B1:$AR730,43,FALSE)-AVERAGE('The List'!AR2:AR730))/STDEV('The List'!AR2:AR730)*-1</f>
        <v>-0.10240860947325</v>
      </c>
      <c r="AE687" s="46"/>
    </row>
    <row r="688" ht="21.25" customHeight="1">
      <c r="A688" t="s" s="8">
        <v>866</v>
      </c>
      <c r="B688" t="s" s="42">
        <f>VLOOKUP(A688,'Player Data'!A1:B734,2,FALSE)</f>
        <v>119</v>
      </c>
      <c r="C688" s="44">
        <f>(W688*'Settings'!$C$29)+(X688*'Settings'!$C$21)+(Y688*'Settings'!$C$22)+(AA688*'Settings'!$C$24)+(AB688*'Settings'!$C$25)+(Z688*'Settings'!$C$23)+(AC688*'Settings'!$C$26)+(AD688*'Settings'!$C$28)</f>
        <v>-3.20278992540743</v>
      </c>
      <c r="D688" s="48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>
        <f>(VLOOKUP($A688,'The List'!$B1:$AR730,35,FALSE)-AVERAGE('The List'!AJ2:AJ730))/STDEV('The List'!AJ2:AJ730)</f>
        <v>-1.20681392682202</v>
      </c>
      <c r="X688" s="46">
        <f>(VLOOKUP($A688,'The List'!$B1:$AR730,36,FALSE)-AVERAGE('The List'!AK2:AK730))/STDEV('The List'!AK2:AK730)</f>
        <v>-0.973148181053641</v>
      </c>
      <c r="Y688" s="46">
        <f>(VLOOKUP($A688,'The List'!$B1:$AR730,37,FALSE)-AVERAGE('The List'!AL2:AL730))/STDEV('The List'!AL2:AL730)*-1</f>
        <v>1.2777924971161</v>
      </c>
      <c r="Z688" s="46">
        <f>(VLOOKUP($A688,'The List'!$B1:$AR730,38,FALSE)-AVERAGE('The List'!AM2:AM730))/STDEV('The List'!AM2:AM730)</f>
        <v>-1.20681392682202</v>
      </c>
      <c r="AA688" s="46">
        <f>(VLOOKUP($A688,'The List'!$B1:$AR730,39,FALSE)-AVERAGE('The List'!AN2:AN730))/STDEV('The List'!AN2:AN730)</f>
        <v>-0.9720570386859479</v>
      </c>
      <c r="AB688" s="46">
        <f>(VLOOKUP($A688,'The List'!$B1:$AR730,40,FALSE)-AVERAGE('The List'!AO2:AO730))/STDEV('The List'!AO2:AO730)</f>
        <v>-1.1803150613896</v>
      </c>
      <c r="AC688" s="46">
        <f>(VLOOKUP($A688,'The List'!$B1:$AR730,42,FALSE)-AVERAGE('The List'!AQ2:AQ730))/STDEV('The List'!AQ2:AQ730)</f>
        <v>-0.524008456514734</v>
      </c>
      <c r="AD688" s="46">
        <f>(VLOOKUP($A688,'The List'!$B1:$AR730,43,FALSE)-AVERAGE('The List'!AR2:AR730))/STDEV('The List'!AR2:AR730)*-1</f>
        <v>-0.733576249153108</v>
      </c>
      <c r="AE688" s="46"/>
    </row>
    <row r="689" ht="21.25" customHeight="1">
      <c r="A689" t="s" s="8">
        <v>868</v>
      </c>
      <c r="B689" t="s" s="42">
        <f>VLOOKUP(A689,'Player Data'!A1:B734,2,FALSE)</f>
        <v>119</v>
      </c>
      <c r="C689" s="44">
        <f>(W689*'Settings'!$C$29)+(X689*'Settings'!$C$21)+(Y689*'Settings'!$C$22)+(AA689*'Settings'!$C$24)+(AB689*'Settings'!$C$25)+(Z689*'Settings'!$C$23)+(AC689*'Settings'!$C$26)+(AD689*'Settings'!$C$28)</f>
        <v>-3.56860968718762</v>
      </c>
      <c r="D689" s="48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>
        <f>(VLOOKUP($A689,'The List'!$B1:$AR730,35,FALSE)-AVERAGE('The List'!AJ2:AJ730))/STDEV('The List'!AJ2:AJ730)</f>
        <v>-1.20681392682202</v>
      </c>
      <c r="X689" s="46">
        <f>(VLOOKUP($A689,'The List'!$B1:$AR730,36,FALSE)-AVERAGE('The List'!AK2:AK730))/STDEV('The List'!AK2:AK730)</f>
        <v>-0.986345579995683</v>
      </c>
      <c r="Y689" s="46">
        <f>(VLOOKUP($A689,'The List'!$B1:$AR730,37,FALSE)-AVERAGE('The List'!AL2:AL730))/STDEV('The List'!AL2:AL730)*-1</f>
        <v>1.25769133066526</v>
      </c>
      <c r="Z689" s="46">
        <f>(VLOOKUP($A689,'The List'!$B1:$AR730,38,FALSE)-AVERAGE('The List'!AM2:AM730))/STDEV('The List'!AM2:AM730)</f>
        <v>-1.20681392682202</v>
      </c>
      <c r="AA689" s="46">
        <f>(VLOOKUP($A689,'The List'!$B1:$AR730,39,FALSE)-AVERAGE('The List'!AN2:AN730))/STDEV('The List'!AN2:AN730)</f>
        <v>-0.999110471210392</v>
      </c>
      <c r="AB689" s="46">
        <f>(VLOOKUP($A689,'The List'!$B1:$AR730,40,FALSE)-AVERAGE('The List'!AO2:AO730))/STDEV('The List'!AO2:AO730)</f>
        <v>-1.18133434474951</v>
      </c>
      <c r="AC689" s="46">
        <f>(VLOOKUP($A689,'The List'!$B1:$AR730,42,FALSE)-AVERAGE('The List'!AQ2:AQ730))/STDEV('The List'!AQ2:AQ730)</f>
        <v>-0.697141645705135</v>
      </c>
      <c r="AD689" s="46">
        <f>(VLOOKUP($A689,'The List'!$B1:$AR730,43,FALSE)-AVERAGE('The List'!AR2:AR730))/STDEV('The List'!AR2:AR730)*-1</f>
        <v>-0.88601199027641</v>
      </c>
      <c r="AE689" s="46"/>
    </row>
    <row r="690" ht="21.25" customHeight="1">
      <c r="A690" t="s" s="8">
        <v>423</v>
      </c>
      <c r="B690" t="s" s="42">
        <f>VLOOKUP(A690,'Player Data'!A1:B734,2,FALSE)</f>
        <v>204</v>
      </c>
      <c r="C690" s="44">
        <f>(W690*'Settings'!$C$29)+(X690*'Settings'!$C$21)+(Y690*'Settings'!$C$22)+(AA690*'Settings'!$C$24)+(AB690*'Settings'!$C$25)+(Z690*'Settings'!$C$23)+(AC690*'Settings'!$C$26)+(AD690*'Settings'!$C$28)</f>
        <v>0.688815854783256</v>
      </c>
      <c r="D690" s="48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>
        <f>(VLOOKUP($A690,'The List'!$B1:$AR730,35,FALSE)-AVERAGE('The List'!AJ2:AJ730))/STDEV('The List'!AJ2:AJ730)</f>
        <v>0.468277798365447</v>
      </c>
      <c r="X690" s="46">
        <f>(VLOOKUP($A690,'The List'!$B1:$AR730,36,FALSE)-AVERAGE('The List'!AK2:AK730))/STDEV('The List'!AK2:AK730)</f>
        <v>0.544719604213472</v>
      </c>
      <c r="Y690" s="46">
        <f>(VLOOKUP($A690,'The List'!$B1:$AR730,37,FALSE)-AVERAGE('The List'!AL2:AL730))/STDEV('The List'!AL2:AL730)*-1</f>
        <v>-0.241290544591513</v>
      </c>
      <c r="Z690" s="46">
        <f>(VLOOKUP($A690,'The List'!$B1:$AR730,38,FALSE)-AVERAGE('The List'!AM2:AM730))/STDEV('The List'!AM2:AM730)</f>
        <v>0.468277798365447</v>
      </c>
      <c r="AA690" s="46">
        <f>(VLOOKUP($A690,'The List'!$B1:$AR730,39,FALSE)-AVERAGE('The List'!AN2:AN730))/STDEV('The List'!AN2:AN730)</f>
        <v>0.240985784738933</v>
      </c>
      <c r="AB690" s="46">
        <f>(VLOOKUP($A690,'The List'!$B1:$AR730,40,FALSE)-AVERAGE('The List'!AO2:AO730))/STDEV('The List'!AO2:AO730)</f>
        <v>0.375071954939355</v>
      </c>
      <c r="AC690" s="46">
        <f>(VLOOKUP($A690,'The List'!$B1:$AR730,42,FALSE)-AVERAGE('The List'!AQ2:AQ730))/STDEV('The List'!AQ2:AQ730)</f>
        <v>-0.281285185417694</v>
      </c>
      <c r="AD690" s="46">
        <f>(VLOOKUP($A690,'The List'!$B1:$AR730,43,FALSE)-AVERAGE('The List'!AR2:AR730))/STDEV('The List'!AR2:AR730)*-1</f>
        <v>0.184395651248545</v>
      </c>
      <c r="AE690" s="46"/>
    </row>
    <row r="691" ht="21.25" customHeight="1">
      <c r="A691" t="s" s="8">
        <v>623</v>
      </c>
      <c r="B691" t="s" s="42">
        <f>VLOOKUP(A691,'Player Data'!A1:B734,2,FALSE)</f>
        <v>204</v>
      </c>
      <c r="C691" s="44">
        <f>(W691*'Settings'!$C$29)+(X691*'Settings'!$C$21)+(Y691*'Settings'!$C$22)+(AA691*'Settings'!$C$24)+(AB691*'Settings'!$C$25)+(Z691*'Settings'!$C$23)+(AC691*'Settings'!$C$26)+(AD691*'Settings'!$C$28)</f>
        <v>-1.80322062013139</v>
      </c>
      <c r="D691" s="48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>
        <f>(VLOOKUP($A691,'The List'!$B1:$AR730,35,FALSE)-AVERAGE('The List'!AJ2:AJ730))/STDEV('The List'!AJ2:AJ730)</f>
        <v>-0.0280456757641738</v>
      </c>
      <c r="X691" s="46">
        <f>(VLOOKUP($A691,'The List'!$B1:$AR730,36,FALSE)-AVERAGE('The List'!AK2:AK730))/STDEV('The List'!AK2:AK730)</f>
        <v>0.0489035389355334</v>
      </c>
      <c r="Y691" s="46">
        <f>(VLOOKUP($A691,'The List'!$B1:$AR730,37,FALSE)-AVERAGE('The List'!AL2:AL730))/STDEV('The List'!AL2:AL730)*-1</f>
        <v>0.138626825062646</v>
      </c>
      <c r="Z691" s="46">
        <f>(VLOOKUP($A691,'The List'!$B1:$AR730,38,FALSE)-AVERAGE('The List'!AM2:AM730))/STDEV('The List'!AM2:AM730)</f>
        <v>-0.0280456757641738</v>
      </c>
      <c r="AA691" s="46">
        <f>(VLOOKUP($A691,'The List'!$B1:$AR730,39,FALSE)-AVERAGE('The List'!AN2:AN730))/STDEV('The List'!AN2:AN730)</f>
        <v>-0.331367319545639</v>
      </c>
      <c r="AB691" s="46">
        <f>(VLOOKUP($A691,'The List'!$B1:$AR730,40,FALSE)-AVERAGE('The List'!AO2:AO730))/STDEV('The List'!AO2:AO730)</f>
        <v>-0.108427699595558</v>
      </c>
      <c r="AC691" s="46">
        <f>(VLOOKUP($A691,'The List'!$B1:$AR730,42,FALSE)-AVERAGE('The List'!AQ2:AQ730))/STDEV('The List'!AQ2:AQ730)</f>
        <v>-1.05583438577083</v>
      </c>
      <c r="AD691" s="46">
        <f>(VLOOKUP($A691,'The List'!$B1:$AR730,43,FALSE)-AVERAGE('The List'!AR2:AR730))/STDEV('The List'!AR2:AR730)*-1</f>
        <v>-0.46492245375045</v>
      </c>
      <c r="AE691" s="46"/>
    </row>
    <row r="692" ht="21.25" customHeight="1">
      <c r="A692" t="s" s="8">
        <v>213</v>
      </c>
      <c r="B692" t="s" s="42">
        <f>VLOOKUP(A692,'Player Data'!A1:B734,2,FALSE)</f>
        <v>134</v>
      </c>
      <c r="C692" s="44">
        <f>(W692*'Settings'!$C$29)+(X692*'Settings'!$C$21)+(Y692*'Settings'!$C$22)+(AA692*'Settings'!$C$24)+(AB692*'Settings'!$C$25)+(Z692*'Settings'!$C$23)+(AC692*'Settings'!$C$26)+(AD692*'Settings'!$C$28)</f>
        <v>4.65061187889793</v>
      </c>
      <c r="D692" s="48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>
        <f>(VLOOKUP($A692,'The List'!$B1:$AR730,35,FALSE)-AVERAGE('The List'!AJ2:AJ730))/STDEV('The List'!AJ2:AJ730)</f>
        <v>1.08868214102747</v>
      </c>
      <c r="X692" s="46">
        <f>(VLOOKUP($A692,'The List'!$B1:$AR730,36,FALSE)-AVERAGE('The List'!AK2:AK730))/STDEV('The List'!AK2:AK730)</f>
        <v>1.1900151211149</v>
      </c>
      <c r="Y692" s="46">
        <f>(VLOOKUP($A692,'The List'!$B1:$AR730,37,FALSE)-AVERAGE('The List'!AL2:AL730))/STDEV('The List'!AL2:AL730)*-1</f>
        <v>-0.677309063613038</v>
      </c>
      <c r="Z692" s="46">
        <f>(VLOOKUP($A692,'The List'!$B1:$AR730,38,FALSE)-AVERAGE('The List'!AM2:AM730))/STDEV('The List'!AM2:AM730)</f>
        <v>1.08868214102747</v>
      </c>
      <c r="AA692" s="46">
        <f>(VLOOKUP($A692,'The List'!$B1:$AR730,39,FALSE)-AVERAGE('The List'!AN2:AN730))/STDEV('The List'!AN2:AN730)</f>
        <v>1.05887108049351</v>
      </c>
      <c r="AB692" s="46">
        <f>(VLOOKUP($A692,'The List'!$B1:$AR730,40,FALSE)-AVERAGE('The List'!AO2:AO730))/STDEV('The List'!AO2:AO730)</f>
        <v>1.20463553291775</v>
      </c>
      <c r="AC692" s="46">
        <f>(VLOOKUP($A692,'The List'!$B1:$AR730,42,FALSE)-AVERAGE('The List'!AQ2:AQ730))/STDEV('The List'!AQ2:AQ730)</f>
        <v>1.52012803648279</v>
      </c>
      <c r="AD692" s="46">
        <f>(VLOOKUP($A692,'The List'!$B1:$AR730,43,FALSE)-AVERAGE('The List'!AR2:AR730))/STDEV('The List'!AR2:AR730)*-1</f>
        <v>0.881597640806734</v>
      </c>
      <c r="AE692" s="46"/>
    </row>
    <row r="693" ht="21.25" customHeight="1">
      <c r="A693" t="s" s="8">
        <v>669</v>
      </c>
      <c r="B693" t="s" s="42">
        <f>VLOOKUP(A693,'Player Data'!A1:B734,2,FALSE)</f>
        <v>134</v>
      </c>
      <c r="C693" s="44">
        <f>(W693*'Settings'!$C$29)+(X693*'Settings'!$C$21)+(Y693*'Settings'!$C$22)+(AA693*'Settings'!$C$24)+(AB693*'Settings'!$C$25)+(Z693*'Settings'!$C$23)+(AC693*'Settings'!$C$26)+(AD693*'Settings'!$C$28)</f>
        <v>-1.93394778955043</v>
      </c>
      <c r="D693" s="48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>
        <f>(VLOOKUP($A693,'The List'!$B1:$AR730,35,FALSE)-AVERAGE('The List'!AJ2:AJ730))/STDEV('The List'!AJ2:AJ730)</f>
        <v>-0.400288281361389</v>
      </c>
      <c r="X693" s="46">
        <f>(VLOOKUP($A693,'The List'!$B1:$AR730,36,FALSE)-AVERAGE('The List'!AK2:AK730))/STDEV('The List'!AK2:AK730)</f>
        <v>-0.316870462026869</v>
      </c>
      <c r="Y693" s="46">
        <f>(VLOOKUP($A693,'The List'!$B1:$AR730,37,FALSE)-AVERAGE('The List'!AL2:AL730))/STDEV('The List'!AL2:AL730)*-1</f>
        <v>0.432837654214218</v>
      </c>
      <c r="Z693" s="46">
        <f>(VLOOKUP($A693,'The List'!$B1:$AR730,38,FALSE)-AVERAGE('The List'!AM2:AM730))/STDEV('The List'!AM2:AM730)</f>
        <v>-0.400288281361389</v>
      </c>
      <c r="AA693" s="46">
        <f>(VLOOKUP($A693,'The List'!$B1:$AR730,39,FALSE)-AVERAGE('The List'!AN2:AN730))/STDEV('The List'!AN2:AN730)</f>
        <v>-0.605871033024555</v>
      </c>
      <c r="AB693" s="46">
        <f>(VLOOKUP($A693,'The List'!$B1:$AR730,40,FALSE)-AVERAGE('The List'!AO2:AO730))/STDEV('The List'!AO2:AO730)</f>
        <v>-0.346044260525739</v>
      </c>
      <c r="AC693" s="46">
        <f>(VLOOKUP($A693,'The List'!$B1:$AR730,42,FALSE)-AVERAGE('The List'!AQ2:AQ730))/STDEV('The List'!AQ2:AQ730)</f>
        <v>-0.282954365669421</v>
      </c>
      <c r="AD693" s="46">
        <f>(VLOOKUP($A693,'The List'!$B1:$AR730,43,FALSE)-AVERAGE('The List'!AR2:AR730))/STDEV('The List'!AR2:AR730)*-1</f>
        <v>-0.728251928829589</v>
      </c>
      <c r="AE693" s="46"/>
    </row>
    <row r="694" ht="21.25" customHeight="1">
      <c r="A694" t="s" s="8">
        <v>603</v>
      </c>
      <c r="B694" t="s" s="42">
        <f>VLOOKUP(A694,'Player Data'!A1:B734,2,FALSE)</f>
        <v>258</v>
      </c>
      <c r="C694" s="44">
        <f>(W694*'Settings'!$C$29)+(X694*'Settings'!$C$21)+(Y694*'Settings'!$C$22)+(AA694*'Settings'!$C$24)+(AB694*'Settings'!$C$25)+(Z694*'Settings'!$C$23)+(AC694*'Settings'!$C$26)+(AD694*'Settings'!$C$28)</f>
        <v>-2.536502364895</v>
      </c>
      <c r="D694" s="48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>
        <f>(VLOOKUP($A694,'The List'!$B1:$AR730,35,FALSE)-AVERAGE('The List'!AJ2:AJ730))/STDEV('The List'!AJ2:AJ730)</f>
        <v>0.0960351927682314</v>
      </c>
      <c r="X694" s="46">
        <f>(VLOOKUP($A694,'The List'!$B1:$AR730,36,FALSE)-AVERAGE('The List'!AK2:AK730))/STDEV('The List'!AK2:AK730)</f>
        <v>-0.439577999713977</v>
      </c>
      <c r="Y694" s="46">
        <f>(VLOOKUP($A694,'The List'!$B1:$AR730,37,FALSE)-AVERAGE('The List'!AL2:AL730))/STDEV('The List'!AL2:AL730)*-1</f>
        <v>-0.889162769197597</v>
      </c>
      <c r="Z694" s="46">
        <f>(VLOOKUP($A694,'The List'!$B1:$AR730,38,FALSE)-AVERAGE('The List'!AM2:AM730))/STDEV('The List'!AM2:AM730)</f>
        <v>0.0960351927682314</v>
      </c>
      <c r="AA694" s="46">
        <f>(VLOOKUP($A694,'The List'!$B1:$AR730,39,FALSE)-AVERAGE('The List'!AN2:AN730))/STDEV('The List'!AN2:AN730)</f>
        <v>-0.455717787658067</v>
      </c>
      <c r="AB694" s="46">
        <f>(VLOOKUP($A694,'The List'!$B1:$AR730,40,FALSE)-AVERAGE('The List'!AO2:AO730))/STDEV('The List'!AO2:AO730)</f>
        <v>0.117797596151527</v>
      </c>
      <c r="AC694" s="46">
        <f>(VLOOKUP($A694,'The List'!$B1:$AR730,42,FALSE)-AVERAGE('The List'!AQ2:AQ730))/STDEV('The List'!AQ2:AQ730)</f>
        <v>-0.737787322571224</v>
      </c>
      <c r="AD694" s="46">
        <f>(VLOOKUP($A694,'The List'!$B1:$AR730,43,FALSE)-AVERAGE('The List'!AR2:AR730))/STDEV('The List'!AR2:AR730)*-1</f>
        <v>-0.903419254951736</v>
      </c>
      <c r="AE694" s="46"/>
    </row>
    <row r="695" ht="21.25" customHeight="1">
      <c r="A695" t="s" s="8">
        <v>637</v>
      </c>
      <c r="B695" t="s" s="42">
        <f>VLOOKUP(A695,'Player Data'!A1:B734,2,FALSE)</f>
        <v>258</v>
      </c>
      <c r="C695" s="44">
        <f>(W695*'Settings'!$C$29)+(X695*'Settings'!$C$21)+(Y695*'Settings'!$C$22)+(AA695*'Settings'!$C$24)+(AB695*'Settings'!$C$25)+(Z695*'Settings'!$C$23)+(AC695*'Settings'!$C$26)+(AD695*'Settings'!$C$28)</f>
        <v>-1.83440542728758</v>
      </c>
      <c r="D695" s="48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>
        <f>(VLOOKUP($A695,'The List'!$B1:$AR730,35,FALSE)-AVERAGE('The List'!AJ2:AJ730))/STDEV('The List'!AJ2:AJ730)</f>
        <v>-0.152126544296579</v>
      </c>
      <c r="X695" s="46">
        <f>(VLOOKUP($A695,'The List'!$B1:$AR730,36,FALSE)-AVERAGE('The List'!AK2:AK730))/STDEV('The List'!AK2:AK730)</f>
        <v>-0.5990673544701079</v>
      </c>
      <c r="Y695" s="46">
        <f>(VLOOKUP($A695,'The List'!$B1:$AR730,37,FALSE)-AVERAGE('The List'!AL2:AL730))/STDEV('The List'!AL2:AL730)*-1</f>
        <v>-0.564532201729708</v>
      </c>
      <c r="Z695" s="46">
        <f>(VLOOKUP($A695,'The List'!$B1:$AR730,38,FALSE)-AVERAGE('The List'!AM2:AM730))/STDEV('The List'!AM2:AM730)</f>
        <v>-0.152126544296579</v>
      </c>
      <c r="AA695" s="46">
        <f>(VLOOKUP($A695,'The List'!$B1:$AR730,39,FALSE)-AVERAGE('The List'!AN2:AN730))/STDEV('The List'!AN2:AN730)</f>
        <v>-0.414479596168262</v>
      </c>
      <c r="AB695" s="46">
        <f>(VLOOKUP($A695,'The List'!$B1:$AR730,40,FALSE)-AVERAGE('The List'!AO2:AO730))/STDEV('The List'!AO2:AO730)</f>
        <v>-0.124441508588874</v>
      </c>
      <c r="AC695" s="46">
        <f>(VLOOKUP($A695,'The List'!$B1:$AR730,42,FALSE)-AVERAGE('The List'!AQ2:AQ730))/STDEV('The List'!AQ2:AQ730)</f>
        <v>-0.301288742640092</v>
      </c>
      <c r="AD695" s="46">
        <f>(VLOOKUP($A695,'The List'!$B1:$AR730,43,FALSE)-AVERAGE('The List'!AR2:AR730))/STDEV('The List'!AR2:AR730)*-1</f>
        <v>-0.51956973400912</v>
      </c>
      <c r="AE695" s="46"/>
    </row>
    <row r="696" ht="21.25" customHeight="1">
      <c r="A696" t="s" s="8">
        <v>877</v>
      </c>
      <c r="B696" t="s" s="42">
        <f>VLOOKUP(A696,'Player Data'!A1:B734,2,FALSE)</f>
        <v>258</v>
      </c>
      <c r="C696" s="44">
        <f>(W696*'Settings'!$C$29)+(X696*'Settings'!$C$21)+(Y696*'Settings'!$C$22)+(AA696*'Settings'!$C$24)+(AB696*'Settings'!$C$25)+(Z696*'Settings'!$C$23)+(AC696*'Settings'!$C$26)+(AD696*'Settings'!$C$28)</f>
        <v>-4.61633424691055</v>
      </c>
      <c r="D696" s="48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>
        <f>(VLOOKUP($A696,'The List'!$B1:$AR730,35,FALSE)-AVERAGE('The List'!AJ2:AJ730))/STDEV('The List'!AJ2:AJ730)</f>
        <v>-1.26885436108823</v>
      </c>
      <c r="X696" s="46">
        <f>(VLOOKUP($A696,'The List'!$B1:$AR730,36,FALSE)-AVERAGE('The List'!AK2:AK730))/STDEV('The List'!AK2:AK730)</f>
        <v>-1.31420128815754</v>
      </c>
      <c r="Y696" s="46">
        <f>(VLOOKUP($A696,'The List'!$B1:$AR730,37,FALSE)-AVERAGE('The List'!AL2:AL730))/STDEV('The List'!AL2:AL730)*-1</f>
        <v>0.900216961007018</v>
      </c>
      <c r="Z696" s="46">
        <f>(VLOOKUP($A696,'The List'!$B1:$AR730,38,FALSE)-AVERAGE('The List'!AM2:AM730))/STDEV('The List'!AM2:AM730)</f>
        <v>-1.26885436108823</v>
      </c>
      <c r="AA696" s="46">
        <f>(VLOOKUP($A696,'The List'!$B1:$AR730,39,FALSE)-AVERAGE('The List'!AN2:AN730))/STDEV('The List'!AN2:AN730)</f>
        <v>-1.07373370711535</v>
      </c>
      <c r="AB696" s="46">
        <f>(VLOOKUP($A696,'The List'!$B1:$AR730,40,FALSE)-AVERAGE('The List'!AO2:AO730))/STDEV('The List'!AO2:AO730)</f>
        <v>-1.24634771274485</v>
      </c>
      <c r="AC696" s="46">
        <f>(VLOOKUP($A696,'The List'!$B1:$AR730,42,FALSE)-AVERAGE('The List'!AQ2:AQ730))/STDEV('The List'!AQ2:AQ730)</f>
        <v>-1.05022635683487</v>
      </c>
      <c r="AD696" s="46">
        <f>(VLOOKUP($A696,'The List'!$B1:$AR730,43,FALSE)-AVERAGE('The List'!AR2:AR730))/STDEV('The List'!AR2:AR730)*-1</f>
        <v>-1.17817289480279</v>
      </c>
      <c r="AE696" s="46"/>
    </row>
    <row r="697" ht="21.25" customHeight="1">
      <c r="A697" t="s" s="8">
        <v>320</v>
      </c>
      <c r="B697" t="s" s="42">
        <f>VLOOKUP(A697,'Player Data'!A1:B734,2,FALSE)</f>
        <v>127</v>
      </c>
      <c r="C697" s="44">
        <f>(W697*'Settings'!$C$29)+(X697*'Settings'!$C$21)+(Y697*'Settings'!$C$22)+(AA697*'Settings'!$C$24)+(AB697*'Settings'!$C$25)+(Z697*'Settings'!$C$23)+(AC697*'Settings'!$C$26)+(AD697*'Settings'!$C$28)</f>
        <v>3.78151816976793</v>
      </c>
      <c r="D697" s="48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>
        <f>(VLOOKUP($A697,'The List'!$B1:$AR730,35,FALSE)-AVERAGE('The List'!AJ2:AJ730))/STDEV('The List'!AJ2:AJ730)</f>
        <v>0.716439535430257</v>
      </c>
      <c r="X697" s="46">
        <f>(VLOOKUP($A697,'The List'!$B1:$AR730,36,FALSE)-AVERAGE('The List'!AK2:AK730))/STDEV('The List'!AK2:AK730)</f>
        <v>1.03831601770278</v>
      </c>
      <c r="Y697" s="46">
        <f>(VLOOKUP($A697,'The List'!$B1:$AR730,37,FALSE)-AVERAGE('The List'!AL2:AL730))/STDEV('The List'!AL2:AL730)*-1</f>
        <v>-0.0570373820538299</v>
      </c>
      <c r="Z697" s="46">
        <f>(VLOOKUP($A697,'The List'!$B1:$AR730,38,FALSE)-AVERAGE('The List'!AM2:AM730))/STDEV('The List'!AM2:AM730)</f>
        <v>0.716439535430257</v>
      </c>
      <c r="AA697" s="46">
        <f>(VLOOKUP($A697,'The List'!$B1:$AR730,39,FALSE)-AVERAGE('The List'!AN2:AN730))/STDEV('The List'!AN2:AN730)</f>
        <v>0.899174537224265</v>
      </c>
      <c r="AB697" s="46">
        <f>(VLOOKUP($A697,'The List'!$B1:$AR730,40,FALSE)-AVERAGE('The List'!AO2:AO730))/STDEV('The List'!AO2:AO730)</f>
        <v>0.614691826756087</v>
      </c>
      <c r="AC697" s="46">
        <f>(VLOOKUP($A697,'The List'!$B1:$AR730,42,FALSE)-AVERAGE('The List'!AQ2:AQ730))/STDEV('The List'!AQ2:AQ730)</f>
        <v>0.736140573678235</v>
      </c>
      <c r="AD697" s="46">
        <f>(VLOOKUP($A697,'The List'!$B1:$AR730,43,FALSE)-AVERAGE('The List'!AR2:AR730))/STDEV('The List'!AR2:AR730)*-1</f>
        <v>1.10788704116265</v>
      </c>
      <c r="AE697" s="46"/>
    </row>
    <row r="698" ht="21.25" customHeight="1">
      <c r="A698" t="s" s="8">
        <v>566</v>
      </c>
      <c r="B698" t="s" s="42">
        <f>VLOOKUP(A698,'Player Data'!A1:B734,2,FALSE)</f>
        <v>127</v>
      </c>
      <c r="C698" s="44">
        <f>(W698*'Settings'!$C$29)+(X698*'Settings'!$C$21)+(Y698*'Settings'!$C$22)+(AA698*'Settings'!$C$24)+(AB698*'Settings'!$C$25)+(Z698*'Settings'!$C$23)+(AC698*'Settings'!$C$26)+(AD698*'Settings'!$C$28)</f>
        <v>0.9694276876586549</v>
      </c>
      <c r="D698" s="48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>
        <f>(VLOOKUP($A698,'The List'!$B1:$AR730,35,FALSE)-AVERAGE('The List'!AJ2:AJ730))/STDEV('The List'!AJ2:AJ730)</f>
        <v>-0.152126544296579</v>
      </c>
      <c r="X698" s="46">
        <f>(VLOOKUP($A698,'The List'!$B1:$AR730,36,FALSE)-AVERAGE('The List'!AK2:AK730))/STDEV('The List'!AK2:AK730)</f>
        <v>0.167790377103105</v>
      </c>
      <c r="Y698" s="46">
        <f>(VLOOKUP($A698,'The List'!$B1:$AR730,37,FALSE)-AVERAGE('The List'!AL2:AL730))/STDEV('The List'!AL2:AL730)*-1</f>
        <v>0.6034809025317101</v>
      </c>
      <c r="Z698" s="46">
        <f>(VLOOKUP($A698,'The List'!$B1:$AR730,38,FALSE)-AVERAGE('The List'!AM2:AM730))/STDEV('The List'!AM2:AM730)</f>
        <v>-0.152126544296579</v>
      </c>
      <c r="AA698" s="46">
        <f>(VLOOKUP($A698,'The List'!$B1:$AR730,39,FALSE)-AVERAGE('The List'!AN2:AN730))/STDEV('The List'!AN2:AN730)</f>
        <v>-0.0607285459324577</v>
      </c>
      <c r="AB698" s="46">
        <f>(VLOOKUP($A698,'The List'!$B1:$AR730,40,FALSE)-AVERAGE('The List'!AO2:AO730))/STDEV('The List'!AO2:AO730)</f>
        <v>-0.201363256709681</v>
      </c>
      <c r="AC698" s="46">
        <f>(VLOOKUP($A698,'The List'!$B1:$AR730,42,FALSE)-AVERAGE('The List'!AQ2:AQ730))/STDEV('The List'!AQ2:AQ730)</f>
        <v>0.275332611137392</v>
      </c>
      <c r="AD698" s="46">
        <f>(VLOOKUP($A698,'The List'!$B1:$AR730,43,FALSE)-AVERAGE('The List'!AR2:AR730))/STDEV('The List'!AR2:AR730)*-1</f>
        <v>0.587033245350616</v>
      </c>
      <c r="AE698" s="46"/>
    </row>
    <row r="699" ht="21.25" customHeight="1">
      <c r="A699" t="s" s="8">
        <v>174</v>
      </c>
      <c r="B699" t="s" s="42">
        <f>VLOOKUP(A699,'Player Data'!A1:B734,2,FALSE)</f>
        <v>131</v>
      </c>
      <c r="C699" s="44">
        <f>(W699*'Settings'!$C$29)+(X699*'Settings'!$C$21)+(Y699*'Settings'!$C$22)+(AA699*'Settings'!$C$24)+(AB699*'Settings'!$C$25)+(Z699*'Settings'!$C$23)+(AC699*'Settings'!$C$26)+(AD699*'Settings'!$C$28)</f>
        <v>6.26007212873455</v>
      </c>
      <c r="D699" s="48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>
        <f>(VLOOKUP($A699,'The List'!$B1:$AR730,35,FALSE)-AVERAGE('The List'!AJ2:AJ730))/STDEV('The List'!AJ2:AJ730)</f>
        <v>1.58500561515709</v>
      </c>
      <c r="X699" s="46">
        <f>(VLOOKUP($A699,'The List'!$B1:$AR730,36,FALSE)-AVERAGE('The List'!AK2:AK730))/STDEV('The List'!AK2:AK730)</f>
        <v>1.16949915678647</v>
      </c>
      <c r="Y699" s="46">
        <f>(VLOOKUP($A699,'The List'!$B1:$AR730,37,FALSE)-AVERAGE('The List'!AL2:AL730))/STDEV('The List'!AL2:AL730)*-1</f>
        <v>-1.84365989008702</v>
      </c>
      <c r="Z699" s="46">
        <f>(VLOOKUP($A699,'The List'!$B1:$AR730,38,FALSE)-AVERAGE('The List'!AM2:AM730))/STDEV('The List'!AM2:AM730)</f>
        <v>1.58500561515709</v>
      </c>
      <c r="AA699" s="46">
        <f>(VLOOKUP($A699,'The List'!$B1:$AR730,39,FALSE)-AVERAGE('The List'!AN2:AN730))/STDEV('The List'!AN2:AN730)</f>
        <v>1.9176288572804</v>
      </c>
      <c r="AB699" s="46">
        <f>(VLOOKUP($A699,'The List'!$B1:$AR730,40,FALSE)-AVERAGE('The List'!AO2:AO730))/STDEV('The List'!AO2:AO730)</f>
        <v>1.63398029223694</v>
      </c>
      <c r="AC699" s="46">
        <f>(VLOOKUP($A699,'The List'!$B1:$AR730,42,FALSE)-AVERAGE('The List'!AQ2:AQ730))/STDEV('The List'!AQ2:AQ730)</f>
        <v>1.77086503659942</v>
      </c>
      <c r="AD699" s="46">
        <f>(VLOOKUP($A699,'The List'!$B1:$AR730,43,FALSE)-AVERAGE('The List'!AR2:AR730))/STDEV('The List'!AR2:AR730)*-1</f>
        <v>1.40207907806826</v>
      </c>
      <c r="AE699" s="46"/>
    </row>
    <row r="700" ht="21.25" customHeight="1">
      <c r="A700" t="s" s="8">
        <v>867</v>
      </c>
      <c r="B700" t="s" s="42">
        <f>VLOOKUP(A700,'Player Data'!A1:B734,2,FALSE)</f>
        <v>131</v>
      </c>
      <c r="C700" s="44">
        <f>(W700*'Settings'!$C$29)+(X700*'Settings'!$C$21)+(Y700*'Settings'!$C$22)+(AA700*'Settings'!$C$24)+(AB700*'Settings'!$C$25)+(Z700*'Settings'!$C$23)+(AC700*'Settings'!$C$26)+(AD700*'Settings'!$C$28)</f>
        <v>-3.86708073021523</v>
      </c>
      <c r="D700" s="48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>
        <f>(VLOOKUP($A700,'The List'!$B1:$AR730,35,FALSE)-AVERAGE('The List'!AJ2:AJ730))/STDEV('The List'!AJ2:AJ730)</f>
        <v>-1.14477349255582</v>
      </c>
      <c r="X700" s="46">
        <f>(VLOOKUP($A700,'The List'!$B1:$AR730,36,FALSE)-AVERAGE('The List'!AK2:AK730))/STDEV('The List'!AK2:AK730)</f>
        <v>-1.13884147483417</v>
      </c>
      <c r="Y700" s="46">
        <f>(VLOOKUP($A700,'The List'!$B1:$AR730,37,FALSE)-AVERAGE('The List'!AL2:AL730))/STDEV('The List'!AL2:AL730)*-1</f>
        <v>0.883534598676562</v>
      </c>
      <c r="Z700" s="46">
        <f>(VLOOKUP($A700,'The List'!$B1:$AR730,38,FALSE)-AVERAGE('The List'!AM2:AM730))/STDEV('The List'!AM2:AM730)</f>
        <v>-1.14477349255582</v>
      </c>
      <c r="AA700" s="46">
        <f>(VLOOKUP($A700,'The List'!$B1:$AR730,39,FALSE)-AVERAGE('The List'!AN2:AN730))/STDEV('The List'!AN2:AN730)</f>
        <v>-0.989076731580381</v>
      </c>
      <c r="AB700" s="46">
        <f>(VLOOKUP($A700,'The List'!$B1:$AR730,40,FALSE)-AVERAGE('The List'!AO2:AO730))/STDEV('The List'!AO2:AO730)</f>
        <v>-1.11821669607789</v>
      </c>
      <c r="AC700" s="46">
        <f>(VLOOKUP($A700,'The List'!$B1:$AR730,42,FALSE)-AVERAGE('The List'!AQ2:AQ730))/STDEV('The List'!AQ2:AQ730)</f>
        <v>-0.767600295278304</v>
      </c>
      <c r="AD700" s="46">
        <f>(VLOOKUP($A700,'The List'!$B1:$AR730,43,FALSE)-AVERAGE('The List'!AR2:AR730))/STDEV('The List'!AR2:AR730)*-1</f>
        <v>-0.9715622285223789</v>
      </c>
      <c r="AE700" s="46"/>
    </row>
    <row r="701" ht="21.25" customHeight="1">
      <c r="A701" t="s" s="8">
        <v>148</v>
      </c>
      <c r="B701" t="s" s="42">
        <f>VLOOKUP(A701,'Player Data'!A1:B734,2,FALSE)</f>
        <v>149</v>
      </c>
      <c r="C701" s="44">
        <f>(W701*'Settings'!$C$29)+(X701*'Settings'!$C$21)+(Y701*'Settings'!$C$22)+(AA701*'Settings'!$C$24)+(AB701*'Settings'!$C$25)+(Z701*'Settings'!$C$23)+(AC701*'Settings'!$C$26)+(AD701*'Settings'!$C$28)</f>
        <v>8.66052006172804</v>
      </c>
      <c r="D701" s="48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>
        <f>(VLOOKUP($A701,'The List'!$B1:$AR730,35,FALSE)-AVERAGE('The List'!AJ2:AJ730))/STDEV('The List'!AJ2:AJ730)</f>
        <v>1.58500561515709</v>
      </c>
      <c r="X701" s="46">
        <f>(VLOOKUP($A701,'The List'!$B1:$AR730,36,FALSE)-AVERAGE('The List'!AK2:AK730))/STDEV('The List'!AK2:AK730)</f>
        <v>1.49823590773892</v>
      </c>
      <c r="Y701" s="46">
        <f>(VLOOKUP($A701,'The List'!$B1:$AR730,37,FALSE)-AVERAGE('The List'!AL2:AL730))/STDEV('The List'!AL2:AL730)*-1</f>
        <v>-1.34295576055172</v>
      </c>
      <c r="Z701" s="46">
        <f>(VLOOKUP($A701,'The List'!$B1:$AR730,38,FALSE)-AVERAGE('The List'!AM2:AM730))/STDEV('The List'!AM2:AM730)</f>
        <v>1.58500561515709</v>
      </c>
      <c r="AA701" s="46">
        <f>(VLOOKUP($A701,'The List'!$B1:$AR730,39,FALSE)-AVERAGE('The List'!AN2:AN730))/STDEV('The List'!AN2:AN730)</f>
        <v>2.41692914513902</v>
      </c>
      <c r="AB701" s="46">
        <f>(VLOOKUP($A701,'The List'!$B1:$AR730,40,FALSE)-AVERAGE('The List'!AO2:AO730))/STDEV('The List'!AO2:AO730)</f>
        <v>1.57616761880094</v>
      </c>
      <c r="AC701" s="46">
        <f>(VLOOKUP($A701,'The List'!$B1:$AR730,42,FALSE)-AVERAGE('The List'!AQ2:AQ730))/STDEV('The List'!AQ2:AQ730)</f>
        <v>2.48198400061581</v>
      </c>
      <c r="AD701" s="46">
        <f>(VLOOKUP($A701,'The List'!$B1:$AR730,43,FALSE)-AVERAGE('The List'!AR2:AR730))/STDEV('The List'!AR2:AR730)*-1</f>
        <v>2.26337100823429</v>
      </c>
      <c r="AE701" s="46"/>
    </row>
    <row r="702" ht="21.25" customHeight="1">
      <c r="A702" t="s" s="8">
        <v>818</v>
      </c>
      <c r="B702" t="s" s="42">
        <f>VLOOKUP(A702,'Player Data'!A1:B734,2,FALSE)</f>
        <v>149</v>
      </c>
      <c r="C702" s="44">
        <f>(W702*'Settings'!$C$29)+(X702*'Settings'!$C$21)+(Y702*'Settings'!$C$22)+(AA702*'Settings'!$C$24)+(AB702*'Settings'!$C$25)+(Z702*'Settings'!$C$23)+(AC702*'Settings'!$C$26)+(AD702*'Settings'!$C$28)</f>
        <v>-2.36980778873178</v>
      </c>
      <c r="D702" s="48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>
        <f>(VLOOKUP($A702,'The List'!$B1:$AR730,35,FALSE)-AVERAGE('The List'!AJ2:AJ730))/STDEV('The List'!AJ2:AJ730)</f>
        <v>-0.89661175549101</v>
      </c>
      <c r="X702" s="46">
        <f>(VLOOKUP($A702,'The List'!$B1:$AR730,36,FALSE)-AVERAGE('The List'!AK2:AK730))/STDEV('The List'!AK2:AK730)</f>
        <v>-0.877075320504373</v>
      </c>
      <c r="Y702" s="46">
        <f>(VLOOKUP($A702,'The List'!$B1:$AR730,37,FALSE)-AVERAGE('The List'!AL2:AL730))/STDEV('The List'!AL2:AL730)*-1</f>
        <v>0.714683437538558</v>
      </c>
      <c r="Z702" s="46">
        <f>(VLOOKUP($A702,'The List'!$B1:$AR730,38,FALSE)-AVERAGE('The List'!AM2:AM730))/STDEV('The List'!AM2:AM730)</f>
        <v>-0.89661175549101</v>
      </c>
      <c r="AA702" s="46">
        <f>(VLOOKUP($A702,'The List'!$B1:$AR730,39,FALSE)-AVERAGE('The List'!AN2:AN730))/STDEV('The List'!AN2:AN730)</f>
        <v>-0.724233626068804</v>
      </c>
      <c r="AB702" s="46">
        <f>(VLOOKUP($A702,'The List'!$B1:$AR730,40,FALSE)-AVERAGE('The List'!AO2:AO730))/STDEV('The List'!AO2:AO730)</f>
        <v>-0.905030043280954</v>
      </c>
      <c r="AC702" s="46">
        <f>(VLOOKUP($A702,'The List'!$B1:$AR730,42,FALSE)-AVERAGE('The List'!AQ2:AQ730))/STDEV('The List'!AQ2:AQ730)</f>
        <v>-0.489894221949866</v>
      </c>
      <c r="AD702" s="46">
        <f>(VLOOKUP($A702,'The List'!$B1:$AR730,43,FALSE)-AVERAGE('The List'!AR2:AR730))/STDEV('The List'!AR2:AR730)*-1</f>
        <v>-0.27860462020874</v>
      </c>
      <c r="AE702" s="46"/>
    </row>
    <row r="703" ht="21.25" customHeight="1">
      <c r="A703" t="s" s="8">
        <v>153</v>
      </c>
      <c r="B703" t="s" s="42">
        <f>VLOOKUP(A703,'Player Data'!A1:B734,2,FALSE)</f>
        <v>151</v>
      </c>
      <c r="C703" s="44">
        <f>(W703*'Settings'!$C$29)+(X703*'Settings'!$C$21)+(Y703*'Settings'!$C$22)+(AA703*'Settings'!$C$24)+(AB703*'Settings'!$C$25)+(Z703*'Settings'!$C$23)+(AC703*'Settings'!$C$26)+(AD703*'Settings'!$C$28)</f>
        <v>9.208907083113809</v>
      </c>
      <c r="D703" s="48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>
        <f>(VLOOKUP($A703,'The List'!$B1:$AR730,35,FALSE)-AVERAGE('The List'!AJ2:AJ730))/STDEV('The List'!AJ2:AJ730)</f>
        <v>1.33684387809228</v>
      </c>
      <c r="X703" s="46">
        <f>(VLOOKUP($A703,'The List'!$B1:$AR730,36,FALSE)-AVERAGE('The List'!AK2:AK730))/STDEV('The List'!AK2:AK730)</f>
        <v>2.00368973224487</v>
      </c>
      <c r="Y703" s="46">
        <f>(VLOOKUP($A703,'The List'!$B1:$AR730,37,FALSE)-AVERAGE('The List'!AL2:AL730))/STDEV('The List'!AL2:AL730)*-1</f>
        <v>-0.00553975063412044</v>
      </c>
      <c r="Z703" s="46">
        <f>(VLOOKUP($A703,'The List'!$B1:$AR730,38,FALSE)-AVERAGE('The List'!AM2:AM730))/STDEV('The List'!AM2:AM730)</f>
        <v>1.33684387809228</v>
      </c>
      <c r="AA703" s="46">
        <f>(VLOOKUP($A703,'The List'!$B1:$AR730,39,FALSE)-AVERAGE('The List'!AN2:AN730))/STDEV('The List'!AN2:AN730)</f>
        <v>2.13093823096723</v>
      </c>
      <c r="AB703" s="46">
        <f>(VLOOKUP($A703,'The List'!$B1:$AR730,40,FALSE)-AVERAGE('The List'!AO2:AO730))/STDEV('The List'!AO2:AO730)</f>
        <v>1.36252790099204</v>
      </c>
      <c r="AC703" s="46">
        <f>(VLOOKUP($A703,'The List'!$B1:$AR730,42,FALSE)-AVERAGE('The List'!AQ2:AQ730))/STDEV('The List'!AQ2:AQ730)</f>
        <v>2.7094812771817</v>
      </c>
      <c r="AD703" s="46">
        <f>(VLOOKUP($A703,'The List'!$B1:$AR730,43,FALSE)-AVERAGE('The List'!AR2:AR730))/STDEV('The List'!AR2:AR730)*-1</f>
        <v>2.36479784272001</v>
      </c>
      <c r="AE703" s="46"/>
    </row>
    <row r="704" ht="21.25" customHeight="1">
      <c r="A704" t="s" s="8">
        <v>794</v>
      </c>
      <c r="B704" t="s" s="42">
        <f>VLOOKUP(A704,'Player Data'!A1:B734,2,FALSE)</f>
        <v>151</v>
      </c>
      <c r="C704" s="44">
        <f>(W704*'Settings'!$C$29)+(X704*'Settings'!$C$21)+(Y704*'Settings'!$C$22)+(AA704*'Settings'!$C$24)+(AB704*'Settings'!$C$25)+(Z704*'Settings'!$C$23)+(AC704*'Settings'!$C$26)+(AD704*'Settings'!$C$28)</f>
        <v>-3.91645427360008</v>
      </c>
      <c r="D704" s="48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>
        <f>(VLOOKUP($A704,'The List'!$B1:$AR730,35,FALSE)-AVERAGE('The List'!AJ2:AJ730))/STDEV('The List'!AJ2:AJ730)</f>
        <v>-0.648450018426199</v>
      </c>
      <c r="X704" s="46">
        <f>(VLOOKUP($A704,'The List'!$B1:$AR730,36,FALSE)-AVERAGE('The List'!AK2:AK730))/STDEV('The List'!AK2:AK730)</f>
        <v>-0.454627895429027</v>
      </c>
      <c r="Y704" s="46">
        <f>(VLOOKUP($A704,'The List'!$B1:$AR730,37,FALSE)-AVERAGE('The List'!AL2:AL730))/STDEV('The List'!AL2:AL730)*-1</f>
        <v>0.79056845380749</v>
      </c>
      <c r="Z704" s="46">
        <f>(VLOOKUP($A704,'The List'!$B1:$AR730,38,FALSE)-AVERAGE('The List'!AM2:AM730))/STDEV('The List'!AM2:AM730)</f>
        <v>-0.648450018426199</v>
      </c>
      <c r="AA704" s="46">
        <f>(VLOOKUP($A704,'The List'!$B1:$AR730,39,FALSE)-AVERAGE('The List'!AN2:AN730))/STDEV('The List'!AN2:AN730)</f>
        <v>-0.828716964254578</v>
      </c>
      <c r="AB704" s="46">
        <f>(VLOOKUP($A704,'The List'!$B1:$AR730,40,FALSE)-AVERAGE('The List'!AO2:AO730))/STDEV('The List'!AO2:AO730)</f>
        <v>-0.676740509720249</v>
      </c>
      <c r="AC704" s="46">
        <f>(VLOOKUP($A704,'The List'!$B1:$AR730,42,FALSE)-AVERAGE('The List'!AQ2:AQ730))/STDEV('The List'!AQ2:AQ730)</f>
        <v>-1.51584328321269</v>
      </c>
      <c r="AD704" s="46">
        <f>(VLOOKUP($A704,'The List'!$B1:$AR730,43,FALSE)-AVERAGE('The List'!AR2:AR730))/STDEV('The List'!AR2:AR730)*-1</f>
        <v>-1.11726613070378</v>
      </c>
      <c r="AE704" s="46"/>
    </row>
    <row r="705" ht="21.25" customHeight="1">
      <c r="A705" t="s" s="8">
        <v>363</v>
      </c>
      <c r="B705" t="s" s="42">
        <f>VLOOKUP(A705,'Player Data'!A1:B734,2,FALSE)</f>
        <v>173</v>
      </c>
      <c r="C705" s="44">
        <f>(W705*'Settings'!$C$29)+(X705*'Settings'!$C$21)+(Y705*'Settings'!$C$22)+(AA705*'Settings'!$C$24)+(AB705*'Settings'!$C$25)+(Z705*'Settings'!$C$23)+(AC705*'Settings'!$C$26)+(AD705*'Settings'!$C$28)</f>
        <v>1.3834206863343</v>
      </c>
      <c r="D705" s="48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>
        <f>(VLOOKUP($A705,'The List'!$B1:$AR730,35,FALSE)-AVERAGE('The List'!AJ2:AJ730))/STDEV('The List'!AJ2:AJ730)</f>
        <v>0.592358666897852</v>
      </c>
      <c r="X705" s="46">
        <f>(VLOOKUP($A705,'The List'!$B1:$AR730,36,FALSE)-AVERAGE('The List'!AK2:AK730))/STDEV('The List'!AK2:AK730)</f>
        <v>0.603369604795178</v>
      </c>
      <c r="Y705" s="46">
        <f>(VLOOKUP($A705,'The List'!$B1:$AR730,37,FALSE)-AVERAGE('The List'!AL2:AL730))/STDEV('The List'!AL2:AL730)*-1</f>
        <v>-0.43573546321583</v>
      </c>
      <c r="Z705" s="46">
        <f>(VLOOKUP($A705,'The List'!$B1:$AR730,38,FALSE)-AVERAGE('The List'!AM2:AM730))/STDEV('The List'!AM2:AM730)</f>
        <v>0.592358666897852</v>
      </c>
      <c r="AA705" s="46">
        <f>(VLOOKUP($A705,'The List'!$B1:$AR730,39,FALSE)-AVERAGE('The List'!AN2:AN730))/STDEV('The List'!AN2:AN730)</f>
        <v>0.363256961357185</v>
      </c>
      <c r="AB705" s="46">
        <f>(VLOOKUP($A705,'The List'!$B1:$AR730,40,FALSE)-AVERAGE('The List'!AO2:AO730))/STDEV('The List'!AO2:AO730)</f>
        <v>0.552865731708989</v>
      </c>
      <c r="AC705" s="46">
        <f>(VLOOKUP($A705,'The List'!$B1:$AR730,42,FALSE)-AVERAGE('The List'!AQ2:AQ730))/STDEV('The List'!AQ2:AQ730)</f>
        <v>0.146949422650663</v>
      </c>
      <c r="AD705" s="46">
        <f>(VLOOKUP($A705,'The List'!$B1:$AR730,43,FALSE)-AVERAGE('The List'!AR2:AR730))/STDEV('The List'!AR2:AR730)*-1</f>
        <v>0.269844697531274</v>
      </c>
      <c r="AE705" s="46"/>
    </row>
    <row r="706" ht="21.25" customHeight="1">
      <c r="A706" t="s" s="8">
        <v>525</v>
      </c>
      <c r="B706" t="s" s="42">
        <f>VLOOKUP(A706,'Player Data'!A1:B734,2,FALSE)</f>
        <v>173</v>
      </c>
      <c r="C706" s="44">
        <f>(W706*'Settings'!$C$29)+(X706*'Settings'!$C$21)+(Y706*'Settings'!$C$22)+(AA706*'Settings'!$C$24)+(AB706*'Settings'!$C$25)+(Z706*'Settings'!$C$23)+(AC706*'Settings'!$C$26)+(AD706*'Settings'!$C$28)</f>
        <v>0.752894343966607</v>
      </c>
      <c r="D706" s="48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>
        <f>(VLOOKUP($A706,'The List'!$B1:$AR730,35,FALSE)-AVERAGE('The List'!AJ2:AJ730))/STDEV('The List'!AJ2:AJ730)</f>
        <v>-0.0280456757641738</v>
      </c>
      <c r="X706" s="46">
        <f>(VLOOKUP($A706,'The List'!$B1:$AR730,36,FALSE)-AVERAGE('The List'!AK2:AK730))/STDEV('The List'!AK2:AK730)</f>
        <v>0.0591511322710708</v>
      </c>
      <c r="Y706" s="46">
        <f>(VLOOKUP($A706,'The List'!$B1:$AR730,37,FALSE)-AVERAGE('The List'!AL2:AL730))/STDEV('The List'!AL2:AL730)*-1</f>
        <v>0.15423509607596</v>
      </c>
      <c r="Z706" s="46">
        <f>(VLOOKUP($A706,'The List'!$B1:$AR730,38,FALSE)-AVERAGE('The List'!AM2:AM730))/STDEV('The List'!AM2:AM730)</f>
        <v>-0.0280456757641738</v>
      </c>
      <c r="AA706" s="46">
        <f>(VLOOKUP($A706,'The List'!$B1:$AR730,39,FALSE)-AVERAGE('The List'!AN2:AN730))/STDEV('The List'!AN2:AN730)</f>
        <v>0.0131307266546625</v>
      </c>
      <c r="AB706" s="46">
        <f>(VLOOKUP($A706,'The List'!$B1:$AR730,40,FALSE)-AVERAGE('The List'!AO2:AO730))/STDEV('The List'!AO2:AO730)</f>
        <v>-0.0508593363736951</v>
      </c>
      <c r="AC706" s="46">
        <f>(VLOOKUP($A706,'The List'!$B1:$AR730,42,FALSE)-AVERAGE('The List'!AQ2:AQ730))/STDEV('The List'!AQ2:AQ730)</f>
        <v>0.289160815743144</v>
      </c>
      <c r="AD706" s="46">
        <f>(VLOOKUP($A706,'The List'!$B1:$AR730,43,FALSE)-AVERAGE('The List'!AR2:AR730))/STDEV('The List'!AR2:AR730)*-1</f>
        <v>0.39145166929773</v>
      </c>
      <c r="AE706" s="46"/>
    </row>
    <row r="707" ht="21.25" customHeight="1">
      <c r="A707" t="s" s="8">
        <v>341</v>
      </c>
      <c r="B707" t="s" s="42">
        <f>VLOOKUP(A707,'Player Data'!A1:B734,2,FALSE)</f>
        <v>236</v>
      </c>
      <c r="C707" s="44">
        <f>(W707*'Settings'!$C$29)+(X707*'Settings'!$C$21)+(Y707*'Settings'!$C$22)+(AA707*'Settings'!$C$24)+(AB707*'Settings'!$C$25)+(Z707*'Settings'!$C$23)+(AC707*'Settings'!$C$26)+(AD707*'Settings'!$C$28)</f>
        <v>1.24882333162838</v>
      </c>
      <c r="D707" s="48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>
        <f>(VLOOKUP($A707,'The List'!$B1:$AR730,35,FALSE)-AVERAGE('The List'!AJ2:AJ730))/STDEV('The List'!AJ2:AJ730)</f>
        <v>0.840520403962662</v>
      </c>
      <c r="X707" s="46">
        <f>(VLOOKUP($A707,'The List'!$B1:$AR730,36,FALSE)-AVERAGE('The List'!AK2:AK730))/STDEV('The List'!AK2:AK730)</f>
        <v>0.0738898904991067</v>
      </c>
      <c r="Y707" s="46">
        <f>(VLOOKUP($A707,'The List'!$B1:$AR730,37,FALSE)-AVERAGE('The List'!AL2:AL730))/STDEV('The List'!AL2:AL730)*-1</f>
        <v>-1.80974568475966</v>
      </c>
      <c r="Z707" s="46">
        <f>(VLOOKUP($A707,'The List'!$B1:$AR730,38,FALSE)-AVERAGE('The List'!AM2:AM730))/STDEV('The List'!AM2:AM730)</f>
        <v>0.840520403962662</v>
      </c>
      <c r="AA707" s="46">
        <f>(VLOOKUP($A707,'The List'!$B1:$AR730,39,FALSE)-AVERAGE('The List'!AN2:AN730))/STDEV('The List'!AN2:AN730)</f>
        <v>0.579960615667841</v>
      </c>
      <c r="AB707" s="46">
        <f>(VLOOKUP($A707,'The List'!$B1:$AR730,40,FALSE)-AVERAGE('The List'!AO2:AO730))/STDEV('The List'!AO2:AO730)</f>
        <v>0.8605043604524411</v>
      </c>
      <c r="AC707" s="46">
        <f>(VLOOKUP($A707,'The List'!$B1:$AR730,42,FALSE)-AVERAGE('The List'!AQ2:AQ730))/STDEV('The List'!AQ2:AQ730)</f>
        <v>0.397432435259999</v>
      </c>
      <c r="AD707" s="46">
        <f>(VLOOKUP($A707,'The List'!$B1:$AR730,43,FALSE)-AVERAGE('The List'!AR2:AR730))/STDEV('The List'!AR2:AR730)*-1</f>
        <v>0.197540390201437</v>
      </c>
      <c r="AE707" s="46"/>
    </row>
    <row r="708" ht="21.25" customHeight="1">
      <c r="A708" t="s" s="8">
        <v>798</v>
      </c>
      <c r="B708" t="s" s="42">
        <f>VLOOKUP(A708,'Player Data'!A1:B734,2,FALSE)</f>
        <v>236</v>
      </c>
      <c r="C708" s="44">
        <f>(W708*'Settings'!$C$29)+(X708*'Settings'!$C$21)+(Y708*'Settings'!$C$22)+(AA708*'Settings'!$C$24)+(AB708*'Settings'!$C$25)+(Z708*'Settings'!$C$23)+(AC708*'Settings'!$C$26)+(AD708*'Settings'!$C$28)</f>
        <v>-3.84097419860669</v>
      </c>
      <c r="D708" s="48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>
        <f>(VLOOKUP($A708,'The List'!$B1:$AR730,35,FALSE)-AVERAGE('The List'!AJ2:AJ730))/STDEV('The List'!AJ2:AJ730)</f>
        <v>-0.648450018426199</v>
      </c>
      <c r="X708" s="46">
        <f>(VLOOKUP($A708,'The List'!$B1:$AR730,36,FALSE)-AVERAGE('The List'!AK2:AK730))/STDEV('The List'!AK2:AK730)</f>
        <v>-0.932207809005771</v>
      </c>
      <c r="Y708" s="46">
        <f>(VLOOKUP($A708,'The List'!$B1:$AR730,37,FALSE)-AVERAGE('The List'!AL2:AL730))/STDEV('The List'!AL2:AL730)*-1</f>
        <v>0.06315895603101369</v>
      </c>
      <c r="Z708" s="46">
        <f>(VLOOKUP($A708,'The List'!$B1:$AR730,38,FALSE)-AVERAGE('The List'!AM2:AM730))/STDEV('The List'!AM2:AM730)</f>
        <v>-0.648450018426199</v>
      </c>
      <c r="AA708" s="46">
        <f>(VLOOKUP($A708,'The List'!$B1:$AR730,39,FALSE)-AVERAGE('The List'!AN2:AN730))/STDEV('The List'!AN2:AN730)</f>
        <v>-0.832724973519514</v>
      </c>
      <c r="AB708" s="46">
        <f>(VLOOKUP($A708,'The List'!$B1:$AR730,40,FALSE)-AVERAGE('The List'!AO2:AO730))/STDEV('The List'!AO2:AO730)</f>
        <v>-0.622820555043477</v>
      </c>
      <c r="AC708" s="46">
        <f>(VLOOKUP($A708,'The List'!$B1:$AR730,42,FALSE)-AVERAGE('The List'!AQ2:AQ730))/STDEV('The List'!AQ2:AQ730)</f>
        <v>-0.944660536209988</v>
      </c>
      <c r="AD708" s="46">
        <f>(VLOOKUP($A708,'The List'!$B1:$AR730,43,FALSE)-AVERAGE('The List'!AR2:AR730))/STDEV('The List'!AR2:AR730)*-1</f>
        <v>-1.13138087987142</v>
      </c>
      <c r="AE708" s="46"/>
    </row>
    <row r="709" ht="21.25" customHeight="1">
      <c r="A709" t="s" s="8">
        <v>879</v>
      </c>
      <c r="B709" t="s" s="42">
        <f>VLOOKUP(A709,'Player Data'!A1:B734,2,FALSE)</f>
        <v>236</v>
      </c>
      <c r="C709" s="44">
        <f>(W709*'Settings'!$C$29)+(X709*'Settings'!$C$21)+(Y709*'Settings'!$C$22)+(AA709*'Settings'!$C$24)+(AB709*'Settings'!$C$25)+(Z709*'Settings'!$C$23)+(AC709*'Settings'!$C$26)+(AD709*'Settings'!$C$28)</f>
        <v>-5.74647663777647</v>
      </c>
      <c r="D709" s="48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>
        <f>(VLOOKUP($A709,'The List'!$B1:$AR730,35,FALSE)-AVERAGE('The List'!AJ2:AJ730))/STDEV('The List'!AJ2:AJ730)</f>
        <v>-1.51701609815304</v>
      </c>
      <c r="X709" s="46">
        <f>(VLOOKUP($A709,'The List'!$B1:$AR730,36,FALSE)-AVERAGE('The List'!AK2:AK730))/STDEV('The List'!AK2:AK730)</f>
        <v>-1.48116279514013</v>
      </c>
      <c r="Y709" s="46">
        <f>(VLOOKUP($A709,'The List'!$B1:$AR730,37,FALSE)-AVERAGE('The List'!AL2:AL730))/STDEV('The List'!AL2:AL730)*-1</f>
        <v>1.21346657558338</v>
      </c>
      <c r="Z709" s="46">
        <f>(VLOOKUP($A709,'The List'!$B1:$AR730,38,FALSE)-AVERAGE('The List'!AM2:AM730))/STDEV('The List'!AM2:AM730)</f>
        <v>-1.51701609815304</v>
      </c>
      <c r="AA709" s="46">
        <f>(VLOOKUP($A709,'The List'!$B1:$AR730,39,FALSE)-AVERAGE('The List'!AN2:AN730))/STDEV('The List'!AN2:AN730)</f>
        <v>-1.21339839076669</v>
      </c>
      <c r="AB709" s="46">
        <f>(VLOOKUP($A709,'The List'!$B1:$AR730,40,FALSE)-AVERAGE('The List'!AO2:AO730))/STDEV('The List'!AO2:AO730)</f>
        <v>-1.49333401382091</v>
      </c>
      <c r="AC709" s="46">
        <f>(VLOOKUP($A709,'The List'!$B1:$AR730,42,FALSE)-AVERAGE('The List'!AQ2:AQ730))/STDEV('The List'!AQ2:AQ730)</f>
        <v>-1.46318184127443</v>
      </c>
      <c r="AD709" s="46">
        <f>(VLOOKUP($A709,'The List'!$B1:$AR730,43,FALSE)-AVERAGE('The List'!AR2:AR730))/STDEV('The List'!AR2:AR730)*-1</f>
        <v>-1.58873361059522</v>
      </c>
      <c r="AE709" s="46"/>
    </row>
    <row r="710" ht="21.25" customHeight="1">
      <c r="A710" t="s" s="8">
        <v>219</v>
      </c>
      <c r="B710" t="s" s="42">
        <f>VLOOKUP(A710,'Player Data'!A1:B734,2,FALSE)</f>
        <v>170</v>
      </c>
      <c r="C710" s="44">
        <f>(W710*'Settings'!$C$29)+(X710*'Settings'!$C$21)+(Y710*'Settings'!$C$22)+(AA710*'Settings'!$C$24)+(AB710*'Settings'!$C$25)+(Z710*'Settings'!$C$23)+(AC710*'Settings'!$C$26)+(AD710*'Settings'!$C$28)</f>
        <v>5.5871613290634</v>
      </c>
      <c r="D710" s="48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>
        <f>(VLOOKUP($A710,'The List'!$B1:$AR730,35,FALSE)-AVERAGE('The List'!AJ2:AJ730))/STDEV('The List'!AJ2:AJ730)</f>
        <v>1.21276300955988</v>
      </c>
      <c r="X710" s="46">
        <f>(VLOOKUP($A710,'The List'!$B1:$AR730,36,FALSE)-AVERAGE('The List'!AK2:AK730))/STDEV('The List'!AK2:AK730)</f>
        <v>1.2718757610525</v>
      </c>
      <c r="Y710" s="46">
        <f>(VLOOKUP($A710,'The List'!$B1:$AR730,37,FALSE)-AVERAGE('The List'!AL2:AL730))/STDEV('The List'!AL2:AL730)*-1</f>
        <v>-0.83640149140395</v>
      </c>
      <c r="Z710" s="46">
        <f>(VLOOKUP($A710,'The List'!$B1:$AR730,38,FALSE)-AVERAGE('The List'!AM2:AM730))/STDEV('The List'!AM2:AM730)</f>
        <v>1.21276300955988</v>
      </c>
      <c r="AA710" s="46">
        <f>(VLOOKUP($A710,'The List'!$B1:$AR730,39,FALSE)-AVERAGE('The List'!AN2:AN730))/STDEV('The List'!AN2:AN730)</f>
        <v>1.47664138778992</v>
      </c>
      <c r="AB710" s="46">
        <f>(VLOOKUP($A710,'The List'!$B1:$AR730,40,FALSE)-AVERAGE('The List'!AO2:AO730))/STDEV('The List'!AO2:AO730)</f>
        <v>1.18445418507193</v>
      </c>
      <c r="AC710" s="46">
        <f>(VLOOKUP($A710,'The List'!$B1:$AR730,42,FALSE)-AVERAGE('The List'!AQ2:AQ730))/STDEV('The List'!AQ2:AQ730)</f>
        <v>1.45073687043186</v>
      </c>
      <c r="AD710" s="46">
        <f>(VLOOKUP($A710,'The List'!$B1:$AR730,43,FALSE)-AVERAGE('The List'!AR2:AR730))/STDEV('The List'!AR2:AR730)*-1</f>
        <v>1.38790730978912</v>
      </c>
      <c r="AE710" s="46"/>
    </row>
    <row r="711" ht="21.25" customHeight="1">
      <c r="A711" t="s" s="8">
        <v>758</v>
      </c>
      <c r="B711" t="s" s="42">
        <f>VLOOKUP(A711,'Player Data'!A1:B734,2,FALSE)</f>
        <v>170</v>
      </c>
      <c r="C711" s="44">
        <f>(W711*'Settings'!$C$29)+(X711*'Settings'!$C$21)+(Y711*'Settings'!$C$22)+(AA711*'Settings'!$C$24)+(AB711*'Settings'!$C$25)+(Z711*'Settings'!$C$23)+(AC711*'Settings'!$C$26)+(AD711*'Settings'!$C$28)</f>
        <v>-1.61982956080486</v>
      </c>
      <c r="D711" s="48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>
        <f>(VLOOKUP($A711,'The List'!$B1:$AR730,35,FALSE)-AVERAGE('The List'!AJ2:AJ730))/STDEV('The List'!AJ2:AJ730)</f>
        <v>-0.648450018426199</v>
      </c>
      <c r="X711" s="46">
        <f>(VLOOKUP($A711,'The List'!$B1:$AR730,36,FALSE)-AVERAGE('The List'!AK2:AK730))/STDEV('The List'!AK2:AK730)</f>
        <v>-0.546947771470112</v>
      </c>
      <c r="Y711" s="46">
        <f>(VLOOKUP($A711,'The List'!$B1:$AR730,37,FALSE)-AVERAGE('The List'!AL2:AL730))/STDEV('The List'!AL2:AL730)*-1</f>
        <v>0.649954594730187</v>
      </c>
      <c r="Z711" s="46">
        <f>(VLOOKUP($A711,'The List'!$B1:$AR730,38,FALSE)-AVERAGE('The List'!AM2:AM730))/STDEV('The List'!AM2:AM730)</f>
        <v>-0.648450018426199</v>
      </c>
      <c r="AA711" s="46">
        <f>(VLOOKUP($A711,'The List'!$B1:$AR730,39,FALSE)-AVERAGE('The List'!AN2:AN730))/STDEV('The List'!AN2:AN730)</f>
        <v>-0.556441451640576</v>
      </c>
      <c r="AB711" s="46">
        <f>(VLOOKUP($A711,'The List'!$B1:$AR730,40,FALSE)-AVERAGE('The List'!AO2:AO730))/STDEV('The List'!AO2:AO730)</f>
        <v>-0.663249573238368</v>
      </c>
      <c r="AC711" s="46">
        <f>(VLOOKUP($A711,'The List'!$B1:$AR730,42,FALSE)-AVERAGE('The List'!AQ2:AQ730))/STDEV('The List'!AQ2:AQ730)</f>
        <v>-0.35802941689636</v>
      </c>
      <c r="AD711" s="46">
        <f>(VLOOKUP($A711,'The List'!$B1:$AR730,43,FALSE)-AVERAGE('The List'!AR2:AR730))/STDEV('The List'!AR2:AR730)*-1</f>
        <v>-0.158410920797808</v>
      </c>
      <c r="AE711" s="46"/>
    </row>
    <row r="712" ht="21.25" customHeight="1">
      <c r="A712" t="s" s="8">
        <v>359</v>
      </c>
      <c r="B712" t="s" s="42">
        <f>VLOOKUP(A712,'Player Data'!A1:B734,2,FALSE)</f>
        <v>248</v>
      </c>
      <c r="C712" s="44">
        <f>(W712*'Settings'!$C$29)+(X712*'Settings'!$C$21)+(Y712*'Settings'!$C$22)+(AA712*'Settings'!$C$24)+(AB712*'Settings'!$C$25)+(Z712*'Settings'!$C$23)+(AC712*'Settings'!$C$26)+(AD712*'Settings'!$C$28)</f>
        <v>1.55907460117045</v>
      </c>
      <c r="D712" s="48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>
        <f>(VLOOKUP($A712,'The List'!$B1:$AR730,35,FALSE)-AVERAGE('The List'!AJ2:AJ730))/STDEV('The List'!AJ2:AJ730)</f>
        <v>0.7784799696964601</v>
      </c>
      <c r="X712" s="46">
        <f>(VLOOKUP($A712,'The List'!$B1:$AR730,36,FALSE)-AVERAGE('The List'!AK2:AK730))/STDEV('The List'!AK2:AK730)</f>
        <v>0.756697659164984</v>
      </c>
      <c r="Y712" s="46">
        <f>(VLOOKUP($A712,'The List'!$B1:$AR730,37,FALSE)-AVERAGE('The List'!AL2:AL730))/STDEV('The List'!AL2:AL730)*-1</f>
        <v>-0.62786257475676</v>
      </c>
      <c r="Z712" s="46">
        <f>(VLOOKUP($A712,'The List'!$B1:$AR730,38,FALSE)-AVERAGE('The List'!AM2:AM730))/STDEV('The List'!AM2:AM730)</f>
        <v>0.7784799696964601</v>
      </c>
      <c r="AA712" s="46">
        <f>(VLOOKUP($A712,'The List'!$B1:$AR730,39,FALSE)-AVERAGE('The List'!AN2:AN730))/STDEV('The List'!AN2:AN730)</f>
        <v>0.5046778900771089</v>
      </c>
      <c r="AB712" s="46">
        <f>(VLOOKUP($A712,'The List'!$B1:$AR730,40,FALSE)-AVERAGE('The List'!AO2:AO730))/STDEV('The List'!AO2:AO730)</f>
        <v>0.629397278998969</v>
      </c>
      <c r="AC712" s="46">
        <f>(VLOOKUP($A712,'The List'!$B1:$AR730,42,FALSE)-AVERAGE('The List'!AQ2:AQ730))/STDEV('The List'!AQ2:AQ730)</f>
        <v>-0.184771123059572</v>
      </c>
      <c r="AD712" s="46">
        <f>(VLOOKUP($A712,'The List'!$B1:$AR730,43,FALSE)-AVERAGE('The List'!AR2:AR730))/STDEV('The List'!AR2:AR730)*-1</f>
        <v>0.482470174987925</v>
      </c>
      <c r="AE712" s="46"/>
    </row>
    <row r="713" ht="21.25" customHeight="1">
      <c r="A713" t="s" s="8">
        <v>842</v>
      </c>
      <c r="B713" t="s" s="42">
        <f>VLOOKUP(A713,'Player Data'!A1:B734,2,FALSE)</f>
        <v>248</v>
      </c>
      <c r="C713" s="44">
        <f>(W713*'Settings'!$C$29)+(X713*'Settings'!$C$21)+(Y713*'Settings'!$C$22)+(AA713*'Settings'!$C$24)+(AB713*'Settings'!$C$25)+(Z713*'Settings'!$C$23)+(AC713*'Settings'!$C$26)+(AD713*'Settings'!$C$28)</f>
        <v>-2.76489910087298</v>
      </c>
      <c r="D713" s="48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>
        <f>(VLOOKUP($A713,'The List'!$B1:$AR730,35,FALSE)-AVERAGE('The List'!AJ2:AJ730))/STDEV('The List'!AJ2:AJ730)</f>
        <v>-0.89661175549101</v>
      </c>
      <c r="X713" s="46">
        <f>(VLOOKUP($A713,'The List'!$B1:$AR730,36,FALSE)-AVERAGE('The List'!AK2:AK730))/STDEV('The List'!AK2:AK730)</f>
        <v>-0.84412268017298</v>
      </c>
      <c r="Y713" s="46">
        <f>(VLOOKUP($A713,'The List'!$B1:$AR730,37,FALSE)-AVERAGE('The List'!AL2:AL730))/STDEV('The List'!AL2:AL730)*-1</f>
        <v>0.764874123688543</v>
      </c>
      <c r="Z713" s="46">
        <f>(VLOOKUP($A713,'The List'!$B1:$AR730,38,FALSE)-AVERAGE('The List'!AM2:AM730))/STDEV('The List'!AM2:AM730)</f>
        <v>-0.89661175549101</v>
      </c>
      <c r="AA713" s="46">
        <f>(VLOOKUP($A713,'The List'!$B1:$AR730,39,FALSE)-AVERAGE('The List'!AN2:AN730))/STDEV('The List'!AN2:AN730)</f>
        <v>-0.689058680184236</v>
      </c>
      <c r="AB713" s="46">
        <f>(VLOOKUP($A713,'The List'!$B1:$AR730,40,FALSE)-AVERAGE('The List'!AO2:AO730))/STDEV('The List'!AO2:AO730)</f>
        <v>-0.963550305502471</v>
      </c>
      <c r="AC713" s="46">
        <f>(VLOOKUP($A713,'The List'!$B1:$AR730,42,FALSE)-AVERAGE('The List'!AQ2:AQ730))/STDEV('The List'!AQ2:AQ730)</f>
        <v>-1.10176114140495</v>
      </c>
      <c r="AD713" s="46">
        <f>(VLOOKUP($A713,'The List'!$B1:$AR730,43,FALSE)-AVERAGE('The List'!AR2:AR730))/STDEV('The List'!AR2:AR730)*-1</f>
        <v>-0.129956599110816</v>
      </c>
      <c r="AE713" s="46"/>
    </row>
    <row r="714" ht="21.25" customHeight="1">
      <c r="A714" t="s" s="8">
        <v>875</v>
      </c>
      <c r="B714" t="s" s="42">
        <f>VLOOKUP(A714,'Player Data'!A1:B734,2,FALSE)</f>
        <v>248</v>
      </c>
      <c r="C714" s="44">
        <f>(W714*'Settings'!$C$29)+(X714*'Settings'!$C$21)+(Y714*'Settings'!$C$22)+(AA714*'Settings'!$C$24)+(AB714*'Settings'!$C$25)+(Z714*'Settings'!$C$23)+(AC714*'Settings'!$C$26)+(AD714*'Settings'!$C$28)</f>
        <v>-2.86868113922221</v>
      </c>
      <c r="D714" s="48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>
        <f>(VLOOKUP($A714,'The List'!$B1:$AR730,35,FALSE)-AVERAGE('The List'!AJ2:AJ730))/STDEV('The List'!AJ2:AJ730)</f>
        <v>-1.20681392682202</v>
      </c>
      <c r="X714" s="46">
        <f>(VLOOKUP($A714,'The List'!$B1:$AR730,36,FALSE)-AVERAGE('The List'!AK2:AK730))/STDEV('The List'!AK2:AK730)</f>
        <v>-1.08530240540033</v>
      </c>
      <c r="Y714" s="46">
        <f>(VLOOKUP($A714,'The List'!$B1:$AR730,37,FALSE)-AVERAGE('The List'!AL2:AL730))/STDEV('The List'!AL2:AL730)*-1</f>
        <v>1.10696862934801</v>
      </c>
      <c r="Z714" s="46">
        <f>(VLOOKUP($A714,'The List'!$B1:$AR730,38,FALSE)-AVERAGE('The List'!AM2:AM730))/STDEV('The List'!AM2:AM730)</f>
        <v>-1.20681392682202</v>
      </c>
      <c r="AA714" s="46">
        <f>(VLOOKUP($A714,'The List'!$B1:$AR730,39,FALSE)-AVERAGE('The List'!AN2:AN730))/STDEV('The List'!AN2:AN730)</f>
        <v>-0.841778393467472</v>
      </c>
      <c r="AB714" s="46">
        <f>(VLOOKUP($A714,'The List'!$B1:$AR730,40,FALSE)-AVERAGE('The List'!AO2:AO730))/STDEV('The List'!AO2:AO730)</f>
        <v>-1.24969902908245</v>
      </c>
      <c r="AC714" s="46">
        <f>(VLOOKUP($A714,'The List'!$B1:$AR730,42,FALSE)-AVERAGE('The List'!AQ2:AQ730))/STDEV('The List'!AQ2:AQ730)</f>
        <v>-0.942094409948297</v>
      </c>
      <c r="AD714" s="46">
        <f>(VLOOKUP($A714,'The List'!$B1:$AR730,43,FALSE)-AVERAGE('The List'!AR2:AR730))/STDEV('The List'!AR2:AR730)*-1</f>
        <v>0.000494069593890995</v>
      </c>
      <c r="AE714" s="46"/>
    </row>
    <row r="715" ht="21.25" customHeight="1">
      <c r="A715" t="s" s="8">
        <v>444</v>
      </c>
      <c r="B715" t="s" s="42">
        <f>VLOOKUP(A715,'Player Data'!A1:B734,2,FALSE)</f>
        <v>141</v>
      </c>
      <c r="C715" s="44">
        <f>(W715*'Settings'!$C$29)+(X715*'Settings'!$C$21)+(Y715*'Settings'!$C$22)+(AA715*'Settings'!$C$24)+(AB715*'Settings'!$C$25)+(Z715*'Settings'!$C$23)+(AC715*'Settings'!$C$26)+(AD715*'Settings'!$C$28)</f>
        <v>-2.29280822636248</v>
      </c>
      <c r="D715" s="48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>
        <f>(VLOOKUP($A715,'The List'!$B1:$AR730,35,FALSE)-AVERAGE('The List'!AJ2:AJ730))/STDEV('The List'!AJ2:AJ730)</f>
        <v>0.592358666897852</v>
      </c>
      <c r="X715" s="46">
        <f>(VLOOKUP($A715,'The List'!$B1:$AR730,36,FALSE)-AVERAGE('The List'!AK2:AK730))/STDEV('The List'!AK2:AK730)</f>
        <v>-0.312991433422783</v>
      </c>
      <c r="Y715" s="46">
        <f>(VLOOKUP($A715,'The List'!$B1:$AR730,37,FALSE)-AVERAGE('The List'!AL2:AL730))/STDEV('The List'!AL2:AL730)*-1</f>
        <v>-1.8314594114864</v>
      </c>
      <c r="Z715" s="46">
        <f>(VLOOKUP($A715,'The List'!$B1:$AR730,38,FALSE)-AVERAGE('The List'!AM2:AM730))/STDEV('The List'!AM2:AM730)</f>
        <v>0.592358666897852</v>
      </c>
      <c r="AA715" s="46">
        <f>(VLOOKUP($A715,'The List'!$B1:$AR730,39,FALSE)-AVERAGE('The List'!AN2:AN730))/STDEV('The List'!AN2:AN730)</f>
        <v>-0.261884542053229</v>
      </c>
      <c r="AB715" s="46">
        <f>(VLOOKUP($A715,'The List'!$B1:$AR730,40,FALSE)-AVERAGE('The List'!AO2:AO730))/STDEV('The List'!AO2:AO730)</f>
        <v>0.67750203098633</v>
      </c>
      <c r="AC715" s="46">
        <f>(VLOOKUP($A715,'The List'!$B1:$AR730,42,FALSE)-AVERAGE('The List'!AQ2:AQ730))/STDEV('The List'!AQ2:AQ730)</f>
        <v>-0.597859366339342</v>
      </c>
      <c r="AD715" s="46">
        <f>(VLOOKUP($A715,'The List'!$B1:$AR730,43,FALSE)-AVERAGE('The List'!AR2:AR730))/STDEV('The List'!AR2:AR730)*-1</f>
        <v>-1.12007288454713</v>
      </c>
      <c r="AE715" s="46"/>
    </row>
    <row r="716" ht="21.25" customHeight="1">
      <c r="A716" t="s" s="8">
        <v>679</v>
      </c>
      <c r="B716" t="s" s="42">
        <f>VLOOKUP(A716,'Player Data'!A1:B734,2,FALSE)</f>
        <v>141</v>
      </c>
      <c r="C716" s="44">
        <f>(W716*'Settings'!$C$29)+(X716*'Settings'!$C$21)+(Y716*'Settings'!$C$22)+(AA716*'Settings'!$C$24)+(AB716*'Settings'!$C$25)+(Z716*'Settings'!$C$23)+(AC716*'Settings'!$C$26)+(AD716*'Settings'!$C$28)</f>
        <v>-3.05726714219026</v>
      </c>
      <c r="D716" s="48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>
        <f>(VLOOKUP($A716,'The List'!$B1:$AR730,35,FALSE)-AVERAGE('The List'!AJ2:AJ730))/STDEV('The List'!AJ2:AJ730)</f>
        <v>-0.276207412828984</v>
      </c>
      <c r="X716" s="46">
        <f>(VLOOKUP($A716,'The List'!$B1:$AR730,36,FALSE)-AVERAGE('The List'!AK2:AK730))/STDEV('The List'!AK2:AK730)</f>
        <v>-0.763156625862616</v>
      </c>
      <c r="Y716" s="46">
        <f>(VLOOKUP($A716,'The List'!$B1:$AR730,37,FALSE)-AVERAGE('The List'!AL2:AL730))/STDEV('The List'!AL2:AL730)*-1</f>
        <v>-0.530683499248551</v>
      </c>
      <c r="Z716" s="46">
        <f>(VLOOKUP($A716,'The List'!$B1:$AR730,38,FALSE)-AVERAGE('The List'!AM2:AM730))/STDEV('The List'!AM2:AM730)</f>
        <v>-0.276207412828984</v>
      </c>
      <c r="AA716" s="46">
        <f>(VLOOKUP($A716,'The List'!$B1:$AR730,39,FALSE)-AVERAGE('The List'!AN2:AN730))/STDEV('The List'!AN2:AN730)</f>
        <v>-0.697404558990247</v>
      </c>
      <c r="AB716" s="46">
        <f>(VLOOKUP($A716,'The List'!$B1:$AR730,40,FALSE)-AVERAGE('The List'!AO2:AO730))/STDEV('The List'!AO2:AO730)</f>
        <v>-0.18873305460547</v>
      </c>
      <c r="AC716" s="46">
        <f>(VLOOKUP($A716,'The List'!$B1:$AR730,42,FALSE)-AVERAGE('The List'!AQ2:AQ730))/STDEV('The List'!AQ2:AQ730)</f>
        <v>-0.452268621713643</v>
      </c>
      <c r="AD716" s="46">
        <f>(VLOOKUP($A716,'The List'!$B1:$AR730,43,FALSE)-AVERAGE('The List'!AR2:AR730))/STDEV('The List'!AR2:AR730)*-1</f>
        <v>-1.14443733562375</v>
      </c>
      <c r="AE716" s="46"/>
    </row>
    <row r="717" ht="21.25" customHeight="1">
      <c r="A717" t="s" s="8">
        <v>271</v>
      </c>
      <c r="B717" t="s" s="42">
        <f>VLOOKUP(A717,'Player Data'!A1:B734,2,FALSE)</f>
        <v>194</v>
      </c>
      <c r="C717" s="44">
        <f>(W717*'Settings'!$C$29)+(X717*'Settings'!$C$21)+(Y717*'Settings'!$C$22)+(AA717*'Settings'!$C$24)+(AB717*'Settings'!$C$25)+(Z717*'Settings'!$C$23)+(AC717*'Settings'!$C$26)+(AD717*'Settings'!$C$28)</f>
        <v>0.9581549268241371</v>
      </c>
      <c r="D717" s="48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>
        <f>(VLOOKUP($A717,'The List'!$B1:$AR730,35,FALSE)-AVERAGE('The List'!AJ2:AJ730))/STDEV('The List'!AJ2:AJ730)</f>
        <v>1.58500561515709</v>
      </c>
      <c r="X717" s="46">
        <f>(VLOOKUP($A717,'The List'!$B1:$AR730,36,FALSE)-AVERAGE('The List'!AK2:AK730))/STDEV('The List'!AK2:AK730)</f>
        <v>0.78663127349929</v>
      </c>
      <c r="Y717" s="46">
        <f>(VLOOKUP($A717,'The List'!$B1:$AR730,37,FALSE)-AVERAGE('The List'!AL2:AL730))/STDEV('The List'!AL2:AL730)*-1</f>
        <v>-2.42681200092619</v>
      </c>
      <c r="Z717" s="46">
        <f>(VLOOKUP($A717,'The List'!$B1:$AR730,38,FALSE)-AVERAGE('The List'!AM2:AM730))/STDEV('The List'!AM2:AM730)</f>
        <v>1.58500561515709</v>
      </c>
      <c r="AA717" s="46">
        <f>(VLOOKUP($A717,'The List'!$B1:$AR730,39,FALSE)-AVERAGE('The List'!AN2:AN730))/STDEV('The List'!AN2:AN730)</f>
        <v>0.729800597991762</v>
      </c>
      <c r="AB717" s="46">
        <f>(VLOOKUP($A717,'The List'!$B1:$AR730,40,FALSE)-AVERAGE('The List'!AO2:AO730))/STDEV('The List'!AO2:AO730)</f>
        <v>1.56527311715841</v>
      </c>
      <c r="AC717" s="46">
        <f>(VLOOKUP($A717,'The List'!$B1:$AR730,42,FALSE)-AVERAGE('The List'!AQ2:AQ730))/STDEV('The List'!AQ2:AQ730)</f>
        <v>-0.266201090832196</v>
      </c>
      <c r="AD717" s="46">
        <f>(VLOOKUP($A717,'The List'!$B1:$AR730,43,FALSE)-AVERAGE('The List'!AR2:AR730))/STDEV('The List'!AR2:AR730)*-1</f>
        <v>-0.292075853834719</v>
      </c>
      <c r="AE717" s="46"/>
    </row>
    <row r="718" ht="21.25" customHeight="1">
      <c r="A718" t="s" s="8">
        <v>834</v>
      </c>
      <c r="B718" t="s" s="42">
        <f>VLOOKUP(A718,'Player Data'!A1:B734,2,FALSE)</f>
        <v>194</v>
      </c>
      <c r="C718" s="44">
        <f>(W718*'Settings'!$C$29)+(X718*'Settings'!$C$21)+(Y718*'Settings'!$C$22)+(AA718*'Settings'!$C$24)+(AB718*'Settings'!$C$25)+(Z718*'Settings'!$C$23)+(AC718*'Settings'!$C$26)+(AD718*'Settings'!$C$28)</f>
        <v>-3.80658221412238</v>
      </c>
      <c r="D718" s="48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>
        <f>(VLOOKUP($A718,'The List'!$B1:$AR730,35,FALSE)-AVERAGE('The List'!AJ2:AJ730))/STDEV('The List'!AJ2:AJ730)</f>
        <v>-0.89661175549101</v>
      </c>
      <c r="X718" s="46">
        <f>(VLOOKUP($A718,'The List'!$B1:$AR730,36,FALSE)-AVERAGE('The List'!AK2:AK730))/STDEV('The List'!AK2:AK730)</f>
        <v>-0.996409520372924</v>
      </c>
      <c r="Y718" s="46">
        <f>(VLOOKUP($A718,'The List'!$B1:$AR730,37,FALSE)-AVERAGE('The List'!AL2:AL730))/STDEV('The List'!AL2:AL730)*-1</f>
        <v>0.532923635825311</v>
      </c>
      <c r="Z718" s="46">
        <f>(VLOOKUP($A718,'The List'!$B1:$AR730,38,FALSE)-AVERAGE('The List'!AM2:AM730))/STDEV('The List'!AM2:AM730)</f>
        <v>-0.89661175549101</v>
      </c>
      <c r="AA718" s="46">
        <f>(VLOOKUP($A718,'The List'!$B1:$AR730,39,FALSE)-AVERAGE('The List'!AN2:AN730))/STDEV('The List'!AN2:AN730)</f>
        <v>-0.896054547806167</v>
      </c>
      <c r="AB718" s="46">
        <f>(VLOOKUP($A718,'The List'!$B1:$AR730,40,FALSE)-AVERAGE('The List'!AO2:AO730))/STDEV('The List'!AO2:AO730)</f>
        <v>-0.878432343242561</v>
      </c>
      <c r="AC718" s="46">
        <f>(VLOOKUP($A718,'The List'!$B1:$AR730,42,FALSE)-AVERAGE('The List'!AQ2:AQ730))/STDEV('The List'!AQ2:AQ730)</f>
        <v>-0.909404661678397</v>
      </c>
      <c r="AD718" s="46">
        <f>(VLOOKUP($A718,'The List'!$B1:$AR730,43,FALSE)-AVERAGE('The List'!AR2:AR730))/STDEV('The List'!AR2:AR730)*-1</f>
        <v>-1.00471348426489</v>
      </c>
      <c r="AE718" s="46"/>
    </row>
    <row r="719" ht="21.25" customHeight="1">
      <c r="A719" t="s" s="8">
        <v>145</v>
      </c>
      <c r="B719" t="s" s="42">
        <f>VLOOKUP(A719,'Player Data'!A1:B734,2,FALSE)</f>
        <v>124</v>
      </c>
      <c r="C719" s="44">
        <f>(W719*'Settings'!$C$29)+(X719*'Settings'!$C$21)+(Y719*'Settings'!$C$22)+(AA719*'Settings'!$C$24)+(AB719*'Settings'!$C$25)+(Z719*'Settings'!$C$23)+(AC719*'Settings'!$C$26)+(AD719*'Settings'!$C$28)</f>
        <v>7.12747338209636</v>
      </c>
      <c r="D719" s="48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>
        <f>(VLOOKUP($A719,'The List'!$B1:$AR730,35,FALSE)-AVERAGE('The List'!AJ2:AJ730))/STDEV('The List'!AJ2:AJ730)</f>
        <v>1.7090864836895</v>
      </c>
      <c r="X719" s="46">
        <f>(VLOOKUP($A719,'The List'!$B1:$AR730,36,FALSE)-AVERAGE('The List'!AK2:AK730))/STDEV('The List'!AK2:AK730)</f>
        <v>1.90914706007095</v>
      </c>
      <c r="Y719" s="46">
        <f>(VLOOKUP($A719,'The List'!$B1:$AR730,37,FALSE)-AVERAGE('The List'!AL2:AL730))/STDEV('The List'!AL2:AL730)*-1</f>
        <v>-1.00086616380704</v>
      </c>
      <c r="Z719" s="46">
        <f>(VLOOKUP($A719,'The List'!$B1:$AR730,38,FALSE)-AVERAGE('The List'!AM2:AM730))/STDEV('The List'!AM2:AM730)</f>
        <v>1.7090864836895</v>
      </c>
      <c r="AA719" s="46">
        <f>(VLOOKUP($A719,'The List'!$B1:$AR730,39,FALSE)-AVERAGE('The List'!AN2:AN730))/STDEV('The List'!AN2:AN730)</f>
        <v>1.93205836346618</v>
      </c>
      <c r="AB719" s="46">
        <f>(VLOOKUP($A719,'The List'!$B1:$AR730,40,FALSE)-AVERAGE('The List'!AO2:AO730))/STDEV('The List'!AO2:AO730)</f>
        <v>1.7755081645253</v>
      </c>
      <c r="AC719" s="46">
        <f>(VLOOKUP($A719,'The List'!$B1:$AR730,42,FALSE)-AVERAGE('The List'!AQ2:AQ730))/STDEV('The List'!AQ2:AQ730)</f>
        <v>1.85698375908555</v>
      </c>
      <c r="AD719" s="46">
        <f>(VLOOKUP($A719,'The List'!$B1:$AR730,43,FALSE)-AVERAGE('The List'!AR2:AR730))/STDEV('The List'!AR2:AR730)*-1</f>
        <v>1.42928419947368</v>
      </c>
      <c r="AE719" s="46"/>
    </row>
    <row r="720" ht="21.25" customHeight="1">
      <c r="A720" t="s" s="8">
        <v>855</v>
      </c>
      <c r="B720" t="s" s="42">
        <f>VLOOKUP(A720,'Player Data'!A1:B734,2,FALSE)</f>
        <v>124</v>
      </c>
      <c r="C720" s="44">
        <f>(W720*'Settings'!$C$29)+(X720*'Settings'!$C$21)+(Y720*'Settings'!$C$22)+(AA720*'Settings'!$C$24)+(AB720*'Settings'!$C$25)+(Z720*'Settings'!$C$23)+(AC720*'Settings'!$C$26)+(AD720*'Settings'!$C$28)</f>
        <v>-4.58074076754969</v>
      </c>
      <c r="D720" s="48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>
        <f>(VLOOKUP($A720,'The List'!$B1:$AR730,35,FALSE)-AVERAGE('The List'!AJ2:AJ730))/STDEV('The List'!AJ2:AJ730)</f>
        <v>-1.02069262402341</v>
      </c>
      <c r="X720" s="46">
        <f>(VLOOKUP($A720,'The List'!$B1:$AR730,36,FALSE)-AVERAGE('The List'!AK2:AK730))/STDEV('The List'!AK2:AK730)</f>
        <v>-0.919634270247189</v>
      </c>
      <c r="Y720" s="46">
        <f>(VLOOKUP($A720,'The List'!$B1:$AR730,37,FALSE)-AVERAGE('The List'!AL2:AL730))/STDEV('The List'!AL2:AL730)*-1</f>
        <v>0.933636889450534</v>
      </c>
      <c r="Z720" s="46">
        <f>(VLOOKUP($A720,'The List'!$B1:$AR730,38,FALSE)-AVERAGE('The List'!AM2:AM730))/STDEV('The List'!AM2:AM730)</f>
        <v>-1.02069262402341</v>
      </c>
      <c r="AA720" s="46">
        <f>(VLOOKUP($A720,'The List'!$B1:$AR730,39,FALSE)-AVERAGE('The List'!AN2:AN730))/STDEV('The List'!AN2:AN730)</f>
        <v>-1.0170462023016</v>
      </c>
      <c r="AB720" s="46">
        <f>(VLOOKUP($A720,'The List'!$B1:$AR730,40,FALSE)-AVERAGE('The List'!AO2:AO730))/STDEV('The List'!AO2:AO730)</f>
        <v>-1.00532735744394</v>
      </c>
      <c r="AC720" s="46">
        <f>(VLOOKUP($A720,'The List'!$B1:$AR730,42,FALSE)-AVERAGE('The List'!AQ2:AQ730))/STDEV('The List'!AQ2:AQ730)</f>
        <v>-1.30435614164852</v>
      </c>
      <c r="AD720" s="46">
        <f>(VLOOKUP($A720,'The List'!$B1:$AR730,43,FALSE)-AVERAGE('The List'!AR2:AR730))/STDEV('The List'!AR2:AR730)*-1</f>
        <v>-1.33970415335238</v>
      </c>
      <c r="AE720" s="46"/>
    </row>
    <row r="721" ht="21.25" customHeight="1">
      <c r="A721" t="s" s="8">
        <v>269</v>
      </c>
      <c r="B721" t="s" s="42">
        <f>VLOOKUP(A721,'Player Data'!A1:B734,2,FALSE)</f>
        <v>115</v>
      </c>
      <c r="C721" s="44">
        <f>(W721*'Settings'!$C$29)+(X721*'Settings'!$C$21)+(Y721*'Settings'!$C$22)+(AA721*'Settings'!$C$24)+(AB721*'Settings'!$C$25)+(Z721*'Settings'!$C$23)+(AC721*'Settings'!$C$26)+(AD721*'Settings'!$C$28)</f>
        <v>3.62192818362085</v>
      </c>
      <c r="D721" s="48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>
        <f>(VLOOKUP($A721,'The List'!$B1:$AR730,35,FALSE)-AVERAGE('The List'!AJ2:AJ730))/STDEV('The List'!AJ2:AJ730)</f>
        <v>0.964601272495067</v>
      </c>
      <c r="X721" s="46">
        <f>(VLOOKUP($A721,'The List'!$B1:$AR730,36,FALSE)-AVERAGE('The List'!AK2:AK730))/STDEV('The List'!AK2:AK730)</f>
        <v>1.37653420217574</v>
      </c>
      <c r="Y721" s="46">
        <f>(VLOOKUP($A721,'The List'!$B1:$AR730,37,FALSE)-AVERAGE('The List'!AL2:AL730))/STDEV('The List'!AL2:AL730)*-1</f>
        <v>-0.109443250436663</v>
      </c>
      <c r="Z721" s="46">
        <f>(VLOOKUP($A721,'The List'!$B1:$AR730,38,FALSE)-AVERAGE('The List'!AM2:AM730))/STDEV('The List'!AM2:AM730)</f>
        <v>0.964601272495067</v>
      </c>
      <c r="AA721" s="46">
        <f>(VLOOKUP($A721,'The List'!$B1:$AR730,39,FALSE)-AVERAGE('The List'!AN2:AN730))/STDEV('The List'!AN2:AN730)</f>
        <v>0.798459093520884</v>
      </c>
      <c r="AB721" s="46">
        <f>(VLOOKUP($A721,'The List'!$B1:$AR730,40,FALSE)-AVERAGE('The List'!AO2:AO730))/STDEV('The List'!AO2:AO730)</f>
        <v>0.990447765498357</v>
      </c>
      <c r="AC721" s="46">
        <f>(VLOOKUP($A721,'The List'!$B1:$AR730,42,FALSE)-AVERAGE('The List'!AQ2:AQ730))/STDEV('The List'!AQ2:AQ730)</f>
        <v>0.846155511586695</v>
      </c>
      <c r="AD721" s="46">
        <f>(VLOOKUP($A721,'The List'!$B1:$AR730,43,FALSE)-AVERAGE('The List'!AR2:AR730))/STDEV('The List'!AR2:AR730)*-1</f>
        <v>0.60077937633753</v>
      </c>
      <c r="AE721" s="46"/>
    </row>
    <row r="722" ht="21.25" customHeight="1">
      <c r="A722" t="s" s="8">
        <v>737</v>
      </c>
      <c r="B722" t="s" s="42">
        <f>VLOOKUP(A722,'Player Data'!A1:B734,2,FALSE)</f>
        <v>115</v>
      </c>
      <c r="C722" s="44">
        <f>(W722*'Settings'!$C$29)+(X722*'Settings'!$C$21)+(Y722*'Settings'!$C$22)+(AA722*'Settings'!$C$24)+(AB722*'Settings'!$C$25)+(Z722*'Settings'!$C$23)+(AC722*'Settings'!$C$26)+(AD722*'Settings'!$C$28)</f>
        <v>-1.65149474611218</v>
      </c>
      <c r="D722" s="48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>
        <f>(VLOOKUP($A722,'The List'!$B1:$AR730,35,FALSE)-AVERAGE('The List'!AJ2:AJ730))/STDEV('The List'!AJ2:AJ730)</f>
        <v>-0.648450018426199</v>
      </c>
      <c r="X722" s="46">
        <f>(VLOOKUP($A722,'The List'!$B1:$AR730,36,FALSE)-AVERAGE('The List'!AK2:AK730))/STDEV('The List'!AK2:AK730)</f>
        <v>-0.389412679060227</v>
      </c>
      <c r="Y722" s="46">
        <f>(VLOOKUP($A722,'The List'!$B1:$AR730,37,FALSE)-AVERAGE('The List'!AL2:AL730))/STDEV('The List'!AL2:AL730)*-1</f>
        <v>0.889898778299016</v>
      </c>
      <c r="Z722" s="46">
        <f>(VLOOKUP($A722,'The List'!$B1:$AR730,38,FALSE)-AVERAGE('The List'!AM2:AM730))/STDEV('The List'!AM2:AM730)</f>
        <v>-0.648450018426199</v>
      </c>
      <c r="AA722" s="46">
        <f>(VLOOKUP($A722,'The List'!$B1:$AR730,39,FALSE)-AVERAGE('The List'!AN2:AN730))/STDEV('The List'!AN2:AN730)</f>
        <v>-0.617545595490661</v>
      </c>
      <c r="AB722" s="46">
        <f>(VLOOKUP($A722,'The List'!$B1:$AR730,40,FALSE)-AVERAGE('The List'!AO2:AO730))/STDEV('The List'!AO2:AO730)</f>
        <v>-0.633059408615434</v>
      </c>
      <c r="AC722" s="46">
        <f>(VLOOKUP($A722,'The List'!$B1:$AR730,42,FALSE)-AVERAGE('The List'!AQ2:AQ730))/STDEV('The List'!AQ2:AQ730)</f>
        <v>-0.270939006387912</v>
      </c>
      <c r="AD722" s="46">
        <f>(VLOOKUP($A722,'The List'!$B1:$AR730,43,FALSE)-AVERAGE('The List'!AR2:AR730))/STDEV('The List'!AR2:AR730)*-1</f>
        <v>-0.373597465173383</v>
      </c>
      <c r="AE722" s="46"/>
    </row>
    <row r="723" ht="21.25" customHeight="1">
      <c r="A723" t="s" s="8">
        <v>881</v>
      </c>
      <c r="B723" t="s" s="42">
        <f>VLOOKUP(A723,'Player Data'!A1:B734,2,FALSE)</f>
        <v>115</v>
      </c>
      <c r="C723" s="44">
        <f>(W723*'Settings'!$C$29)+(X723*'Settings'!$C$21)+(Y723*'Settings'!$C$22)+(AA723*'Settings'!$C$24)+(AB723*'Settings'!$C$25)+(Z723*'Settings'!$C$23)+(AC723*'Settings'!$C$26)+(AD723*'Settings'!$C$28)</f>
        <v>-4.29337400234803</v>
      </c>
      <c r="D723" s="48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>
        <f>(VLOOKUP($A723,'The List'!$B1:$AR730,35,FALSE)-AVERAGE('The List'!AJ2:AJ730))/STDEV('The List'!AJ2:AJ730)</f>
        <v>-1.64109696668544</v>
      </c>
      <c r="X723" s="46">
        <f>(VLOOKUP($A723,'The List'!$B1:$AR730,36,FALSE)-AVERAGE('The List'!AK2:AK730))/STDEV('The List'!AK2:AK730)</f>
        <v>-1.37655122833295</v>
      </c>
      <c r="Y723" s="46">
        <f>(VLOOKUP($A723,'The List'!$B1:$AR730,37,FALSE)-AVERAGE('The List'!AL2:AL730))/STDEV('The List'!AL2:AL730)*-1</f>
        <v>1.65657776212322</v>
      </c>
      <c r="Z723" s="46">
        <f>(VLOOKUP($A723,'The List'!$B1:$AR730,38,FALSE)-AVERAGE('The List'!AM2:AM730))/STDEV('The List'!AM2:AM730)</f>
        <v>-1.64109696668544</v>
      </c>
      <c r="AA723" s="46">
        <f>(VLOOKUP($A723,'The List'!$B1:$AR730,39,FALSE)-AVERAGE('The List'!AN2:AN730))/STDEV('The List'!AN2:AN730)</f>
        <v>-1.18227743023785</v>
      </c>
      <c r="AB723" s="46">
        <f>(VLOOKUP($A723,'The List'!$B1:$AR730,40,FALSE)-AVERAGE('The List'!AO2:AO730))/STDEV('The List'!AO2:AO730)</f>
        <v>-1.62058698094268</v>
      </c>
      <c r="AC723" s="46">
        <f>(VLOOKUP($A723,'The List'!$B1:$AR730,42,FALSE)-AVERAGE('The List'!AQ2:AQ730))/STDEV('The List'!AQ2:AQ730)</f>
        <v>-0.853133417118747</v>
      </c>
      <c r="AD723" s="46">
        <f>(VLOOKUP($A723,'The List'!$B1:$AR730,43,FALSE)-AVERAGE('The List'!AR2:AR730))/STDEV('The List'!AR2:AR730)*-1</f>
        <v>-0.881411926658485</v>
      </c>
      <c r="AE723" s="46"/>
    </row>
    <row r="724" ht="21.25" customHeight="1">
      <c r="A724" t="s" s="8">
        <v>200</v>
      </c>
      <c r="B724" t="s" s="42">
        <f>VLOOKUP(A724,'Player Data'!A1:B734,2,FALSE)</f>
        <v>156</v>
      </c>
      <c r="C724" s="44">
        <f>(W724*'Settings'!$C$29)+(X724*'Settings'!$C$21)+(Y724*'Settings'!$C$22)+(AA724*'Settings'!$C$24)+(AB724*'Settings'!$C$25)+(Z724*'Settings'!$C$23)+(AC724*'Settings'!$C$26)+(AD724*'Settings'!$C$28)</f>
        <v>5.60962363742527</v>
      </c>
      <c r="D724" s="48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>
        <f>(VLOOKUP($A724,'The List'!$B1:$AR730,35,FALSE)-AVERAGE('The List'!AJ2:AJ730))/STDEV('The List'!AJ2:AJ730)</f>
        <v>1.33684387809228</v>
      </c>
      <c r="X724" s="46">
        <f>(VLOOKUP($A724,'The List'!$B1:$AR730,36,FALSE)-AVERAGE('The List'!AK2:AK730))/STDEV('The List'!AK2:AK730)</f>
        <v>1.37220526979503</v>
      </c>
      <c r="Y724" s="46">
        <f>(VLOOKUP($A724,'The List'!$B1:$AR730,37,FALSE)-AVERAGE('The List'!AL2:AL730))/STDEV('The List'!AL2:AL730)*-1</f>
        <v>-0.967363693865064</v>
      </c>
      <c r="Z724" s="46">
        <f>(VLOOKUP($A724,'The List'!$B1:$AR730,38,FALSE)-AVERAGE('The List'!AM2:AM730))/STDEV('The List'!AM2:AM730)</f>
        <v>1.33684387809228</v>
      </c>
      <c r="AA724" s="46">
        <f>(VLOOKUP($A724,'The List'!$B1:$AR730,39,FALSE)-AVERAGE('The List'!AN2:AN730))/STDEV('The List'!AN2:AN730)</f>
        <v>1.42274677912048</v>
      </c>
      <c r="AB724" s="46">
        <f>(VLOOKUP($A724,'The List'!$B1:$AR730,40,FALSE)-AVERAGE('The List'!AO2:AO730))/STDEV('The List'!AO2:AO730)</f>
        <v>1.34127220254946</v>
      </c>
      <c r="AC724" s="46">
        <f>(VLOOKUP($A724,'The List'!$B1:$AR730,42,FALSE)-AVERAGE('The List'!AQ2:AQ730))/STDEV('The List'!AQ2:AQ730)</f>
        <v>1.50536696422582</v>
      </c>
      <c r="AD724" s="46">
        <f>(VLOOKUP($A724,'The List'!$B1:$AR730,43,FALSE)-AVERAGE('The List'!AR2:AR730))/STDEV('The List'!AR2:AR730)*-1</f>
        <v>1.30930462428394</v>
      </c>
      <c r="AE724" s="46"/>
    </row>
    <row r="725" ht="21.25" customHeight="1">
      <c r="A725" t="s" s="8">
        <v>882</v>
      </c>
      <c r="B725" t="s" s="42">
        <f>VLOOKUP(A725,'Player Data'!A1:B734,2,FALSE)</f>
        <v>156</v>
      </c>
      <c r="C725" s="44">
        <f>(W725*'Settings'!$C$29)+(X725*'Settings'!$C$21)+(Y725*'Settings'!$C$22)+(AA725*'Settings'!$C$24)+(AB725*'Settings'!$C$25)+(Z725*'Settings'!$C$23)+(AC725*'Settings'!$C$26)+(AD725*'Settings'!$C$28)</f>
        <v>-4.98421626691582</v>
      </c>
      <c r="D725" s="48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>
        <f>(VLOOKUP($A725,'The List'!$B1:$AR730,35,FALSE)-AVERAGE('The List'!AJ2:AJ730))/STDEV('The List'!AJ2:AJ730)</f>
        <v>-1.64109696668544</v>
      </c>
      <c r="X725" s="46">
        <f>(VLOOKUP($A725,'The List'!$B1:$AR730,36,FALSE)-AVERAGE('The List'!AK2:AK730))/STDEV('The List'!AK2:AK730)</f>
        <v>-1.46218575791716</v>
      </c>
      <c r="Y725" s="46">
        <f>(VLOOKUP($A725,'The List'!$B1:$AR730,37,FALSE)-AVERAGE('The List'!AL2:AL730))/STDEV('The List'!AL2:AL730)*-1</f>
        <v>1.52614645966192</v>
      </c>
      <c r="Z725" s="46">
        <f>(VLOOKUP($A725,'The List'!$B1:$AR730,38,FALSE)-AVERAGE('The List'!AM2:AM730))/STDEV('The List'!AM2:AM730)</f>
        <v>-1.64109696668544</v>
      </c>
      <c r="AA725" s="46">
        <f>(VLOOKUP($A725,'The List'!$B1:$AR730,39,FALSE)-AVERAGE('The List'!AN2:AN730))/STDEV('The List'!AN2:AN730)</f>
        <v>-1.19255155081036</v>
      </c>
      <c r="AB725" s="46">
        <f>(VLOOKUP($A725,'The List'!$B1:$AR730,40,FALSE)-AVERAGE('The List'!AO2:AO730))/STDEV('The List'!AO2:AO730)</f>
        <v>-1.63206964780513</v>
      </c>
      <c r="AC725" s="46">
        <f>(VLOOKUP($A725,'The List'!$B1:$AR730,42,FALSE)-AVERAGE('The List'!AQ2:AQ730))/STDEV('The List'!AQ2:AQ730)</f>
        <v>-1.33952189711539</v>
      </c>
      <c r="AD725" s="46">
        <f>(VLOOKUP($A725,'The List'!$B1:$AR730,43,FALSE)-AVERAGE('The List'!AR2:AR730))/STDEV('The List'!AR2:AR730)*-1</f>
        <v>-0.989957061072912</v>
      </c>
      <c r="AE725" s="46"/>
    </row>
    <row r="726" ht="21.25" customHeight="1">
      <c r="A726" t="s" s="8">
        <v>277</v>
      </c>
      <c r="B726" t="s" s="42">
        <f>VLOOKUP(A726,'Player Data'!A1:B734,2,FALSE)</f>
        <v>218</v>
      </c>
      <c r="C726" s="44">
        <f>(W726*'Settings'!$C$29)+(X726*'Settings'!$C$21)+(Y726*'Settings'!$C$22)+(AA726*'Settings'!$C$24)+(AB726*'Settings'!$C$25)+(Z726*'Settings'!$C$23)+(AC726*'Settings'!$C$26)+(AD726*'Settings'!$C$28)</f>
        <v>4.11888409480162</v>
      </c>
      <c r="D726" s="48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>
        <f>(VLOOKUP($A726,'The List'!$B1:$AR730,35,FALSE)-AVERAGE('The List'!AJ2:AJ730))/STDEV('The List'!AJ2:AJ730)</f>
        <v>0.840520403962662</v>
      </c>
      <c r="X726" s="46">
        <f>(VLOOKUP($A726,'The List'!$B1:$AR730,36,FALSE)-AVERAGE('The List'!AK2:AK730))/STDEV('The List'!AK2:AK730)</f>
        <v>1.27878424999428</v>
      </c>
      <c r="Y726" s="46">
        <f>(VLOOKUP($A726,'The List'!$B1:$AR730,37,FALSE)-AVERAGE('The List'!AL2:AL730))/STDEV('The List'!AL2:AL730)*-1</f>
        <v>0.0254479153020858</v>
      </c>
      <c r="Z726" s="46">
        <f>(VLOOKUP($A726,'The List'!$B1:$AR730,38,FALSE)-AVERAGE('The List'!AM2:AM730))/STDEV('The List'!AM2:AM730)</f>
        <v>0.840520403962662</v>
      </c>
      <c r="AA726" s="46">
        <f>(VLOOKUP($A726,'The List'!$B1:$AR730,39,FALSE)-AVERAGE('The List'!AN2:AN730))/STDEV('The List'!AN2:AN730)</f>
        <v>0.787122390736627</v>
      </c>
      <c r="AB726" s="46">
        <f>(VLOOKUP($A726,'The List'!$B1:$AR730,40,FALSE)-AVERAGE('The List'!AO2:AO730))/STDEV('The List'!AO2:AO730)</f>
        <v>0.863531626955179</v>
      </c>
      <c r="AC726" s="46">
        <f>(VLOOKUP($A726,'The List'!$B1:$AR730,42,FALSE)-AVERAGE('The List'!AQ2:AQ730))/STDEV('The List'!AQ2:AQ730)</f>
        <v>1.14958005655863</v>
      </c>
      <c r="AD726" s="46">
        <f>(VLOOKUP($A726,'The List'!$B1:$AR730,43,FALSE)-AVERAGE('The List'!AR2:AR730))/STDEV('The List'!AR2:AR730)*-1</f>
        <v>0.903397397512079</v>
      </c>
      <c r="AE726" s="46"/>
    </row>
    <row r="727" ht="21.25" customHeight="1">
      <c r="A727" t="s" s="8">
        <v>537</v>
      </c>
      <c r="B727" t="s" s="42">
        <f>VLOOKUP(A727,'Player Data'!A1:B734,2,FALSE)</f>
        <v>218</v>
      </c>
      <c r="C727" s="44">
        <f>(W727*'Settings'!$C$29)+(X727*'Settings'!$C$21)+(Y727*'Settings'!$C$22)+(AA727*'Settings'!$C$24)+(AB727*'Settings'!$C$25)+(Z727*'Settings'!$C$23)+(AC727*'Settings'!$C$26)+(AD727*'Settings'!$C$28)</f>
        <v>1.26929770666248</v>
      </c>
      <c r="D727" s="48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>
        <f>(VLOOKUP($A727,'The List'!$B1:$AR730,35,FALSE)-AVERAGE('The List'!AJ2:AJ730))/STDEV('The List'!AJ2:AJ730)</f>
        <v>-0.152126544296579</v>
      </c>
      <c r="X727" s="46">
        <f>(VLOOKUP($A727,'The List'!$B1:$AR730,36,FALSE)-AVERAGE('The List'!AK2:AK730))/STDEV('The List'!AK2:AK730)</f>
        <v>0.0885646366417305</v>
      </c>
      <c r="Y727" s="46">
        <f>(VLOOKUP($A727,'The List'!$B1:$AR730,37,FALSE)-AVERAGE('The List'!AL2:AL730))/STDEV('The List'!AL2:AL730)*-1</f>
        <v>0.482810927849626</v>
      </c>
      <c r="Z727" s="46">
        <f>(VLOOKUP($A727,'The List'!$B1:$AR730,38,FALSE)-AVERAGE('The List'!AM2:AM730))/STDEV('The List'!AM2:AM730)</f>
        <v>-0.152126544296579</v>
      </c>
      <c r="AA727" s="46">
        <f>(VLOOKUP($A727,'The List'!$B1:$AR730,39,FALSE)-AVERAGE('The List'!AN2:AN730))/STDEV('The List'!AN2:AN730)</f>
        <v>-0.000867772303462281</v>
      </c>
      <c r="AB727" s="46">
        <f>(VLOOKUP($A727,'The List'!$B1:$AR730,40,FALSE)-AVERAGE('The List'!AO2:AO730))/STDEV('The List'!AO2:AO730)</f>
        <v>-0.154991967434155</v>
      </c>
      <c r="AC727" s="46">
        <f>(VLOOKUP($A727,'The List'!$B1:$AR730,42,FALSE)-AVERAGE('The List'!AQ2:AQ730))/STDEV('The List'!AQ2:AQ730)</f>
        <v>0.6087279020437451</v>
      </c>
      <c r="AD727" s="46">
        <f>(VLOOKUP($A727,'The List'!$B1:$AR730,43,FALSE)-AVERAGE('The List'!AR2:AR730))/STDEV('The List'!AR2:AR730)*-1</f>
        <v>0.572872940280464</v>
      </c>
      <c r="AE727" s="46"/>
    </row>
    <row r="728" ht="21.25" customHeight="1">
      <c r="A728" t="s" s="8">
        <v>167</v>
      </c>
      <c r="B728" t="s" s="42">
        <f>VLOOKUP(A728,'Player Data'!A1:B734,2,FALSE)</f>
        <v>164</v>
      </c>
      <c r="C728" s="44">
        <f>(W728*'Settings'!$C$29)+(X728*'Settings'!$C$21)+(Y728*'Settings'!$C$22)+(AA728*'Settings'!$C$24)+(AB728*'Settings'!$C$25)+(Z728*'Settings'!$C$23)+(AC728*'Settings'!$C$26)+(AD728*'Settings'!$C$28)</f>
        <v>7.78333717019332</v>
      </c>
      <c r="D728" s="48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>
        <f>(VLOOKUP($A728,'The List'!$B1:$AR730,35,FALSE)-AVERAGE('The List'!AJ2:AJ730))/STDEV('The List'!AJ2:AJ730)</f>
        <v>1.7090864836895</v>
      </c>
      <c r="X728" s="46">
        <f>(VLOOKUP($A728,'The List'!$B1:$AR730,36,FALSE)-AVERAGE('The List'!AK2:AK730))/STDEV('The List'!AK2:AK730)</f>
        <v>1.7224536949011</v>
      </c>
      <c r="Y728" s="46">
        <f>(VLOOKUP($A728,'The List'!$B1:$AR730,37,FALSE)-AVERAGE('The List'!AL2:AL730))/STDEV('The List'!AL2:AL730)*-1</f>
        <v>-1.28522177244086</v>
      </c>
      <c r="Z728" s="46">
        <f>(VLOOKUP($A728,'The List'!$B1:$AR730,38,FALSE)-AVERAGE('The List'!AM2:AM730))/STDEV('The List'!AM2:AM730)</f>
        <v>1.7090864836895</v>
      </c>
      <c r="AA728" s="46">
        <f>(VLOOKUP($A728,'The List'!$B1:$AR730,39,FALSE)-AVERAGE('The List'!AN2:AN730))/STDEV('The List'!AN2:AN730)</f>
        <v>2.3459072393136</v>
      </c>
      <c r="AB728" s="46">
        <f>(VLOOKUP($A728,'The List'!$B1:$AR730,40,FALSE)-AVERAGE('The List'!AO2:AO730))/STDEV('The List'!AO2:AO730)</f>
        <v>1.56641985346502</v>
      </c>
      <c r="AC728" s="46">
        <f>(VLOOKUP($A728,'The List'!$B1:$AR730,42,FALSE)-AVERAGE('The List'!AQ2:AQ730))/STDEV('The List'!AQ2:AQ730)</f>
        <v>1.7215275036729</v>
      </c>
      <c r="AD728" s="46">
        <f>(VLOOKUP($A728,'The List'!$B1:$AR730,43,FALSE)-AVERAGE('The List'!AR2:AR730))/STDEV('The List'!AR2:AR730)*-1</f>
        <v>1.99344873230572</v>
      </c>
      <c r="AE728" s="46"/>
    </row>
    <row r="729" ht="21.25" customHeight="1">
      <c r="A729" t="s" s="8">
        <v>851</v>
      </c>
      <c r="B729" t="s" s="42">
        <f>VLOOKUP(A729,'Player Data'!A1:B734,2,FALSE)</f>
        <v>164</v>
      </c>
      <c r="C729" s="44">
        <f>(W729*'Settings'!$C$29)+(X729*'Settings'!$C$21)+(Y729*'Settings'!$C$22)+(AA729*'Settings'!$C$24)+(AB729*'Settings'!$C$25)+(Z729*'Settings'!$C$23)+(AC729*'Settings'!$C$26)+(AD729*'Settings'!$C$28)</f>
        <v>-2.39969381518003</v>
      </c>
      <c r="D729" s="48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>
        <f>(VLOOKUP($A729,'The List'!$B1:$AR730,35,FALSE)-AVERAGE('The List'!AJ2:AJ730))/STDEV('The List'!AJ2:AJ730)</f>
        <v>-1.02069262402341</v>
      </c>
      <c r="X729" s="46">
        <f>(VLOOKUP($A729,'The List'!$B1:$AR730,36,FALSE)-AVERAGE('The List'!AK2:AK730))/STDEV('The List'!AK2:AK730)</f>
        <v>-0.925015424151167</v>
      </c>
      <c r="Y729" s="46">
        <f>(VLOOKUP($A729,'The List'!$B1:$AR730,37,FALSE)-AVERAGE('The List'!AL2:AL730))/STDEV('The List'!AL2:AL730)*-1</f>
        <v>0.9254407690788991</v>
      </c>
      <c r="Z729" s="46">
        <f>(VLOOKUP($A729,'The List'!$B1:$AR730,38,FALSE)-AVERAGE('The List'!AM2:AM730))/STDEV('The List'!AM2:AM730)</f>
        <v>-1.02069262402341</v>
      </c>
      <c r="AA729" s="46">
        <f>(VLOOKUP($A729,'The List'!$B1:$AR730,39,FALSE)-AVERAGE('The List'!AN2:AN730))/STDEV('The List'!AN2:AN730)</f>
        <v>-0.7371207964516791</v>
      </c>
      <c r="AB729" s="46">
        <f>(VLOOKUP($A729,'The List'!$B1:$AR730,40,FALSE)-AVERAGE('The List'!AO2:AO730))/STDEV('The List'!AO2:AO730)</f>
        <v>-1.06001059730539</v>
      </c>
      <c r="AC729" s="46">
        <f>(VLOOKUP($A729,'The List'!$B1:$AR730,42,FALSE)-AVERAGE('The List'!AQ2:AQ730))/STDEV('The List'!AQ2:AQ730)</f>
        <v>-0.712247238925629</v>
      </c>
      <c r="AD729" s="46">
        <f>(VLOOKUP($A729,'The List'!$B1:$AR730,43,FALSE)-AVERAGE('The List'!AR2:AR730))/STDEV('The List'!AR2:AR730)*-1</f>
        <v>-0.0253103556515531</v>
      </c>
      <c r="AE729" s="46"/>
    </row>
    <row r="730" ht="21.25" customHeight="1">
      <c r="A730" t="s" s="8">
        <v>282</v>
      </c>
      <c r="B730" t="s" s="42">
        <f>VLOOKUP(A730,'Player Data'!A1:B734,2,FALSE)</f>
        <v>166</v>
      </c>
      <c r="C730" s="44">
        <f>(W730*'Settings'!$C$29)+(X730*'Settings'!$C$21)+(Y730*'Settings'!$C$22)+(AA730*'Settings'!$C$24)+(AB730*'Settings'!$C$25)+(Z730*'Settings'!$C$23)+(AC730*'Settings'!$C$26)+(AD730*'Settings'!$C$28)</f>
        <v>2.35807932116596</v>
      </c>
      <c r="D730" s="48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>
        <f>(VLOOKUP($A730,'The List'!$B1:$AR730,35,FALSE)-AVERAGE('The List'!AJ2:AJ730))/STDEV('The List'!AJ2:AJ730)</f>
        <v>1.08868214102747</v>
      </c>
      <c r="X730" s="46">
        <f>(VLOOKUP($A730,'The List'!$B1:$AR730,36,FALSE)-AVERAGE('The List'!AK2:AK730))/STDEV('The List'!AK2:AK730)</f>
        <v>0.561528960672954</v>
      </c>
      <c r="Y730" s="46">
        <f>(VLOOKUP($A730,'The List'!$B1:$AR730,37,FALSE)-AVERAGE('The List'!AL2:AL730))/STDEV('The List'!AL2:AL730)*-1</f>
        <v>-1.63456624577272</v>
      </c>
      <c r="Z730" s="46">
        <f>(VLOOKUP($A730,'The List'!$B1:$AR730,38,FALSE)-AVERAGE('The List'!AM2:AM730))/STDEV('The List'!AM2:AM730)</f>
        <v>1.08868214102747</v>
      </c>
      <c r="AA730" s="46">
        <f>(VLOOKUP($A730,'The List'!$B1:$AR730,39,FALSE)-AVERAGE('The List'!AN2:AN730))/STDEV('The List'!AN2:AN730)</f>
        <v>0.7842891485987959</v>
      </c>
      <c r="AB730" s="46">
        <f>(VLOOKUP($A730,'The List'!$B1:$AR730,40,FALSE)-AVERAGE('The List'!AO2:AO730))/STDEV('The List'!AO2:AO730)</f>
        <v>1.17212863685848</v>
      </c>
      <c r="AC730" s="46">
        <f>(VLOOKUP($A730,'The List'!$B1:$AR730,42,FALSE)-AVERAGE('The List'!AQ2:AQ730))/STDEV('The List'!AQ2:AQ730)</f>
        <v>0.748970440087531</v>
      </c>
      <c r="AD730" s="46">
        <f>(VLOOKUP($A730,'The List'!$B1:$AR730,43,FALSE)-AVERAGE('The List'!AR2:AR730))/STDEV('The List'!AR2:AR730)*-1</f>
        <v>0.263290771806678</v>
      </c>
      <c r="AE730" s="46"/>
    </row>
    <row r="731" ht="21.25" customHeight="1">
      <c r="A731" t="s" s="8">
        <v>772</v>
      </c>
      <c r="B731" t="s" s="42">
        <f>VLOOKUP(A731,'Player Data'!A1:B734,2,FALSE)</f>
        <v>166</v>
      </c>
      <c r="C731" s="44">
        <f>(W731*'Settings'!$C$29)+(X731*'Settings'!$C$21)+(Y731*'Settings'!$C$22)+(AA731*'Settings'!$C$24)+(AB731*'Settings'!$C$25)+(Z731*'Settings'!$C$23)+(AC731*'Settings'!$C$26)+(AD731*'Settings'!$C$28)</f>
        <v>-3.20367816618912</v>
      </c>
      <c r="D731" s="48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>
        <f>(VLOOKUP($A731,'The List'!$B1:$AR730,35,FALSE)-AVERAGE('The List'!AJ2:AJ730))/STDEV('The List'!AJ2:AJ730)</f>
        <v>-0.648450018426199</v>
      </c>
      <c r="X731" s="46">
        <f>(VLOOKUP($A731,'The List'!$B1:$AR730,36,FALSE)-AVERAGE('The List'!AK2:AK730))/STDEV('The List'!AK2:AK730)</f>
        <v>-0.8052900165629669</v>
      </c>
      <c r="Y731" s="46">
        <f>(VLOOKUP($A731,'The List'!$B1:$AR730,37,FALSE)-AVERAGE('The List'!AL2:AL730))/STDEV('The List'!AL2:AL730)*-1</f>
        <v>0.256469447186926</v>
      </c>
      <c r="Z731" s="46">
        <f>(VLOOKUP($A731,'The List'!$B1:$AR730,38,FALSE)-AVERAGE('The List'!AM2:AM730))/STDEV('The List'!AM2:AM730)</f>
        <v>-0.648450018426199</v>
      </c>
      <c r="AA731" s="46">
        <f>(VLOOKUP($A731,'The List'!$B1:$AR730,39,FALSE)-AVERAGE('The List'!AN2:AN730))/STDEV('The List'!AN2:AN730)</f>
        <v>-0.808002824833739</v>
      </c>
      <c r="AB731" s="46">
        <f>(VLOOKUP($A731,'The List'!$B1:$AR730,40,FALSE)-AVERAGE('The List'!AO2:AO730))/STDEV('The List'!AO2:AO730)</f>
        <v>-0.592696708372629</v>
      </c>
      <c r="AC731" s="46">
        <f>(VLOOKUP($A731,'The List'!$B1:$AR730,42,FALSE)-AVERAGE('The List'!AQ2:AQ730))/STDEV('The List'!AQ2:AQ730)</f>
        <v>-0.5460668503494021</v>
      </c>
      <c r="AD731" s="46">
        <f>(VLOOKUP($A731,'The List'!$B1:$AR730,43,FALSE)-AVERAGE('The List'!AR2:AR730))/STDEV('The List'!AR2:AR730)*-1</f>
        <v>-1.04431847444301</v>
      </c>
      <c r="AE731" s="46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730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4.72656" style="30" customWidth="1"/>
    <col min="2" max="2" width="28.3438" style="30" customWidth="1"/>
    <col min="3" max="4" width="7.10938" style="30" customWidth="1"/>
    <col min="5" max="5" width="5.92969" style="30" customWidth="1"/>
    <col min="6" max="14" width="8.28125" style="30" customWidth="1"/>
    <col min="15" max="15" width="3.55469" style="30" customWidth="1"/>
    <col min="16" max="34" width="7.10938" style="30" customWidth="1"/>
    <col min="35" max="35" width="2.375" style="30" customWidth="1"/>
    <col min="36" max="44" width="7.10938" style="30" customWidth="1"/>
    <col min="45" max="45" width="2.375" style="30" customWidth="1"/>
    <col min="46" max="16384" width="8" style="30" customWidth="1"/>
  </cols>
  <sheetData>
    <row r="1" ht="28.3" customHeight="1">
      <c r="A1" t="s" s="31">
        <v>65</v>
      </c>
      <c r="B1" t="s" s="32">
        <v>66</v>
      </c>
      <c r="C1" t="s" s="33">
        <v>67</v>
      </c>
      <c r="D1" t="s" s="33">
        <v>68</v>
      </c>
      <c r="E1" s="25"/>
      <c r="F1" t="s" s="33">
        <v>69</v>
      </c>
      <c r="G1" t="s" s="33">
        <v>70</v>
      </c>
      <c r="H1" t="s" s="33">
        <v>71</v>
      </c>
      <c r="I1" t="s" s="34">
        <v>72</v>
      </c>
      <c r="J1" t="s" s="33">
        <v>73</v>
      </c>
      <c r="K1" t="s" s="34">
        <v>74</v>
      </c>
      <c r="L1" t="s" s="34">
        <v>75</v>
      </c>
      <c r="M1" t="s" s="34">
        <v>76</v>
      </c>
      <c r="N1" t="s" s="34">
        <v>77</v>
      </c>
      <c r="O1" s="35"/>
      <c r="P1" t="s" s="36">
        <v>78</v>
      </c>
      <c r="Q1" t="s" s="37">
        <v>79</v>
      </c>
      <c r="R1" t="s" s="37">
        <v>80</v>
      </c>
      <c r="S1" t="s" s="37">
        <v>81</v>
      </c>
      <c r="T1" t="s" s="37">
        <v>82</v>
      </c>
      <c r="U1" t="s" s="37">
        <v>83</v>
      </c>
      <c r="V1" t="s" s="37">
        <v>84</v>
      </c>
      <c r="W1" t="s" s="37">
        <v>85</v>
      </c>
      <c r="X1" t="s" s="37">
        <v>86</v>
      </c>
      <c r="Y1" t="s" s="37">
        <v>87</v>
      </c>
      <c r="Z1" t="s" s="37">
        <v>88</v>
      </c>
      <c r="AA1" t="s" s="37">
        <v>89</v>
      </c>
      <c r="AB1" t="s" s="37">
        <v>90</v>
      </c>
      <c r="AC1" t="s" s="37">
        <v>91</v>
      </c>
      <c r="AD1" t="s" s="37">
        <v>92</v>
      </c>
      <c r="AE1" t="s" s="37">
        <v>93</v>
      </c>
      <c r="AF1" t="s" s="37">
        <v>94</v>
      </c>
      <c r="AG1" t="s" s="37">
        <v>95</v>
      </c>
      <c r="AH1" t="s" s="37">
        <v>96</v>
      </c>
      <c r="AI1" s="35"/>
      <c r="AJ1" t="s" s="37">
        <v>79</v>
      </c>
      <c r="AK1" t="s" s="37">
        <v>97</v>
      </c>
      <c r="AL1" t="s" s="37">
        <v>98</v>
      </c>
      <c r="AM1" t="s" s="37">
        <v>99</v>
      </c>
      <c r="AN1" t="s" s="37">
        <v>100</v>
      </c>
      <c r="AO1" t="s" s="37">
        <v>101</v>
      </c>
      <c r="AP1" t="s" s="37">
        <v>102</v>
      </c>
      <c r="AQ1" t="s" s="37">
        <v>103</v>
      </c>
      <c r="AR1" t="s" s="37">
        <v>104</v>
      </c>
      <c r="AS1" s="35"/>
    </row>
    <row r="2" ht="21.25" customHeight="1">
      <c r="A2" s="38">
        <f>RANK(K2,K2:K730)</f>
        <v>1</v>
      </c>
      <c r="B2" t="s" s="8">
        <v>105</v>
      </c>
      <c r="C2" t="s" s="39">
        <v>106</v>
      </c>
      <c r="D2" t="s" s="40">
        <f>VLOOKUP(B2,'Player Data'!A1:D734,4,FALSE)</f>
        <v>107</v>
      </c>
      <c r="E2" s="41">
        <f>VLOOKUP(B2,'C'!A1:C218,3,FALSE)</f>
        <v>1</v>
      </c>
      <c r="F2" t="s" s="42">
        <f>VLOOKUP(B2,'Player Data'!A1:B734,2,FALSE)</f>
        <v>108</v>
      </c>
      <c r="G2" s="9">
        <f>VLOOKUP(B2,'Player Data'!A1:D734,3,FALSE)</f>
        <v>26</v>
      </c>
      <c r="H2" s="43">
        <f>_xlfn.IFERROR(VLOOKUP(B2,'ADP'!A1:G731,7,FALSE)/1000000,VLOOKUP(B2,'ADP'!A1:G731,7,FALSE))</f>
        <v>12.5</v>
      </c>
      <c r="I2" s="44">
        <f>IF('Settings'!$E$15="POINTS",((R2*Q2)*'Settings'!$B$12)+(S2*'Settings'!$B$2)+(T2*'Settings'!$B$3)+(U2*'Settings'!$B$4)+(V2*'Settings'!$B$5)+(X2*'Settings'!$B$9)+(AA2*'Settings'!$B$6)+(W2*'Settings'!$B$8)+(AB2*'Settings'!$B$7)+(AC2*'Settings'!$B$14)+(AD2*'Settings'!$B$15)+(AE2*'Settings'!$B$16)+(AF2*'Settings'!$B$17)+(AG2*'Settings'!$B$18)+(Y2*'Settings'!$B$10)+(Z2*'Settings'!$B$11),VLOOKUP(B2,'Standard Deviations'!A1:C731,3,FALSE))</f>
        <v>720.352510769289</v>
      </c>
      <c r="J2" s="45">
        <f>IF(D2="G",I2/AJ2,I2/Q2)</f>
        <v>8.811112601911679</v>
      </c>
      <c r="K2" s="44">
        <f>IF('Settings'!$E$18="C/LW/RW",VLOOKUP(B2,'C'!A1:F218,6,FALSE),VLOOKUP(B2,'F'!A1:F432,6,FALSE))</f>
        <v>324.578309133274</v>
      </c>
      <c r="L2" s="44">
        <f>_xlfn.IFERROR(K2/H2,"N/A")</f>
        <v>25.9662647306619</v>
      </c>
      <c r="M2" s="46">
        <f>IF('Settings'!$E$9="YAHOO",VLOOKUP(B2,'ADP'!A1:E731,2,FALSE),IF('Settings'!$E$9="ESPN",VLOOKUP(B2,'ADP'!A1:E731,3,FALSE),IF('Settings'!$E$9="FANTRAX",VLOOKUP(B2,'ADP'!A1:E731,4,FALSE),VLOOKUP(B2,'ADP'!A1:E731,5,FALSE))))</f>
        <v>1.03</v>
      </c>
      <c r="N2" s="46">
        <f>_xlfn.IFERROR(M2-A2,"N/A")</f>
        <v>0.03</v>
      </c>
      <c r="O2" s="46"/>
      <c r="P2" t="s" s="47">
        <f>IF('Settings'!$E$27="ON",VLOOKUP(B2,'ADP'!A1:H731,8,FALSE)," ")</f>
        <v>109</v>
      </c>
      <c r="Q2" s="48">
        <f>IF('Settings'!$E$12="YES",VLOOKUP(B2,'Player Data'!A1:E734,5,FALSE),82)</f>
        <v>81.755</v>
      </c>
      <c r="R2" s="46">
        <f>VLOOKUP(B2,'Player Data'!$A1:$AE734,6,FALSE)</f>
        <v>22.2907840015244</v>
      </c>
      <c r="S2" s="48">
        <f>VLOOKUP(B2,'Player Data'!$A1:$AE734,7,FALSE)*$Q2*_xlfn.IFERROR((VLOOKUP(P2,'Settings'!$E$28:$F$33,2,FALSE)+1),1)</f>
        <v>54.3427907022479</v>
      </c>
      <c r="T2" s="48">
        <f>VLOOKUP(B2,'Player Data'!$A1:$AE734,8,FALSE)*$Q2*_xlfn.IFERROR((VLOOKUP(P2,'Settings'!$E$28:$F$33,2,FALSE)+1),1)</f>
        <v>87.2357339738217</v>
      </c>
      <c r="U2" s="48">
        <f>SUM(S2:T2)</f>
        <v>141.578524676070</v>
      </c>
      <c r="V2" s="48">
        <f>VLOOKUP(B2,'Player Data'!$A1:$AE734,10,FALSE)*$Q2*_xlfn.IFERROR(((VLOOKUP(P2,'Settings'!$E$28:$F$33,2,FALSE)/2)+1),1)</f>
        <v>333.405711836614</v>
      </c>
      <c r="W2" s="48">
        <f>VLOOKUP(B2,'Player Data'!$A1:$AE734,11,FALSE)*$Q2*_xlfn.IFERROR((VLOOKUP(P2,'Settings'!$E$28:$F$33,2,FALSE)+1),1)</f>
        <v>16.2134987619268</v>
      </c>
      <c r="X2" s="48">
        <f>VLOOKUP(B2,'Player Data'!$A1:$AE734,12,FALSE)*$Q2*_xlfn.IFERROR((VLOOKUP(P2,'Settings'!$E$28:$F$33,2,FALSE)+1),1)</f>
        <v>59.4210594691607</v>
      </c>
      <c r="Y2" s="48">
        <f>VLOOKUP(B2,'Player Data'!$A1:$AE734,13,FALSE)*$Q2</f>
        <v>1.91571901426942</v>
      </c>
      <c r="Z2" s="48">
        <f>VLOOKUP(B2,'Player Data'!$A1:$AE734,14,FALSE)*$Q2</f>
        <v>4.16321252640623</v>
      </c>
      <c r="AA2" s="48">
        <f>VLOOKUP(B2,'Player Data'!$A1:$AE734,15,FALSE)*$Q2</f>
        <v>36.7265537733008</v>
      </c>
      <c r="AB2" s="48">
        <f>VLOOKUP(B2,'Player Data'!$A1:$AE734,16,FALSE)*$Q2</f>
        <v>82.84077131975209</v>
      </c>
      <c r="AC2" s="48">
        <f>VLOOKUP(B2,'Player Data'!$A1:$AE734,17,FALSE)*$Q2*_xlfn.IFERROR((VLOOKUP(P2,'Settings'!$E$28:$F$33,2,FALSE)+1),1)</f>
        <v>10.9721762153012</v>
      </c>
      <c r="AD2" s="48">
        <f>VLOOKUP(B2,'Player Data'!$A1:$AE734,18,FALSE)*$Q2</f>
        <v>36.1078115292742</v>
      </c>
      <c r="AE2" s="48">
        <f>VLOOKUP(B2,'Player Data'!$A1:$AE734,19,FALSE)*$Q2*_xlfn.IFERROR((VLOOKUP(P2,'Settings'!$E$28:$F$33,2,FALSE)+1),1)</f>
        <v>8.60188036445537</v>
      </c>
      <c r="AF2" s="48">
        <f>VLOOKUP(B2,'Player Data'!$A1:$AE734,20,FALSE)*$Q2</f>
        <v>525.231824393953</v>
      </c>
      <c r="AG2" s="48">
        <f>VLOOKUP(B2,'Player Data'!$A1:$AE734,21,FALSE)*$Q2</f>
        <v>482.828535263638</v>
      </c>
      <c r="AH2" s="49">
        <f>VLOOKUP(B2,'Player Data'!$A1:$AE734,22,FALSE)</f>
        <v>0.521032118128679</v>
      </c>
      <c r="AI2" s="46"/>
      <c r="AJ2" s="50"/>
      <c r="AK2" s="48"/>
      <c r="AL2" s="48"/>
      <c r="AM2" s="48"/>
      <c r="AN2" s="48"/>
      <c r="AO2" s="48"/>
      <c r="AP2" s="48"/>
      <c r="AQ2" s="51"/>
      <c r="AR2" s="52"/>
      <c r="AS2" s="46"/>
    </row>
    <row r="3" ht="21.25" customHeight="1">
      <c r="A3" s="53">
        <f>RANK(K3,K2:K730)</f>
        <v>4</v>
      </c>
      <c r="B3" t="s" s="8">
        <v>110</v>
      </c>
      <c r="C3" t="s" s="39">
        <v>106</v>
      </c>
      <c r="D3" t="s" s="40">
        <f>VLOOKUP(B3,'Player Data'!A1:D734,4,FALSE)</f>
        <v>111</v>
      </c>
      <c r="E3" s="54">
        <f>VLOOKUP(B3,'LW'!A1:C156,3,FALSE)</f>
        <v>1</v>
      </c>
      <c r="F3" t="s" s="42">
        <f>VLOOKUP(B3,'Player Data'!A1:B734,2,FALSE)</f>
        <v>108</v>
      </c>
      <c r="G3" s="9">
        <f>VLOOKUP(B3,'Player Data'!A1:D734,3,FALSE)</f>
        <v>27</v>
      </c>
      <c r="H3" s="43">
        <f>_xlfn.IFERROR(VLOOKUP(B3,'ADP'!A1:G731,7,FALSE)/1000000,VLOOKUP(B3,'ADP'!A1:G731,7,FALSE))</f>
        <v>8.5</v>
      </c>
      <c r="I3" s="44">
        <f>IF('Settings'!$E$15="POINTS",((R3*Q3)*'Settings'!$B$12)+(S3*'Settings'!$B$2)+(T3*'Settings'!$B$3)+(U3*'Settings'!$B$4)+(V3*'Settings'!$B$5)+(X3*'Settings'!$B$9)+(AA3*'Settings'!$B$6)+(W3*'Settings'!$B$8)+(AB3*'Settings'!$B$7)+(AC3*'Settings'!$B$14)+(AD3*'Settings'!$B$15)+(AE3*'Settings'!$B$16)+(AF3*'Settings'!$B$17)+(AG3*'Settings'!$B$18)+(Y3*'Settings'!$B$10)+(Z3*'Settings'!$B$11),VLOOKUP(B3,'Standard Deviations'!A1:C731,3,FALSE))</f>
        <v>601.765307633416</v>
      </c>
      <c r="J3" s="45">
        <f>IF(D3="G",I3/AJ3,I3/Q3)</f>
        <v>7.39269419697071</v>
      </c>
      <c r="K3" s="44">
        <f>IF('Settings'!$E$18="C/LW/RW",VLOOKUP(B3,'LW'!A1:F156,6,FALSE),VLOOKUP(B3,'F'!A1:F432,6,FALSE))</f>
        <v>220.136743927060</v>
      </c>
      <c r="L3" s="44">
        <f>_xlfn.IFERROR(K3/H3,"N/A")</f>
        <v>25.8984404620071</v>
      </c>
      <c r="M3" s="46">
        <f>IF('Settings'!$E$9="YAHOO",VLOOKUP(B3,'ADP'!A1:E731,2,FALSE),IF('Settings'!$E$9="ESPN",VLOOKUP(B3,'ADP'!A1:E731,3,FALSE),IF('Settings'!$E$9="FANTRAX",VLOOKUP(B3,'ADP'!A1:E731,4,FALSE),VLOOKUP(B3,'ADP'!A1:E731,5,FALSE))))</f>
        <v>2.49</v>
      </c>
      <c r="N3" s="46">
        <f>_xlfn.IFERROR(M3-A3,"N/A")</f>
        <v>-1.51</v>
      </c>
      <c r="O3" s="46"/>
      <c r="P3" t="s" s="47">
        <f>IF('Settings'!$E$27="ON",VLOOKUP(B3,'ADP'!A1:H731,8,FALSE)," ")</f>
        <v>109</v>
      </c>
      <c r="Q3" s="48">
        <f>IF('Settings'!$E$12="YES",VLOOKUP(B3,'Player Data'!A1:E734,5,FALSE),82)</f>
        <v>81.40000000000001</v>
      </c>
      <c r="R3" s="46">
        <f>VLOOKUP(B3,'Player Data'!$A1:$AE734,6,FALSE)</f>
        <v>21.6696418140244</v>
      </c>
      <c r="S3" s="48">
        <f>VLOOKUP(B3,'Player Data'!$A1:$AE734,7,FALSE)*$Q3*_xlfn.IFERROR((VLOOKUP(P3,'Settings'!$E$28:$F$33,2,FALSE)+1),1)</f>
        <v>51.6007353306855</v>
      </c>
      <c r="T3" s="48">
        <f>VLOOKUP(B3,'Player Data'!$A1:$AE734,8,FALSE)*$Q3*_xlfn.IFERROR((VLOOKUP(P3,'Settings'!$E$28:$F$33,2,FALSE)+1),1)</f>
        <v>68.8707818562682</v>
      </c>
      <c r="U3" s="48">
        <f>SUM(S3:T3)</f>
        <v>120.471517186954</v>
      </c>
      <c r="V3" s="48">
        <f>VLOOKUP(B3,'Player Data'!$A1:$AE734,10,FALSE)*$Q3*_xlfn.IFERROR(((VLOOKUP(P3,'Settings'!$E$28:$F$33,2,FALSE)/2)+1),1)</f>
        <v>255.628991638033</v>
      </c>
      <c r="W3" s="48">
        <f>VLOOKUP(B3,'Player Data'!$A1:$AE734,11,FALSE)*$Q3*_xlfn.IFERROR((VLOOKUP(P3,'Settings'!$E$28:$F$33,2,FALSE)+1),1)</f>
        <v>27.3823279627649</v>
      </c>
      <c r="X3" s="48">
        <f>VLOOKUP(B3,'Player Data'!$A1:$AE734,12,FALSE)*$Q3*_xlfn.IFERROR((VLOOKUP(P3,'Settings'!$E$28:$F$33,2,FALSE)+1),1)</f>
        <v>52.673049425376</v>
      </c>
      <c r="Y3" s="48">
        <f>VLOOKUP(B3,'Player Data'!$A1:$AE734,13,FALSE)*$Q3</f>
        <v>0.66898274253223</v>
      </c>
      <c r="Z3" s="48">
        <f>VLOOKUP(B3,'Player Data'!$A1:$AE734,14,FALSE)*$Q3</f>
        <v>1.04269272029528</v>
      </c>
      <c r="AA3" s="48">
        <f>VLOOKUP(B3,'Player Data'!$A1:$AE734,15,FALSE)*$Q3</f>
        <v>35.2747185394763</v>
      </c>
      <c r="AB3" s="48">
        <f>VLOOKUP(B3,'Player Data'!$A1:$AE734,16,FALSE)*$Q3</f>
        <v>61.649650188727</v>
      </c>
      <c r="AC3" s="48">
        <f>VLOOKUP(B3,'Player Data'!$A1:$AE734,17,FALSE)*$Q3*_xlfn.IFERROR((VLOOKUP(P3,'Settings'!$E$28:$F$33,2,FALSE)+1),1)</f>
        <v>6.99028937813228</v>
      </c>
      <c r="AD3" s="48">
        <f>VLOOKUP(B3,'Player Data'!$A1:$AE734,18,FALSE)*$Q3</f>
        <v>32.6382667775378</v>
      </c>
      <c r="AE3" s="48">
        <f>VLOOKUP(B3,'Player Data'!$A1:$AE734,19,FALSE)*$Q3*_xlfn.IFERROR((VLOOKUP(P3,'Settings'!$E$28:$F$33,2,FALSE)+1),1)</f>
        <v>8.167842436809551</v>
      </c>
      <c r="AF3" s="48">
        <f>VLOOKUP(B3,'Player Data'!$A1:$AE734,20,FALSE)*$Q3</f>
        <v>823.337450938348</v>
      </c>
      <c r="AG3" s="48">
        <f>VLOOKUP(B3,'Player Data'!$A1:$AE734,21,FALSE)*$Q3</f>
        <v>687.926656937311</v>
      </c>
      <c r="AH3" s="49">
        <f>VLOOKUP(B3,'Player Data'!$A1:$AE734,22,FALSE)</f>
        <v>0.544800506177368</v>
      </c>
      <c r="AI3" s="46"/>
      <c r="AJ3" s="48"/>
      <c r="AK3" s="48"/>
      <c r="AL3" s="48"/>
      <c r="AM3" s="48"/>
      <c r="AN3" s="48"/>
      <c r="AO3" s="48"/>
      <c r="AP3" s="48"/>
      <c r="AQ3" s="51"/>
      <c r="AR3" s="52"/>
      <c r="AS3" s="46"/>
    </row>
    <row r="4" ht="21.25" customHeight="1">
      <c r="A4" s="53">
        <f>RANK(K4,K2:K730)</f>
        <v>3</v>
      </c>
      <c r="B4" t="s" s="8">
        <v>112</v>
      </c>
      <c r="C4" t="s" s="39">
        <v>106</v>
      </c>
      <c r="D4" t="s" s="40">
        <f>VLOOKUP(B4,'Player Data'!A1:D734,4,FALSE)</f>
        <v>107</v>
      </c>
      <c r="E4" s="41">
        <f>VLOOKUP(B4,'C'!A1:C218,3,FALSE)</f>
        <v>3</v>
      </c>
      <c r="F4" t="s" s="42">
        <f>VLOOKUP(B4,'Player Data'!A1:B734,2,FALSE)</f>
        <v>113</v>
      </c>
      <c r="G4" s="9">
        <f>VLOOKUP(B4,'Player Data'!A1:D734,3,FALSE)</f>
        <v>27</v>
      </c>
      <c r="H4" s="43">
        <f>_xlfn.IFERROR(VLOOKUP(B4,'ADP'!A1:G731,7,FALSE)/1000000,VLOOKUP(B4,'ADP'!A1:G731,7,FALSE))</f>
        <v>12.6</v>
      </c>
      <c r="I4" s="44">
        <f>IF('Settings'!$E$15="POINTS",((R4*Q4)*'Settings'!$B$12)+(S4*'Settings'!$B$2)+(T4*'Settings'!$B$3)+(U4*'Settings'!$B$4)+(V4*'Settings'!$B$5)+(X4*'Settings'!$B$9)+(AA4*'Settings'!$B$6)+(W4*'Settings'!$B$8)+(AB4*'Settings'!$B$7)+(AC4*'Settings'!$B$14)+(AD4*'Settings'!$B$15)+(AE4*'Settings'!$B$16)+(AF4*'Settings'!$B$17)+(AG4*'Settings'!$B$18)+(Y4*'Settings'!$B$10)+(Z4*'Settings'!$B$11),VLOOKUP(B4,'Standard Deviations'!A1:C731,3,FALSE))</f>
        <v>622.933121694688</v>
      </c>
      <c r="J4" s="45">
        <f>IF(D4="G",I4/AJ4,I4/Q4)</f>
        <v>8.135624187213731</v>
      </c>
      <c r="K4" s="44">
        <f>IF('Settings'!$E$18="C/LW/RW",VLOOKUP(B4,'C'!A1:F218,6,FALSE),VLOOKUP(B4,'F'!A1:F432,6,FALSE))</f>
        <v>227.158920058673</v>
      </c>
      <c r="L4" s="44">
        <f>_xlfn.IFERROR(K4/H4,"N/A")</f>
        <v>18.0284857189423</v>
      </c>
      <c r="M4" s="46">
        <f>IF('Settings'!$E$9="YAHOO",VLOOKUP(B4,'ADP'!A1:E731,2,FALSE),IF('Settings'!$E$9="ESPN",VLOOKUP(B4,'ADP'!A1:E731,3,FALSE),IF('Settings'!$E$9="FANTRAX",VLOOKUP(B4,'ADP'!A1:E731,4,FALSE),VLOOKUP(B4,'ADP'!A1:E731,5,FALSE))))</f>
        <v>2.8</v>
      </c>
      <c r="N4" s="46">
        <f>_xlfn.IFERROR(M4-A4,"N/A")</f>
        <v>-0.2</v>
      </c>
      <c r="O4" s="46"/>
      <c r="P4" t="s" s="47">
        <f>IF('Settings'!$E$27="ON",VLOOKUP(B4,'ADP'!A1:H731,8,FALSE)," ")</f>
        <v>109</v>
      </c>
      <c r="Q4" s="48">
        <f>IF('Settings'!$E$12="YES",VLOOKUP(B4,'Player Data'!A1:E734,5,FALSE),82)</f>
        <v>76.5685714285714</v>
      </c>
      <c r="R4" s="46">
        <f>VLOOKUP(B4,'Player Data'!$A1:$AE734,6,FALSE)</f>
        <v>22.2026299808807</v>
      </c>
      <c r="S4" s="48">
        <f>VLOOKUP(B4,'Player Data'!$A1:$AE734,7,FALSE)*$Q4*_xlfn.IFERROR((VLOOKUP(P4,'Settings'!$E$28:$F$33,2,FALSE)+1),1)</f>
        <v>41.344132498669</v>
      </c>
      <c r="T4" s="48">
        <f>VLOOKUP(B4,'Player Data'!$A1:$AE734,8,FALSE)*$Q4*_xlfn.IFERROR((VLOOKUP(P4,'Settings'!$E$28:$F$33,2,FALSE)+1),1)</f>
        <v>70.69277638633559</v>
      </c>
      <c r="U4" s="48">
        <f>SUM(S4:T4)</f>
        <v>112.036908885005</v>
      </c>
      <c r="V4" s="48">
        <f>VLOOKUP(B4,'Player Data'!$A1:$AE734,10,FALSE)*$Q4*_xlfn.IFERROR(((VLOOKUP(P4,'Settings'!$E$28:$F$33,2,FALSE)/2)+1),1)</f>
        <v>373.997382380355</v>
      </c>
      <c r="W4" s="48">
        <f>VLOOKUP(B4,'Player Data'!$A1:$AE734,11,FALSE)*$Q4*_xlfn.IFERROR((VLOOKUP(P4,'Settings'!$E$28:$F$33,2,FALSE)+1),1)</f>
        <v>11.420478931828</v>
      </c>
      <c r="X4" s="48">
        <f>VLOOKUP(B4,'Player Data'!$A1:$AE734,12,FALSE)*$Q4*_xlfn.IFERROR((VLOOKUP(P4,'Settings'!$E$28:$F$33,2,FALSE)+1),1)</f>
        <v>34.6011438758142</v>
      </c>
      <c r="Y4" s="48">
        <f>VLOOKUP(B4,'Player Data'!$A1:$AE734,13,FALSE)*$Q4</f>
        <v>0.0349792896873428</v>
      </c>
      <c r="Z4" s="48">
        <f>VLOOKUP(B4,'Player Data'!$A1:$AE734,14,FALSE)*$Q4</f>
        <v>0.06387768002064249</v>
      </c>
      <c r="AA4" s="48">
        <f>VLOOKUP(B4,'Player Data'!$A1:$AE734,15,FALSE)*$Q4</f>
        <v>43.4109532246863</v>
      </c>
      <c r="AB4" s="48">
        <f>VLOOKUP(B4,'Player Data'!$A1:$AE734,16,FALSE)*$Q4</f>
        <v>63.8970925164361</v>
      </c>
      <c r="AC4" s="48">
        <f>VLOOKUP(B4,'Player Data'!$A1:$AE734,17,FALSE)*$Q4*_xlfn.IFERROR((VLOOKUP(P4,'Settings'!$E$28:$F$33,2,FALSE)+1),1)</f>
        <v>9.02895701850967</v>
      </c>
      <c r="AD4" s="48">
        <f>VLOOKUP(B4,'Player Data'!$A1:$AE734,18,FALSE)*$Q4</f>
        <v>41.4186222625945</v>
      </c>
      <c r="AE4" s="48">
        <f>VLOOKUP(B4,'Player Data'!$A1:$AE734,19,FALSE)*$Q4*_xlfn.IFERROR((VLOOKUP(P4,'Settings'!$E$28:$F$33,2,FALSE)+1),1)</f>
        <v>6.54126468257957</v>
      </c>
      <c r="AF4" s="48">
        <f>VLOOKUP(B4,'Player Data'!$A1:$AE734,20,FALSE)*$Q4</f>
        <v>539.6293723047939</v>
      </c>
      <c r="AG4" s="48">
        <f>VLOOKUP(B4,'Player Data'!$A1:$AE734,21,FALSE)*$Q4</f>
        <v>647.253923054027</v>
      </c>
      <c r="AH4" s="49">
        <f>VLOOKUP(B4,'Player Data'!$A1:$AE734,22,FALSE)</f>
        <v>0.45466085369552</v>
      </c>
      <c r="AI4" s="46"/>
      <c r="AJ4" s="50"/>
      <c r="AK4" s="51"/>
      <c r="AL4" s="48"/>
      <c r="AM4" s="48"/>
      <c r="AN4" s="48"/>
      <c r="AO4" s="48"/>
      <c r="AP4" s="48"/>
      <c r="AQ4" s="51"/>
      <c r="AR4" s="52"/>
      <c r="AS4" s="46"/>
    </row>
    <row r="5" ht="21.25" customHeight="1">
      <c r="A5" s="53">
        <f>RANK(K5,K2:K730)</f>
        <v>2</v>
      </c>
      <c r="B5" t="s" s="8">
        <v>114</v>
      </c>
      <c r="C5" t="s" s="39">
        <v>106</v>
      </c>
      <c r="D5" t="s" s="40">
        <f>VLOOKUP(B5,'Player Data'!A1:D734,4,FALSE)</f>
        <v>107</v>
      </c>
      <c r="E5" s="41">
        <f>VLOOKUP(B5,'C'!A1:C218,3,FALSE)</f>
        <v>2</v>
      </c>
      <c r="F5" t="s" s="42">
        <f>VLOOKUP(B5,'Player Data'!A1:B734,2,FALSE)</f>
        <v>115</v>
      </c>
      <c r="G5" s="9">
        <f>VLOOKUP(B5,'Player Data'!A1:D734,3,FALSE)</f>
        <v>25</v>
      </c>
      <c r="H5" s="43">
        <f>_xlfn.IFERROR(VLOOKUP(B5,'ADP'!A1:G731,7,FALSE)/1000000,VLOOKUP(B5,'ADP'!A1:G731,7,FALSE))</f>
        <v>11.64025</v>
      </c>
      <c r="I5" s="44">
        <f>IF('Settings'!$E$15="POINTS",((R5*Q5)*'Settings'!$B$12)+(S5*'Settings'!$B$2)+(T5*'Settings'!$B$3)+(U5*'Settings'!$B$4)+(V5*'Settings'!$B$5)+(X5*'Settings'!$B$9)+(AA5*'Settings'!$B$6)+(W5*'Settings'!$B$8)+(AB5*'Settings'!$B$7)+(AC5*'Settings'!$B$14)+(AD5*'Settings'!$B$15)+(AE5*'Settings'!$B$16)+(AF5*'Settings'!$B$17)+(AG5*'Settings'!$B$18)+(Y5*'Settings'!$B$10)+(Z5*'Settings'!$B$11),VLOOKUP(B5,'Standard Deviations'!A1:C731,3,FALSE))</f>
        <v>632.5553771395849</v>
      </c>
      <c r="J5" s="45">
        <f>IF(D5="G",I5/AJ5,I5/Q5)</f>
        <v>8.028698866247691</v>
      </c>
      <c r="K5" s="44">
        <f>IF('Settings'!$E$18="C/LW/RW",VLOOKUP(B5,'C'!A1:F218,6,FALSE),VLOOKUP(B5,'F'!A1:F432,6,FALSE))</f>
        <v>236.781175503570</v>
      </c>
      <c r="L5" s="44">
        <f>_xlfn.IFERROR(K5/H5,"N/A")</f>
        <v>20.3415884971173</v>
      </c>
      <c r="M5" s="46">
        <f>IF('Settings'!$E$9="YAHOO",VLOOKUP(B5,'ADP'!A1:E731,2,FALSE),IF('Settings'!$E$9="ESPN",VLOOKUP(B5,'ADP'!A1:E731,3,FALSE),IF('Settings'!$E$9="FANTRAX",VLOOKUP(B5,'ADP'!A1:E731,4,FALSE),VLOOKUP(B5,'ADP'!A1:E731,5,FALSE))))</f>
        <v>4.68</v>
      </c>
      <c r="N5" s="46">
        <f>_xlfn.IFERROR(M5-A5,"N/A")</f>
        <v>2.68</v>
      </c>
      <c r="O5" s="46"/>
      <c r="P5" t="s" s="47">
        <f>IF('Settings'!$E$27="ON",VLOOKUP(B5,'ADP'!A1:H731,8,FALSE)," ")</f>
        <v>116</v>
      </c>
      <c r="Q5" s="48">
        <f>IF('Settings'!$E$12="YES",VLOOKUP(B5,'Player Data'!A1:E734,5,FALSE),82)</f>
        <v>78.7867857142857</v>
      </c>
      <c r="R5" s="46">
        <f>VLOOKUP(B5,'Player Data'!$A1:$AE734,6,FALSE)</f>
        <v>20.3388111305526</v>
      </c>
      <c r="S5" s="48">
        <f>VLOOKUP(B5,'Player Data'!$A1:$AE734,7,FALSE)*$Q5*_xlfn.IFERROR((VLOOKUP(P5,'Settings'!$E$28:$F$33,2,FALSE)+1),1)</f>
        <v>54.0573804006935</v>
      </c>
      <c r="T5" s="48">
        <f>VLOOKUP(B5,'Player Data'!$A1:$AE734,8,FALSE)*$Q5*_xlfn.IFERROR((VLOOKUP(P5,'Settings'!$E$28:$F$33,2,FALSE)+1),1)</f>
        <v>51.1980682111782</v>
      </c>
      <c r="U5" s="48">
        <f>SUM(S5:T5)</f>
        <v>105.255448611872</v>
      </c>
      <c r="V5" s="48">
        <f>VLOOKUP(B5,'Player Data'!$A1:$AE734,10,FALSE)*$Q5*_xlfn.IFERROR(((VLOOKUP(P5,'Settings'!$E$28:$F$33,2,FALSE)/2)+1),1)</f>
        <v>351.246379047338</v>
      </c>
      <c r="W5" s="48">
        <f>VLOOKUP(B5,'Player Data'!$A1:$AE734,11,FALSE)*$Q5*_xlfn.IFERROR((VLOOKUP(P5,'Settings'!$E$28:$F$33,2,FALSE)+1),1)</f>
        <v>16.2670960173285</v>
      </c>
      <c r="X5" s="48">
        <f>VLOOKUP(B5,'Player Data'!$A1:$AE734,12,FALSE)*$Q5*_xlfn.IFERROR((VLOOKUP(P5,'Settings'!$E$28:$F$33,2,FALSE)+1),1)</f>
        <v>32.4122306183304</v>
      </c>
      <c r="Y5" s="48">
        <f>VLOOKUP(B5,'Player Data'!$A1:$AE734,13,FALSE)*$Q5</f>
        <v>0.0183202724054119</v>
      </c>
      <c r="Z5" s="48">
        <f>VLOOKUP(B5,'Player Data'!$A1:$AE734,14,FALSE)*$Q5</f>
        <v>0.033427951314954</v>
      </c>
      <c r="AA5" s="48">
        <f>VLOOKUP(B5,'Player Data'!$A1:$AE734,15,FALSE)*$Q5</f>
        <v>81.68823751419789</v>
      </c>
      <c r="AB5" s="48">
        <f>VLOOKUP(B5,'Player Data'!$A1:$AE734,16,FALSE)*$Q5</f>
        <v>76.6751860781275</v>
      </c>
      <c r="AC5" s="48">
        <f>VLOOKUP(B5,'Player Data'!$A1:$AE734,17,FALSE)*$Q5*_xlfn.IFERROR((VLOOKUP(P5,'Settings'!$E$28:$F$33,2,FALSE)+1),1)</f>
        <v>12.4237889040582</v>
      </c>
      <c r="AD5" s="48">
        <f>VLOOKUP(B5,'Player Data'!$A1:$AE734,18,FALSE)*$Q5</f>
        <v>22.3165896414441</v>
      </c>
      <c r="AE5" s="48">
        <f>VLOOKUP(B5,'Player Data'!$A1:$AE734,19,FALSE)*$Q5*_xlfn.IFERROR((VLOOKUP(P5,'Settings'!$E$28:$F$33,2,FALSE)+1),1)</f>
        <v>8.684303793137479</v>
      </c>
      <c r="AF5" s="48">
        <f>VLOOKUP(B5,'Player Data'!$A1:$AE734,20,FALSE)*$Q5</f>
        <v>624.2230099889661</v>
      </c>
      <c r="AG5" s="48">
        <f>VLOOKUP(B5,'Player Data'!$A1:$AE734,21,FALSE)*$Q5</f>
        <v>537.338097105433</v>
      </c>
      <c r="AH5" s="49">
        <f>VLOOKUP(B5,'Player Data'!$A1:$AE734,22,FALSE)</f>
        <v>0.537400061156004</v>
      </c>
      <c r="AI5" s="46"/>
      <c r="AJ5" s="50"/>
      <c r="AK5" s="48"/>
      <c r="AL5" s="48"/>
      <c r="AM5" s="48"/>
      <c r="AN5" s="48"/>
      <c r="AO5" s="48"/>
      <c r="AP5" s="48"/>
      <c r="AQ5" s="51"/>
      <c r="AR5" s="52"/>
      <c r="AS5" s="46"/>
    </row>
    <row r="6" ht="21.25" customHeight="1">
      <c r="A6" s="53">
        <f>RANK(K6,K2:K730)</f>
        <v>6</v>
      </c>
      <c r="B6" t="s" s="8">
        <v>117</v>
      </c>
      <c r="C6" t="s" s="39">
        <v>106</v>
      </c>
      <c r="D6" t="s" s="40">
        <f>VLOOKUP(B6,'Player Data'!A1:D734,4,FALSE)</f>
        <v>118</v>
      </c>
      <c r="E6" s="54">
        <f>VLOOKUP(B6,'LW'!A1:C156,3,FALSE)</f>
        <v>2</v>
      </c>
      <c r="F6" t="s" s="42">
        <f>VLOOKUP(B6,'Player Data'!A1:B734,2,FALSE)</f>
        <v>119</v>
      </c>
      <c r="G6" s="9">
        <f>VLOOKUP(B6,'Player Data'!A1:D734,3,FALSE)</f>
        <v>25</v>
      </c>
      <c r="H6" s="43">
        <f>_xlfn.IFERROR(VLOOKUP(B6,'ADP'!A1:G731,7,FALSE)/1000000,VLOOKUP(B6,'ADP'!A1:G731,7,FALSE))</f>
        <v>9.5</v>
      </c>
      <c r="I6" s="44">
        <f>IF('Settings'!$E$15="POINTS",((R6*Q6)*'Settings'!$B$12)+(S6*'Settings'!$B$2)+(T6*'Settings'!$B$3)+(U6*'Settings'!$B$4)+(V6*'Settings'!$B$5)+(X6*'Settings'!$B$9)+(AA6*'Settings'!$B$6)+(W6*'Settings'!$B$8)+(AB6*'Settings'!$B$7)+(AC6*'Settings'!$B$14)+(AD6*'Settings'!$B$15)+(AE6*'Settings'!$B$16)+(AF6*'Settings'!$B$17)+(AG6*'Settings'!$B$18)+(Y6*'Settings'!$B$10)+(Z6*'Settings'!$B$11),VLOOKUP(B6,'Standard Deviations'!A1:C731,3,FALSE))</f>
        <v>574.238329765201</v>
      </c>
      <c r="J6" s="45">
        <f>IF(D6="G",I6/AJ6,I6/Q6)</f>
        <v>7.0460852144569</v>
      </c>
      <c r="K6" s="44">
        <f>IF('Settings'!$E$18="C/LW/RW",VLOOKUP(B6,'RW'!A1:F132,6,FALSE),VLOOKUP(B6,'F'!A1:F432,6,FALSE))</f>
        <v>192.609766058845</v>
      </c>
      <c r="L6" s="44">
        <f>_xlfn.IFERROR(K6/H6,"N/A")</f>
        <v>20.2747122167205</v>
      </c>
      <c r="M6" s="46">
        <f>IF('Settings'!$E$9="YAHOO",VLOOKUP(B6,'ADP'!A1:E731,2,FALSE),IF('Settings'!$E$9="ESPN",VLOOKUP(B6,'ADP'!A1:E731,3,FALSE),IF('Settings'!$E$9="FANTRAX",VLOOKUP(B6,'ADP'!A1:E731,4,FALSE),VLOOKUP(B6,'ADP'!A1:E731,5,FALSE))))</f>
        <v>7.55</v>
      </c>
      <c r="N6" s="46">
        <f>_xlfn.IFERROR(M6-A6,"N/A")</f>
        <v>1.55</v>
      </c>
      <c r="O6" s="46"/>
      <c r="P6" t="s" s="47">
        <f>IF('Settings'!$E$27="ON",VLOOKUP(B6,'ADP'!A1:H731,8,FALSE)," ")</f>
        <v>109</v>
      </c>
      <c r="Q6" s="48">
        <f>IF('Settings'!$E$12="YES",VLOOKUP(B6,'Player Data'!A1:E734,5,FALSE),82)</f>
        <v>81.4975</v>
      </c>
      <c r="R6" s="46">
        <f>VLOOKUP(B6,'Player Data'!$A1:$AE734,6,FALSE)</f>
        <v>20.1249183329808</v>
      </c>
      <c r="S6" s="48">
        <f>VLOOKUP(B6,'Player Data'!$A1:$AE734,7,FALSE)*$Q6*_xlfn.IFERROR((VLOOKUP(P6,'Settings'!$E$28:$F$33,2,FALSE)+1),1)</f>
        <v>41.1909881710399</v>
      </c>
      <c r="T6" s="48">
        <f>VLOOKUP(B6,'Player Data'!$A1:$AE734,8,FALSE)*$Q6*_xlfn.IFERROR((VLOOKUP(P6,'Settings'!$E$28:$F$33,2,FALSE)+1),1)</f>
        <v>66.2182953919507</v>
      </c>
      <c r="U6" s="48">
        <f>SUM(S6:T6)</f>
        <v>107.409283562991</v>
      </c>
      <c r="V6" s="48">
        <f>VLOOKUP(B6,'Player Data'!$A1:$AE734,10,FALSE)*$Q6*_xlfn.IFERROR(((VLOOKUP(P6,'Settings'!$E$28:$F$33,2,FALSE)/2)+1),1)</f>
        <v>306.853939623315</v>
      </c>
      <c r="W6" s="48">
        <f>VLOOKUP(B6,'Player Data'!$A1:$AE734,11,FALSE)*$Q6*_xlfn.IFERROR((VLOOKUP(P6,'Settings'!$E$28:$F$33,2,FALSE)+1),1)</f>
        <v>13.330312280029</v>
      </c>
      <c r="X6" s="48">
        <f>VLOOKUP(B6,'Player Data'!$A1:$AE734,12,FALSE)*$Q6*_xlfn.IFERROR((VLOOKUP(P6,'Settings'!$E$28:$F$33,2,FALSE)+1),1)</f>
        <v>35.1358557274223</v>
      </c>
      <c r="Y6" s="48">
        <f>VLOOKUP(B6,'Player Data'!$A1:$AE734,13,FALSE)*$Q6</f>
        <v>0.0981290559651382</v>
      </c>
      <c r="Z6" s="48">
        <f>VLOOKUP(B6,'Player Data'!$A1:$AE734,14,FALSE)*$Q6</f>
        <v>0.64167476494873</v>
      </c>
      <c r="AA6" s="48">
        <f>VLOOKUP(B6,'Player Data'!$A1:$AE734,15,FALSE)*$Q6</f>
        <v>29.2781657265038</v>
      </c>
      <c r="AB6" s="48">
        <f>VLOOKUP(B6,'Player Data'!$A1:$AE734,16,FALSE)*$Q6</f>
        <v>83.4983784594493</v>
      </c>
      <c r="AC6" s="48">
        <f>VLOOKUP(B6,'Player Data'!$A1:$AE734,17,FALSE)*$Q6*_xlfn.IFERROR((VLOOKUP(P6,'Settings'!$E$28:$F$33,2,FALSE)+1),1)</f>
        <v>11.3033035991299</v>
      </c>
      <c r="AD6" s="48">
        <f>VLOOKUP(B6,'Player Data'!$A1:$AE734,18,FALSE)*$Q6</f>
        <v>72.1574745794954</v>
      </c>
      <c r="AE6" s="48">
        <f>VLOOKUP(B6,'Player Data'!$A1:$AE734,19,FALSE)*$Q6*_xlfn.IFERROR((VLOOKUP(P6,'Settings'!$E$28:$F$33,2,FALSE)+1),1)</f>
        <v>5.90894120906959</v>
      </c>
      <c r="AF6" s="48">
        <f>VLOOKUP(B6,'Player Data'!$A1:$AE734,20,FALSE)*$Q6</f>
        <v>13.6663970761677</v>
      </c>
      <c r="AG6" s="48">
        <f>VLOOKUP(B6,'Player Data'!$A1:$AE734,21,FALSE)*$Q6</f>
        <v>16.6483226539217</v>
      </c>
      <c r="AH6" s="49">
        <f>VLOOKUP(B6,'Player Data'!$A1:$AE734,22,FALSE)</f>
        <v>0.450817200285806</v>
      </c>
      <c r="AI6" s="46"/>
      <c r="AJ6" s="50"/>
      <c r="AK6" s="48"/>
      <c r="AL6" s="48"/>
      <c r="AM6" s="48"/>
      <c r="AN6" s="48"/>
      <c r="AO6" s="48"/>
      <c r="AP6" s="48"/>
      <c r="AQ6" s="51"/>
      <c r="AR6" s="52"/>
      <c r="AS6" s="50"/>
    </row>
    <row r="7" ht="21.25" customHeight="1">
      <c r="A7" s="53">
        <f>RANK(K7,K2:K730)</f>
        <v>5</v>
      </c>
      <c r="B7" t="s" s="8">
        <v>120</v>
      </c>
      <c r="C7" t="s" s="39">
        <v>106</v>
      </c>
      <c r="D7" t="s" s="40">
        <f>VLOOKUP(B7,'Player Data'!A1:D734,4,FALSE)</f>
        <v>121</v>
      </c>
      <c r="E7" s="55">
        <f>VLOOKUP(B7,'RW'!A1:F132,3,FALSE)</f>
        <v>1</v>
      </c>
      <c r="F7" t="s" s="42">
        <f>VLOOKUP(B7,'Player Data'!A1:B734,2,FALSE)</f>
        <v>122</v>
      </c>
      <c r="G7" s="9">
        <f>VLOOKUP(B7,'Player Data'!A1:D734,3,FALSE)</f>
        <v>27</v>
      </c>
      <c r="H7" s="43">
        <f>_xlfn.IFERROR(VLOOKUP(B7,'ADP'!A1:G731,7,FALSE)/1000000,VLOOKUP(B7,'ADP'!A1:G731,7,FALSE))</f>
        <v>11.25</v>
      </c>
      <c r="I7" s="44">
        <f>IF('Settings'!$E$15="POINTS",((R7*Q7)*'Settings'!$B$12)+(S7*'Settings'!$B$2)+(T7*'Settings'!$B$3)+(U7*'Settings'!$B$4)+(V7*'Settings'!$B$5)+(X7*'Settings'!$B$9)+(AA7*'Settings'!$B$6)+(W7*'Settings'!$B$8)+(AB7*'Settings'!$B$7)+(AC7*'Settings'!$B$14)+(AD7*'Settings'!$B$15)+(AE7*'Settings'!$B$16)+(AF7*'Settings'!$B$17)+(AG7*'Settings'!$B$18)+(Y7*'Settings'!$B$10)+(Z7*'Settings'!$B$11),VLOOKUP(B7,'Standard Deviations'!A1:C731,3,FALSE))</f>
        <v>582.797881387140</v>
      </c>
      <c r="J7" s="45">
        <f>IF(D7="G",I7/AJ7,I7/Q7)</f>
        <v>7.33230617236263</v>
      </c>
      <c r="K7" s="44">
        <f>IF('Settings'!$E$18="C/LW/RW",VLOOKUP(B7,'RW'!A1:F132,6,FALSE),VLOOKUP(B7,'F'!A1:F432,6,FALSE))</f>
        <v>201.169317680784</v>
      </c>
      <c r="L7" s="44">
        <f>_xlfn.IFERROR(K7/H7,"N/A")</f>
        <v>17.8817171271808</v>
      </c>
      <c r="M7" s="46">
        <f>IF('Settings'!$E$9="YAHOO",VLOOKUP(B7,'ADP'!A1:E731,2,FALSE),IF('Settings'!$E$9="ESPN",VLOOKUP(B7,'ADP'!A1:E731,3,FALSE),IF('Settings'!$E$9="FANTRAX",VLOOKUP(B7,'ADP'!A1:E731,4,FALSE),VLOOKUP(B7,'ADP'!A1:E731,5,FALSE))))</f>
        <v>5.05</v>
      </c>
      <c r="N7" s="46">
        <f>_xlfn.IFERROR(M7-A7,"N/A")</f>
        <v>0.05</v>
      </c>
      <c r="O7" s="46"/>
      <c r="P7" t="s" s="47">
        <f>IF('Settings'!$E$27="ON",VLOOKUP(B7,'ADP'!A1:H731,8,FALSE)," ")</f>
        <v>109</v>
      </c>
      <c r="Q7" s="48">
        <f>IF('Settings'!$E$12="YES",VLOOKUP(B7,'Player Data'!A1:E734,5,FALSE),82)</f>
        <v>79.48357142857139</v>
      </c>
      <c r="R7" s="46">
        <f>VLOOKUP(B7,'Player Data'!$A1:$AE734,6,FALSE)</f>
        <v>19.4361396922256</v>
      </c>
      <c r="S7" s="48">
        <f>VLOOKUP(B7,'Player Data'!$A1:$AE734,7,FALSE)*$Q7*_xlfn.IFERROR((VLOOKUP(P7,'Settings'!$E$28:$F$33,2,FALSE)+1),1)</f>
        <v>49.3033182765991</v>
      </c>
      <c r="T7" s="48">
        <f>VLOOKUP(B7,'Player Data'!$A1:$AE734,8,FALSE)*$Q7*_xlfn.IFERROR((VLOOKUP(P7,'Settings'!$E$28:$F$33,2,FALSE)+1),1)</f>
        <v>47.5739878192507</v>
      </c>
      <c r="U7" s="48">
        <f>SUM(S7:T7)</f>
        <v>96.8773060958498</v>
      </c>
      <c r="V7" s="48">
        <f>VLOOKUP(B7,'Player Data'!$A1:$AE734,10,FALSE)*$Q7*_xlfn.IFERROR(((VLOOKUP(P7,'Settings'!$E$28:$F$33,2,FALSE)/2)+1),1)</f>
        <v>365.685387557154</v>
      </c>
      <c r="W7" s="48">
        <f>VLOOKUP(B7,'Player Data'!$A1:$AE734,11,FALSE)*$Q7*_xlfn.IFERROR((VLOOKUP(P7,'Settings'!$E$28:$F$33,2,FALSE)+1),1)</f>
        <v>15.3429391798478</v>
      </c>
      <c r="X7" s="48">
        <f>VLOOKUP(B7,'Player Data'!$A1:$AE734,12,FALSE)*$Q7*_xlfn.IFERROR((VLOOKUP(P7,'Settings'!$E$28:$F$33,2,FALSE)+1),1)</f>
        <v>31.4419392908647</v>
      </c>
      <c r="Y7" s="48">
        <f>VLOOKUP(B7,'Player Data'!$A1:$AE734,13,FALSE)*$Q7</f>
        <v>0.0305693890060897</v>
      </c>
      <c r="Z7" s="48">
        <f>VLOOKUP(B7,'Player Data'!$A1:$AE734,14,FALSE)*$Q7</f>
        <v>0.0557492409438144</v>
      </c>
      <c r="AA7" s="48">
        <f>VLOOKUP(B7,'Player Data'!$A1:$AE734,15,FALSE)*$Q7</f>
        <v>29.0651178425324</v>
      </c>
      <c r="AB7" s="48">
        <f>VLOOKUP(B7,'Player Data'!$A1:$AE734,16,FALSE)*$Q7</f>
        <v>82.89693801184249</v>
      </c>
      <c r="AC7" s="48">
        <f>VLOOKUP(B7,'Player Data'!$A1:$AE734,17,FALSE)*$Q7*_xlfn.IFERROR((VLOOKUP(P7,'Settings'!$E$28:$F$33,2,FALSE)+1),1)</f>
        <v>6.88320130843286</v>
      </c>
      <c r="AD7" s="48">
        <f>VLOOKUP(B7,'Player Data'!$A1:$AE734,18,FALSE)*$Q7</f>
        <v>34.0786753343817</v>
      </c>
      <c r="AE7" s="48">
        <f>VLOOKUP(B7,'Player Data'!$A1:$AE734,19,FALSE)*$Q7*_xlfn.IFERROR((VLOOKUP(P7,'Settings'!$E$28:$F$33,2,FALSE)+1),1)</f>
        <v>8.27705687988548</v>
      </c>
      <c r="AF7" s="48">
        <f>VLOOKUP(B7,'Player Data'!$A1:$AE734,20,FALSE)*$Q7</f>
        <v>6.84128517106024</v>
      </c>
      <c r="AG7" s="48">
        <f>VLOOKUP(B7,'Player Data'!$A1:$AE734,21,FALSE)*$Q7</f>
        <v>11.6972939745937</v>
      </c>
      <c r="AH7" s="49">
        <f>VLOOKUP(B7,'Player Data'!$A1:$AE734,22,FALSE)</f>
        <v>0.369029639073719</v>
      </c>
      <c r="AI7" s="46"/>
      <c r="AJ7" s="50"/>
      <c r="AK7" s="48"/>
      <c r="AL7" s="48"/>
      <c r="AM7" s="48"/>
      <c r="AN7" s="48"/>
      <c r="AO7" s="48"/>
      <c r="AP7" s="48"/>
      <c r="AQ7" s="51"/>
      <c r="AR7" s="52"/>
      <c r="AS7" s="46"/>
    </row>
    <row r="8" ht="21.25" customHeight="1">
      <c r="A8" s="53">
        <f>RANK(K8,K2:K730)</f>
        <v>12</v>
      </c>
      <c r="B8" t="s" s="8">
        <v>123</v>
      </c>
      <c r="C8" t="s" s="39">
        <v>106</v>
      </c>
      <c r="D8" t="s" s="40">
        <f>VLOOKUP(B8,'Player Data'!A1:D734,4,FALSE)</f>
        <v>121</v>
      </c>
      <c r="E8" s="55">
        <f>VLOOKUP(B8,'RW'!A1:F132,3,FALSE)</f>
        <v>4</v>
      </c>
      <c r="F8" t="s" s="42">
        <f>VLOOKUP(B8,'Player Data'!A1:B734,2,FALSE)</f>
        <v>124</v>
      </c>
      <c r="G8" s="9">
        <f>VLOOKUP(B8,'Player Data'!A1:D734,3,FALSE)</f>
        <v>30</v>
      </c>
      <c r="H8" s="43">
        <f>_xlfn.IFERROR(VLOOKUP(B8,'ADP'!A1:G731,7,FALSE)/1000000,VLOOKUP(B8,'ADP'!A1:G731,7,FALSE))</f>
        <v>9.5</v>
      </c>
      <c r="I8" s="44">
        <f>IF('Settings'!$E$15="POINTS",((R8*Q8)*'Settings'!$B$12)+(S8*'Settings'!$B$2)+(T8*'Settings'!$B$3)+(U8*'Settings'!$B$4)+(V8*'Settings'!$B$5)+(X8*'Settings'!$B$9)+(AA8*'Settings'!$B$6)+(W8*'Settings'!$B$8)+(AB8*'Settings'!$B$7)+(AC8*'Settings'!$B$14)+(AD8*'Settings'!$B$15)+(AE8*'Settings'!$B$16)+(AF8*'Settings'!$B$17)+(AG8*'Settings'!$B$18)+(Y8*'Settings'!$B$10)+(Z8*'Settings'!$B$11),VLOOKUP(B8,'Standard Deviations'!A1:C731,3,FALSE))</f>
        <v>523.300589385885</v>
      </c>
      <c r="J8" s="45">
        <f>IF(D8="G",I8/AJ8,I8/Q8)</f>
        <v>6.5658794151303</v>
      </c>
      <c r="K8" s="44">
        <f>IF('Settings'!$E$18="C/LW/RW",VLOOKUP(B8,'RW'!A1:F132,6,FALSE),VLOOKUP(B8,'F'!A1:F432,6,FALSE))</f>
        <v>141.672025679529</v>
      </c>
      <c r="L8" s="44">
        <f>_xlfn.IFERROR(K8/H8,"N/A")</f>
        <v>14.9128448083715</v>
      </c>
      <c r="M8" s="46">
        <f>IF('Settings'!$E$9="YAHOO",VLOOKUP(B8,'ADP'!A1:E731,2,FALSE),IF('Settings'!$E$9="ESPN",VLOOKUP(B8,'ADP'!A1:E731,3,FALSE),IF('Settings'!$E$9="FANTRAX",VLOOKUP(B8,'ADP'!A1:E731,4,FALSE),VLOOKUP(B8,'ADP'!A1:E731,5,FALSE))))</f>
        <v>9.49</v>
      </c>
      <c r="N8" s="46">
        <f>_xlfn.IFERROR(M8-A8,"N/A")</f>
        <v>-2.51</v>
      </c>
      <c r="O8" s="46"/>
      <c r="P8" t="s" s="47">
        <f>IF('Settings'!$E$27="ON",VLOOKUP(B8,'ADP'!A1:H731,8,FALSE)," ")</f>
        <v>109</v>
      </c>
      <c r="Q8" s="48">
        <f>IF('Settings'!$E$12="YES",VLOOKUP(B8,'Player Data'!A1:E734,5,FALSE),82)</f>
        <v>79.7</v>
      </c>
      <c r="R8" s="46">
        <f>VLOOKUP(B8,'Player Data'!$A1:$AE734,6,FALSE)</f>
        <v>20.1262766588415</v>
      </c>
      <c r="S8" s="48">
        <f>VLOOKUP(B8,'Player Data'!$A1:$AE734,7,FALSE)*$Q8*_xlfn.IFERROR((VLOOKUP(P8,'Settings'!$E$28:$F$33,2,FALSE)+1),1)</f>
        <v>31.9575453746222</v>
      </c>
      <c r="T8" s="48">
        <f>VLOOKUP(B8,'Player Data'!$A1:$AE734,8,FALSE)*$Q8*_xlfn.IFERROR((VLOOKUP(P8,'Settings'!$E$28:$F$33,2,FALSE)+1),1)</f>
        <v>73.595731724394</v>
      </c>
      <c r="U8" s="48">
        <f>SUM(S8:T8)</f>
        <v>105.553277099016</v>
      </c>
      <c r="V8" s="48">
        <f>VLOOKUP(B8,'Player Data'!$A1:$AE734,10,FALSE)*$Q8*_xlfn.IFERROR(((VLOOKUP(P8,'Settings'!$E$28:$F$33,2,FALSE)/2)+1),1)</f>
        <v>262.449541123525</v>
      </c>
      <c r="W8" s="48">
        <f>VLOOKUP(B8,'Player Data'!$A1:$AE734,11,FALSE)*$Q8*_xlfn.IFERROR((VLOOKUP(P8,'Settings'!$E$28:$F$33,2,FALSE)+1),1)</f>
        <v>9.13982231448545</v>
      </c>
      <c r="X8" s="48">
        <f>VLOOKUP(B8,'Player Data'!$A1:$AE734,12,FALSE)*$Q8*_xlfn.IFERROR((VLOOKUP(P8,'Settings'!$E$28:$F$33,2,FALSE)+1),1)</f>
        <v>43.456029084439</v>
      </c>
      <c r="Y8" s="48">
        <f>VLOOKUP(B8,'Player Data'!$A1:$AE734,13,FALSE)*$Q8</f>
        <v>0.00438318515217501</v>
      </c>
      <c r="Z8" s="48">
        <f>VLOOKUP(B8,'Player Data'!$A1:$AE734,14,FALSE)*$Q8</f>
        <v>0.00811241099446512</v>
      </c>
      <c r="AA8" s="48">
        <f>VLOOKUP(B8,'Player Data'!$A1:$AE734,15,FALSE)*$Q8</f>
        <v>25.7968141071142</v>
      </c>
      <c r="AB8" s="48">
        <f>VLOOKUP(B8,'Player Data'!$A1:$AE734,16,FALSE)*$Q8</f>
        <v>58.2601503583791</v>
      </c>
      <c r="AC8" s="48">
        <f>VLOOKUP(B8,'Player Data'!$A1:$AE734,17,FALSE)*$Q8*_xlfn.IFERROR((VLOOKUP(P8,'Settings'!$E$28:$F$33,2,FALSE)+1),1)</f>
        <v>1.54964535279627</v>
      </c>
      <c r="AD8" s="48">
        <f>VLOOKUP(B8,'Player Data'!$A1:$AE734,18,FALSE)*$Q8</f>
        <v>36.6543078648598</v>
      </c>
      <c r="AE8" s="48">
        <f>VLOOKUP(B8,'Player Data'!$A1:$AE734,19,FALSE)*$Q8*_xlfn.IFERROR((VLOOKUP(P8,'Settings'!$E$28:$F$33,2,FALSE)+1),1)</f>
        <v>5.00136745972671</v>
      </c>
      <c r="AF8" s="48">
        <f>VLOOKUP(B8,'Player Data'!$A1:$AE734,20,FALSE)*$Q8</f>
        <v>1.9186314254058</v>
      </c>
      <c r="AG8" s="48">
        <f>VLOOKUP(B8,'Player Data'!$A1:$AE734,21,FALSE)*$Q8</f>
        <v>0</v>
      </c>
      <c r="AH8" s="49">
        <f>VLOOKUP(B8,'Player Data'!$A1:$AE734,22,FALSE)</f>
        <v>1</v>
      </c>
      <c r="AI8" s="46"/>
      <c r="AJ8" s="48"/>
      <c r="AK8" s="48"/>
      <c r="AL8" s="48"/>
      <c r="AM8" s="48"/>
      <c r="AN8" s="48"/>
      <c r="AO8" s="48"/>
      <c r="AP8" s="48"/>
      <c r="AQ8" s="51"/>
      <c r="AR8" s="52"/>
      <c r="AS8" s="46"/>
    </row>
    <row r="9" ht="21.25" customHeight="1">
      <c r="A9" s="53">
        <f>RANK(K9,K2:K730)</f>
        <v>7</v>
      </c>
      <c r="B9" t="s" s="8">
        <v>125</v>
      </c>
      <c r="C9" t="s" s="39">
        <v>106</v>
      </c>
      <c r="D9" t="s" s="40">
        <f>VLOOKUP(B9,'Player Data'!A1:D734,4,FALSE)</f>
        <v>121</v>
      </c>
      <c r="E9" s="55">
        <f>VLOOKUP(B9,'RW'!A1:F132,3,FALSE)</f>
        <v>3</v>
      </c>
      <c r="F9" t="s" s="42">
        <f>VLOOKUP(B9,'Player Data'!A1:B734,2,FALSE)</f>
        <v>113</v>
      </c>
      <c r="G9" s="9">
        <f>VLOOKUP(B9,'Player Data'!A1:D734,3,FALSE)</f>
        <v>26</v>
      </c>
      <c r="H9" s="43">
        <f>_xlfn.IFERROR(VLOOKUP(B9,'ADP'!A1:G731,7,FALSE)/1000000,VLOOKUP(B9,'ADP'!A1:G731,7,FALSE))</f>
        <v>9.25</v>
      </c>
      <c r="I9" s="44">
        <f>IF('Settings'!$E$15="POINTS",((R9*Q9)*'Settings'!$B$12)+(S9*'Settings'!$B$2)+(T9*'Settings'!$B$3)+(U9*'Settings'!$B$4)+(V9*'Settings'!$B$5)+(X9*'Settings'!$B$9)+(AA9*'Settings'!$B$6)+(W9*'Settings'!$B$8)+(AB9*'Settings'!$B$7)+(AC9*'Settings'!$B$14)+(AD9*'Settings'!$B$15)+(AE9*'Settings'!$B$16)+(AF9*'Settings'!$B$17)+(AG9*'Settings'!$B$18)+(Y9*'Settings'!$B$10)+(Z9*'Settings'!$B$11),VLOOKUP(B9,'Standard Deviations'!A1:C731,3,FALSE))</f>
        <v>569.046791687203</v>
      </c>
      <c r="J9" s="45">
        <f>IF(D9="G",I9/AJ9,I9/Q9)</f>
        <v>7.07050404805066</v>
      </c>
      <c r="K9" s="44">
        <f>IF('Settings'!$E$18="C/LW/RW",VLOOKUP(B9,'RW'!A1:F132,6,FALSE),VLOOKUP(B9,'F'!A1:F432,6,FALSE))</f>
        <v>187.418227980847</v>
      </c>
      <c r="L9" s="44">
        <f>_xlfn.IFERROR(K9/H9,"N/A")</f>
        <v>20.2614300519835</v>
      </c>
      <c r="M9" s="46">
        <f>IF('Settings'!$E$9="YAHOO",VLOOKUP(B9,'ADP'!A1:E731,2,FALSE),IF('Settings'!$E$9="ESPN",VLOOKUP(B9,'ADP'!A1:E731,3,FALSE),IF('Settings'!$E$9="FANTRAX",VLOOKUP(B9,'ADP'!A1:E731,4,FALSE),VLOOKUP(B9,'ADP'!A1:E731,5,FALSE))))</f>
        <v>6.09</v>
      </c>
      <c r="N9" s="46">
        <f>_xlfn.IFERROR(M9-A9,"N/A")</f>
        <v>-0.91</v>
      </c>
      <c r="O9" s="46"/>
      <c r="P9" t="s" s="47">
        <f>IF('Settings'!$E$27="ON",VLOOKUP(B9,'ADP'!A1:H731,8,FALSE)," ")</f>
        <v>109</v>
      </c>
      <c r="Q9" s="48">
        <f>IF('Settings'!$E$12="YES",VLOOKUP(B9,'Player Data'!A1:E734,5,FALSE),82)</f>
        <v>80.48178571428571</v>
      </c>
      <c r="R9" s="46">
        <f>VLOOKUP(B9,'Player Data'!$A1:$AE734,6,FALSE)</f>
        <v>22.0929666118521</v>
      </c>
      <c r="S9" s="48">
        <f>VLOOKUP(B9,'Player Data'!$A1:$AE734,7,FALSE)*$Q9*_xlfn.IFERROR((VLOOKUP(P9,'Settings'!$E$28:$F$33,2,FALSE)+1),1)</f>
        <v>48.2122939422993</v>
      </c>
      <c r="T9" s="48">
        <f>VLOOKUP(B9,'Player Data'!$A1:$AE734,8,FALSE)*$Q9*_xlfn.IFERROR((VLOOKUP(P9,'Settings'!$E$28:$F$33,2,FALSE)+1),1)</f>
        <v>55.286089469536</v>
      </c>
      <c r="U9" s="48">
        <f>SUM(S9:T9)</f>
        <v>103.498383411835</v>
      </c>
      <c r="V9" s="48">
        <f>VLOOKUP(B9,'Player Data'!$A1:$AE734,10,FALSE)*$Q9*_xlfn.IFERROR(((VLOOKUP(P9,'Settings'!$E$28:$F$33,2,FALSE)/2)+1),1)</f>
        <v>294.999478810396</v>
      </c>
      <c r="W9" s="48">
        <f>VLOOKUP(B9,'Player Data'!$A1:$AE734,11,FALSE)*$Q9*_xlfn.IFERROR((VLOOKUP(P9,'Settings'!$E$28:$F$33,2,FALSE)+1),1)</f>
        <v>13.5945441748337</v>
      </c>
      <c r="X9" s="48">
        <f>VLOOKUP(B9,'Player Data'!$A1:$AE734,12,FALSE)*$Q9*_xlfn.IFERROR((VLOOKUP(P9,'Settings'!$E$28:$F$33,2,FALSE)+1),1)</f>
        <v>35.7324358834704</v>
      </c>
      <c r="Y9" s="48">
        <f>VLOOKUP(B9,'Player Data'!$A1:$AE734,13,FALSE)*$Q9</f>
        <v>0.0157415707915165</v>
      </c>
      <c r="Z9" s="48">
        <f>VLOOKUP(B9,'Player Data'!$A1:$AE734,14,FALSE)*$Q9</f>
        <v>0.0287169809895484</v>
      </c>
      <c r="AA9" s="48">
        <f>VLOOKUP(B9,'Player Data'!$A1:$AE734,15,FALSE)*$Q9</f>
        <v>41.9189395906005</v>
      </c>
      <c r="AB9" s="48">
        <f>VLOOKUP(B9,'Player Data'!$A1:$AE734,16,FALSE)*$Q9</f>
        <v>70.8662295030848</v>
      </c>
      <c r="AC9" s="48">
        <f>VLOOKUP(B9,'Player Data'!$A1:$AE734,17,FALSE)*$Q9*_xlfn.IFERROR((VLOOKUP(P9,'Settings'!$E$28:$F$33,2,FALSE)+1),1)</f>
        <v>8.6499556068889</v>
      </c>
      <c r="AD9" s="48">
        <f>VLOOKUP(B9,'Player Data'!$A1:$AE734,18,FALSE)*$Q9</f>
        <v>58.8432403110471</v>
      </c>
      <c r="AE9" s="48">
        <f>VLOOKUP(B9,'Player Data'!$A1:$AE734,19,FALSE)*$Q9*_xlfn.IFERROR((VLOOKUP(P9,'Settings'!$E$28:$F$33,2,FALSE)+1),1)</f>
        <v>7.62791130376385</v>
      </c>
      <c r="AF9" s="48">
        <f>VLOOKUP(B9,'Player Data'!$A1:$AE734,20,FALSE)*$Q9</f>
        <v>195.797858632566</v>
      </c>
      <c r="AG9" s="48">
        <f>VLOOKUP(B9,'Player Data'!$A1:$AE734,21,FALSE)*$Q9</f>
        <v>209.701884341915</v>
      </c>
      <c r="AH9" s="49">
        <f>VLOOKUP(B9,'Player Data'!$A1:$AE734,22,FALSE)</f>
        <v>0.482855691094454</v>
      </c>
      <c r="AI9" s="46"/>
      <c r="AJ9" s="50"/>
      <c r="AK9" s="48"/>
      <c r="AL9" s="48"/>
      <c r="AM9" s="48"/>
      <c r="AN9" s="48"/>
      <c r="AO9" s="48"/>
      <c r="AP9" s="48"/>
      <c r="AQ9" s="51"/>
      <c r="AR9" s="52"/>
      <c r="AS9" s="46"/>
    </row>
    <row r="10" ht="21.25" customHeight="1">
      <c r="A10" s="53">
        <f>RANK(K10,K2:K730)</f>
        <v>9</v>
      </c>
      <c r="B10" t="s" s="8">
        <v>126</v>
      </c>
      <c r="C10" t="s" s="39">
        <v>106</v>
      </c>
      <c r="D10" t="s" s="40">
        <f>VLOOKUP(B10,'Player Data'!A1:D734,4,FALSE)</f>
        <v>111</v>
      </c>
      <c r="E10" s="54">
        <f>VLOOKUP(B10,'LW'!A1:C156,3,FALSE)</f>
        <v>4</v>
      </c>
      <c r="F10" t="s" s="42">
        <f>VLOOKUP(B10,'Player Data'!A1:B734,2,FALSE)</f>
        <v>127</v>
      </c>
      <c r="G10" s="9">
        <f>VLOOKUP(B10,'Player Data'!A1:D734,3,FALSE)</f>
        <v>22</v>
      </c>
      <c r="H10" s="43">
        <f>_xlfn.IFERROR(VLOOKUP(B10,'ADP'!A1:G731,7,FALSE)/1000000,VLOOKUP(B10,'ADP'!A1:G731,7,FALSE))</f>
        <v>8</v>
      </c>
      <c r="I10" s="44">
        <f>IF('Settings'!$E$15="POINTS",((R10*Q10)*'Settings'!$B$12)+(S10*'Settings'!$B$2)+(T10*'Settings'!$B$3)+(U10*'Settings'!$B$4)+(V10*'Settings'!$B$5)+(X10*'Settings'!$B$9)+(AA10*'Settings'!$B$6)+(W10*'Settings'!$B$8)+(AB10*'Settings'!$B$7)+(AC10*'Settings'!$B$14)+(AD10*'Settings'!$B$15)+(AE10*'Settings'!$B$16)+(AF10*'Settings'!$B$17)+(AG10*'Settings'!$B$18)+(Y10*'Settings'!$B$10)+(Z10*'Settings'!$B$11),VLOOKUP(B10,'Standard Deviations'!A1:C731,3,FALSE))</f>
        <v>549.712369600232</v>
      </c>
      <c r="J10" s="45">
        <f>IF(D10="G",I10/AJ10,I10/Q10)</f>
        <v>7.0044899286472</v>
      </c>
      <c r="K10" s="44">
        <f>IF('Settings'!$E$18="C/LW/RW",VLOOKUP(B10,'LW'!A1:F156,6,FALSE),VLOOKUP(B10,'F'!A1:F432,6,FALSE))</f>
        <v>168.083805893876</v>
      </c>
      <c r="L10" s="44">
        <f>_xlfn.IFERROR(K10/H10,"N/A")</f>
        <v>21.0104757367345</v>
      </c>
      <c r="M10" s="46">
        <f>IF('Settings'!$E$9="YAHOO",VLOOKUP(B10,'ADP'!A1:E731,2,FALSE),IF('Settings'!$E$9="ESPN",VLOOKUP(B10,'ADP'!A1:E731,3,FALSE),IF('Settings'!$E$9="FANTRAX",VLOOKUP(B10,'ADP'!A1:E731,4,FALSE),VLOOKUP(B10,'ADP'!A1:E731,5,FALSE))))</f>
        <v>9.01</v>
      </c>
      <c r="N10" s="46">
        <f>_xlfn.IFERROR(M10-A10,"N/A")</f>
        <v>0.01</v>
      </c>
      <c r="O10" s="46"/>
      <c r="P10" t="s" s="47">
        <f>IF('Settings'!$E$27="ON",VLOOKUP(B10,'ADP'!A1:H731,8,FALSE)," ")</f>
        <v>116</v>
      </c>
      <c r="Q10" s="48">
        <f>IF('Settings'!$E$12="YES",VLOOKUP(B10,'Player Data'!A1:E734,5,FALSE),82)</f>
        <v>78.48</v>
      </c>
      <c r="R10" s="46">
        <f>VLOOKUP(B10,'Player Data'!$A1:$AE734,6,FALSE)</f>
        <v>20.3610619369196</v>
      </c>
      <c r="S10" s="48">
        <f>VLOOKUP(B10,'Player Data'!$A1:$AE734,7,FALSE)*$Q10*_xlfn.IFERROR((VLOOKUP(P10,'Settings'!$E$28:$F$33,2,FALSE)+1),1)</f>
        <v>43.5883570361827</v>
      </c>
      <c r="T10" s="48">
        <f>VLOOKUP(B10,'Player Data'!$A1:$AE734,8,FALSE)*$Q10*_xlfn.IFERROR((VLOOKUP(P10,'Settings'!$E$28:$F$33,2,FALSE)+1),1)</f>
        <v>57.9478847383697</v>
      </c>
      <c r="U10" s="48">
        <f>SUM(S10:T10)</f>
        <v>101.536241774552</v>
      </c>
      <c r="V10" s="48">
        <f>VLOOKUP(B10,'Player Data'!$A1:$AE734,10,FALSE)*$Q10*_xlfn.IFERROR(((VLOOKUP(P10,'Settings'!$E$28:$F$33,2,FALSE)/2)+1),1)</f>
        <v>320.662167214455</v>
      </c>
      <c r="W10" s="48">
        <f>VLOOKUP(B10,'Player Data'!$A1:$AE734,11,FALSE)*$Q10*_xlfn.IFERROR((VLOOKUP(P10,'Settings'!$E$28:$F$33,2,FALSE)+1),1)</f>
        <v>10.6087366195659</v>
      </c>
      <c r="X10" s="48">
        <f>VLOOKUP(B10,'Player Data'!$A1:$AE734,12,FALSE)*$Q10*_xlfn.IFERROR((VLOOKUP(P10,'Settings'!$E$28:$F$33,2,FALSE)+1),1)</f>
        <v>31.8632978393107</v>
      </c>
      <c r="Y10" s="48">
        <f>VLOOKUP(B10,'Player Data'!$A1:$AE734,13,FALSE)*$Q10</f>
        <v>0.0311953099130567</v>
      </c>
      <c r="Z10" s="48">
        <f>VLOOKUP(B10,'Player Data'!$A1:$AE734,14,FALSE)*$Q10</f>
        <v>0.0567007067336558</v>
      </c>
      <c r="AA10" s="48">
        <f>VLOOKUP(B10,'Player Data'!$A1:$AE734,15,FALSE)*$Q10</f>
        <v>29.8761980662305</v>
      </c>
      <c r="AB10" s="48">
        <f>VLOOKUP(B10,'Player Data'!$A1:$AE734,16,FALSE)*$Q10</f>
        <v>17.3540986739634</v>
      </c>
      <c r="AC10" s="48">
        <f>VLOOKUP(B10,'Player Data'!$A1:$AE734,17,FALSE)*$Q10*_xlfn.IFERROR((VLOOKUP(P10,'Settings'!$E$28:$F$33,2,FALSE)+1),1)</f>
        <v>1.16248203760353</v>
      </c>
      <c r="AD10" s="48">
        <f>VLOOKUP(B10,'Player Data'!$A1:$AE734,18,FALSE)*$Q10</f>
        <v>10.9772929954493</v>
      </c>
      <c r="AE10" s="48">
        <f>VLOOKUP(B10,'Player Data'!$A1:$AE734,19,FALSE)*$Q10*_xlfn.IFERROR((VLOOKUP(P10,'Settings'!$E$28:$F$33,2,FALSE)+1),1)</f>
        <v>6.40652871211879</v>
      </c>
      <c r="AF10" s="48">
        <f>VLOOKUP(B10,'Player Data'!$A1:$AE734,20,FALSE)*$Q10</f>
        <v>188.409121366241</v>
      </c>
      <c r="AG10" s="48">
        <f>VLOOKUP(B10,'Player Data'!$A1:$AE734,21,FALSE)*$Q10</f>
        <v>347.801632242737</v>
      </c>
      <c r="AH10" s="49">
        <f>VLOOKUP(B10,'Player Data'!$A1:$AE734,22,FALSE)</f>
        <v>0.351371396597605</v>
      </c>
      <c r="AI10" s="46"/>
      <c r="AJ10" s="50"/>
      <c r="AK10" s="48"/>
      <c r="AL10" s="48"/>
      <c r="AM10" s="48"/>
      <c r="AN10" s="48"/>
      <c r="AO10" s="48"/>
      <c r="AP10" s="48"/>
      <c r="AQ10" s="51"/>
      <c r="AR10" s="52"/>
      <c r="AS10" s="46"/>
    </row>
    <row r="11" ht="21.25" customHeight="1">
      <c r="A11" s="53">
        <f>RANK(K11,K2:K730)</f>
        <v>15</v>
      </c>
      <c r="B11" t="s" s="8">
        <v>128</v>
      </c>
      <c r="C11" t="s" s="39">
        <v>106</v>
      </c>
      <c r="D11" t="s" s="40">
        <f>VLOOKUP(B11,'Player Data'!A1:D734,4,FALSE)</f>
        <v>129</v>
      </c>
      <c r="E11" s="56">
        <f>VLOOKUP(B11,'D'!A1:C228,3,FALSE)</f>
        <v>2</v>
      </c>
      <c r="F11" t="s" s="42">
        <f>VLOOKUP(B11,'Player Data'!A1:B734,2,FALSE)</f>
        <v>113</v>
      </c>
      <c r="G11" s="9">
        <f>VLOOKUP(B11,'Player Data'!A1:D734,3,FALSE)</f>
        <v>24</v>
      </c>
      <c r="H11" s="43">
        <f>_xlfn.IFERROR(VLOOKUP(B11,'ADP'!A1:G731,7,FALSE)/1000000,VLOOKUP(B11,'ADP'!A1:G731,7,FALSE))</f>
        <v>9</v>
      </c>
      <c r="I11" s="44">
        <f>IF('Settings'!$E$15="POINTS",((R11*Q11)*'Settings'!$B$12)+(S11*'Settings'!$B$2)+(T11*'Settings'!$B$3)+(U11*'Settings'!$B$4)+(V11*'Settings'!$B$5)+(X11*'Settings'!$B$9)+(AA11*'Settings'!$B$6)+(W11*'Settings'!$B$8)+(AB11*'Settings'!$B$7)+(AC11*'Settings'!$B$14)+(AD11*'Settings'!$B$15)+(AE11*'Settings'!$B$16)+(AF11*'Settings'!$B$17)+(AG11*'Settings'!$B$18)+(U11*'Settings'!$B$13)+(Y11*'Settings'!$B$10)+(Z11*'Settings'!$B$11),VLOOKUP(B11,'Standard Deviations'!A1:C731,3,FALSE))</f>
        <v>473.615951175709</v>
      </c>
      <c r="J11" s="45">
        <f>IF(D11="G",I11/AJ11,I11/Q11)</f>
        <v>6.25810935698538</v>
      </c>
      <c r="K11" s="44">
        <f>VLOOKUP(B11,'D'!A1:F228,6,FALSE)</f>
        <v>132.880812529186</v>
      </c>
      <c r="L11" s="44">
        <f>_xlfn.IFERROR(K11/H11,"N/A")</f>
        <v>14.7645347254651</v>
      </c>
      <c r="M11" s="46">
        <f>IF('Settings'!$E$9="YAHOO",VLOOKUP(B11,'ADP'!A1:E731,2,FALSE),IF('Settings'!$E$9="ESPN",VLOOKUP(B11,'ADP'!A1:E731,3,FALSE),IF('Settings'!$E$9="FANTRAX",VLOOKUP(B11,'ADP'!A1:E731,4,FALSE),VLOOKUP(B11,'ADP'!A1:E731,5,FALSE))))</f>
        <v>14.96</v>
      </c>
      <c r="N11" s="46">
        <f>_xlfn.IFERROR(M11-A11,"N/A")</f>
        <v>-0.04</v>
      </c>
      <c r="O11" s="46"/>
      <c r="P11" t="s" s="47">
        <f>IF('Settings'!$E$27="ON",VLOOKUP(B11,'ADP'!A1:H731,8,FALSE)," ")</f>
        <v>116</v>
      </c>
      <c r="Q11" s="48">
        <f>IF('Settings'!$E$12="YES",VLOOKUP(B11,'Player Data'!A1:E734,5,FALSE),82)</f>
        <v>75.6803571428571</v>
      </c>
      <c r="R11" s="46">
        <f>VLOOKUP(B11,'Player Data'!$A1:$AE734,6,FALSE)</f>
        <v>26.224361519690</v>
      </c>
      <c r="S11" s="48">
        <f>VLOOKUP(B11,'Player Data'!$A1:$AE734,7,FALSE)*$Q11*_xlfn.IFERROR((VLOOKUP(P11,'Settings'!$E$28:$F$33,2,FALSE)+1),1)</f>
        <v>22.2530327888236</v>
      </c>
      <c r="T11" s="48">
        <f>VLOOKUP(B11,'Player Data'!$A1:$AE734,8,FALSE)*$Q11*_xlfn.IFERROR((VLOOKUP(P11,'Settings'!$E$28:$F$33,2,FALSE)+1),1)</f>
        <v>61.8785698774013</v>
      </c>
      <c r="U11" s="48">
        <f>SUM(S11:T11)</f>
        <v>84.13160266622489</v>
      </c>
      <c r="V11" s="48">
        <f>VLOOKUP(B11,'Player Data'!$A1:$AE734,10,FALSE)*$Q11*_xlfn.IFERROR(((VLOOKUP(P11,'Settings'!$E$28:$F$33,2,FALSE)/2)+1),1)</f>
        <v>221.649332492764</v>
      </c>
      <c r="W11" s="48">
        <f>VLOOKUP(B11,'Player Data'!$A1:$AE734,11,FALSE)*$Q11*_xlfn.IFERROR((VLOOKUP(P11,'Settings'!$E$28:$F$33,2,FALSE)+1),1)</f>
        <v>7.48513929555621</v>
      </c>
      <c r="X11" s="48">
        <f>VLOOKUP(B11,'Player Data'!$A1:$AE734,12,FALSE)*$Q11*_xlfn.IFERROR((VLOOKUP(P11,'Settings'!$E$28:$F$33,2,FALSE)+1),1)</f>
        <v>37.3027625524826</v>
      </c>
      <c r="Y11" s="48">
        <f>VLOOKUP(B11,'Player Data'!$A1:$AE734,13,FALSE)*$Q11</f>
        <v>0.034085358529998</v>
      </c>
      <c r="Z11" s="48">
        <f>VLOOKUP(B11,'Player Data'!$A1:$AE734,14,FALSE)*$Q11</f>
        <v>0.179901390184728</v>
      </c>
      <c r="AA11" s="48">
        <f>VLOOKUP(B11,'Player Data'!$A1:$AE734,15,FALSE)*$Q11</f>
        <v>108.444308567290</v>
      </c>
      <c r="AB11" s="48">
        <f>VLOOKUP(B11,'Player Data'!$A1:$AE734,16,FALSE)*$Q11</f>
        <v>89.7398827336112</v>
      </c>
      <c r="AC11" s="48">
        <f>VLOOKUP(B11,'Player Data'!$A1:$AE734,17,FALSE)*$Q11*_xlfn.IFERROR((VLOOKUP(P11,'Settings'!$E$28:$F$33,2,FALSE)+1),1)</f>
        <v>9.24665115515163</v>
      </c>
      <c r="AD11" s="48">
        <f>VLOOKUP(B11,'Player Data'!$A1:$AE734,18,FALSE)*$Q11</f>
        <v>33.0717972656488</v>
      </c>
      <c r="AE11" s="48">
        <f>VLOOKUP(B11,'Player Data'!$A1:$AE734,19,FALSE)*$Q11*_xlfn.IFERROR((VLOOKUP(P11,'Settings'!$E$28:$F$33,2,FALSE)+1),1)</f>
        <v>3.52076506784859</v>
      </c>
      <c r="AF11" s="48">
        <f>VLOOKUP(B11,'Player Data'!$A1:$AE734,20,FALSE)*$Q11</f>
        <v>0</v>
      </c>
      <c r="AG11" s="48">
        <f>VLOOKUP(B11,'Player Data'!$A1:$AE734,21,FALSE)*$Q11</f>
        <v>0</v>
      </c>
      <c r="AH11" s="49">
        <f>VLOOKUP(B11,'Player Data'!$A1:$AE734,22,FALSE)</f>
        <v>0</v>
      </c>
      <c r="AI11" s="46"/>
      <c r="AJ11" s="50"/>
      <c r="AK11" s="48"/>
      <c r="AL11" s="48"/>
      <c r="AM11" s="48"/>
      <c r="AN11" s="48"/>
      <c r="AO11" s="48"/>
      <c r="AP11" s="48"/>
      <c r="AQ11" s="51"/>
      <c r="AR11" s="52"/>
      <c r="AS11" s="46"/>
    </row>
    <row r="12" ht="21.25" customHeight="1">
      <c r="A12" s="53">
        <f>RANK(K12,K2:K730)</f>
        <v>14</v>
      </c>
      <c r="B12" t="s" s="8">
        <v>130</v>
      </c>
      <c r="C12" t="s" s="39">
        <v>106</v>
      </c>
      <c r="D12" t="s" s="40">
        <f>VLOOKUP(B12,'Player Data'!A1:D734,4,FALSE)</f>
        <v>129</v>
      </c>
      <c r="E12" s="56">
        <f>VLOOKUP(B12,'D'!A1:C228,3,FALSE)</f>
        <v>1</v>
      </c>
      <c r="F12" t="s" s="42">
        <f>VLOOKUP(B12,'Player Data'!A1:B734,2,FALSE)</f>
        <v>131</v>
      </c>
      <c r="G12" s="9">
        <f>VLOOKUP(B12,'Player Data'!A1:D734,3,FALSE)</f>
        <v>33</v>
      </c>
      <c r="H12" s="43">
        <f>_xlfn.IFERROR(VLOOKUP(B12,'ADP'!A1:G731,7,FALSE)/1000000,VLOOKUP(B12,'ADP'!A1:G731,7,FALSE))</f>
        <v>9.058999999999999</v>
      </c>
      <c r="I12" s="44">
        <f>IF('Settings'!$E$15="POINTS",((R12*Q12)*'Settings'!$B$12)+(S12*'Settings'!$B$2)+(T12*'Settings'!$B$3)+(U12*'Settings'!$B$4)+(V12*'Settings'!$B$5)+(X12*'Settings'!$B$9)+(AA12*'Settings'!$B$6)+(W12*'Settings'!$B$8)+(AB12*'Settings'!$B$7)+(AC12*'Settings'!$B$14)+(AD12*'Settings'!$B$15)+(AE12*'Settings'!$B$16)+(AF12*'Settings'!$B$17)+(AG12*'Settings'!$B$18)+(U12*'Settings'!$B$13)+(Y12*'Settings'!$B$10)+(Z12*'Settings'!$B$11),VLOOKUP(B12,'Standard Deviations'!A1:C731,3,FALSE))</f>
        <v>476.756526134166</v>
      </c>
      <c r="J12" s="45">
        <f>IF(D12="G",I12/AJ12,I12/Q12)</f>
        <v>6.11845444875843</v>
      </c>
      <c r="K12" s="44">
        <f>VLOOKUP(B12,'D'!A1:F228,6,FALSE)</f>
        <v>136.021387487643</v>
      </c>
      <c r="L12" s="44">
        <f>_xlfn.IFERROR(K12/H12,"N/A")</f>
        <v>15.0150554683346</v>
      </c>
      <c r="M12" s="46">
        <f>IF('Settings'!$E$9="YAHOO",VLOOKUP(B12,'ADP'!A1:E731,2,FALSE),IF('Settings'!$E$9="ESPN",VLOOKUP(B12,'ADP'!A1:E731,3,FALSE),IF('Settings'!$E$9="FANTRAX",VLOOKUP(B12,'ADP'!A1:E731,4,FALSE),VLOOKUP(B12,'ADP'!A1:E731,5,FALSE))))</f>
        <v>20.84</v>
      </c>
      <c r="N12" s="46">
        <f>_xlfn.IFERROR(M12-A12,"N/A")</f>
        <v>6.84</v>
      </c>
      <c r="O12" s="46"/>
      <c r="P12" t="s" s="47">
        <f>IF('Settings'!$E$27="ON",VLOOKUP(B12,'ADP'!A1:H731,8,FALSE)," ")</f>
        <v>109</v>
      </c>
      <c r="Q12" s="48">
        <f>IF('Settings'!$E$12="YES",VLOOKUP(B12,'Player Data'!A1:E734,5,FALSE),82)</f>
        <v>77.92107142857139</v>
      </c>
      <c r="R12" s="46">
        <f>VLOOKUP(B12,'Player Data'!$A1:$AE734,6,FALSE)</f>
        <v>25.1969005726634</v>
      </c>
      <c r="S12" s="48">
        <f>VLOOKUP(B12,'Player Data'!$A1:$AE734,7,FALSE)*$Q12*_xlfn.IFERROR((VLOOKUP(P12,'Settings'!$E$28:$F$33,2,FALSE)+1),1)</f>
        <v>18.5922611009077</v>
      </c>
      <c r="T12" s="48">
        <f>VLOOKUP(B12,'Player Data'!$A1:$AE734,8,FALSE)*$Q12*_xlfn.IFERROR((VLOOKUP(P12,'Settings'!$E$28:$F$33,2,FALSE)+1),1)</f>
        <v>53.6257269982722</v>
      </c>
      <c r="U12" s="48">
        <f>SUM(S12:T12)</f>
        <v>72.21798809917991</v>
      </c>
      <c r="V12" s="48">
        <f>VLOOKUP(B12,'Player Data'!$A1:$AE734,10,FALSE)*$Q12*_xlfn.IFERROR(((VLOOKUP(P12,'Settings'!$E$28:$F$33,2,FALSE)/2)+1),1)</f>
        <v>281.806893488743</v>
      </c>
      <c r="W12" s="48">
        <f>VLOOKUP(B12,'Player Data'!$A1:$AE734,11,FALSE)*$Q12*_xlfn.IFERROR((VLOOKUP(P12,'Settings'!$E$28:$F$33,2,FALSE)+1),1)</f>
        <v>7.99157725546953</v>
      </c>
      <c r="X12" s="48">
        <f>VLOOKUP(B12,'Player Data'!$A1:$AE734,12,FALSE)*$Q12*_xlfn.IFERROR((VLOOKUP(P12,'Settings'!$E$28:$F$33,2,FALSE)+1),1)</f>
        <v>28.3573245302724</v>
      </c>
      <c r="Y12" s="48">
        <f>VLOOKUP(B12,'Player Data'!$A1:$AE734,13,FALSE)*$Q12</f>
        <v>0.0270079818890765</v>
      </c>
      <c r="Z12" s="48">
        <f>VLOOKUP(B12,'Player Data'!$A1:$AE734,14,FALSE)*$Q12</f>
        <v>0.242184448955791</v>
      </c>
      <c r="AA12" s="48">
        <f>VLOOKUP(B12,'Player Data'!$A1:$AE734,15,FALSE)*$Q12</f>
        <v>147.455359108723</v>
      </c>
      <c r="AB12" s="48">
        <f>VLOOKUP(B12,'Player Data'!$A1:$AE734,16,FALSE)*$Q12</f>
        <v>68.3946999544815</v>
      </c>
      <c r="AC12" s="48">
        <f>VLOOKUP(B12,'Player Data'!$A1:$AE734,17,FALSE)*$Q12*_xlfn.IFERROR((VLOOKUP(P12,'Settings'!$E$28:$F$33,2,FALSE)+1),1)</f>
        <v>1.74101423937023</v>
      </c>
      <c r="AD12" s="48">
        <f>VLOOKUP(B12,'Player Data'!$A1:$AE734,18,FALSE)*$Q12</f>
        <v>43.0027549643762</v>
      </c>
      <c r="AE12" s="48">
        <f>VLOOKUP(B12,'Player Data'!$A1:$AE734,19,FALSE)*$Q12*_xlfn.IFERROR((VLOOKUP(P12,'Settings'!$E$28:$F$33,2,FALSE)+1),1)</f>
        <v>2.71495638416675</v>
      </c>
      <c r="AF12" s="48">
        <f>VLOOKUP(B12,'Player Data'!$A1:$AE734,20,FALSE)*$Q12</f>
        <v>0</v>
      </c>
      <c r="AG12" s="48">
        <f>VLOOKUP(B12,'Player Data'!$A1:$AE734,21,FALSE)*$Q12</f>
        <v>0</v>
      </c>
      <c r="AH12" s="49">
        <f>VLOOKUP(B12,'Player Data'!$A1:$AE734,22,FALSE)</f>
        <v>0</v>
      </c>
      <c r="AI12" s="46"/>
      <c r="AJ12" s="50"/>
      <c r="AK12" s="48"/>
      <c r="AL12" s="48"/>
      <c r="AM12" s="48"/>
      <c r="AN12" s="48"/>
      <c r="AO12" s="48"/>
      <c r="AP12" s="48"/>
      <c r="AQ12" s="51"/>
      <c r="AR12" s="52"/>
      <c r="AS12" s="50"/>
    </row>
    <row r="13" ht="21.25" customHeight="1">
      <c r="A13" s="53">
        <f>RANK(K13,K2:K730)</f>
        <v>8</v>
      </c>
      <c r="B13" t="s" s="8">
        <v>132</v>
      </c>
      <c r="C13" t="s" s="39">
        <v>106</v>
      </c>
      <c r="D13" t="s" s="40">
        <f>VLOOKUP(B13,'Player Data'!A1:D734,4,FALSE)</f>
        <v>133</v>
      </c>
      <c r="E13" s="57">
        <f>VLOOKUP(B13,'LW'!A1:C156,3,FALSE)</f>
        <v>3</v>
      </c>
      <c r="F13" t="s" s="42">
        <f>VLOOKUP(B13,'Player Data'!A1:B734,2,FALSE)</f>
        <v>134</v>
      </c>
      <c r="G13" s="9">
        <f>VLOOKUP(B13,'Player Data'!A1:D734,3,FALSE)</f>
        <v>26</v>
      </c>
      <c r="H13" s="43">
        <f>_xlfn.IFERROR(VLOOKUP(B13,'ADP'!A1:G731,7,FALSE)/1000000,VLOOKUP(B13,'ADP'!A1:G731,7,FALSE))</f>
        <v>9</v>
      </c>
      <c r="I13" s="44">
        <f>IF('Settings'!$E$15="POINTS",((R13*Q13)*'Settings'!$B$12)+(S13*'Settings'!$B$2)+(T13*'Settings'!$B$3)+(U13*'Settings'!$B$4)+(V13*'Settings'!$B$5)+(X13*'Settings'!$B$9)+(AA13*'Settings'!$B$6)+(W13*'Settings'!$B$8)+(AB13*'Settings'!$B$7)+(AC13*'Settings'!$B$14)+(AD13*'Settings'!$B$15)+(AE13*'Settings'!$B$16)+(AF13*'Settings'!$B$17)+(AG13*'Settings'!$B$18)+(Y13*'Settings'!$B$10)+(Z13*'Settings'!$B$11),VLOOKUP(B13,'Standard Deviations'!A1:C731,3,FALSE))</f>
        <v>549.7520817707421</v>
      </c>
      <c r="J13" s="45">
        <f>IF(D13="G",I13/AJ13,I13/Q13)</f>
        <v>6.92382974522345</v>
      </c>
      <c r="K13" s="44">
        <f>IF('Settings'!$E$18="C/LW/RW",VLOOKUP(B13,'LW'!A1:F156,6,FALSE),VLOOKUP(B13,'F'!A1:F432,6,FALSE))</f>
        <v>168.123518064386</v>
      </c>
      <c r="L13" s="44">
        <f>_xlfn.IFERROR(K13/H13,"N/A")</f>
        <v>18.6803908960429</v>
      </c>
      <c r="M13" s="46">
        <f>IF('Settings'!$E$9="YAHOO",VLOOKUP(B13,'ADP'!A1:E731,2,FALSE),IF('Settings'!$E$9="ESPN",VLOOKUP(B13,'ADP'!A1:E731,3,FALSE),IF('Settings'!$E$9="FANTRAX",VLOOKUP(B13,'ADP'!A1:E731,4,FALSE),VLOOKUP(B13,'ADP'!A1:E731,5,FALSE))))</f>
        <v>14.27</v>
      </c>
      <c r="N13" s="46">
        <f>_xlfn.IFERROR(M13-A13,"N/A")</f>
        <v>6.27</v>
      </c>
      <c r="O13" s="46"/>
      <c r="P13" t="s" s="47">
        <f>IF('Settings'!$E$27="ON",VLOOKUP(B13,'ADP'!A1:H731,8,FALSE)," ")</f>
        <v>109</v>
      </c>
      <c r="Q13" s="48">
        <f>IF('Settings'!$E$12="YES",VLOOKUP(B13,'Player Data'!A1:E734,5,FALSE),82)</f>
        <v>79.40000000000001</v>
      </c>
      <c r="R13" s="46">
        <f>VLOOKUP(B13,'Player Data'!$A1:$AE734,6,FALSE)</f>
        <v>21.0384039967874</v>
      </c>
      <c r="S13" s="48">
        <f>VLOOKUP(B13,'Player Data'!$A1:$AE734,7,FALSE)*$Q13*_xlfn.IFERROR((VLOOKUP(P13,'Settings'!$E$28:$F$33,2,FALSE)+1),1)</f>
        <v>47.2074616191195</v>
      </c>
      <c r="T13" s="48">
        <f>VLOOKUP(B13,'Player Data'!$A1:$AE734,8,FALSE)*$Q13*_xlfn.IFERROR((VLOOKUP(P13,'Settings'!$E$28:$F$33,2,FALSE)+1),1)</f>
        <v>50.7854941456534</v>
      </c>
      <c r="U13" s="48">
        <f>SUM(S13:T13)</f>
        <v>97.9929557647729</v>
      </c>
      <c r="V13" s="48">
        <f>VLOOKUP(B13,'Player Data'!$A1:$AE734,10,FALSE)*$Q13*_xlfn.IFERROR(((VLOOKUP(P13,'Settings'!$E$28:$F$33,2,FALSE)/2)+1),1)</f>
        <v>299.116433172647</v>
      </c>
      <c r="W13" s="48">
        <f>VLOOKUP(B13,'Player Data'!$A1:$AE734,11,FALSE)*$Q13*_xlfn.IFERROR((VLOOKUP(P13,'Settings'!$E$28:$F$33,2,FALSE)+1),1)</f>
        <v>16.8342535324268</v>
      </c>
      <c r="X13" s="48">
        <f>VLOOKUP(B13,'Player Data'!$A1:$AE734,12,FALSE)*$Q13*_xlfn.IFERROR((VLOOKUP(P13,'Settings'!$E$28:$F$33,2,FALSE)+1),1)</f>
        <v>33.055598976231</v>
      </c>
      <c r="Y13" s="48">
        <f>VLOOKUP(B13,'Player Data'!$A1:$AE734,13,FALSE)*$Q13</f>
        <v>0.0143450005965338</v>
      </c>
      <c r="Z13" s="48">
        <f>VLOOKUP(B13,'Player Data'!$A1:$AE734,14,FALSE)*$Q13</f>
        <v>0.0261701870856656</v>
      </c>
      <c r="AA13" s="48">
        <f>VLOOKUP(B13,'Player Data'!$A1:$AE734,15,FALSE)*$Q13</f>
        <v>33.1982292842922</v>
      </c>
      <c r="AB13" s="48">
        <f>VLOOKUP(B13,'Player Data'!$A1:$AE734,16,FALSE)*$Q13</f>
        <v>75.00940178041169</v>
      </c>
      <c r="AC13" s="48">
        <f>VLOOKUP(B13,'Player Data'!$A1:$AE734,17,FALSE)*$Q13*_xlfn.IFERROR((VLOOKUP(P13,'Settings'!$E$28:$F$33,2,FALSE)+1),1)</f>
        <v>4.38315751886572</v>
      </c>
      <c r="AD13" s="48">
        <f>VLOOKUP(B13,'Player Data'!$A1:$AE734,18,FALSE)*$Q13</f>
        <v>37.6933749785616</v>
      </c>
      <c r="AE13" s="48">
        <f>VLOOKUP(B13,'Player Data'!$A1:$AE734,19,FALSE)*$Q13*_xlfn.IFERROR((VLOOKUP(P13,'Settings'!$E$28:$F$33,2,FALSE)+1),1)</f>
        <v>7.58040497328731</v>
      </c>
      <c r="AF13" s="48">
        <f>VLOOKUP(B13,'Player Data'!$A1:$AE734,20,FALSE)*$Q13</f>
        <v>4.1757842997265</v>
      </c>
      <c r="AG13" s="48">
        <f>VLOOKUP(B13,'Player Data'!$A1:$AE734,21,FALSE)*$Q13</f>
        <v>5.97895013205901</v>
      </c>
      <c r="AH13" s="49">
        <f>VLOOKUP(B13,'Player Data'!$A1:$AE734,22,FALSE)</f>
        <v>0.411215510142324</v>
      </c>
      <c r="AI13" s="46"/>
      <c r="AJ13" s="48"/>
      <c r="AK13" s="48"/>
      <c r="AL13" s="48"/>
      <c r="AM13" s="48"/>
      <c r="AN13" s="48"/>
      <c r="AO13" s="48"/>
      <c r="AP13" s="48"/>
      <c r="AQ13" s="51"/>
      <c r="AR13" s="52"/>
      <c r="AS13" s="46"/>
    </row>
    <row r="14" ht="21.25" customHeight="1">
      <c r="A14" s="53">
        <f>RANK(K14,K2:K730)</f>
        <v>10</v>
      </c>
      <c r="B14" t="s" s="8">
        <v>135</v>
      </c>
      <c r="C14" t="s" s="39">
        <v>106</v>
      </c>
      <c r="D14" t="s" s="40">
        <f>VLOOKUP(B14,'Player Data'!A1:D734,4,FALSE)</f>
        <v>133</v>
      </c>
      <c r="E14" s="57">
        <f>VLOOKUP(B14,'LW'!A1:C156,3,FALSE)</f>
        <v>5</v>
      </c>
      <c r="F14" t="s" s="42">
        <f>VLOOKUP(B14,'Player Data'!A1:B734,2,FALSE)</f>
        <v>136</v>
      </c>
      <c r="G14" s="9">
        <f>VLOOKUP(B14,'Player Data'!A1:D734,3,FALSE)</f>
        <v>24</v>
      </c>
      <c r="H14" s="43">
        <f>_xlfn.IFERROR(VLOOKUP(B14,'ADP'!A1:G731,7,FALSE)/1000000,VLOOKUP(B14,'ADP'!A1:G731,7,FALSE))</f>
        <v>7.75</v>
      </c>
      <c r="I14" s="44">
        <f>IF('Settings'!$E$15="POINTS",((R14*Q14)*'Settings'!$B$12)+(S14*'Settings'!$B$2)+(T14*'Settings'!$B$3)+(U14*'Settings'!$B$4)+(V14*'Settings'!$B$5)+(X14*'Settings'!$B$9)+(AA14*'Settings'!$B$6)+(W14*'Settings'!$B$8)+(AB14*'Settings'!$B$7)+(AC14*'Settings'!$B$14)+(AD14*'Settings'!$B$15)+(AE14*'Settings'!$B$16)+(AF14*'Settings'!$B$17)+(AG14*'Settings'!$B$18)+(Y14*'Settings'!$B$10)+(Z14*'Settings'!$B$11),VLOOKUP(B14,'Standard Deviations'!A1:C731,3,FALSE))</f>
        <v>528.358407614709</v>
      </c>
      <c r="J14" s="45">
        <f>IF(D14="G",I14/AJ14,I14/Q14)</f>
        <v>6.58818609920636</v>
      </c>
      <c r="K14" s="44">
        <f>IF('Settings'!$E$18="C/LW/RW",VLOOKUP(B14,'LW'!A1:F156,6,FALSE),VLOOKUP(B14,'F'!A1:F432,6,FALSE))</f>
        <v>146.729843908353</v>
      </c>
      <c r="L14" s="44">
        <f>_xlfn.IFERROR(K14/H14,"N/A")</f>
        <v>18.9328830849488</v>
      </c>
      <c r="M14" s="46">
        <f>IF('Settings'!$E$9="YAHOO",VLOOKUP(B14,'ADP'!A1:E731,2,FALSE),IF('Settings'!$E$9="ESPN",VLOOKUP(B14,'ADP'!A1:E731,3,FALSE),IF('Settings'!$E$9="FANTRAX",VLOOKUP(B14,'ADP'!A1:E731,4,FALSE),VLOOKUP(B14,'ADP'!A1:E731,5,FALSE))))</f>
        <v>9.81</v>
      </c>
      <c r="N14" s="46">
        <f>_xlfn.IFERROR(M14-A14,"N/A")</f>
        <v>-0.19</v>
      </c>
      <c r="O14" s="46"/>
      <c r="P14" t="s" s="47">
        <f>IF('Settings'!$E$27="ON",VLOOKUP(B14,'ADP'!A1:H731,8,FALSE)," ")</f>
        <v>109</v>
      </c>
      <c r="Q14" s="48">
        <f>IF('Settings'!$E$12="YES",VLOOKUP(B14,'Player Data'!A1:E734,5,FALSE),82)</f>
        <v>80.1978571428571</v>
      </c>
      <c r="R14" s="46">
        <f>VLOOKUP(B14,'Player Data'!$A1:$AE734,6,FALSE)</f>
        <v>18.8333642730564</v>
      </c>
      <c r="S14" s="48">
        <f>VLOOKUP(B14,'Player Data'!$A1:$AE734,7,FALSE)*$Q14*_xlfn.IFERROR((VLOOKUP(P14,'Settings'!$E$28:$F$33,2,FALSE)+1),1)</f>
        <v>43.335232949445</v>
      </c>
      <c r="T14" s="48">
        <f>VLOOKUP(B14,'Player Data'!$A1:$AE734,8,FALSE)*$Q14*_xlfn.IFERROR((VLOOKUP(P14,'Settings'!$E$28:$F$33,2,FALSE)+1),1)</f>
        <v>55.2861161177182</v>
      </c>
      <c r="U14" s="48">
        <f>SUM(S14:T14)</f>
        <v>98.62134906716319</v>
      </c>
      <c r="V14" s="48">
        <f>VLOOKUP(B14,'Player Data'!$A1:$AE734,10,FALSE)*$Q14*_xlfn.IFERROR(((VLOOKUP(P14,'Settings'!$E$28:$F$33,2,FALSE)/2)+1),1)</f>
        <v>283.538420041987</v>
      </c>
      <c r="W14" s="48">
        <f>VLOOKUP(B14,'Player Data'!$A1:$AE734,11,FALSE)*$Q14*_xlfn.IFERROR((VLOOKUP(P14,'Settings'!$E$28:$F$33,2,FALSE)+1),1)</f>
        <v>12.7994881389747</v>
      </c>
      <c r="X14" s="48">
        <f>VLOOKUP(B14,'Player Data'!$A1:$AE734,12,FALSE)*$Q14*_xlfn.IFERROR((VLOOKUP(P14,'Settings'!$E$28:$F$33,2,FALSE)+1),1)</f>
        <v>33.8966588135144</v>
      </c>
      <c r="Y14" s="48">
        <f>VLOOKUP(B14,'Player Data'!$A1:$AE734,13,FALSE)*$Q14</f>
        <v>0.00436692824145878</v>
      </c>
      <c r="Z14" s="48">
        <f>VLOOKUP(B14,'Player Data'!$A1:$AE734,14,FALSE)*$Q14</f>
        <v>0.00795039302780302</v>
      </c>
      <c r="AA14" s="48">
        <f>VLOOKUP(B14,'Player Data'!$A1:$AE734,15,FALSE)*$Q14</f>
        <v>22.5568573724788</v>
      </c>
      <c r="AB14" s="48">
        <f>VLOOKUP(B14,'Player Data'!$A1:$AE734,16,FALSE)*$Q14</f>
        <v>57.7118859830551</v>
      </c>
      <c r="AC14" s="48">
        <f>VLOOKUP(B14,'Player Data'!$A1:$AE734,17,FALSE)*$Q14*_xlfn.IFERROR((VLOOKUP(P14,'Settings'!$E$28:$F$33,2,FALSE)+1),1)</f>
        <v>11.0816975105535</v>
      </c>
      <c r="AD14" s="48">
        <f>VLOOKUP(B14,'Player Data'!$A1:$AE734,18,FALSE)*$Q14</f>
        <v>25.0667001854717</v>
      </c>
      <c r="AE14" s="48">
        <f>VLOOKUP(B14,'Player Data'!$A1:$AE734,19,FALSE)*$Q14*_xlfn.IFERROR((VLOOKUP(P14,'Settings'!$E$28:$F$33,2,FALSE)+1),1)</f>
        <v>6.93333006608486</v>
      </c>
      <c r="AF14" s="48">
        <f>VLOOKUP(B14,'Player Data'!$A1:$AE734,20,FALSE)*$Q14</f>
        <v>0.211114066112087</v>
      </c>
      <c r="AG14" s="48">
        <f>VLOOKUP(B14,'Player Data'!$A1:$AE734,21,FALSE)*$Q14</f>
        <v>1.63423517144083</v>
      </c>
      <c r="AH14" s="49">
        <f>VLOOKUP(B14,'Player Data'!$A1:$AE734,22,FALSE)</f>
        <v>0.114403312834182</v>
      </c>
      <c r="AI14" s="46"/>
      <c r="AJ14" s="50"/>
      <c r="AK14" s="48"/>
      <c r="AL14" s="48"/>
      <c r="AM14" s="48"/>
      <c r="AN14" s="48"/>
      <c r="AO14" s="48"/>
      <c r="AP14" s="48"/>
      <c r="AQ14" s="51"/>
      <c r="AR14" s="52"/>
      <c r="AS14" s="50"/>
    </row>
    <row r="15" ht="21.25" customHeight="1">
      <c r="A15" s="53">
        <f>RANK(K15,K2:K730)</f>
        <v>21</v>
      </c>
      <c r="B15" t="s" s="8">
        <v>137</v>
      </c>
      <c r="C15" t="s" s="39">
        <v>106</v>
      </c>
      <c r="D15" t="s" s="40">
        <f>VLOOKUP(B15,'Player Data'!A1:D734,4,FALSE)</f>
        <v>121</v>
      </c>
      <c r="E15" s="55">
        <f>VLOOKUP(B15,'RW'!A1:F132,3,FALSE)</f>
        <v>5</v>
      </c>
      <c r="F15" t="s" s="42">
        <f>VLOOKUP(B15,'Player Data'!A1:B734,2,FALSE)</f>
        <v>115</v>
      </c>
      <c r="G15" s="9">
        <f>VLOOKUP(B15,'Player Data'!A1:D734,3,FALSE)</f>
        <v>26</v>
      </c>
      <c r="H15" s="43">
        <f>_xlfn.IFERROR(VLOOKUP(B15,'ADP'!A1:G731,7,FALSE)/1000000,VLOOKUP(B15,'ADP'!A1:G731,7,FALSE))</f>
        <v>10.903</v>
      </c>
      <c r="I15" s="44">
        <f>IF('Settings'!$E$15="POINTS",((R15*Q15)*'Settings'!$B$12)+(S15*'Settings'!$B$2)+(T15*'Settings'!$B$3)+(U15*'Settings'!$B$4)+(V15*'Settings'!$B$5)+(X15*'Settings'!$B$9)+(AA15*'Settings'!$B$6)+(W15*'Settings'!$B$8)+(AB15*'Settings'!$B$7)+(AC15*'Settings'!$B$14)+(AD15*'Settings'!$B$15)+(AE15*'Settings'!$B$16)+(AF15*'Settings'!$B$17)+(AG15*'Settings'!$B$18)+(Y15*'Settings'!$B$10)+(Z15*'Settings'!$B$11),VLOOKUP(B15,'Standard Deviations'!A1:C731,3,FALSE))</f>
        <v>504.879890978459</v>
      </c>
      <c r="J15" s="45">
        <f>IF(D15="G",I15/AJ15,I15/Q15)</f>
        <v>6.29890698542835</v>
      </c>
      <c r="K15" s="44">
        <f>IF('Settings'!$E$18="C/LW/RW",VLOOKUP(B15,'RW'!A1:F132,6,FALSE),VLOOKUP(B15,'F'!A1:F432,6,FALSE))</f>
        <v>123.251327272103</v>
      </c>
      <c r="L15" s="44">
        <f>_xlfn.IFERROR(K15/H15,"N/A")</f>
        <v>11.3043499286529</v>
      </c>
      <c r="M15" s="46">
        <f>IF('Settings'!$E$9="YAHOO",VLOOKUP(B15,'ADP'!A1:E731,2,FALSE),IF('Settings'!$E$9="ESPN",VLOOKUP(B15,'ADP'!A1:E731,3,FALSE),IF('Settings'!$E$9="FANTRAX",VLOOKUP(B15,'ADP'!A1:E731,4,FALSE),VLOOKUP(B15,'ADP'!A1:E731,5,FALSE))))</f>
        <v>18.21</v>
      </c>
      <c r="N15" s="46">
        <f>_xlfn.IFERROR(M15-A15,"N/A")</f>
        <v>-2.79</v>
      </c>
      <c r="O15" s="46"/>
      <c r="P15" t="s" s="47">
        <f>IF('Settings'!$E$27="ON",VLOOKUP(B15,'ADP'!A1:H731,8,FALSE)," ")</f>
        <v>109</v>
      </c>
      <c r="Q15" s="48">
        <f>IF('Settings'!$E$12="YES",VLOOKUP(B15,'Player Data'!A1:E734,5,FALSE),82)</f>
        <v>80.1535714285714</v>
      </c>
      <c r="R15" s="46">
        <f>VLOOKUP(B15,'Player Data'!$A1:$AE734,6,FALSE)</f>
        <v>21.3107412853277</v>
      </c>
      <c r="S15" s="48">
        <f>VLOOKUP(B15,'Player Data'!$A1:$AE734,7,FALSE)*$Q15*_xlfn.IFERROR((VLOOKUP(P15,'Settings'!$E$28:$F$33,2,FALSE)+1),1)</f>
        <v>33.1191949678379</v>
      </c>
      <c r="T15" s="48">
        <f>VLOOKUP(B15,'Player Data'!$A1:$AE734,8,FALSE)*$Q15*_xlfn.IFERROR((VLOOKUP(P15,'Settings'!$E$28:$F$33,2,FALSE)+1),1)</f>
        <v>67.82075339391881</v>
      </c>
      <c r="U15" s="48">
        <f>SUM(S15:T15)</f>
        <v>100.939948361757</v>
      </c>
      <c r="V15" s="48">
        <f>VLOOKUP(B15,'Player Data'!$A1:$AE734,10,FALSE)*$Q15*_xlfn.IFERROR(((VLOOKUP(P15,'Settings'!$E$28:$F$33,2,FALSE)/2)+1),1)</f>
        <v>214.229345360739</v>
      </c>
      <c r="W15" s="48">
        <f>VLOOKUP(B15,'Player Data'!$A1:$AE734,11,FALSE)*$Q15*_xlfn.IFERROR((VLOOKUP(P15,'Settings'!$E$28:$F$33,2,FALSE)+1),1)</f>
        <v>7.67130238563932</v>
      </c>
      <c r="X15" s="48">
        <f>VLOOKUP(B15,'Player Data'!$A1:$AE734,12,FALSE)*$Q15*_xlfn.IFERROR((VLOOKUP(P15,'Settings'!$E$28:$F$33,2,FALSE)+1),1)</f>
        <v>33.0943178493166</v>
      </c>
      <c r="Y15" s="48">
        <f>VLOOKUP(B15,'Player Data'!$A1:$AE734,13,FALSE)*$Q15</f>
        <v>2.65639812450201</v>
      </c>
      <c r="Z15" s="48">
        <f>VLOOKUP(B15,'Player Data'!$A1:$AE734,14,FALSE)*$Q15</f>
        <v>3.99580282043645</v>
      </c>
      <c r="AA15" s="48">
        <f>VLOOKUP(B15,'Player Data'!$A1:$AE734,15,FALSE)*$Q15</f>
        <v>43.5665800126702</v>
      </c>
      <c r="AB15" s="48">
        <f>VLOOKUP(B15,'Player Data'!$A1:$AE734,16,FALSE)*$Q15</f>
        <v>61.9667404554174</v>
      </c>
      <c r="AC15" s="48">
        <f>VLOOKUP(B15,'Player Data'!$A1:$AE734,17,FALSE)*$Q15*_xlfn.IFERROR((VLOOKUP(P15,'Settings'!$E$28:$F$33,2,FALSE)+1),1)</f>
        <v>9.302173719867939</v>
      </c>
      <c r="AD15" s="48">
        <f>VLOOKUP(B15,'Player Data'!$A1:$AE734,18,FALSE)*$Q15</f>
        <v>27.435102734143</v>
      </c>
      <c r="AE15" s="48">
        <f>VLOOKUP(B15,'Player Data'!$A1:$AE734,19,FALSE)*$Q15*_xlfn.IFERROR((VLOOKUP(P15,'Settings'!$E$28:$F$33,2,FALSE)+1),1)</f>
        <v>5.32058986863458</v>
      </c>
      <c r="AF15" s="48">
        <f>VLOOKUP(B15,'Player Data'!$A1:$AE734,20,FALSE)*$Q15</f>
        <v>2.28212786257305</v>
      </c>
      <c r="AG15" s="48">
        <f>VLOOKUP(B15,'Player Data'!$A1:$AE734,21,FALSE)*$Q15</f>
        <v>4.30415717587092</v>
      </c>
      <c r="AH15" s="49">
        <f>VLOOKUP(B15,'Player Data'!$A1:$AE734,22,FALSE)</f>
        <v>0.346496978076766</v>
      </c>
      <c r="AI15" s="46"/>
      <c r="AJ15" s="50"/>
      <c r="AK15" s="48"/>
      <c r="AL15" s="48"/>
      <c r="AM15" s="48"/>
      <c r="AN15" s="48"/>
      <c r="AO15" s="48"/>
      <c r="AP15" s="48"/>
      <c r="AQ15" s="51"/>
      <c r="AR15" s="52"/>
      <c r="AS15" s="50"/>
    </row>
    <row r="16" ht="21.25" customHeight="1">
      <c r="A16" s="53">
        <f>RANK(K16,K2:K730)</f>
        <v>16</v>
      </c>
      <c r="B16" t="s" s="8">
        <v>138</v>
      </c>
      <c r="C16" t="s" s="39">
        <v>106</v>
      </c>
      <c r="D16" t="s" s="40">
        <f>VLOOKUP(B16,'Player Data'!A1:D734,4,FALSE)</f>
        <v>107</v>
      </c>
      <c r="E16" s="41">
        <f>VLOOKUP(B16,'C'!A1:C218,3,FALSE)</f>
        <v>6</v>
      </c>
      <c r="F16" t="s" s="42">
        <f>VLOOKUP(B16,'Player Data'!A1:B734,2,FALSE)</f>
        <v>139</v>
      </c>
      <c r="G16" s="9">
        <f>VLOOKUP(B16,'Player Data'!A1:D734,3,FALSE)</f>
        <v>25</v>
      </c>
      <c r="H16" s="43">
        <f>_xlfn.IFERROR(VLOOKUP(B16,'ADP'!A1:G731,7,FALSE)/1000000,VLOOKUP(B16,'ADP'!A1:G731,7,FALSE))</f>
        <v>7.14</v>
      </c>
      <c r="I16" s="44">
        <f>IF('Settings'!$E$15="POINTS",((R16*Q16)*'Settings'!$B$12)+(S16*'Settings'!$B$2)+(T16*'Settings'!$B$3)+(U16*'Settings'!$B$4)+(V16*'Settings'!$B$5)+(X16*'Settings'!$B$9)+(AA16*'Settings'!$B$6)+(W16*'Settings'!$B$8)+(AB16*'Settings'!$B$7)+(AC16*'Settings'!$B$14)+(AD16*'Settings'!$B$15)+(AE16*'Settings'!$B$16)+(AF16*'Settings'!$B$17)+(AG16*'Settings'!$B$18)+(Y16*'Settings'!$B$10)+(Z16*'Settings'!$B$11),VLOOKUP(B16,'Standard Deviations'!A1:C731,3,FALSE))</f>
        <v>528.449978419635</v>
      </c>
      <c r="J16" s="45">
        <f>IF(D16="G",I16/AJ16,I16/Q16)</f>
        <v>6.73270452821551</v>
      </c>
      <c r="K16" s="44">
        <f>IF('Settings'!$E$18="C/LW/RW",VLOOKUP(B16,'C'!A1:F218,6,FALSE),VLOOKUP(B16,'F'!A1:F432,6,FALSE))</f>
        <v>132.675776783620</v>
      </c>
      <c r="L16" s="44">
        <f>_xlfn.IFERROR(K16/H16,"N/A")</f>
        <v>18.5820415663333</v>
      </c>
      <c r="M16" s="46">
        <f>IF('Settings'!$E$9="YAHOO",VLOOKUP(B16,'ADP'!A1:E731,2,FALSE),IF('Settings'!$E$9="ESPN",VLOOKUP(B16,'ADP'!A1:E731,3,FALSE),IF('Settings'!$E$9="FANTRAX",VLOOKUP(B16,'ADP'!A1:E731,4,FALSE),VLOOKUP(B16,'ADP'!A1:E731,5,FALSE))))</f>
        <v>14.66</v>
      </c>
      <c r="N16" s="46">
        <f>_xlfn.IFERROR(M16-A16,"N/A")</f>
        <v>-1.34</v>
      </c>
      <c r="O16" s="46"/>
      <c r="P16" t="s" s="47">
        <f>IF('Settings'!$E$27="ON",VLOOKUP(B16,'ADP'!A1:H731,8,FALSE)," ")</f>
        <v>109</v>
      </c>
      <c r="Q16" s="48">
        <f>IF('Settings'!$E$12="YES",VLOOKUP(B16,'Player Data'!A1:E734,5,FALSE),82)</f>
        <v>78.48999999999999</v>
      </c>
      <c r="R16" s="46">
        <f>VLOOKUP(B16,'Player Data'!$A1:$AE734,6,FALSE)</f>
        <v>19.7965209869652</v>
      </c>
      <c r="S16" s="48">
        <f>VLOOKUP(B16,'Player Data'!$A1:$AE734,7,FALSE)*$Q16*_xlfn.IFERROR((VLOOKUP(P16,'Settings'!$E$28:$F$33,2,FALSE)+1),1)</f>
        <v>46.3983392495582</v>
      </c>
      <c r="T16" s="48">
        <f>VLOOKUP(B16,'Player Data'!$A1:$AE734,8,FALSE)*$Q16*_xlfn.IFERROR((VLOOKUP(P16,'Settings'!$E$28:$F$33,2,FALSE)+1),1)</f>
        <v>44.8312901841467</v>
      </c>
      <c r="U16" s="48">
        <f>SUM(S16:T16)</f>
        <v>91.2296294337049</v>
      </c>
      <c r="V16" s="48">
        <f>VLOOKUP(B16,'Player Data'!$A1:$AE734,10,FALSE)*$Q16*_xlfn.IFERROR(((VLOOKUP(P16,'Settings'!$E$28:$F$33,2,FALSE)/2)+1),1)</f>
        <v>307.502131544537</v>
      </c>
      <c r="W16" s="48">
        <f>VLOOKUP(B16,'Player Data'!$A1:$AE734,11,FALSE)*$Q16*_xlfn.IFERROR((VLOOKUP(P16,'Settings'!$E$28:$F$33,2,FALSE)+1),1)</f>
        <v>18.623640330003</v>
      </c>
      <c r="X16" s="48">
        <f>VLOOKUP(B16,'Player Data'!$A1:$AE734,12,FALSE)*$Q16*_xlfn.IFERROR((VLOOKUP(P16,'Settings'!$E$28:$F$33,2,FALSE)+1),1)</f>
        <v>32.113940532763</v>
      </c>
      <c r="Y16" s="48">
        <f>VLOOKUP(B16,'Player Data'!$A1:$AE734,13,FALSE)*$Q16</f>
        <v>0.471596466863933</v>
      </c>
      <c r="Z16" s="48">
        <f>VLOOKUP(B16,'Player Data'!$A1:$AE734,14,FALSE)*$Q16</f>
        <v>0.5203261315079249</v>
      </c>
      <c r="AA16" s="48">
        <f>VLOOKUP(B16,'Player Data'!$A1:$AE734,15,FALSE)*$Q16</f>
        <v>28.699834789301</v>
      </c>
      <c r="AB16" s="48">
        <f>VLOOKUP(B16,'Player Data'!$A1:$AE734,16,FALSE)*$Q16</f>
        <v>64.0877832569937</v>
      </c>
      <c r="AC16" s="48">
        <f>VLOOKUP(B16,'Player Data'!$A1:$AE734,17,FALSE)*$Q16*_xlfn.IFERROR((VLOOKUP(P16,'Settings'!$E$28:$F$33,2,FALSE)+1),1)</f>
        <v>-0.651706179856385</v>
      </c>
      <c r="AD16" s="48">
        <f>VLOOKUP(B16,'Player Data'!$A1:$AE734,18,FALSE)*$Q16</f>
        <v>38.5856078927069</v>
      </c>
      <c r="AE16" s="48">
        <f>VLOOKUP(B16,'Player Data'!$A1:$AE734,19,FALSE)*$Q16*_xlfn.IFERROR((VLOOKUP(P16,'Settings'!$E$28:$F$33,2,FALSE)+1),1)</f>
        <v>5.9398716142348</v>
      </c>
      <c r="AF16" s="48">
        <f>VLOOKUP(B16,'Player Data'!$A1:$AE734,20,FALSE)*$Q16</f>
        <v>342.441514763341</v>
      </c>
      <c r="AG16" s="48">
        <f>VLOOKUP(B16,'Player Data'!$A1:$AE734,21,FALSE)*$Q16</f>
        <v>512.746497894249</v>
      </c>
      <c r="AH16" s="49">
        <f>VLOOKUP(B16,'Player Data'!$A1:$AE734,22,FALSE)</f>
        <v>0.400428338207369</v>
      </c>
      <c r="AI16" s="46"/>
      <c r="AJ16" s="50"/>
      <c r="AK16" s="48"/>
      <c r="AL16" s="48"/>
      <c r="AM16" s="48"/>
      <c r="AN16" s="48"/>
      <c r="AO16" s="48"/>
      <c r="AP16" s="48"/>
      <c r="AQ16" s="51"/>
      <c r="AR16" s="52"/>
      <c r="AS16" s="50"/>
    </row>
    <row r="17" ht="21.25" customHeight="1">
      <c r="A17" s="53">
        <f>RANK(K17,K2:K730)</f>
        <v>30</v>
      </c>
      <c r="B17" t="s" s="8">
        <v>140</v>
      </c>
      <c r="C17" t="s" s="39">
        <v>106</v>
      </c>
      <c r="D17" t="s" s="40">
        <f>VLOOKUP(B17,'Player Data'!A1:D734,4,FALSE)</f>
        <v>129</v>
      </c>
      <c r="E17" s="56">
        <f>VLOOKUP(B17,'D'!A1:C228,3,FALSE)</f>
        <v>3</v>
      </c>
      <c r="F17" t="s" s="42">
        <f>VLOOKUP(B17,'Player Data'!A1:B734,2,FALSE)</f>
        <v>141</v>
      </c>
      <c r="G17" s="9">
        <f>VLOOKUP(B17,'Player Data'!A1:D734,3,FALSE)</f>
        <v>33</v>
      </c>
      <c r="H17" s="43">
        <f>_xlfn.IFERROR(VLOOKUP(B17,'ADP'!A1:G731,7,FALSE)/1000000,VLOOKUP(B17,'ADP'!A1:G731,7,FALSE))</f>
        <v>10</v>
      </c>
      <c r="I17" s="44">
        <f>IF('Settings'!$E$15="POINTS",((R17*Q17)*'Settings'!$B$12)+(S17*'Settings'!$B$2)+(T17*'Settings'!$B$3)+(U17*'Settings'!$B$4)+(V17*'Settings'!$B$5)+(X17*'Settings'!$B$9)+(AA17*'Settings'!$B$6)+(W17*'Settings'!$B$8)+(AB17*'Settings'!$B$7)+(AC17*'Settings'!$B$14)+(AD17*'Settings'!$B$15)+(AE17*'Settings'!$B$16)+(AF17*'Settings'!$B$17)+(AG17*'Settings'!$B$18)+(U17*'Settings'!$B$13)+(Y17*'Settings'!$B$10)+(Z17*'Settings'!$B$11),VLOOKUP(B17,'Standard Deviations'!A1:C731,3,FALSE))</f>
        <v>432.321395564439</v>
      </c>
      <c r="J17" s="45">
        <f>IF(D17="G",I17/AJ17,I17/Q17)</f>
        <v>5.6113362796</v>
      </c>
      <c r="K17" s="44">
        <f>VLOOKUP(B17,'D'!A1:F228,6,FALSE)</f>
        <v>91.586256917916</v>
      </c>
      <c r="L17" s="44">
        <f>_xlfn.IFERROR(K17/H17,"N/A")</f>
        <v>9.158625691791601</v>
      </c>
      <c r="M17" s="46">
        <f>IF('Settings'!$E$9="YAHOO",VLOOKUP(B17,'ADP'!A1:E731,2,FALSE),IF('Settings'!$E$9="ESPN",VLOOKUP(B17,'ADP'!A1:E731,3,FALSE),IF('Settings'!$E$9="FANTRAX",VLOOKUP(B17,'ADP'!A1:E731,4,FALSE),VLOOKUP(B17,'ADP'!A1:E731,5,FALSE))))</f>
        <v>34.07</v>
      </c>
      <c r="N17" s="46">
        <f>_xlfn.IFERROR(M17-A17,"N/A")</f>
        <v>4.07</v>
      </c>
      <c r="O17" s="46"/>
      <c r="P17" t="s" s="47">
        <f>IF('Settings'!$E$27="ON",VLOOKUP(B17,'ADP'!A1:H731,8,FALSE)," ")</f>
        <v>142</v>
      </c>
      <c r="Q17" s="48">
        <f>IF('Settings'!$E$12="YES",VLOOKUP(B17,'Player Data'!A1:E734,5,FALSE),82)</f>
        <v>77.04428571428571</v>
      </c>
      <c r="R17" s="46">
        <f>VLOOKUP(B17,'Player Data'!$A1:$AE734,6,FALSE)</f>
        <v>26.0805629954268</v>
      </c>
      <c r="S17" s="48">
        <f>VLOOKUP(B17,'Player Data'!$A1:$AE734,7,FALSE)*$Q17*_xlfn.IFERROR((VLOOKUP(P17,'Settings'!$E$28:$F$33,2,FALSE)+1),1)</f>
        <v>20.3370229141597</v>
      </c>
      <c r="T17" s="48">
        <f>VLOOKUP(B17,'Player Data'!$A1:$AE734,8,FALSE)*$Q17*_xlfn.IFERROR((VLOOKUP(P17,'Settings'!$E$28:$F$33,2,FALSE)+1),1)</f>
        <v>59.5791870750388</v>
      </c>
      <c r="U17" s="48">
        <f>SUM(S17:T17)</f>
        <v>79.91620998919851</v>
      </c>
      <c r="V17" s="48">
        <f>VLOOKUP(B17,'Player Data'!$A1:$AE734,10,FALSE)*$Q17*_xlfn.IFERROR(((VLOOKUP(P17,'Settings'!$E$28:$F$33,2,FALSE)/2)+1),1)</f>
        <v>209.233613031723</v>
      </c>
      <c r="W17" s="48">
        <f>VLOOKUP(B17,'Player Data'!$A1:$AE734,11,FALSE)*$Q17*_xlfn.IFERROR((VLOOKUP(P17,'Settings'!$E$28:$F$33,2,FALSE)+1),1)</f>
        <v>4.32496449304599</v>
      </c>
      <c r="X17" s="48">
        <f>VLOOKUP(B17,'Player Data'!$A1:$AE734,12,FALSE)*$Q17*_xlfn.IFERROR((VLOOKUP(P17,'Settings'!$E$28:$F$33,2,FALSE)+1),1)</f>
        <v>25.4743260645529</v>
      </c>
      <c r="Y17" s="48">
        <f>VLOOKUP(B17,'Player Data'!$A1:$AE734,13,FALSE)*$Q17</f>
        <v>0.0159142373361429</v>
      </c>
      <c r="Z17" s="48">
        <f>VLOOKUP(B17,'Player Data'!$A1:$AE734,14,FALSE)*$Q17</f>
        <v>0.142799194648052</v>
      </c>
      <c r="AA17" s="48">
        <f>VLOOKUP(B17,'Player Data'!$A1:$AE734,15,FALSE)*$Q17</f>
        <v>91.9934074282076</v>
      </c>
      <c r="AB17" s="48">
        <f>VLOOKUP(B17,'Player Data'!$A1:$AE734,16,FALSE)*$Q17</f>
        <v>44.6724904253714</v>
      </c>
      <c r="AC17" s="48">
        <f>VLOOKUP(B17,'Player Data'!$A1:$AE734,17,FALSE)*$Q17*_xlfn.IFERROR((VLOOKUP(P17,'Settings'!$E$28:$F$33,2,FALSE)+1),1)</f>
        <v>3.41458308336957</v>
      </c>
      <c r="AD17" s="48">
        <f>VLOOKUP(B17,'Player Data'!$A1:$AE734,18,FALSE)*$Q17</f>
        <v>28.8791373023124</v>
      </c>
      <c r="AE17" s="48">
        <f>VLOOKUP(B17,'Player Data'!$A1:$AE734,19,FALSE)*$Q17*_xlfn.IFERROR((VLOOKUP(P17,'Settings'!$E$28:$F$33,2,FALSE)+1),1)</f>
        <v>2.52495842263274</v>
      </c>
      <c r="AF17" s="48">
        <f>VLOOKUP(B17,'Player Data'!$A1:$AE734,20,FALSE)*$Q17</f>
        <v>0</v>
      </c>
      <c r="AG17" s="48">
        <f>VLOOKUP(B17,'Player Data'!$A1:$AE734,21,FALSE)*$Q17</f>
        <v>0.774194078816396</v>
      </c>
      <c r="AH17" s="49">
        <f>VLOOKUP(B17,'Player Data'!$A1:$AE734,22,FALSE)</f>
        <v>0</v>
      </c>
      <c r="AI17" s="46"/>
      <c r="AJ17" s="50"/>
      <c r="AK17" s="48"/>
      <c r="AL17" s="48"/>
      <c r="AM17" s="48"/>
      <c r="AN17" s="48"/>
      <c r="AO17" s="48"/>
      <c r="AP17" s="48"/>
      <c r="AQ17" s="51"/>
      <c r="AR17" s="52"/>
      <c r="AS17" s="46"/>
    </row>
    <row r="18" ht="21.25" customHeight="1">
      <c r="A18" s="53">
        <f>RANK(K18,K2:K730)</f>
        <v>32</v>
      </c>
      <c r="B18" t="s" s="8">
        <v>143</v>
      </c>
      <c r="C18" t="s" s="39">
        <v>106</v>
      </c>
      <c r="D18" t="s" s="40">
        <f>VLOOKUP(B18,'Player Data'!A1:D734,4,FALSE)</f>
        <v>129</v>
      </c>
      <c r="E18" s="56">
        <f>VLOOKUP(B18,'D'!A1:C228,3,FALSE)</f>
        <v>4</v>
      </c>
      <c r="F18" t="s" s="42">
        <f>VLOOKUP(B18,'Player Data'!A1:B734,2,FALSE)</f>
        <v>139</v>
      </c>
      <c r="G18" s="9">
        <f>VLOOKUP(B18,'Player Data'!A1:D734,3,FALSE)</f>
        <v>23</v>
      </c>
      <c r="H18" s="43">
        <f>_xlfn.IFERROR(VLOOKUP(B18,'ADP'!A1:G731,7,FALSE)/1000000,VLOOKUP(B18,'ADP'!A1:G731,7,FALSE))</f>
        <v>6</v>
      </c>
      <c r="I18" s="44">
        <f>IF('Settings'!$E$15="POINTS",((R18*Q18)*'Settings'!$B$12)+(S18*'Settings'!$B$2)+(T18*'Settings'!$B$3)+(U18*'Settings'!$B$4)+(V18*'Settings'!$B$5)+(X18*'Settings'!$B$9)+(AA18*'Settings'!$B$6)+(W18*'Settings'!$B$8)+(AB18*'Settings'!$B$7)+(AC18*'Settings'!$B$14)+(AD18*'Settings'!$B$15)+(AE18*'Settings'!$B$16)+(AF18*'Settings'!$B$17)+(AG18*'Settings'!$B$18)+(U18*'Settings'!$B$13)+(Y18*'Settings'!$B$10)+(Z18*'Settings'!$B$11),VLOOKUP(B18,'Standard Deviations'!A1:C731,3,FALSE))</f>
        <v>430.513888666521</v>
      </c>
      <c r="J18" s="45">
        <f>IF(D18="G",I18/AJ18,I18/Q18)</f>
        <v>5.28367560955475</v>
      </c>
      <c r="K18" s="44">
        <f>VLOOKUP(B18,'D'!A1:F228,6,FALSE)</f>
        <v>89.778750019998</v>
      </c>
      <c r="L18" s="44">
        <f>_xlfn.IFERROR(K18/H18,"N/A")</f>
        <v>14.963125003333</v>
      </c>
      <c r="M18" s="46">
        <f>IF('Settings'!$E$9="YAHOO",VLOOKUP(B18,'ADP'!A1:E731,2,FALSE),IF('Settings'!$E$9="ESPN",VLOOKUP(B18,'ADP'!A1:E731,3,FALSE),IF('Settings'!$E$9="FANTRAX",VLOOKUP(B18,'ADP'!A1:E731,4,FALSE),VLOOKUP(B18,'ADP'!A1:E731,5,FALSE))))</f>
        <v>29.68</v>
      </c>
      <c r="N18" s="46">
        <f>_xlfn.IFERROR(M18-A18,"N/A")</f>
        <v>-2.32</v>
      </c>
      <c r="O18" s="46"/>
      <c r="P18" t="s" s="47">
        <f>IF('Settings'!$E$27="ON",VLOOKUP(B18,'ADP'!A1:H731,8,FALSE)," ")</f>
        <v>116</v>
      </c>
      <c r="Q18" s="48">
        <f>IF('Settings'!$E$12="YES",VLOOKUP(B18,'Player Data'!A1:E734,5,FALSE),82)</f>
        <v>81.48</v>
      </c>
      <c r="R18" s="46">
        <f>VLOOKUP(B18,'Player Data'!$A1:$AE734,6,FALSE)</f>
        <v>25.6128182727486</v>
      </c>
      <c r="S18" s="48">
        <f>VLOOKUP(B18,'Player Data'!$A1:$AE734,7,FALSE)*$Q18*_xlfn.IFERROR((VLOOKUP(P18,'Settings'!$E$28:$F$33,2,FALSE)+1),1)</f>
        <v>15.1833348032042</v>
      </c>
      <c r="T18" s="48">
        <f>VLOOKUP(B18,'Player Data'!$A1:$AE734,8,FALSE)*$Q18*_xlfn.IFERROR((VLOOKUP(P18,'Settings'!$E$28:$F$33,2,FALSE)+1),1)</f>
        <v>55.7617634857104</v>
      </c>
      <c r="U18" s="48">
        <f>SUM(S18:T18)</f>
        <v>70.94509828891459</v>
      </c>
      <c r="V18" s="48">
        <f>VLOOKUP(B18,'Player Data'!$A1:$AE734,10,FALSE)*$Q18*_xlfn.IFERROR(((VLOOKUP(P18,'Settings'!$E$28:$F$33,2,FALSE)/2)+1),1)</f>
        <v>209.657542089572</v>
      </c>
      <c r="W18" s="48">
        <f>VLOOKUP(B18,'Player Data'!$A1:$AE734,11,FALSE)*$Q18*_xlfn.IFERROR((VLOOKUP(P18,'Settings'!$E$28:$F$33,2,FALSE)+1),1)</f>
        <v>5.19798886846205</v>
      </c>
      <c r="X18" s="48">
        <f>VLOOKUP(B18,'Player Data'!$A1:$AE734,12,FALSE)*$Q18*_xlfn.IFERROR((VLOOKUP(P18,'Settings'!$E$28:$F$33,2,FALSE)+1),1)</f>
        <v>31.4696095847642</v>
      </c>
      <c r="Y18" s="48">
        <f>VLOOKUP(B18,'Player Data'!$A1:$AE734,13,FALSE)*$Q18</f>
        <v>0.0256116094638242</v>
      </c>
      <c r="Z18" s="48">
        <f>VLOOKUP(B18,'Player Data'!$A1:$AE734,14,FALSE)*$Q18</f>
        <v>0.313450019764272</v>
      </c>
      <c r="AA18" s="48">
        <f>VLOOKUP(B18,'Player Data'!$A1:$AE734,15,FALSE)*$Q18</f>
        <v>122.3715649416</v>
      </c>
      <c r="AB18" s="48">
        <f>VLOOKUP(B18,'Player Data'!$A1:$AE734,16,FALSE)*$Q18</f>
        <v>113.048552159427</v>
      </c>
      <c r="AC18" s="48">
        <f>VLOOKUP(B18,'Player Data'!$A1:$AE734,17,FALSE)*$Q18*_xlfn.IFERROR((VLOOKUP(P18,'Settings'!$E$28:$F$33,2,FALSE)+1),1)</f>
        <v>-0.608006847999685</v>
      </c>
      <c r="AD18" s="48">
        <f>VLOOKUP(B18,'Player Data'!$A1:$AE734,18,FALSE)*$Q18</f>
        <v>71.77905973688161</v>
      </c>
      <c r="AE18" s="48">
        <f>VLOOKUP(B18,'Player Data'!$A1:$AE734,19,FALSE)*$Q18*_xlfn.IFERROR((VLOOKUP(P18,'Settings'!$E$28:$F$33,2,FALSE)+1),1)</f>
        <v>1.9437561961409</v>
      </c>
      <c r="AF18" s="48">
        <f>VLOOKUP(B18,'Player Data'!$A1:$AE734,20,FALSE)*$Q18</f>
        <v>0</v>
      </c>
      <c r="AG18" s="48">
        <f>VLOOKUP(B18,'Player Data'!$A1:$AE734,21,FALSE)*$Q18</f>
        <v>0</v>
      </c>
      <c r="AH18" s="49">
        <f>VLOOKUP(B18,'Player Data'!$A1:$AE734,22,FALSE)</f>
        <v>0</v>
      </c>
      <c r="AI18" s="46"/>
      <c r="AJ18" s="48"/>
      <c r="AK18" s="48"/>
      <c r="AL18" s="48"/>
      <c r="AM18" s="48"/>
      <c r="AN18" s="48"/>
      <c r="AO18" s="48"/>
      <c r="AP18" s="48"/>
      <c r="AQ18" s="51"/>
      <c r="AR18" s="52"/>
      <c r="AS18" s="46"/>
    </row>
    <row r="19" ht="21.25" customHeight="1">
      <c r="A19" s="53">
        <f>RANK(K19,K2:K730)</f>
        <v>27</v>
      </c>
      <c r="B19" t="s" s="8">
        <v>144</v>
      </c>
      <c r="C19" t="s" s="39">
        <v>106</v>
      </c>
      <c r="D19" t="s" s="40">
        <f>VLOOKUP(B19,'Player Data'!A1:D734,4,FALSE)</f>
        <v>121</v>
      </c>
      <c r="E19" s="55">
        <f>VLOOKUP(B19,'RW'!A1:F132,3,FALSE)</f>
        <v>7</v>
      </c>
      <c r="F19" t="s" s="42">
        <f>VLOOKUP(B19,'Player Data'!A1:B734,2,FALSE)</f>
        <v>115</v>
      </c>
      <c r="G19" s="9">
        <f>VLOOKUP(B19,'Player Data'!A1:D734,3,FALSE)</f>
        <v>27</v>
      </c>
      <c r="H19" s="43">
        <f>_xlfn.IFERROR(VLOOKUP(B19,'ADP'!A1:G731,7,FALSE)/1000000,VLOOKUP(B19,'ADP'!A1:G731,7,FALSE))</f>
        <v>6.962</v>
      </c>
      <c r="I19" s="44">
        <f>IF('Settings'!$E$15="POINTS",((R19*Q19)*'Settings'!$B$12)+(S19*'Settings'!$B$2)+(T19*'Settings'!$B$3)+(U19*'Settings'!$B$4)+(V19*'Settings'!$B$5)+(X19*'Settings'!$B$9)+(AA19*'Settings'!$B$6)+(W19*'Settings'!$B$8)+(AB19*'Settings'!$B$7)+(AC19*'Settings'!$B$14)+(AD19*'Settings'!$B$15)+(AE19*'Settings'!$B$16)+(AF19*'Settings'!$B$17)+(AG19*'Settings'!$B$18)+(Y19*'Settings'!$B$10)+(Z19*'Settings'!$B$11),VLOOKUP(B19,'Standard Deviations'!A1:C731,3,FALSE))</f>
        <v>481.260414040655</v>
      </c>
      <c r="J19" s="45">
        <f>IF(D19="G",I19/AJ19,I19/Q19)</f>
        <v>5.92974736660595</v>
      </c>
      <c r="K19" s="44">
        <f>IF('Settings'!$E$18="C/LW/RW",VLOOKUP(B19,'RW'!A1:F132,6,FALSE),VLOOKUP(B19,'F'!A1:F432,6,FALSE))</f>
        <v>99.631850334299</v>
      </c>
      <c r="L19" s="44">
        <f>_xlfn.IFERROR(K19/H19,"N/A")</f>
        <v>14.3108087236856</v>
      </c>
      <c r="M19" s="46">
        <f>IF('Settings'!$E$9="YAHOO",VLOOKUP(B19,'ADP'!A1:E731,2,FALSE),IF('Settings'!$E$9="ESPN",VLOOKUP(B19,'ADP'!A1:E731,3,FALSE),IF('Settings'!$E$9="FANTRAX",VLOOKUP(B19,'ADP'!A1:E731,4,FALSE),VLOOKUP(B19,'ADP'!A1:E731,5,FALSE))))</f>
        <v>25.58</v>
      </c>
      <c r="N19" s="46">
        <f>_xlfn.IFERROR(M19-A19,"N/A")</f>
        <v>-1.42</v>
      </c>
      <c r="O19" s="46"/>
      <c r="P19" t="s" s="47">
        <f>IF('Settings'!$E$27="ON",VLOOKUP(B19,'ADP'!A1:H731,8,FALSE)," ")</f>
        <v>116</v>
      </c>
      <c r="Q19" s="48">
        <f>IF('Settings'!$E$12="YES",VLOOKUP(B19,'Player Data'!A1:E734,5,FALSE),82)</f>
        <v>81.16035714285709</v>
      </c>
      <c r="R19" s="46">
        <f>VLOOKUP(B19,'Player Data'!$A1:$AE734,6,FALSE)</f>
        <v>18.5389667007241</v>
      </c>
      <c r="S19" s="48">
        <f>VLOOKUP(B19,'Player Data'!$A1:$AE734,7,FALSE)*$Q19*_xlfn.IFERROR((VLOOKUP(P19,'Settings'!$E$28:$F$33,2,FALSE)+1),1)</f>
        <v>37.9760692123039</v>
      </c>
      <c r="T19" s="48">
        <f>VLOOKUP(B19,'Player Data'!$A1:$AE734,8,FALSE)*$Q19*_xlfn.IFERROR((VLOOKUP(P19,'Settings'!$E$28:$F$33,2,FALSE)+1),1)</f>
        <v>49.5890456955273</v>
      </c>
      <c r="U19" s="48">
        <f>SUM(S19:T19)</f>
        <v>87.5651149078312</v>
      </c>
      <c r="V19" s="48">
        <f>VLOOKUP(B19,'Player Data'!$A1:$AE734,10,FALSE)*$Q19*_xlfn.IFERROR(((VLOOKUP(P19,'Settings'!$E$28:$F$33,2,FALSE)/2)+1),1)</f>
        <v>282.093092911230</v>
      </c>
      <c r="W19" s="48">
        <f>VLOOKUP(B19,'Player Data'!$A1:$AE734,11,FALSE)*$Q19*_xlfn.IFERROR((VLOOKUP(P19,'Settings'!$E$28:$F$33,2,FALSE)+1),1)</f>
        <v>11.5024432232784</v>
      </c>
      <c r="X19" s="48">
        <f>VLOOKUP(B19,'Player Data'!$A1:$AE734,12,FALSE)*$Q19*_xlfn.IFERROR((VLOOKUP(P19,'Settings'!$E$28:$F$33,2,FALSE)+1),1)</f>
        <v>31.5312864924869</v>
      </c>
      <c r="Y19" s="48">
        <f>VLOOKUP(B19,'Player Data'!$A1:$AE734,13,FALSE)*$Q19</f>
        <v>0.0633974182753424</v>
      </c>
      <c r="Z19" s="48">
        <f>VLOOKUP(B19,'Player Data'!$A1:$AE734,14,FALSE)*$Q19</f>
        <v>0.115802260578116</v>
      </c>
      <c r="AA19" s="48">
        <f>VLOOKUP(B19,'Player Data'!$A1:$AE734,15,FALSE)*$Q19</f>
        <v>28.2720767851304</v>
      </c>
      <c r="AB19" s="48">
        <f>VLOOKUP(B19,'Player Data'!$A1:$AE734,16,FALSE)*$Q19</f>
        <v>24.7471045174776</v>
      </c>
      <c r="AC19" s="48">
        <f>VLOOKUP(B19,'Player Data'!$A1:$AE734,17,FALSE)*$Q19*_xlfn.IFERROR((VLOOKUP(P19,'Settings'!$E$28:$F$33,2,FALSE)+1),1)</f>
        <v>6.72501433396003</v>
      </c>
      <c r="AD19" s="48">
        <f>VLOOKUP(B19,'Player Data'!$A1:$AE734,18,FALSE)*$Q19</f>
        <v>26.0211450337896</v>
      </c>
      <c r="AE19" s="48">
        <f>VLOOKUP(B19,'Player Data'!$A1:$AE734,19,FALSE)*$Q19*_xlfn.IFERROR((VLOOKUP(P19,'Settings'!$E$28:$F$33,2,FALSE)+1),1)</f>
        <v>6.10084542507044</v>
      </c>
      <c r="AF19" s="48">
        <f>VLOOKUP(B19,'Player Data'!$A1:$AE734,20,FALSE)*$Q19</f>
        <v>28.0330366119604</v>
      </c>
      <c r="AG19" s="48">
        <f>VLOOKUP(B19,'Player Data'!$A1:$AE734,21,FALSE)*$Q19</f>
        <v>30.0053962175189</v>
      </c>
      <c r="AH19" s="49">
        <f>VLOOKUP(B19,'Player Data'!$A1:$AE734,22,FALSE)</f>
        <v>0.483008159340264</v>
      </c>
      <c r="AI19" s="46"/>
      <c r="AJ19" s="48"/>
      <c r="AK19" s="48"/>
      <c r="AL19" s="48"/>
      <c r="AM19" s="48"/>
      <c r="AN19" s="48"/>
      <c r="AO19" s="48"/>
      <c r="AP19" s="48"/>
      <c r="AQ19" s="51"/>
      <c r="AR19" s="52"/>
      <c r="AS19" s="46"/>
    </row>
    <row r="20" ht="21.25" customHeight="1">
      <c r="A20" s="53">
        <f>RANK(K20,K2:K730)</f>
        <v>11</v>
      </c>
      <c r="B20" t="s" s="8">
        <v>145</v>
      </c>
      <c r="C20" t="s" s="39">
        <v>106</v>
      </c>
      <c r="D20" t="s" s="40">
        <f>VLOOKUP(B20,'Player Data'!A1:D734,4,FALSE)</f>
        <v>146</v>
      </c>
      <c r="E20" s="58">
        <f>VLOOKUP(B20,'G'!A1:D75,3,FALSE)</f>
        <v>1</v>
      </c>
      <c r="F20" t="s" s="42">
        <f>VLOOKUP(B20,'Player Data'!A1:B734,2,FALSE)</f>
        <v>124</v>
      </c>
      <c r="G20" s="9">
        <f>VLOOKUP(B20,'Player Data'!A1:D734,3,FALSE)</f>
        <v>29</v>
      </c>
      <c r="H20" s="43">
        <f>_xlfn.IFERROR(VLOOKUP(B20,'ADP'!A1:G731,7,FALSE)/1000000,VLOOKUP(B20,'ADP'!A1:G731,7,FALSE))</f>
        <v>9.5</v>
      </c>
      <c r="I20" s="44">
        <f>IF('Settings'!$E$15="POINTS",(AJ20*'Settings'!$B$29)+(AK20*'Settings'!$B$21)+(AL20*'Settings'!$B$22)+(AN20*'Settings'!$B$24)+(AO20*'Settings'!$B$25)+(AP20*'Settings'!$B$27)+(AM20*'Settings'!$B$23),VLOOKUP(B20,'Standard Deviations'!A1:C731,3,FALSE))</f>
        <v>411.794855169476</v>
      </c>
      <c r="J20" s="45">
        <f>IF(D20="G",I20/AJ20,I20/Q20)</f>
        <v>6.64185250273348</v>
      </c>
      <c r="K20" s="44">
        <f>VLOOKUP(B20,'G'!A1:F75,6,FALSE)</f>
        <v>146.491633669788</v>
      </c>
      <c r="L20" s="44">
        <f>_xlfn.IFERROR(K20/H20,"N/A")</f>
        <v>15.4201719652408</v>
      </c>
      <c r="M20" s="46">
        <f>IF('Settings'!$E$9="YAHOO",VLOOKUP(B20,'ADP'!A1:E731,2,FALSE),IF('Settings'!$E$9="ESPN",VLOOKUP(B20,'ADP'!A1:E731,3,FALSE),IF('Settings'!$E$9="FANTRAX",VLOOKUP(B20,'ADP'!A1:E731,4,FALSE),VLOOKUP(B20,'ADP'!A1:E731,5,FALSE))))</f>
        <v>51.77</v>
      </c>
      <c r="N20" s="46">
        <f>_xlfn.IFERROR(M20-A20,"N/A")</f>
        <v>40.77</v>
      </c>
      <c r="O20" s="46"/>
      <c r="P20" t="s" s="47">
        <f>IF('Settings'!$E$27="ON",VLOOKUP(B20,'ADP'!A1:H731,8,FALSE)," ")</f>
        <v>109</v>
      </c>
      <c r="Q20" s="48"/>
      <c r="R20" s="5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9"/>
      <c r="AI20" s="46"/>
      <c r="AJ20" s="50">
        <f>VLOOKUP(B20,'Player Data'!$A1:$AE734,24,FALSE)</f>
        <v>62</v>
      </c>
      <c r="AK20" s="48">
        <f>VLOOKUP(B20,'Player Data'!$A1:$AE734,25,FALSE)*$AJ20*_xlfn.IFERROR((VLOOKUP(P20,'Settings'!$E$28:$F$33,2,FALSE)+1),1)</f>
        <v>35.2892156159789</v>
      </c>
      <c r="AL20" s="48">
        <f>AJ20-AK20-AM20</f>
        <v>18.9607843840211</v>
      </c>
      <c r="AM20" s="48">
        <f>VLOOKUP(B20,'Player Data'!$A1:$AE734,27,FALSE)*$AJ20</f>
        <v>7.75</v>
      </c>
      <c r="AN20" s="48">
        <f>VLOOKUP(B20,'Player Data'!$A1:$AE734,28,FALSE)*AJ20</f>
        <v>4.39870690669133</v>
      </c>
      <c r="AO20" s="48">
        <f>VLOOKUP(B20,'Player Data'!$A1:$AE734,29,FALSE)*$AJ20*_xlfn.IFERROR((VLOOKUP(P20,'Settings'!$E$28:$F$33,2,FALSE)/4)+1,1)</f>
        <v>1786.6926148654</v>
      </c>
      <c r="AP20" s="48">
        <f>VLOOKUP(B20,'Player Data'!$A1:$AE734,31,FALSE)*$AJ20*(_xlfn.IFERROR(1-(VLOOKUP(P20,'Settings'!$E$28:$F$33,2,FALSE)/4),1))</f>
        <v>162.184464572103</v>
      </c>
      <c r="AQ20" s="51">
        <f>1-(AP20/(AO20+AP20))</f>
        <v>0.916780557233033</v>
      </c>
      <c r="AR20" s="52">
        <f>AP20/AJ20</f>
        <v>2.61587846084037</v>
      </c>
      <c r="AS20" s="46"/>
    </row>
    <row r="21" ht="21.25" customHeight="1">
      <c r="A21" s="53">
        <f>RANK(K21,K2:K730)</f>
        <v>38</v>
      </c>
      <c r="B21" t="s" s="8">
        <v>147</v>
      </c>
      <c r="C21" t="s" s="39">
        <v>106</v>
      </c>
      <c r="D21" t="s" s="40">
        <f>VLOOKUP(B21,'Player Data'!A1:D734,4,FALSE)</f>
        <v>129</v>
      </c>
      <c r="E21" s="56">
        <f>VLOOKUP(B21,'D'!A1:C228,3,FALSE)</f>
        <v>6</v>
      </c>
      <c r="F21" t="s" s="42">
        <f>VLOOKUP(B21,'Player Data'!A1:B734,2,FALSE)</f>
        <v>127</v>
      </c>
      <c r="G21" s="9">
        <f>VLOOKUP(B21,'Player Data'!A1:D734,3,FALSE)</f>
        <v>30</v>
      </c>
      <c r="H21" s="43">
        <f>_xlfn.IFERROR(VLOOKUP(B21,'ADP'!A1:G731,7,FALSE)/1000000,VLOOKUP(B21,'ADP'!A1:G731,7,FALSE))</f>
        <v>9</v>
      </c>
      <c r="I21" s="44">
        <f>IF('Settings'!$E$15="POINTS",((R21*Q21)*'Settings'!$B$12)+(S21*'Settings'!$B$2)+(T21*'Settings'!$B$3)+(U21*'Settings'!$B$4)+(V21*'Settings'!$B$5)+(X21*'Settings'!$B$9)+(AA21*'Settings'!$B$6)+(W21*'Settings'!$B$8)+(AB21*'Settings'!$B$7)+(AC21*'Settings'!$B$14)+(AD21*'Settings'!$B$15)+(AE21*'Settings'!$B$16)+(AF21*'Settings'!$B$17)+(AG21*'Settings'!$B$18)+(U21*'Settings'!$B$13)+(Y21*'Settings'!$B$10)+(Z21*'Settings'!$B$11),VLOOKUP(B21,'Standard Deviations'!A1:C731,3,FALSE))</f>
        <v>420.338681256505</v>
      </c>
      <c r="J21" s="45">
        <f>IF(D21="G",I21/AJ21,I21/Q21)</f>
        <v>5.31176179298209</v>
      </c>
      <c r="K21" s="44">
        <f>VLOOKUP(B21,'D'!A1:F228,6,FALSE)</f>
        <v>79.603542609982</v>
      </c>
      <c r="L21" s="44">
        <f>_xlfn.IFERROR(K21/H21,"N/A")</f>
        <v>8.844838067775781</v>
      </c>
      <c r="M21" s="46">
        <f>IF('Settings'!$E$9="YAHOO",VLOOKUP(B21,'ADP'!A1:E731,2,FALSE),IF('Settings'!$E$9="ESPN",VLOOKUP(B21,'ADP'!A1:E731,3,FALSE),IF('Settings'!$E$9="FANTRAX",VLOOKUP(B21,'ADP'!A1:E731,4,FALSE),VLOOKUP(B21,'ADP'!A1:E731,5,FALSE))))</f>
        <v>29.9</v>
      </c>
      <c r="N21" s="46">
        <f>_xlfn.IFERROR(M21-A21,"N/A")</f>
        <v>-8.1</v>
      </c>
      <c r="O21" s="46"/>
      <c r="P21" t="s" s="47">
        <f>IF('Settings'!$E$27="ON",VLOOKUP(B21,'ADP'!A1:H731,8,FALSE)," ")</f>
        <v>116</v>
      </c>
      <c r="Q21" s="48">
        <f>IF('Settings'!$E$12="YES",VLOOKUP(B21,'Player Data'!A1:E734,5,FALSE),82)</f>
        <v>79.1335714285714</v>
      </c>
      <c r="R21" s="46">
        <f>VLOOKUP(B21,'Player Data'!$A1:$AE734,6,FALSE)</f>
        <v>22.4542655945122</v>
      </c>
      <c r="S21" s="48">
        <f>VLOOKUP(B21,'Player Data'!$A1:$AE734,7,FALSE)*$Q21*_xlfn.IFERROR((VLOOKUP(P21,'Settings'!$E$28:$F$33,2,FALSE)+1),1)</f>
        <v>17.5006279172019</v>
      </c>
      <c r="T21" s="48">
        <f>VLOOKUP(B21,'Player Data'!$A1:$AE734,8,FALSE)*$Q21*_xlfn.IFERROR((VLOOKUP(P21,'Settings'!$E$28:$F$33,2,FALSE)+1),1)</f>
        <v>46.7265573649615</v>
      </c>
      <c r="U21" s="48">
        <f>SUM(S21:T21)</f>
        <v>64.2271852821634</v>
      </c>
      <c r="V21" s="48">
        <f>VLOOKUP(B21,'Player Data'!$A1:$AE734,10,FALSE)*$Q21*_xlfn.IFERROR(((VLOOKUP(P21,'Settings'!$E$28:$F$33,2,FALSE)/2)+1),1)</f>
        <v>266.700145479652</v>
      </c>
      <c r="W21" s="48">
        <f>VLOOKUP(B21,'Player Data'!$A1:$AE734,11,FALSE)*$Q21*_xlfn.IFERROR((VLOOKUP(P21,'Settings'!$E$28:$F$33,2,FALSE)+1),1)</f>
        <v>6.36840709159877</v>
      </c>
      <c r="X21" s="48">
        <f>VLOOKUP(B21,'Player Data'!$A1:$AE734,12,FALSE)*$Q21*_xlfn.IFERROR((VLOOKUP(P21,'Settings'!$E$28:$F$33,2,FALSE)+1),1)</f>
        <v>26.2299936947358</v>
      </c>
      <c r="Y21" s="48">
        <f>VLOOKUP(B21,'Player Data'!$A1:$AE734,13,FALSE)*$Q21</f>
        <v>0.130474422201652</v>
      </c>
      <c r="Z21" s="48">
        <f>VLOOKUP(B21,'Player Data'!$A1:$AE734,14,FALSE)*$Q21</f>
        <v>0.188714853340106</v>
      </c>
      <c r="AA21" s="48">
        <f>VLOOKUP(B21,'Player Data'!$A1:$AE734,15,FALSE)*$Q21</f>
        <v>97.1983613832348</v>
      </c>
      <c r="AB21" s="48">
        <f>VLOOKUP(B21,'Player Data'!$A1:$AE734,16,FALSE)*$Q21</f>
        <v>76.3180015843531</v>
      </c>
      <c r="AC21" s="48">
        <f>VLOOKUP(B21,'Player Data'!$A1:$AE734,17,FALSE)*$Q21*_xlfn.IFERROR((VLOOKUP(P21,'Settings'!$E$28:$F$33,2,FALSE)+1),1)</f>
        <v>1.39733852643094</v>
      </c>
      <c r="AD21" s="48">
        <f>VLOOKUP(B21,'Player Data'!$A1:$AE734,18,FALSE)*$Q21</f>
        <v>48.190966066029</v>
      </c>
      <c r="AE21" s="48">
        <f>VLOOKUP(B21,'Player Data'!$A1:$AE734,19,FALSE)*$Q21*_xlfn.IFERROR((VLOOKUP(P21,'Settings'!$E$28:$F$33,2,FALSE)+1),1)</f>
        <v>2.57220695743571</v>
      </c>
      <c r="AF21" s="48">
        <f>VLOOKUP(B21,'Player Data'!$A1:$AE734,20,FALSE)*$Q21</f>
        <v>0</v>
      </c>
      <c r="AG21" s="48">
        <f>VLOOKUP(B21,'Player Data'!$A1:$AE734,21,FALSE)*$Q21</f>
        <v>0</v>
      </c>
      <c r="AH21" s="49">
        <f>VLOOKUP(B21,'Player Data'!$A1:$AE734,22,FALSE)</f>
        <v>0</v>
      </c>
      <c r="AI21" s="46"/>
      <c r="AJ21" s="50"/>
      <c r="AK21" s="48"/>
      <c r="AL21" s="48"/>
      <c r="AM21" s="48"/>
      <c r="AN21" s="48"/>
      <c r="AO21" s="48"/>
      <c r="AP21" s="48"/>
      <c r="AQ21" s="51"/>
      <c r="AR21" s="52"/>
      <c r="AS21" s="50"/>
    </row>
    <row r="22" ht="21.25" customHeight="1">
      <c r="A22" s="53">
        <f>RANK(K22,K2:K730)</f>
        <v>18</v>
      </c>
      <c r="B22" t="s" s="8">
        <v>148</v>
      </c>
      <c r="C22" t="s" s="39">
        <v>106</v>
      </c>
      <c r="D22" t="s" s="40">
        <f>VLOOKUP(B22,'Player Data'!A1:D734,4,FALSE)</f>
        <v>146</v>
      </c>
      <c r="E22" s="58">
        <f>VLOOKUP(B22,'G'!A1:D75,3,FALSE)</f>
        <v>4</v>
      </c>
      <c r="F22" t="s" s="42">
        <f>VLOOKUP(B22,'Player Data'!A1:B734,2,FALSE)</f>
        <v>149</v>
      </c>
      <c r="G22" s="9">
        <f>VLOOKUP(B22,'Player Data'!A1:D734,3,FALSE)</f>
        <v>28</v>
      </c>
      <c r="H22" s="43">
        <f>_xlfn.IFERROR(VLOOKUP(B22,'ADP'!A1:G731,7,FALSE)/1000000,VLOOKUP(B22,'ADP'!A1:G731,7,FALSE))</f>
        <v>4</v>
      </c>
      <c r="I22" s="44">
        <f>IF('Settings'!$E$15="POINTS",(AJ22*'Settings'!$B$29)+(AK22*'Settings'!$B$21)+(AL22*'Settings'!$B$22)+(AN22*'Settings'!$B$24)+(AO22*'Settings'!$B$25)+(AP22*'Settings'!$B$27)+(AM22*'Settings'!$B$23),VLOOKUP(B22,'Standard Deviations'!A1:C731,3,FALSE))</f>
        <v>397.881843763391</v>
      </c>
      <c r="J22" s="45">
        <f>IF(D22="G",I22/AJ22,I22/Q22)</f>
        <v>6.63136406272318</v>
      </c>
      <c r="K22" s="44">
        <f>VLOOKUP(B22,'G'!A1:F75,6,FALSE)</f>
        <v>132.578622263703</v>
      </c>
      <c r="L22" s="44">
        <f>_xlfn.IFERROR(K22/H22,"N/A")</f>
        <v>33.1446555659258</v>
      </c>
      <c r="M22" s="46">
        <f>IF('Settings'!$E$9="YAHOO",VLOOKUP(B22,'ADP'!A1:E731,2,FALSE),IF('Settings'!$E$9="ESPN",VLOOKUP(B22,'ADP'!A1:E731,3,FALSE),IF('Settings'!$E$9="FANTRAX",VLOOKUP(B22,'ADP'!A1:E731,4,FALSE),VLOOKUP(B22,'ADP'!A1:E731,5,FALSE))))</f>
        <v>65.90000000000001</v>
      </c>
      <c r="N22" s="46">
        <f>_xlfn.IFERROR(M22-A22,"N/A")</f>
        <v>47.9</v>
      </c>
      <c r="O22" s="46"/>
      <c r="P22" t="s" s="47">
        <f>IF('Settings'!$E$27="ON",VLOOKUP(B22,'ADP'!A1:H731,8,FALSE)," ")</f>
        <v>109</v>
      </c>
      <c r="Q22" s="48"/>
      <c r="R22" s="59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9"/>
      <c r="AI22" s="46"/>
      <c r="AJ22" s="50">
        <f>VLOOKUP(B22,'Player Data'!$A1:$AE734,24,FALSE)</f>
        <v>60</v>
      </c>
      <c r="AK22" s="48">
        <f>VLOOKUP(B22,'Player Data'!$A1:$AE734,25,FALSE)*$AJ22*_xlfn.IFERROR((VLOOKUP(P22,'Settings'!$E$28:$F$33,2,FALSE)+1),1)</f>
        <v>31.4296027072039</v>
      </c>
      <c r="AL22" s="48">
        <f>AJ22-AK22-AM22</f>
        <v>21.0703972927961</v>
      </c>
      <c r="AM22" s="48">
        <f>VLOOKUP(B22,'Player Data'!$A1:$AE734,27,FALSE)*$AJ22</f>
        <v>7.5</v>
      </c>
      <c r="AN22" s="48">
        <f>VLOOKUP(B22,'Player Data'!$A1:$AE734,28,FALSE)*AJ22</f>
        <v>5.04022855258078</v>
      </c>
      <c r="AO22" s="48">
        <f>VLOOKUP(B22,'Player Data'!$A1:$AE734,29,FALSE)*$AJ22*_xlfn.IFERROR((VLOOKUP(P22,'Settings'!$E$28:$F$33,2,FALSE)/4)+1,1)</f>
        <v>1695.0673957203</v>
      </c>
      <c r="AP22" s="48">
        <f>VLOOKUP(B22,'Player Data'!$A1:$AE734,31,FALSE)*$AJ22*(_xlfn.IFERROR(1-(VLOOKUP(P22,'Settings'!$E$28:$F$33,2,FALSE)/4),1))</f>
        <v>146.698579154702</v>
      </c>
      <c r="AQ22" s="51">
        <f>1-(AP22/(AO22+AP22))</f>
        <v>0.920348957926287</v>
      </c>
      <c r="AR22" s="52">
        <f>AP22/AJ22</f>
        <v>2.44497631924503</v>
      </c>
      <c r="AS22" s="46"/>
    </row>
    <row r="23" ht="21.25" customHeight="1">
      <c r="A23" s="53">
        <f>RANK(K23,K2:K730)</f>
        <v>50</v>
      </c>
      <c r="B23" t="s" s="8">
        <v>150</v>
      </c>
      <c r="C23" t="s" s="39">
        <v>106</v>
      </c>
      <c r="D23" t="s" s="40">
        <f>VLOOKUP(B23,'Player Data'!A1:D734,4,FALSE)</f>
        <v>129</v>
      </c>
      <c r="E23" s="56">
        <f>VLOOKUP(B23,'D'!A1:C228,3,FALSE)</f>
        <v>9</v>
      </c>
      <c r="F23" t="s" s="42">
        <f>VLOOKUP(B23,'Player Data'!A1:B734,2,FALSE)</f>
        <v>151</v>
      </c>
      <c r="G23" s="9">
        <f>VLOOKUP(B23,'Player Data'!A1:D734,3,FALSE)</f>
        <v>25</v>
      </c>
      <c r="H23" s="43">
        <f>_xlfn.IFERROR(VLOOKUP(B23,'ADP'!A1:G731,7,FALSE)/1000000,VLOOKUP(B23,'ADP'!A1:G731,7,FALSE))</f>
        <v>9.5</v>
      </c>
      <c r="I23" s="44">
        <f>IF('Settings'!$E$15="POINTS",((R23*Q23)*'Settings'!$B$12)+(S23*'Settings'!$B$2)+(T23*'Settings'!$B$3)+(U23*'Settings'!$B$4)+(V23*'Settings'!$B$5)+(X23*'Settings'!$B$9)+(AA23*'Settings'!$B$6)+(W23*'Settings'!$B$8)+(AB23*'Settings'!$B$7)+(AC23*'Settings'!$B$14)+(AD23*'Settings'!$B$15)+(AE23*'Settings'!$B$16)+(AF23*'Settings'!$B$17)+(AG23*'Settings'!$B$18)+(U23*'Settings'!$B$13)+(Y23*'Settings'!$B$10)+(Z23*'Settings'!$B$11),VLOOKUP(B23,'Standard Deviations'!A1:C731,3,FALSE))</f>
        <v>399.242367824594</v>
      </c>
      <c r="J23" s="45">
        <f>IF(D23="G",I23/AJ23,I23/Q23)</f>
        <v>4.90870326744739</v>
      </c>
      <c r="K23" s="44">
        <f>VLOOKUP(B23,'D'!A1:F228,6,FALSE)</f>
        <v>58.507229178071</v>
      </c>
      <c r="L23" s="44">
        <f>_xlfn.IFERROR(K23/H23,"N/A")</f>
        <v>6.15865570295484</v>
      </c>
      <c r="M23" s="46">
        <f>IF('Settings'!$E$9="YAHOO",VLOOKUP(B23,'ADP'!A1:E731,2,FALSE),IF('Settings'!$E$9="ESPN",VLOOKUP(B23,'ADP'!A1:E731,3,FALSE),IF('Settings'!$E$9="FANTRAX",VLOOKUP(B23,'ADP'!A1:E731,4,FALSE),VLOOKUP(B23,'ADP'!A1:E731,5,FALSE))))</f>
        <v>41.61</v>
      </c>
      <c r="N23" s="46">
        <f>_xlfn.IFERROR(M23-A23,"N/A")</f>
        <v>-8.390000000000001</v>
      </c>
      <c r="O23" s="46"/>
      <c r="P23" t="s" s="47">
        <f>IF('Settings'!$E$27="ON",VLOOKUP(B23,'ADP'!A1:H731,8,FALSE)," ")</f>
        <v>109</v>
      </c>
      <c r="Q23" s="48">
        <f>IF('Settings'!$E$12="YES",VLOOKUP(B23,'Player Data'!A1:E734,5,FALSE),82)</f>
        <v>81.3335714285714</v>
      </c>
      <c r="R23" s="46">
        <f>VLOOKUP(B23,'Player Data'!$A1:$AE734,6,FALSE)</f>
        <v>24.4628458803354</v>
      </c>
      <c r="S23" s="48">
        <f>VLOOKUP(B23,'Player Data'!$A1:$AE734,7,FALSE)*$Q23*_xlfn.IFERROR((VLOOKUP(P23,'Settings'!$E$28:$F$33,2,FALSE)+1),1)</f>
        <v>11.0805579333765</v>
      </c>
      <c r="T23" s="48">
        <f>VLOOKUP(B23,'Player Data'!$A1:$AE734,8,FALSE)*$Q23*_xlfn.IFERROR((VLOOKUP(P23,'Settings'!$E$28:$F$33,2,FALSE)+1),1)</f>
        <v>62.7603378799333</v>
      </c>
      <c r="U23" s="48">
        <f>SUM(S23:T23)</f>
        <v>73.8408958133098</v>
      </c>
      <c r="V23" s="48">
        <f>VLOOKUP(B23,'Player Data'!$A1:$AE734,10,FALSE)*$Q23*_xlfn.IFERROR(((VLOOKUP(P23,'Settings'!$E$28:$F$33,2,FALSE)/2)+1),1)</f>
        <v>163.566518907151</v>
      </c>
      <c r="W23" s="48">
        <f>VLOOKUP(B23,'Player Data'!$A1:$AE734,11,FALSE)*$Q23*_xlfn.IFERROR((VLOOKUP(P23,'Settings'!$E$28:$F$33,2,FALSE)+1),1)</f>
        <v>1.26940063994866</v>
      </c>
      <c r="X23" s="48">
        <f>VLOOKUP(B23,'Player Data'!$A1:$AE734,12,FALSE)*$Q23*_xlfn.IFERROR((VLOOKUP(P23,'Settings'!$E$28:$F$33,2,FALSE)+1),1)</f>
        <v>31.8316819726666</v>
      </c>
      <c r="Y23" s="48">
        <f>VLOOKUP(B23,'Player Data'!$A1:$AE734,13,FALSE)*$Q23</f>
        <v>0.456061831043788</v>
      </c>
      <c r="Z23" s="48">
        <f>VLOOKUP(B23,'Player Data'!$A1:$AE734,14,FALSE)*$Q23</f>
        <v>2.40016653020758</v>
      </c>
      <c r="AA23" s="48">
        <f>VLOOKUP(B23,'Player Data'!$A1:$AE734,15,FALSE)*$Q23</f>
        <v>129.242229220044</v>
      </c>
      <c r="AB23" s="48">
        <f>VLOOKUP(B23,'Player Data'!$A1:$AE734,16,FALSE)*$Q23</f>
        <v>39.5765454423471</v>
      </c>
      <c r="AC23" s="48">
        <f>VLOOKUP(B23,'Player Data'!$A1:$AE734,17,FALSE)*$Q23*_xlfn.IFERROR((VLOOKUP(P23,'Settings'!$E$28:$F$33,2,FALSE)+1),1)</f>
        <v>7.91738619339918</v>
      </c>
      <c r="AD23" s="48">
        <f>VLOOKUP(B23,'Player Data'!$A1:$AE734,18,FALSE)*$Q23</f>
        <v>31.7869591807142</v>
      </c>
      <c r="AE23" s="48">
        <f>VLOOKUP(B23,'Player Data'!$A1:$AE734,19,FALSE)*$Q23*_xlfn.IFERROR((VLOOKUP(P23,'Settings'!$E$28:$F$33,2,FALSE)+1),1)</f>
        <v>1.88810638030745</v>
      </c>
      <c r="AF23" s="48">
        <f>VLOOKUP(B23,'Player Data'!$A1:$AE734,20,FALSE)*$Q23</f>
        <v>0</v>
      </c>
      <c r="AG23" s="48">
        <f>VLOOKUP(B23,'Player Data'!$A1:$AE734,21,FALSE)*$Q23</f>
        <v>0.153875161769148</v>
      </c>
      <c r="AH23" s="49">
        <f>VLOOKUP(B23,'Player Data'!$A1:$AE734,22,FALSE)</f>
        <v>0</v>
      </c>
      <c r="AI23" s="46"/>
      <c r="AJ23" s="50"/>
      <c r="AK23" s="48"/>
      <c r="AL23" s="48"/>
      <c r="AM23" s="48"/>
      <c r="AN23" s="48"/>
      <c r="AO23" s="48"/>
      <c r="AP23" s="48"/>
      <c r="AQ23" s="51"/>
      <c r="AR23" s="52"/>
      <c r="AS23" s="46"/>
    </row>
    <row r="24" ht="21.25" customHeight="1">
      <c r="A24" s="53">
        <f>RANK(K24,K2:K730)</f>
        <v>53</v>
      </c>
      <c r="B24" t="s" s="8">
        <v>152</v>
      </c>
      <c r="C24" t="s" s="39">
        <v>106</v>
      </c>
      <c r="D24" t="s" s="40">
        <f>VLOOKUP(B24,'Player Data'!A1:D734,4,FALSE)</f>
        <v>129</v>
      </c>
      <c r="E24" s="56">
        <f>VLOOKUP(B24,'D'!A1:C228,3,FALSE)</f>
        <v>10</v>
      </c>
      <c r="F24" t="s" s="42">
        <f>VLOOKUP(B24,'Player Data'!A1:B734,2,FALSE)</f>
        <v>136</v>
      </c>
      <c r="G24" s="9">
        <f>VLOOKUP(B24,'Player Data'!A1:D734,3,FALSE)</f>
        <v>24</v>
      </c>
      <c r="H24" s="43">
        <f>_xlfn.IFERROR(VLOOKUP(B24,'ADP'!A1:G731,7,FALSE)/1000000,VLOOKUP(B24,'ADP'!A1:G731,7,FALSE))</f>
        <v>8.449999999999999</v>
      </c>
      <c r="I24" s="44">
        <f>IF('Settings'!$E$15="POINTS",((R24*Q24)*'Settings'!$B$12)+(S24*'Settings'!$B$2)+(T24*'Settings'!$B$3)+(U24*'Settings'!$B$4)+(V24*'Settings'!$B$5)+(X24*'Settings'!$B$9)+(AA24*'Settings'!$B$6)+(W24*'Settings'!$B$8)+(AB24*'Settings'!$B$7)+(AC24*'Settings'!$B$14)+(AD24*'Settings'!$B$15)+(AE24*'Settings'!$B$16)+(AF24*'Settings'!$B$17)+(AG24*'Settings'!$B$18)+(U24*'Settings'!$B$13)+(Y24*'Settings'!$B$10)+(Z24*'Settings'!$B$11),VLOOKUP(B24,'Standard Deviations'!A1:C731,3,FALSE))</f>
        <v>396.144943304509</v>
      </c>
      <c r="J24" s="45">
        <f>IF(D24="G",I24/AJ24,I24/Q24)</f>
        <v>4.97038416427735</v>
      </c>
      <c r="K24" s="44">
        <f>VLOOKUP(B24,'D'!A1:F228,6,FALSE)</f>
        <v>55.409804657986</v>
      </c>
      <c r="L24" s="44">
        <f>_xlfn.IFERROR(K24/H24,"N/A")</f>
        <v>6.55737333230604</v>
      </c>
      <c r="M24" s="46">
        <f>IF('Settings'!$E$9="YAHOO",VLOOKUP(B24,'ADP'!A1:E731,2,FALSE),IF('Settings'!$E$9="ESPN",VLOOKUP(B24,'ADP'!A1:E731,3,FALSE),IF('Settings'!$E$9="FANTRAX",VLOOKUP(B24,'ADP'!A1:E731,4,FALSE),VLOOKUP(B24,'ADP'!A1:E731,5,FALSE))))</f>
        <v>37.32</v>
      </c>
      <c r="N24" s="46">
        <f>_xlfn.IFERROR(M24-A24,"N/A")</f>
        <v>-15.68</v>
      </c>
      <c r="O24" s="46"/>
      <c r="P24" t="s" s="47">
        <f>IF('Settings'!$E$27="ON",VLOOKUP(B24,'ADP'!A1:H731,8,FALSE)," ")</f>
        <v>142</v>
      </c>
      <c r="Q24" s="48">
        <f>IF('Settings'!$E$12="YES",VLOOKUP(B24,'Player Data'!A1:E734,5,FALSE),82)</f>
        <v>79.7010714285714</v>
      </c>
      <c r="R24" s="46">
        <f>VLOOKUP(B24,'Player Data'!$A1:$AE734,6,FALSE)</f>
        <v>25.6022257069601</v>
      </c>
      <c r="S24" s="48">
        <f>VLOOKUP(B24,'Player Data'!$A1:$AE734,7,FALSE)*$Q24*_xlfn.IFERROR((VLOOKUP(P24,'Settings'!$E$28:$F$33,2,FALSE)+1),1)</f>
        <v>11.4809850685041</v>
      </c>
      <c r="T24" s="48">
        <f>VLOOKUP(B24,'Player Data'!$A1:$AE734,8,FALSE)*$Q24*_xlfn.IFERROR((VLOOKUP(P24,'Settings'!$E$28:$F$33,2,FALSE)+1),1)</f>
        <v>56.971585919767</v>
      </c>
      <c r="U24" s="48">
        <f>SUM(S24:T24)</f>
        <v>68.45257098827111</v>
      </c>
      <c r="V24" s="48">
        <f>VLOOKUP(B24,'Player Data'!$A1:$AE734,10,FALSE)*$Q24*_xlfn.IFERROR(((VLOOKUP(P24,'Settings'!$E$28:$F$33,2,FALSE)/2)+1),1)</f>
        <v>208.722847791908</v>
      </c>
      <c r="W24" s="48">
        <f>VLOOKUP(B24,'Player Data'!$A1:$AE734,11,FALSE)*$Q24*_xlfn.IFERROR((VLOOKUP(P24,'Settings'!$E$28:$F$33,2,FALSE)+1),1)</f>
        <v>3.71751476354661</v>
      </c>
      <c r="X24" s="48">
        <f>VLOOKUP(B24,'Player Data'!$A1:$AE734,12,FALSE)*$Q24*_xlfn.IFERROR((VLOOKUP(P24,'Settings'!$E$28:$F$33,2,FALSE)+1),1)</f>
        <v>30.7484046802471</v>
      </c>
      <c r="Y24" s="48">
        <f>VLOOKUP(B24,'Player Data'!$A1:$AE734,13,FALSE)*$Q24</f>
        <v>0.0318442535131397</v>
      </c>
      <c r="Z24" s="48">
        <f>VLOOKUP(B24,'Player Data'!$A1:$AE734,14,FALSE)*$Q24</f>
        <v>0.603209711435016</v>
      </c>
      <c r="AA24" s="48">
        <f>VLOOKUP(B24,'Player Data'!$A1:$AE734,15,FALSE)*$Q24</f>
        <v>104.554304672877</v>
      </c>
      <c r="AB24" s="48">
        <f>VLOOKUP(B24,'Player Data'!$A1:$AE734,16,FALSE)*$Q24</f>
        <v>62.8830283267072</v>
      </c>
      <c r="AC24" s="48">
        <f>VLOOKUP(B24,'Player Data'!$A1:$AE734,17,FALSE)*$Q24*_xlfn.IFERROR((VLOOKUP(P24,'Settings'!$E$28:$F$33,2,FALSE)+1),1)</f>
        <v>7.81656957485516</v>
      </c>
      <c r="AD24" s="48">
        <f>VLOOKUP(B24,'Player Data'!$A1:$AE734,18,FALSE)*$Q24</f>
        <v>31.0251430647437</v>
      </c>
      <c r="AE24" s="48">
        <f>VLOOKUP(B24,'Player Data'!$A1:$AE734,19,FALSE)*$Q24*_xlfn.IFERROR((VLOOKUP(P24,'Settings'!$E$28:$F$33,2,FALSE)+1),1)</f>
        <v>1.83687622163227</v>
      </c>
      <c r="AF24" s="48">
        <f>VLOOKUP(B24,'Player Data'!$A1:$AE734,20,FALSE)*$Q24</f>
        <v>0</v>
      </c>
      <c r="AG24" s="48">
        <f>VLOOKUP(B24,'Player Data'!$A1:$AE734,21,FALSE)*$Q24</f>
        <v>0</v>
      </c>
      <c r="AH24" s="49">
        <f>VLOOKUP(B24,'Player Data'!$A1:$AE734,22,FALSE)</f>
        <v>0</v>
      </c>
      <c r="AI24" s="46"/>
      <c r="AJ24" s="50"/>
      <c r="AK24" s="48"/>
      <c r="AL24" s="48"/>
      <c r="AM24" s="48"/>
      <c r="AN24" s="48"/>
      <c r="AO24" s="48"/>
      <c r="AP24" s="48"/>
      <c r="AQ24" s="51"/>
      <c r="AR24" s="52"/>
      <c r="AS24" s="46"/>
    </row>
    <row r="25" ht="21.25" customHeight="1">
      <c r="A25" s="53">
        <f>RANK(K25,K2:K730)</f>
        <v>17</v>
      </c>
      <c r="B25" t="s" s="8">
        <v>153</v>
      </c>
      <c r="C25" t="s" s="39">
        <v>106</v>
      </c>
      <c r="D25" t="s" s="40">
        <f>VLOOKUP(B25,'Player Data'!A1:D734,4,FALSE)</f>
        <v>146</v>
      </c>
      <c r="E25" s="58">
        <f>VLOOKUP(B25,'G'!A1:D75,3,FALSE)</f>
        <v>3</v>
      </c>
      <c r="F25" t="s" s="42">
        <f>VLOOKUP(B25,'Player Data'!A1:B734,2,FALSE)</f>
        <v>151</v>
      </c>
      <c r="G25" s="9">
        <f>VLOOKUP(B25,'Player Data'!A1:D734,3,FALSE)</f>
        <v>27</v>
      </c>
      <c r="H25" s="43">
        <f>_xlfn.IFERROR(VLOOKUP(B25,'ADP'!A1:G731,7,FALSE)/1000000,VLOOKUP(B25,'ADP'!A1:G731,7,FALSE))</f>
        <v>5.666667</v>
      </c>
      <c r="I25" s="44">
        <f>IF('Settings'!$E$15="POINTS",(AJ25*'Settings'!$B$29)+(AK25*'Settings'!$B$21)+(AL25*'Settings'!$B$22)+(AN25*'Settings'!$B$24)+(AO25*'Settings'!$B$25)+(AP25*'Settings'!$B$27)+(AM25*'Settings'!$B$23),VLOOKUP(B25,'Standard Deviations'!A1:C731,3,FALSE))</f>
        <v>397.945822615878</v>
      </c>
      <c r="J25" s="45">
        <f>IF(D25="G",I25/AJ25,I25/Q25)</f>
        <v>7.10617540385496</v>
      </c>
      <c r="K25" s="44">
        <f>VLOOKUP(B25,'G'!A1:F75,6,FALSE)</f>
        <v>132.642601116190</v>
      </c>
      <c r="L25" s="44">
        <f>_xlfn.IFERROR(K25/H25,"N/A")</f>
        <v>23.4075164671208</v>
      </c>
      <c r="M25" s="46">
        <f>IF('Settings'!$E$9="YAHOO",VLOOKUP(B25,'ADP'!A1:E731,2,FALSE),IF('Settings'!$E$9="ESPN",VLOOKUP(B25,'ADP'!A1:E731,3,FALSE),IF('Settings'!$E$9="FANTRAX",VLOOKUP(B25,'ADP'!A1:E731,4,FALSE),VLOOKUP(B25,'ADP'!A1:E731,5,FALSE))))</f>
        <v>51.33</v>
      </c>
      <c r="N25" s="46">
        <f>_xlfn.IFERROR(M25-A25,"N/A")</f>
        <v>34.33</v>
      </c>
      <c r="O25" s="46"/>
      <c r="P25" t="s" s="47">
        <f>IF('Settings'!$E$27="ON",VLOOKUP(B25,'ADP'!A1:H731,8,FALSE)," ")</f>
        <v>116</v>
      </c>
      <c r="Q25" s="48"/>
      <c r="R25" s="59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9"/>
      <c r="AI25" s="46"/>
      <c r="AJ25" s="50">
        <f>VLOOKUP(B25,'Player Data'!$A1:$AE734,24,FALSE)</f>
        <v>56</v>
      </c>
      <c r="AK25" s="48">
        <f>VLOOKUP(B25,'Player Data'!$A1:$AE734,25,FALSE)*$AJ25*_xlfn.IFERROR((VLOOKUP(P25,'Settings'!$E$28:$F$33,2,FALSE)+1),1)</f>
        <v>36.1772375542535</v>
      </c>
      <c r="AL25" s="48">
        <f>AJ25-AK25-AM25</f>
        <v>12.8227624457465</v>
      </c>
      <c r="AM25" s="48">
        <f>VLOOKUP(B25,'Player Data'!$A1:$AE734,27,FALSE)*$AJ25</f>
        <v>7</v>
      </c>
      <c r="AN25" s="48">
        <f>VLOOKUP(B25,'Player Data'!$A1:$AE734,28,FALSE)*AJ25</f>
        <v>4.66184039453188</v>
      </c>
      <c r="AO25" s="48">
        <f>VLOOKUP(B25,'Player Data'!$A1:$AE734,29,FALSE)*$AJ25*_xlfn.IFERROR((VLOOKUP(P25,'Settings'!$E$28:$F$33,2,FALSE)/4)+1,1)</f>
        <v>1596.869681395770</v>
      </c>
      <c r="AP25" s="48">
        <f>VLOOKUP(B25,'Player Data'!$A1:$AE734,31,FALSE)*$AJ25*(_xlfn.IFERROR(1-(VLOOKUP(P25,'Settings'!$E$28:$F$33,2,FALSE)/4),1))</f>
        <v>135.754877099473</v>
      </c>
      <c r="AQ25" s="51">
        <f>1-(AP25/(AO25+AP25))</f>
        <v>0.9216478397273939</v>
      </c>
      <c r="AR25" s="52">
        <f>AP25/AJ25</f>
        <v>2.42419423391916</v>
      </c>
      <c r="AS25" s="46"/>
    </row>
    <row r="26" ht="21.25" customHeight="1">
      <c r="A26" s="53">
        <f>RANK(K26,K2:K730)</f>
        <v>13</v>
      </c>
      <c r="B26" t="s" s="8">
        <v>154</v>
      </c>
      <c r="C26" t="s" s="39">
        <v>106</v>
      </c>
      <c r="D26" t="s" s="40">
        <f>VLOOKUP(B26,'Player Data'!A1:D734,4,FALSE)</f>
        <v>146</v>
      </c>
      <c r="E26" s="58">
        <f>VLOOKUP(B26,'G'!A1:D75,3,FALSE)</f>
        <v>2</v>
      </c>
      <c r="F26" t="s" s="42">
        <f>VLOOKUP(B26,'Player Data'!A1:B734,2,FALSE)</f>
        <v>136</v>
      </c>
      <c r="G26" s="9">
        <f>VLOOKUP(B26,'Player Data'!A1:D734,3,FALSE)</f>
        <v>24</v>
      </c>
      <c r="H26" s="43">
        <f>_xlfn.IFERROR(VLOOKUP(B26,'ADP'!A1:G731,7,FALSE)/1000000,VLOOKUP(B26,'ADP'!A1:G731,7,FALSE))</f>
        <v>4</v>
      </c>
      <c r="I26" s="44">
        <f>IF('Settings'!$E$15="POINTS",(AJ26*'Settings'!$B$29)+(AK26*'Settings'!$B$21)+(AL26*'Settings'!$B$22)+(AN26*'Settings'!$B$24)+(AO26*'Settings'!$B$25)+(AP26*'Settings'!$B$27)+(AM26*'Settings'!$B$23),VLOOKUP(B26,'Standard Deviations'!A1:C731,3,FALSE))</f>
        <v>402.691033215601</v>
      </c>
      <c r="J26" s="45">
        <f>IF(D26="G",I26/AJ26,I26/Q26)</f>
        <v>6.49501666476776</v>
      </c>
      <c r="K26" s="44">
        <f>VLOOKUP(B26,'G'!A1:F75,6,FALSE)</f>
        <v>137.387811715913</v>
      </c>
      <c r="L26" s="44">
        <f>_xlfn.IFERROR(K26/H26,"N/A")</f>
        <v>34.3469529289783</v>
      </c>
      <c r="M26" s="46">
        <f>IF('Settings'!$E$9="YAHOO",VLOOKUP(B26,'ADP'!A1:E731,2,FALSE),IF('Settings'!$E$9="ESPN",VLOOKUP(B26,'ADP'!A1:E731,3,FALSE),IF('Settings'!$E$9="FANTRAX",VLOOKUP(B26,'ADP'!A1:E731,4,FALSE),VLOOKUP(B26,'ADP'!A1:E731,5,FALSE))))</f>
        <v>63.12</v>
      </c>
      <c r="N26" s="46">
        <f>_xlfn.IFERROR(M26-A26,"N/A")</f>
        <v>50.12</v>
      </c>
      <c r="O26" s="46"/>
      <c r="P26" t="s" s="47">
        <f>IF('Settings'!$E$27="ON",VLOOKUP(B26,'ADP'!A1:H731,8,FALSE)," ")</f>
        <v>109</v>
      </c>
      <c r="Q26" s="48"/>
      <c r="R26" s="59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9"/>
      <c r="AI26" s="46"/>
      <c r="AJ26" s="50">
        <f>VLOOKUP(B26,'Player Data'!$A1:$AE734,24,FALSE)</f>
        <v>62</v>
      </c>
      <c r="AK26" s="48">
        <f>VLOOKUP(B26,'Player Data'!$A1:$AE734,25,FALSE)*$AJ26*_xlfn.IFERROR((VLOOKUP(P26,'Settings'!$E$28:$F$33,2,FALSE)+1),1)</f>
        <v>37.1379474129946</v>
      </c>
      <c r="AL26" s="48">
        <f>AJ26-AK26-AM26</f>
        <v>17.1120525870054</v>
      </c>
      <c r="AM26" s="48">
        <f>VLOOKUP(B26,'Player Data'!$A1:$AE734,27,FALSE)*$AJ26</f>
        <v>7.75</v>
      </c>
      <c r="AN26" s="48">
        <f>VLOOKUP(B26,'Player Data'!$A1:$AE734,28,FALSE)*AJ26</f>
        <v>5.25414480600536</v>
      </c>
      <c r="AO26" s="48">
        <f>VLOOKUP(B26,'Player Data'!$A1:$AE734,29,FALSE)*$AJ26*_xlfn.IFERROR((VLOOKUP(P26,'Settings'!$E$28:$F$33,2,FALSE)/4)+1,1)</f>
        <v>1673.320689008250</v>
      </c>
      <c r="AP26" s="48">
        <f>VLOOKUP(B26,'Player Data'!$A1:$AE734,31,FALSE)*$AJ26*(_xlfn.IFERROR(1-(VLOOKUP(P26,'Settings'!$E$28:$F$33,2,FALSE)/4),1))</f>
        <v>150.987633429249</v>
      </c>
      <c r="AQ26" s="51">
        <f>1-(AP26/(AO26+AP26))</f>
        <v>0.917235682383167</v>
      </c>
      <c r="AR26" s="52">
        <f>AP26/AJ26</f>
        <v>2.43528441014918</v>
      </c>
      <c r="AS26" s="46"/>
    </row>
    <row r="27" ht="21.25" customHeight="1">
      <c r="A27" s="53">
        <f>RANK(K27,K2:K730)</f>
        <v>84</v>
      </c>
      <c r="B27" t="s" s="8">
        <v>155</v>
      </c>
      <c r="C27" t="s" s="39">
        <v>106</v>
      </c>
      <c r="D27" t="s" s="40">
        <f>VLOOKUP(B27,'Player Data'!A1:D734,4,FALSE)</f>
        <v>129</v>
      </c>
      <c r="E27" s="56">
        <f>VLOOKUP(B27,'D'!A1:C228,3,FALSE)</f>
        <v>13</v>
      </c>
      <c r="F27" t="s" s="42">
        <f>VLOOKUP(B27,'Player Data'!A1:B734,2,FALSE)</f>
        <v>156</v>
      </c>
      <c r="G27" s="9">
        <f>VLOOKUP(B27,'Player Data'!A1:D734,3,FALSE)</f>
        <v>23</v>
      </c>
      <c r="H27" s="43">
        <f>_xlfn.IFERROR(VLOOKUP(B27,'ADP'!A1:G731,7,FALSE)/1000000,VLOOKUP(B27,'ADP'!A1:G731,7,FALSE))</f>
        <v>7.85</v>
      </c>
      <c r="I27" s="44">
        <f>IF('Settings'!$E$15="POINTS",((R27*Q27)*'Settings'!$B$12)+(S27*'Settings'!$B$2)+(T27*'Settings'!$B$3)+(U27*'Settings'!$B$4)+(V27*'Settings'!$B$5)+(X27*'Settings'!$B$9)+(AA27*'Settings'!$B$6)+(W27*'Settings'!$B$8)+(AB27*'Settings'!$B$7)+(AC27*'Settings'!$B$14)+(AD27*'Settings'!$B$15)+(AE27*'Settings'!$B$16)+(AF27*'Settings'!$B$17)+(AG27*'Settings'!$B$18)+(U27*'Settings'!$B$13)+(Y27*'Settings'!$B$10)+(Z27*'Settings'!$B$11),VLOOKUP(B27,'Standard Deviations'!A1:C731,3,FALSE))</f>
        <v>366.7993777181</v>
      </c>
      <c r="J27" s="45">
        <f>IF(D27="G",I27/AJ27,I27/Q27)</f>
        <v>4.55679703979253</v>
      </c>
      <c r="K27" s="44">
        <f>VLOOKUP(B27,'D'!A1:F228,6,FALSE)</f>
        <v>26.064239071577</v>
      </c>
      <c r="L27" s="44">
        <f>_xlfn.IFERROR(K27/H27,"N/A")</f>
        <v>3.32028523204803</v>
      </c>
      <c r="M27" s="46">
        <f>IF('Settings'!$E$9="YAHOO",VLOOKUP(B27,'ADP'!A1:E731,2,FALSE),IF('Settings'!$E$9="ESPN",VLOOKUP(B27,'ADP'!A1:E731,3,FALSE),IF('Settings'!$E$9="FANTRAX",VLOOKUP(B27,'ADP'!A1:E731,4,FALSE),VLOOKUP(B27,'ADP'!A1:E731,5,FALSE))))</f>
        <v>68.05</v>
      </c>
      <c r="N27" s="46">
        <f>_xlfn.IFERROR(M27-A27,"N/A")</f>
        <v>-15.95</v>
      </c>
      <c r="O27" s="46"/>
      <c r="P27" t="s" s="47">
        <f>IF('Settings'!$E$27="ON",VLOOKUP(B27,'ADP'!A1:H731,8,FALSE)," ")</f>
        <v>109</v>
      </c>
      <c r="Q27" s="48">
        <f>IF('Settings'!$E$12="YES",VLOOKUP(B27,'Player Data'!A1:E734,5,FALSE),82)</f>
        <v>80.495</v>
      </c>
      <c r="R27" s="46">
        <f>VLOOKUP(B27,'Player Data'!$A1:$AE734,6,FALSE)</f>
        <v>25.1793560281817</v>
      </c>
      <c r="S27" s="48">
        <f>VLOOKUP(B27,'Player Data'!$A1:$AE734,7,FALSE)*$Q27*_xlfn.IFERROR((VLOOKUP(P27,'Settings'!$E$28:$F$33,2,FALSE)+1),1)</f>
        <v>7.99601949945656</v>
      </c>
      <c r="T27" s="48">
        <f>VLOOKUP(B27,'Player Data'!$A1:$AE734,8,FALSE)*$Q27*_xlfn.IFERROR((VLOOKUP(P27,'Settings'!$E$28:$F$33,2,FALSE)+1),1)</f>
        <v>66.5809534765027</v>
      </c>
      <c r="U27" s="48">
        <f>SUM(S27:T27)</f>
        <v>74.57697297595929</v>
      </c>
      <c r="V27" s="48">
        <f>VLOOKUP(B27,'Player Data'!$A1:$AE734,10,FALSE)*$Q27*_xlfn.IFERROR(((VLOOKUP(P27,'Settings'!$E$28:$F$33,2,FALSE)/2)+1),1)</f>
        <v>160.901452361122</v>
      </c>
      <c r="W27" s="48">
        <f>VLOOKUP(B27,'Player Data'!$A1:$AE734,11,FALSE)*$Q27*_xlfn.IFERROR((VLOOKUP(P27,'Settings'!$E$28:$F$33,2,FALSE)+1),1)</f>
        <v>1.2912233297592</v>
      </c>
      <c r="X27" s="48">
        <f>VLOOKUP(B27,'Player Data'!$A1:$AE734,12,FALSE)*$Q27*_xlfn.IFERROR((VLOOKUP(P27,'Settings'!$E$28:$F$33,2,FALSE)+1),1)</f>
        <v>33.6379809797295</v>
      </c>
      <c r="Y27" s="48">
        <f>VLOOKUP(B27,'Player Data'!$A1:$AE734,13,FALSE)*$Q27</f>
        <v>0.0246081561287933</v>
      </c>
      <c r="Z27" s="48">
        <f>VLOOKUP(B27,'Player Data'!$A1:$AE734,14,FALSE)*$Q27</f>
        <v>0.65585900047454</v>
      </c>
      <c r="AA27" s="48">
        <f>VLOOKUP(B27,'Player Data'!$A1:$AE734,15,FALSE)*$Q27</f>
        <v>78.2350469099116</v>
      </c>
      <c r="AB27" s="48">
        <f>VLOOKUP(B27,'Player Data'!$A1:$AE734,16,FALSE)*$Q27</f>
        <v>40.7778476182851</v>
      </c>
      <c r="AC27" s="48">
        <f>VLOOKUP(B27,'Player Data'!$A1:$AE734,17,FALSE)*$Q27*_xlfn.IFERROR((VLOOKUP(P27,'Settings'!$E$28:$F$33,2,FALSE)+1),1)</f>
        <v>1.83673165596373</v>
      </c>
      <c r="AD27" s="48">
        <f>VLOOKUP(B27,'Player Data'!$A1:$AE734,18,FALSE)*$Q27</f>
        <v>35.0666673533635</v>
      </c>
      <c r="AE27" s="48">
        <f>VLOOKUP(B27,'Player Data'!$A1:$AE734,19,FALSE)*$Q27*_xlfn.IFERROR((VLOOKUP(P27,'Settings'!$E$28:$F$33,2,FALSE)+1),1)</f>
        <v>1.13191371337234</v>
      </c>
      <c r="AF27" s="48">
        <f>VLOOKUP(B27,'Player Data'!$A1:$AE734,20,FALSE)*$Q27</f>
        <v>0.351227881042711</v>
      </c>
      <c r="AG27" s="48">
        <f>VLOOKUP(B27,'Player Data'!$A1:$AE734,21,FALSE)*$Q27</f>
        <v>0.410910299949143</v>
      </c>
      <c r="AH27" s="49">
        <f>VLOOKUP(B27,'Player Data'!$A1:$AE734,22,FALSE)</f>
        <v>0.460845408093345</v>
      </c>
      <c r="AI27" s="46"/>
      <c r="AJ27" s="50"/>
      <c r="AK27" s="48"/>
      <c r="AL27" s="48"/>
      <c r="AM27" s="48"/>
      <c r="AN27" s="48"/>
      <c r="AO27" s="48"/>
      <c r="AP27" s="48"/>
      <c r="AQ27" s="51"/>
      <c r="AR27" s="52"/>
      <c r="AS27" s="50"/>
    </row>
    <row r="28" ht="21.25" customHeight="1">
      <c r="A28" s="53">
        <f>RANK(K28,K2:K730)</f>
        <v>44</v>
      </c>
      <c r="B28" t="s" s="8">
        <v>157</v>
      </c>
      <c r="C28" t="s" s="39">
        <v>106</v>
      </c>
      <c r="D28" t="s" s="40">
        <f>VLOOKUP(B28,'Player Data'!A1:D734,4,FALSE)</f>
        <v>129</v>
      </c>
      <c r="E28" s="56">
        <f>VLOOKUP(B28,'D'!A1:C228,3,FALSE)</f>
        <v>7</v>
      </c>
      <c r="F28" t="s" s="42">
        <f>VLOOKUP(B28,'Player Data'!A1:B734,2,FALSE)</f>
        <v>108</v>
      </c>
      <c r="G28" s="9">
        <f>VLOOKUP(B28,'Player Data'!A1:D734,3,FALSE)</f>
        <v>23</v>
      </c>
      <c r="H28" s="43">
        <f>_xlfn.IFERROR(VLOOKUP(B28,'ADP'!A1:G731,7,FALSE)/1000000,VLOOKUP(B28,'ADP'!A1:G731,7,FALSE))</f>
        <v>0</v>
      </c>
      <c r="I28" s="44">
        <f>IF('Settings'!$E$15="POINTS",((R28*Q28)*'Settings'!$B$12)+(S28*'Settings'!$B$2)+(T28*'Settings'!$B$3)+(U28*'Settings'!$B$4)+(V28*'Settings'!$B$5)+(X28*'Settings'!$B$9)+(AA28*'Settings'!$B$6)+(W28*'Settings'!$B$8)+(AB28*'Settings'!$B$7)+(AC28*'Settings'!$B$14)+(AD28*'Settings'!$B$15)+(AE28*'Settings'!$B$16)+(AF28*'Settings'!$B$17)+(AG28*'Settings'!$B$18)+(U28*'Settings'!$B$13)+(Y28*'Settings'!$B$10)+(Z28*'Settings'!$B$11),VLOOKUP(B28,'Standard Deviations'!A1:C731,3,FALSE))</f>
        <v>409.983446005224</v>
      </c>
      <c r="J28" s="45">
        <f>IF(D28="G",I28/AJ28,I28/Q28)</f>
        <v>5.01861793928725</v>
      </c>
      <c r="K28" s="44">
        <f>VLOOKUP(B28,'D'!A1:F228,6,FALSE)</f>
        <v>69.248307358701</v>
      </c>
      <c r="L28" t="s" s="60">
        <f>_xlfn.IFERROR(K28/H28,"N/A")</f>
        <v>158</v>
      </c>
      <c r="M28" s="46">
        <f>IF('Settings'!$E$9="YAHOO",VLOOKUP(B28,'ADP'!A1:E731,2,FALSE),IF('Settings'!$E$9="ESPN",VLOOKUP(B28,'ADP'!A1:E731,3,FALSE),IF('Settings'!$E$9="FANTRAX",VLOOKUP(B28,'ADP'!A1:E731,4,FALSE),VLOOKUP(B28,'ADP'!A1:E731,5,FALSE))))</f>
        <v>45.9</v>
      </c>
      <c r="N28" s="46">
        <f>_xlfn.IFERROR(M28-A28,"N/A")</f>
        <v>1.9</v>
      </c>
      <c r="O28" s="46"/>
      <c r="P28" t="s" s="47">
        <f>IF('Settings'!$E$27="ON",VLOOKUP(B28,'ADP'!A1:H731,8,FALSE)," ")</f>
        <v>159</v>
      </c>
      <c r="Q28" s="48">
        <f>IF('Settings'!$E$12="YES",VLOOKUP(B28,'Player Data'!A1:E734,5,FALSE),82)</f>
        <v>81.6925</v>
      </c>
      <c r="R28" s="46">
        <f>VLOOKUP(B28,'Player Data'!$A1:$AE734,6,FALSE)</f>
        <v>21.5359583119643</v>
      </c>
      <c r="S28" s="48">
        <f>VLOOKUP(B28,'Player Data'!$A1:$AE734,7,FALSE)*$Q28*_xlfn.IFERROR((VLOOKUP(P28,'Settings'!$E$28:$F$33,2,FALSE)+1),1)</f>
        <v>14.9565609613578</v>
      </c>
      <c r="T28" s="48">
        <f>VLOOKUP(B28,'Player Data'!$A1:$AE734,8,FALSE)*$Q28*_xlfn.IFERROR((VLOOKUP(P28,'Settings'!$E$28:$F$33,2,FALSE)+1),1)</f>
        <v>50.0103068540804</v>
      </c>
      <c r="U28" s="48">
        <f>SUM(S28:T28)</f>
        <v>64.96686781543821</v>
      </c>
      <c r="V28" s="48">
        <f>VLOOKUP(B28,'Player Data'!$A1:$AE734,10,FALSE)*$Q28*_xlfn.IFERROR(((VLOOKUP(P28,'Settings'!$E$28:$F$33,2,FALSE)/2)+1),1)</f>
        <v>234.642793347684</v>
      </c>
      <c r="W28" s="48">
        <f>VLOOKUP(B28,'Player Data'!$A1:$AE734,11,FALSE)*$Q28*_xlfn.IFERROR((VLOOKUP(P28,'Settings'!$E$28:$F$33,2,FALSE)+1),1)</f>
        <v>5.09181237349114</v>
      </c>
      <c r="X28" s="48">
        <f>VLOOKUP(B28,'Player Data'!$A1:$AE734,12,FALSE)*$Q28*_xlfn.IFERROR((VLOOKUP(P28,'Settings'!$E$28:$F$33,2,FALSE)+1),1)</f>
        <v>25.5735399213259</v>
      </c>
      <c r="Y28" s="48">
        <f>VLOOKUP(B28,'Player Data'!$A1:$AE734,13,FALSE)*$Q28</f>
        <v>0.00744495053289891</v>
      </c>
      <c r="Z28" s="48">
        <f>VLOOKUP(B28,'Player Data'!$A1:$AE734,14,FALSE)*$Q28</f>
        <v>0.204284361106186</v>
      </c>
      <c r="AA28" s="48">
        <f>VLOOKUP(B28,'Player Data'!$A1:$AE734,15,FALSE)*$Q28</f>
        <v>99.04159462945501</v>
      </c>
      <c r="AB28" s="48">
        <f>VLOOKUP(B28,'Player Data'!$A1:$AE734,16,FALSE)*$Q28</f>
        <v>101.588953624364</v>
      </c>
      <c r="AC28" s="48">
        <f>VLOOKUP(B28,'Player Data'!$A1:$AE734,17,FALSE)*$Q28*_xlfn.IFERROR((VLOOKUP(P28,'Settings'!$E$28:$F$33,2,FALSE)+1),1)</f>
        <v>9.085932245242891</v>
      </c>
      <c r="AD28" s="48">
        <f>VLOOKUP(B28,'Player Data'!$A1:$AE734,18,FALSE)*$Q28</f>
        <v>33.2717024598768</v>
      </c>
      <c r="AE28" s="48">
        <f>VLOOKUP(B28,'Player Data'!$A1:$AE734,19,FALSE)*$Q28*_xlfn.IFERROR((VLOOKUP(P28,'Settings'!$E$28:$F$33,2,FALSE)+1),1)</f>
        <v>2.36746303218398</v>
      </c>
      <c r="AF28" s="48">
        <f>VLOOKUP(B28,'Player Data'!$A1:$AE734,20,FALSE)*$Q28</f>
        <v>0</v>
      </c>
      <c r="AG28" s="48">
        <f>VLOOKUP(B28,'Player Data'!$A1:$AE734,21,FALSE)*$Q28</f>
        <v>0</v>
      </c>
      <c r="AH28" s="49">
        <f>VLOOKUP(B28,'Player Data'!$A1:$AE734,22,FALSE)</f>
        <v>0</v>
      </c>
      <c r="AI28" s="46"/>
      <c r="AJ28" s="50"/>
      <c r="AK28" s="48"/>
      <c r="AL28" s="48"/>
      <c r="AM28" s="48"/>
      <c r="AN28" s="48"/>
      <c r="AO28" s="48"/>
      <c r="AP28" s="48"/>
      <c r="AQ28" s="51"/>
      <c r="AR28" s="52"/>
      <c r="AS28" s="46"/>
    </row>
    <row r="29" ht="21.25" customHeight="1">
      <c r="A29" s="53">
        <f>RANK(K29,K2:K730)</f>
        <v>28</v>
      </c>
      <c r="B29" t="s" s="8">
        <v>160</v>
      </c>
      <c r="C29" t="s" s="39">
        <v>106</v>
      </c>
      <c r="D29" t="s" s="40">
        <f>VLOOKUP(B29,'Player Data'!A1:D734,4,FALSE)</f>
        <v>107</v>
      </c>
      <c r="E29" s="41">
        <f>VLOOKUP(B29,'C'!A1:C218,3,FALSE)</f>
        <v>9</v>
      </c>
      <c r="F29" t="s" s="42">
        <f>VLOOKUP(B29,'Player Data'!A1:B734,2,FALSE)</f>
        <v>151</v>
      </c>
      <c r="G29" s="9">
        <f>VLOOKUP(B29,'Player Data'!A1:D734,3,FALSE)</f>
        <v>30</v>
      </c>
      <c r="H29" s="43">
        <f>_xlfn.IFERROR(VLOOKUP(B29,'ADP'!A1:G731,7,FALSE)/1000000,VLOOKUP(B29,'ADP'!A1:G731,7,FALSE))</f>
        <v>8.5</v>
      </c>
      <c r="I29" s="44">
        <f>IF('Settings'!$E$15="POINTS",((R29*Q29)*'Settings'!$B$12)+(S29*'Settings'!$B$2)+(T29*'Settings'!$B$3)+(U29*'Settings'!$B$4)+(V29*'Settings'!$B$5)+(X29*'Settings'!$B$9)+(AA29*'Settings'!$B$6)+(W29*'Settings'!$B$8)+(AB29*'Settings'!$B$7)+(AC29*'Settings'!$B$14)+(AD29*'Settings'!$B$15)+(AE29*'Settings'!$B$16)+(AF29*'Settings'!$B$17)+(AG29*'Settings'!$B$18)+(Y29*'Settings'!$B$10)+(Z29*'Settings'!$B$11),VLOOKUP(B29,'Standard Deviations'!A1:C731,3,FALSE))</f>
        <v>489.974481264590</v>
      </c>
      <c r="J29" s="45">
        <f>IF(D29="G",I29/AJ29,I29/Q29)</f>
        <v>5.98314230563959</v>
      </c>
      <c r="K29" s="44">
        <f>IF('Settings'!$E$18="C/LW/RW",VLOOKUP(B29,'C'!A1:F218,6,FALSE),VLOOKUP(B29,'F'!A1:F432,6,FALSE))</f>
        <v>94.200279628575</v>
      </c>
      <c r="L29" s="44">
        <f>_xlfn.IFERROR(K29/H29,"N/A")</f>
        <v>11.0823858386559</v>
      </c>
      <c r="M29" s="46">
        <f>IF('Settings'!$E$9="YAHOO",VLOOKUP(B29,'ADP'!A1:E731,2,FALSE),IF('Settings'!$E$9="ESPN",VLOOKUP(B29,'ADP'!A1:E731,3,FALSE),IF('Settings'!$E$9="FANTRAX",VLOOKUP(B29,'ADP'!A1:E731,4,FALSE),VLOOKUP(B29,'ADP'!A1:E731,5,FALSE))))</f>
        <v>26.47</v>
      </c>
      <c r="N29" s="46">
        <f>_xlfn.IFERROR(M29-A29,"N/A")</f>
        <v>-1.53</v>
      </c>
      <c r="O29" s="46"/>
      <c r="P29" t="s" s="47">
        <f>IF('Settings'!$E$27="ON",VLOOKUP(B29,'ADP'!A1:H731,8,FALSE)," ")</f>
        <v>109</v>
      </c>
      <c r="Q29" s="48">
        <f>IF('Settings'!$E$12="YES",VLOOKUP(B29,'Player Data'!A1:E734,5,FALSE),82)</f>
        <v>81.8925</v>
      </c>
      <c r="R29" s="46">
        <f>VLOOKUP(B29,'Player Data'!$A1:$AE734,6,FALSE)</f>
        <v>20.7219889246484</v>
      </c>
      <c r="S29" s="48">
        <f>VLOOKUP(B29,'Player Data'!$A1:$AE734,7,FALSE)*$Q29*_xlfn.IFERROR((VLOOKUP(P29,'Settings'!$E$28:$F$33,2,FALSE)+1),1)</f>
        <v>35.4338714950893</v>
      </c>
      <c r="T29" s="48">
        <f>VLOOKUP(B29,'Player Data'!$A1:$AE734,8,FALSE)*$Q29*_xlfn.IFERROR((VLOOKUP(P29,'Settings'!$E$28:$F$33,2,FALSE)+1),1)</f>
        <v>50.9353127869787</v>
      </c>
      <c r="U29" s="48">
        <f>SUM(S29:T29)</f>
        <v>86.36918428206801</v>
      </c>
      <c r="V29" s="48">
        <f>VLOOKUP(B29,'Player Data'!$A1:$AE734,10,FALSE)*$Q29*_xlfn.IFERROR(((VLOOKUP(P29,'Settings'!$E$28:$F$33,2,FALSE)/2)+1),1)</f>
        <v>254.310133814056</v>
      </c>
      <c r="W29" s="48">
        <f>VLOOKUP(B29,'Player Data'!$A1:$AE734,11,FALSE)*$Q29*_xlfn.IFERROR((VLOOKUP(P29,'Settings'!$E$28:$F$33,2,FALSE)+1),1)</f>
        <v>16.7211848972432</v>
      </c>
      <c r="X29" s="48">
        <f>VLOOKUP(B29,'Player Data'!$A1:$AE734,12,FALSE)*$Q29*_xlfn.IFERROR((VLOOKUP(P29,'Settings'!$E$28:$F$33,2,FALSE)+1),1)</f>
        <v>32.4713991909787</v>
      </c>
      <c r="Y29" s="48">
        <f>VLOOKUP(B29,'Player Data'!$A1:$AE734,13,FALSE)*$Q29</f>
        <v>1.09199309362867</v>
      </c>
      <c r="Z29" s="48">
        <f>VLOOKUP(B29,'Player Data'!$A1:$AE734,14,FALSE)*$Q29</f>
        <v>3.21936118142053</v>
      </c>
      <c r="AA29" s="48">
        <f>VLOOKUP(B29,'Player Data'!$A1:$AE734,15,FALSE)*$Q29</f>
        <v>50.4392935682842</v>
      </c>
      <c r="AB29" s="48">
        <f>VLOOKUP(B29,'Player Data'!$A1:$AE734,16,FALSE)*$Q29</f>
        <v>75.6107404869654</v>
      </c>
      <c r="AC29" s="48">
        <f>VLOOKUP(B29,'Player Data'!$A1:$AE734,17,FALSE)*$Q29*_xlfn.IFERROR((VLOOKUP(P29,'Settings'!$E$28:$F$33,2,FALSE)+1),1)</f>
        <v>5.96579978769566</v>
      </c>
      <c r="AD29" s="48">
        <f>VLOOKUP(B29,'Player Data'!$A1:$AE734,18,FALSE)*$Q29</f>
        <v>22.5809752173467</v>
      </c>
      <c r="AE29" s="48">
        <f>VLOOKUP(B29,'Player Data'!$A1:$AE734,19,FALSE)*$Q29*_xlfn.IFERROR((VLOOKUP(P29,'Settings'!$E$28:$F$33,2,FALSE)+1),1)</f>
        <v>6.03786553449167</v>
      </c>
      <c r="AF29" s="48">
        <f>VLOOKUP(B29,'Player Data'!$A1:$AE734,20,FALSE)*$Q29</f>
        <v>727.8197526041851</v>
      </c>
      <c r="AG29" s="48">
        <f>VLOOKUP(B29,'Player Data'!$A1:$AE734,21,FALSE)*$Q29</f>
        <v>729.399588362421</v>
      </c>
      <c r="AH29" s="49">
        <f>VLOOKUP(B29,'Player Data'!$A1:$AE734,22,FALSE)</f>
        <v>0.499457927947488</v>
      </c>
      <c r="AI29" s="46"/>
      <c r="AJ29" s="50"/>
      <c r="AK29" s="48"/>
      <c r="AL29" s="48"/>
      <c r="AM29" s="48"/>
      <c r="AN29" s="48"/>
      <c r="AO29" s="48"/>
      <c r="AP29" s="48"/>
      <c r="AQ29" s="51"/>
      <c r="AR29" s="52"/>
      <c r="AS29" s="46"/>
    </row>
    <row r="30" ht="21.25" customHeight="1">
      <c r="A30" s="53">
        <f>RANK(K30,K2:K730)</f>
        <v>34</v>
      </c>
      <c r="B30" t="s" s="8">
        <v>161</v>
      </c>
      <c r="C30" t="s" s="39">
        <v>106</v>
      </c>
      <c r="D30" t="s" s="40">
        <f>VLOOKUP(B30,'Player Data'!A1:D734,4,FALSE)</f>
        <v>107</v>
      </c>
      <c r="E30" s="41">
        <f>VLOOKUP(B30,'C'!A1:C218,3,FALSE)</f>
        <v>10</v>
      </c>
      <c r="F30" t="s" s="42">
        <f>VLOOKUP(B30,'Player Data'!A1:B734,2,FALSE)</f>
        <v>119</v>
      </c>
      <c r="G30" s="9">
        <f>VLOOKUP(B30,'Player Data'!A1:D734,3,FALSE)</f>
        <v>27</v>
      </c>
      <c r="H30" s="43">
        <f>_xlfn.IFERROR(VLOOKUP(B30,'ADP'!A1:G731,7,FALSE)/1000000,VLOOKUP(B30,'ADP'!A1:G731,7,FALSE))</f>
        <v>10</v>
      </c>
      <c r="I30" s="44">
        <f>IF('Settings'!$E$15="POINTS",((R30*Q30)*'Settings'!$B$12)+(S30*'Settings'!$B$2)+(T30*'Settings'!$B$3)+(U30*'Settings'!$B$4)+(V30*'Settings'!$B$5)+(X30*'Settings'!$B$9)+(AA30*'Settings'!$B$6)+(W30*'Settings'!$B$8)+(AB30*'Settings'!$B$7)+(AC30*'Settings'!$B$14)+(AD30*'Settings'!$B$15)+(AE30*'Settings'!$B$16)+(AF30*'Settings'!$B$17)+(AG30*'Settings'!$B$18)+(Y30*'Settings'!$B$10)+(Z30*'Settings'!$B$11),VLOOKUP(B30,'Standard Deviations'!A1:C731,3,FALSE))</f>
        <v>483.428323637468</v>
      </c>
      <c r="J30" s="45">
        <f>IF(D30="G",I30/AJ30,I30/Q30)</f>
        <v>6.3107510626782</v>
      </c>
      <c r="K30" s="44">
        <f>IF('Settings'!$E$18="C/LW/RW",VLOOKUP(B30,'C'!A1:F218,6,FALSE),VLOOKUP(B30,'F'!A1:F432,6,FALSE))</f>
        <v>87.654122001453</v>
      </c>
      <c r="L30" s="44">
        <f>_xlfn.IFERROR(K30/H30,"N/A")</f>
        <v>8.765412200145301</v>
      </c>
      <c r="M30" s="46">
        <f>IF('Settings'!$E$9="YAHOO",VLOOKUP(B30,'ADP'!A1:E731,2,FALSE),IF('Settings'!$E$9="ESPN",VLOOKUP(B30,'ADP'!A1:E731,3,FALSE),IF('Settings'!$E$9="FANTRAX",VLOOKUP(B30,'ADP'!A1:E731,4,FALSE),VLOOKUP(B30,'ADP'!A1:E731,5,FALSE))))</f>
        <v>28.81</v>
      </c>
      <c r="N30" s="46">
        <f>_xlfn.IFERROR(M30-A30,"N/A")</f>
        <v>-5.19</v>
      </c>
      <c r="O30" s="46"/>
      <c r="P30" t="s" s="47">
        <f>IF('Settings'!$E$27="ON",VLOOKUP(B30,'ADP'!A1:H731,8,FALSE)," ")</f>
        <v>109</v>
      </c>
      <c r="Q30" s="48">
        <f>IF('Settings'!$E$12="YES",VLOOKUP(B30,'Player Data'!A1:E734,5,FALSE),82)</f>
        <v>76.6039285714286</v>
      </c>
      <c r="R30" s="46">
        <f>VLOOKUP(B30,'Player Data'!$A1:$AE734,6,FALSE)</f>
        <v>20.7755621919006</v>
      </c>
      <c r="S30" s="48">
        <f>VLOOKUP(B30,'Player Data'!$A1:$AE734,7,FALSE)*$Q30*_xlfn.IFERROR((VLOOKUP(P30,'Settings'!$E$28:$F$33,2,FALSE)+1),1)</f>
        <v>33.1670313486037</v>
      </c>
      <c r="T30" s="48">
        <f>VLOOKUP(B30,'Player Data'!$A1:$AE734,8,FALSE)*$Q30*_xlfn.IFERROR((VLOOKUP(P30,'Settings'!$E$28:$F$33,2,FALSE)+1),1)</f>
        <v>56.0278940746153</v>
      </c>
      <c r="U30" s="48">
        <f>SUM(S30:T30)</f>
        <v>89.194925423219</v>
      </c>
      <c r="V30" s="48">
        <f>VLOOKUP(B30,'Player Data'!$A1:$AE734,10,FALSE)*$Q30*_xlfn.IFERROR(((VLOOKUP(P30,'Settings'!$E$28:$F$33,2,FALSE)/2)+1),1)</f>
        <v>238.746122315136</v>
      </c>
      <c r="W30" s="48">
        <f>VLOOKUP(B30,'Player Data'!$A1:$AE734,11,FALSE)*$Q30*_xlfn.IFERROR((VLOOKUP(P30,'Settings'!$E$28:$F$33,2,FALSE)+1),1)</f>
        <v>10.2333832472154</v>
      </c>
      <c r="X30" s="48">
        <f>VLOOKUP(B30,'Player Data'!$A1:$AE734,12,FALSE)*$Q30*_xlfn.IFERROR((VLOOKUP(P30,'Settings'!$E$28:$F$33,2,FALSE)+1),1)</f>
        <v>29.6592232568241</v>
      </c>
      <c r="Y30" s="48">
        <f>VLOOKUP(B30,'Player Data'!$A1:$AE734,13,FALSE)*$Q30</f>
        <v>2.06771035369866</v>
      </c>
      <c r="Z30" s="48">
        <f>VLOOKUP(B30,'Player Data'!$A1:$AE734,14,FALSE)*$Q30</f>
        <v>3.01865184051079</v>
      </c>
      <c r="AA30" s="48">
        <f>VLOOKUP(B30,'Player Data'!$A1:$AE734,15,FALSE)*$Q30</f>
        <v>51.2614707646972</v>
      </c>
      <c r="AB30" s="48">
        <f>VLOOKUP(B30,'Player Data'!$A1:$AE734,16,FALSE)*$Q30</f>
        <v>60.2076004958702</v>
      </c>
      <c r="AC30" s="48">
        <f>VLOOKUP(B30,'Player Data'!$A1:$AE734,17,FALSE)*$Q30*_xlfn.IFERROR((VLOOKUP(P30,'Settings'!$E$28:$F$33,2,FALSE)+1),1)</f>
        <v>5.7450517969952</v>
      </c>
      <c r="AD30" s="48">
        <f>VLOOKUP(B30,'Player Data'!$A1:$AE734,18,FALSE)*$Q30</f>
        <v>19.1442623317652</v>
      </c>
      <c r="AE30" s="48">
        <f>VLOOKUP(B30,'Player Data'!$A1:$AE734,19,FALSE)*$Q30*_xlfn.IFERROR((VLOOKUP(P30,'Settings'!$E$28:$F$33,2,FALSE)+1),1)</f>
        <v>4.75788630038392</v>
      </c>
      <c r="AF30" s="48">
        <f>VLOOKUP(B30,'Player Data'!$A1:$AE734,20,FALSE)*$Q30</f>
        <v>822.105883471142</v>
      </c>
      <c r="AG30" s="48">
        <f>VLOOKUP(B30,'Player Data'!$A1:$AE734,21,FALSE)*$Q30</f>
        <v>656.208993072389</v>
      </c>
      <c r="AH30" s="49">
        <f>VLOOKUP(B30,'Player Data'!$A1:$AE734,22,FALSE)</f>
        <v>0.556110133582176</v>
      </c>
      <c r="AI30" s="46"/>
      <c r="AJ30" s="50"/>
      <c r="AK30" s="48"/>
      <c r="AL30" s="48"/>
      <c r="AM30" s="48"/>
      <c r="AN30" s="48"/>
      <c r="AO30" s="48"/>
      <c r="AP30" s="48"/>
      <c r="AQ30" s="51"/>
      <c r="AR30" s="52"/>
      <c r="AS30" s="50"/>
    </row>
    <row r="31" ht="21.25" customHeight="1">
      <c r="A31" s="53">
        <f>RANK(K31,K2:K730)</f>
        <v>24</v>
      </c>
      <c r="B31" t="s" s="8">
        <v>162</v>
      </c>
      <c r="C31" t="s" s="39">
        <v>106</v>
      </c>
      <c r="D31" t="s" s="40">
        <f>VLOOKUP(B31,'Player Data'!A1:D734,4,FALSE)</f>
        <v>107</v>
      </c>
      <c r="E31" s="41">
        <f>VLOOKUP(B31,'C'!A1:C218,3,FALSE)</f>
        <v>7</v>
      </c>
      <c r="F31" t="s" s="42">
        <f>VLOOKUP(B31,'Player Data'!A1:B734,2,FALSE)</f>
        <v>156</v>
      </c>
      <c r="G31" s="9">
        <f>VLOOKUP(B31,'Player Data'!A1:D734,3,FALSE)</f>
        <v>24</v>
      </c>
      <c r="H31" s="43">
        <f>_xlfn.IFERROR(VLOOKUP(B31,'ADP'!A1:G731,7,FALSE)/1000000,VLOOKUP(B31,'ADP'!A1:G731,7,FALSE))</f>
        <v>7.35</v>
      </c>
      <c r="I31" s="44">
        <f>IF('Settings'!$E$15="POINTS",((R31*Q31)*'Settings'!$B$12)+(S31*'Settings'!$B$2)+(T31*'Settings'!$B$3)+(U31*'Settings'!$B$4)+(V31*'Settings'!$B$5)+(X31*'Settings'!$B$9)+(AA31*'Settings'!$B$6)+(W31*'Settings'!$B$8)+(AB31*'Settings'!$B$7)+(AC31*'Settings'!$B$14)+(AD31*'Settings'!$B$15)+(AE31*'Settings'!$B$16)+(AF31*'Settings'!$B$17)+(AG31*'Settings'!$B$18)+(Y31*'Settings'!$B$10)+(Z31*'Settings'!$B$11),VLOOKUP(B31,'Standard Deviations'!A1:C731,3,FALSE))</f>
        <v>506.445392367650</v>
      </c>
      <c r="J31" s="45">
        <f>IF(D31="G",I31/AJ31,I31/Q31)</f>
        <v>6.57660281341907</v>
      </c>
      <c r="K31" s="44">
        <f>IF('Settings'!$E$18="C/LW/RW",VLOOKUP(B31,'C'!A1:F218,6,FALSE),VLOOKUP(B31,'F'!A1:F432,6,FALSE))</f>
        <v>110.671190731635</v>
      </c>
      <c r="L31" s="44">
        <f>_xlfn.IFERROR(K31/H31,"N/A")</f>
        <v>15.0573048614469</v>
      </c>
      <c r="M31" s="46">
        <f>IF('Settings'!$E$9="YAHOO",VLOOKUP(B31,'ADP'!A1:E731,2,FALSE),IF('Settings'!$E$9="ESPN",VLOOKUP(B31,'ADP'!A1:E731,3,FALSE),IF('Settings'!$E$9="FANTRAX",VLOOKUP(B31,'ADP'!A1:E731,4,FALSE),VLOOKUP(B31,'ADP'!A1:E731,5,FALSE))))</f>
        <v>12.39</v>
      </c>
      <c r="N31" s="46">
        <f>_xlfn.IFERROR(M31-A31,"N/A")</f>
        <v>-11.61</v>
      </c>
      <c r="O31" s="46"/>
      <c r="P31" t="s" s="47">
        <f>IF('Settings'!$E$27="ON",VLOOKUP(B31,'ADP'!A1:H731,8,FALSE)," ")</f>
        <v>116</v>
      </c>
      <c r="Q31" s="48">
        <f>IF('Settings'!$E$12="YES",VLOOKUP(B31,'Player Data'!A1:E734,5,FALSE),82)</f>
        <v>77.0071428571429</v>
      </c>
      <c r="R31" s="46">
        <f>VLOOKUP(B31,'Player Data'!$A1:$AE734,6,FALSE)</f>
        <v>20.2319840625</v>
      </c>
      <c r="S31" s="48">
        <f>VLOOKUP(B31,'Player Data'!$A1:$AE734,7,FALSE)*$Q31*_xlfn.IFERROR((VLOOKUP(P31,'Settings'!$E$28:$F$33,2,FALSE)+1),1)</f>
        <v>37.697176062052</v>
      </c>
      <c r="T31" s="48">
        <f>VLOOKUP(B31,'Player Data'!$A1:$AE734,8,FALSE)*$Q31*_xlfn.IFERROR((VLOOKUP(P31,'Settings'!$E$28:$F$33,2,FALSE)+1),1)</f>
        <v>52.3592275720916</v>
      </c>
      <c r="U31" s="48">
        <f>SUM(S31:T31)</f>
        <v>90.05640363414361</v>
      </c>
      <c r="V31" s="48">
        <f>VLOOKUP(B31,'Player Data'!$A1:$AE734,10,FALSE)*$Q31*_xlfn.IFERROR(((VLOOKUP(P31,'Settings'!$E$28:$F$33,2,FALSE)/2)+1),1)</f>
        <v>239.109282516829</v>
      </c>
      <c r="W31" s="48">
        <f>VLOOKUP(B31,'Player Data'!$A1:$AE734,11,FALSE)*$Q31*_xlfn.IFERROR((VLOOKUP(P31,'Settings'!$E$28:$F$33,2,FALSE)+1),1)</f>
        <v>9.008311067327391</v>
      </c>
      <c r="X31" s="48">
        <f>VLOOKUP(B31,'Player Data'!$A1:$AE734,12,FALSE)*$Q31*_xlfn.IFERROR((VLOOKUP(P31,'Settings'!$E$28:$F$33,2,FALSE)+1),1)</f>
        <v>25.7139195261601</v>
      </c>
      <c r="Y31" s="48">
        <f>VLOOKUP(B31,'Player Data'!$A1:$AE734,13,FALSE)*$Q31</f>
        <v>2.16328028809867</v>
      </c>
      <c r="Z31" s="48">
        <f>VLOOKUP(B31,'Player Data'!$A1:$AE734,14,FALSE)*$Q31</f>
        <v>4.561647510602</v>
      </c>
      <c r="AA31" s="48">
        <f>VLOOKUP(B31,'Player Data'!$A1:$AE734,15,FALSE)*$Q31</f>
        <v>69.18039895945699</v>
      </c>
      <c r="AB31" s="48">
        <f>VLOOKUP(B31,'Player Data'!$A1:$AE734,16,FALSE)*$Q31</f>
        <v>65.8491264511772</v>
      </c>
      <c r="AC31" s="48">
        <f>VLOOKUP(B31,'Player Data'!$A1:$AE734,17,FALSE)*$Q31*_xlfn.IFERROR((VLOOKUP(P31,'Settings'!$E$28:$F$33,2,FALSE)+1),1)</f>
        <v>2.60703538494253</v>
      </c>
      <c r="AD31" s="48">
        <f>VLOOKUP(B31,'Player Data'!$A1:$AE734,18,FALSE)*$Q31</f>
        <v>17.6173082839719</v>
      </c>
      <c r="AE31" s="48">
        <f>VLOOKUP(B31,'Player Data'!$A1:$AE734,19,FALSE)*$Q31*_xlfn.IFERROR((VLOOKUP(P31,'Settings'!$E$28:$F$33,2,FALSE)+1),1)</f>
        <v>5.33639900990088</v>
      </c>
      <c r="AF31" s="48">
        <f>VLOOKUP(B31,'Player Data'!$A1:$AE734,20,FALSE)*$Q31</f>
        <v>382.723786431118</v>
      </c>
      <c r="AG31" s="48">
        <f>VLOOKUP(B31,'Player Data'!$A1:$AE734,21,FALSE)*$Q31</f>
        <v>481.371109908288</v>
      </c>
      <c r="AH31" s="49">
        <f>VLOOKUP(B31,'Player Data'!$A1:$AE734,22,FALSE)</f>
        <v>0.442918697995398</v>
      </c>
      <c r="AI31" s="46"/>
      <c r="AJ31" s="50"/>
      <c r="AK31" s="48"/>
      <c r="AL31" s="48"/>
      <c r="AM31" s="48"/>
      <c r="AN31" s="48"/>
      <c r="AO31" s="48"/>
      <c r="AP31" s="48"/>
      <c r="AQ31" s="51"/>
      <c r="AR31" s="52"/>
      <c r="AS31" s="50"/>
    </row>
    <row r="32" ht="21.25" customHeight="1">
      <c r="A32" s="53">
        <f>RANK(K32,K2:K730)</f>
        <v>33</v>
      </c>
      <c r="B32" t="s" s="8">
        <v>163</v>
      </c>
      <c r="C32" t="s" s="39">
        <v>106</v>
      </c>
      <c r="D32" t="s" s="40">
        <f>VLOOKUP(B32,'Player Data'!A1:D734,4,FALSE)</f>
        <v>133</v>
      </c>
      <c r="E32" s="57">
        <f>VLOOKUP(B32,'LW'!A1:C156,3,FALSE)</f>
        <v>10</v>
      </c>
      <c r="F32" t="s" s="42">
        <f>VLOOKUP(B32,'Player Data'!A1:B734,2,FALSE)</f>
        <v>164</v>
      </c>
      <c r="G32" s="9">
        <f>VLOOKUP(B32,'Player Data'!A1:D734,3,FALSE)</f>
        <v>26</v>
      </c>
      <c r="H32" s="43">
        <f>_xlfn.IFERROR(VLOOKUP(B32,'ADP'!A1:G731,7,FALSE)/1000000,VLOOKUP(B32,'ADP'!A1:G731,7,FALSE))</f>
        <v>7.142857</v>
      </c>
      <c r="I32" s="44">
        <f>IF('Settings'!$E$15="POINTS",((R32*Q32)*'Settings'!$B$12)+(S32*'Settings'!$B$2)+(T32*'Settings'!$B$3)+(U32*'Settings'!$B$4)+(V32*'Settings'!$B$5)+(X32*'Settings'!$B$9)+(AA32*'Settings'!$B$6)+(W32*'Settings'!$B$8)+(AB32*'Settings'!$B$7)+(AC32*'Settings'!$B$14)+(AD32*'Settings'!$B$15)+(AE32*'Settings'!$B$16)+(AF32*'Settings'!$B$17)+(AG32*'Settings'!$B$18)+(Y32*'Settings'!$B$10)+(Z32*'Settings'!$B$11),VLOOKUP(B32,'Standard Deviations'!A1:C731,3,FALSE))</f>
        <v>470.301445210573</v>
      </c>
      <c r="J32" s="45">
        <f>IF(D32="G",I32/AJ32,I32/Q32)</f>
        <v>5.79903138360756</v>
      </c>
      <c r="K32" s="44">
        <f>IF('Settings'!$E$18="C/LW/RW",VLOOKUP(B32,'LW'!A1:F156,6,FALSE),VLOOKUP(B32,'F'!A1:F432,6,FALSE))</f>
        <v>88.672881504217</v>
      </c>
      <c r="L32" s="44">
        <f>_xlfn.IFERROR(K32/H32,"N/A")</f>
        <v>12.4142036588745</v>
      </c>
      <c r="M32" s="46">
        <f>IF('Settings'!$E$9="YAHOO",VLOOKUP(B32,'ADP'!A1:E731,2,FALSE),IF('Settings'!$E$9="ESPN",VLOOKUP(B32,'ADP'!A1:E731,3,FALSE),IF('Settings'!$E$9="FANTRAX",VLOOKUP(B32,'ADP'!A1:E731,4,FALSE),VLOOKUP(B32,'ADP'!A1:E731,5,FALSE))))</f>
        <v>28.95</v>
      </c>
      <c r="N32" s="46">
        <f>_xlfn.IFERROR(M32-A32,"N/A")</f>
        <v>-4.05</v>
      </c>
      <c r="O32" s="46"/>
      <c r="P32" t="s" s="47">
        <f>IF('Settings'!$E$27="ON",VLOOKUP(B32,'ADP'!A1:H731,8,FALSE)," ")</f>
        <v>109</v>
      </c>
      <c r="Q32" s="48">
        <f>IF('Settings'!$E$12="YES",VLOOKUP(B32,'Player Data'!A1:E734,5,FALSE),82)</f>
        <v>81.09999999999999</v>
      </c>
      <c r="R32" s="46">
        <f>VLOOKUP(B32,'Player Data'!$A1:$AE734,6,FALSE)</f>
        <v>20.3191921303353</v>
      </c>
      <c r="S32" s="48">
        <f>VLOOKUP(B32,'Player Data'!$A1:$AE734,7,FALSE)*$Q32*_xlfn.IFERROR((VLOOKUP(P32,'Settings'!$E$28:$F$33,2,FALSE)+1),1)</f>
        <v>37.4609244826691</v>
      </c>
      <c r="T32" s="48">
        <f>VLOOKUP(B32,'Player Data'!$A1:$AE734,8,FALSE)*$Q32*_xlfn.IFERROR((VLOOKUP(P32,'Settings'!$E$28:$F$33,2,FALSE)+1),1)</f>
        <v>47.3408234394991</v>
      </c>
      <c r="U32" s="48">
        <f>SUM(S32:T32)</f>
        <v>84.8017479221682</v>
      </c>
      <c r="V32" s="48">
        <f>VLOOKUP(B32,'Player Data'!$A1:$AE734,10,FALSE)*$Q32*_xlfn.IFERROR(((VLOOKUP(P32,'Settings'!$E$28:$F$33,2,FALSE)/2)+1),1)</f>
        <v>273.458136576108</v>
      </c>
      <c r="W32" s="48">
        <f>VLOOKUP(B32,'Player Data'!$A1:$AE734,11,FALSE)*$Q32*_xlfn.IFERROR((VLOOKUP(P32,'Settings'!$E$28:$F$33,2,FALSE)+1),1)</f>
        <v>8.90473913293671</v>
      </c>
      <c r="X32" s="48">
        <f>VLOOKUP(B32,'Player Data'!$A1:$AE734,12,FALSE)*$Q32*_xlfn.IFERROR((VLOOKUP(P32,'Settings'!$E$28:$F$33,2,FALSE)+1),1)</f>
        <v>26.4160790412558</v>
      </c>
      <c r="Y32" s="48">
        <f>VLOOKUP(B32,'Player Data'!$A1:$AE734,13,FALSE)*$Q32</f>
        <v>0.304627006871601</v>
      </c>
      <c r="Z32" s="48">
        <f>VLOOKUP(B32,'Player Data'!$A1:$AE734,14,FALSE)*$Q32</f>
        <v>0.345494683024486</v>
      </c>
      <c r="AA32" s="48">
        <f>VLOOKUP(B32,'Player Data'!$A1:$AE734,15,FALSE)*$Q32</f>
        <v>24.1099630546063</v>
      </c>
      <c r="AB32" s="48">
        <f>VLOOKUP(B32,'Player Data'!$A1:$AE734,16,FALSE)*$Q32</f>
        <v>40.9191021546356</v>
      </c>
      <c r="AC32" s="48">
        <f>VLOOKUP(B32,'Player Data'!$A1:$AE734,17,FALSE)*$Q32*_xlfn.IFERROR((VLOOKUP(P32,'Settings'!$E$28:$F$33,2,FALSE)+1),1)</f>
        <v>0.996647808581098</v>
      </c>
      <c r="AD32" s="48">
        <f>VLOOKUP(B32,'Player Data'!$A1:$AE734,18,FALSE)*$Q32</f>
        <v>17.6854635576091</v>
      </c>
      <c r="AE32" s="48">
        <f>VLOOKUP(B32,'Player Data'!$A1:$AE734,19,FALSE)*$Q32*_xlfn.IFERROR((VLOOKUP(P32,'Settings'!$E$28:$F$33,2,FALSE)+1),1)</f>
        <v>5.84402960782922</v>
      </c>
      <c r="AF32" s="48">
        <f>VLOOKUP(B32,'Player Data'!$A1:$AE734,20,FALSE)*$Q32</f>
        <v>2.24475132304369</v>
      </c>
      <c r="AG32" s="48">
        <f>VLOOKUP(B32,'Player Data'!$A1:$AE734,21,FALSE)*$Q32</f>
        <v>6.16423916467423</v>
      </c>
      <c r="AH32" s="49">
        <f>VLOOKUP(B32,'Player Data'!$A1:$AE734,22,FALSE)</f>
        <v>0.266946588454625</v>
      </c>
      <c r="AI32" s="46"/>
      <c r="AJ32" s="50"/>
      <c r="AK32" s="48"/>
      <c r="AL32" s="48"/>
      <c r="AM32" s="48"/>
      <c r="AN32" s="48"/>
      <c r="AO32" s="48"/>
      <c r="AP32" s="48"/>
      <c r="AQ32" s="51"/>
      <c r="AR32" s="52"/>
      <c r="AS32" s="46"/>
    </row>
    <row r="33" ht="21.25" customHeight="1">
      <c r="A33" s="53">
        <f>RANK(K33,K2:K730)</f>
        <v>19</v>
      </c>
      <c r="B33" t="s" s="8">
        <v>165</v>
      </c>
      <c r="C33" t="s" s="39">
        <v>106</v>
      </c>
      <c r="D33" t="s" s="40">
        <f>VLOOKUP(B33,'Player Data'!A1:D734,4,FALSE)</f>
        <v>133</v>
      </c>
      <c r="E33" s="57">
        <f>VLOOKUP(B33,'LW'!A1:C156,3,FALSE)</f>
        <v>6</v>
      </c>
      <c r="F33" t="s" s="42">
        <f>VLOOKUP(B33,'Player Data'!A1:B734,2,FALSE)</f>
        <v>166</v>
      </c>
      <c r="G33" s="9">
        <f>VLOOKUP(B33,'Player Data'!A1:D734,3,FALSE)</f>
        <v>37</v>
      </c>
      <c r="H33" s="43">
        <f>_xlfn.IFERROR(VLOOKUP(B33,'ADP'!A1:G731,7,FALSE)/1000000,VLOOKUP(B33,'ADP'!A1:G731,7,FALSE))</f>
        <v>9.5</v>
      </c>
      <c r="I33" s="44">
        <f>IF('Settings'!$E$15="POINTS",((R33*Q33)*'Settings'!$B$12)+(S33*'Settings'!$B$2)+(T33*'Settings'!$B$3)+(U33*'Settings'!$B$4)+(V33*'Settings'!$B$5)+(X33*'Settings'!$B$9)+(AA33*'Settings'!$B$6)+(W33*'Settings'!$B$8)+(AB33*'Settings'!$B$7)+(AC33*'Settings'!$B$14)+(AD33*'Settings'!$B$15)+(AE33*'Settings'!$B$16)+(AF33*'Settings'!$B$17)+(AG33*'Settings'!$B$18)+(Y33*'Settings'!$B$10)+(Z33*'Settings'!$B$11),VLOOKUP(B33,'Standard Deviations'!A1:C731,3,FALSE))</f>
        <v>511.774973121382</v>
      </c>
      <c r="J33" s="45">
        <f>IF(D33="G",I33/AJ33,I33/Q33)</f>
        <v>6.54994114866288</v>
      </c>
      <c r="K33" s="44">
        <f>IF('Settings'!$E$18="C/LW/RW",VLOOKUP(B33,'LW'!A1:F156,6,FALSE),VLOOKUP(B33,'F'!A1:F432,6,FALSE))</f>
        <v>130.146409415026</v>
      </c>
      <c r="L33" s="44">
        <f>_xlfn.IFERROR(K33/H33,"N/A")</f>
        <v>13.6996220436869</v>
      </c>
      <c r="M33" s="46">
        <f>IF('Settings'!$E$9="YAHOO",VLOOKUP(B33,'ADP'!A1:E731,2,FALSE),IF('Settings'!$E$9="ESPN",VLOOKUP(B33,'ADP'!A1:E731,3,FALSE),IF('Settings'!$E$9="FANTRAX",VLOOKUP(B33,'ADP'!A1:E731,4,FALSE),VLOOKUP(B33,'ADP'!A1:E731,5,FALSE))))</f>
        <v>17.68</v>
      </c>
      <c r="N33" s="46">
        <f>_xlfn.IFERROR(M33-A33,"N/A")</f>
        <v>-1.32</v>
      </c>
      <c r="O33" s="46"/>
      <c r="P33" t="s" s="47">
        <f>IF('Settings'!$E$27="ON",VLOOKUP(B33,'ADP'!A1:H731,8,FALSE)," ")</f>
        <v>109</v>
      </c>
      <c r="Q33" s="48">
        <f>IF('Settings'!$E$12="YES",VLOOKUP(B33,'Player Data'!A1:E734,5,FALSE),82)</f>
        <v>78.1342857142857</v>
      </c>
      <c r="R33" s="46">
        <f>VLOOKUP(B33,'Player Data'!$A1:$AE734,6,FALSE)</f>
        <v>20.2489975033579</v>
      </c>
      <c r="S33" s="48">
        <f>VLOOKUP(B33,'Player Data'!$A1:$AE734,7,FALSE)*$Q33*_xlfn.IFERROR((VLOOKUP(P33,'Settings'!$E$28:$F$33,2,FALSE)+1),1)</f>
        <v>42.2686623852063</v>
      </c>
      <c r="T33" s="48">
        <f>VLOOKUP(B33,'Player Data'!$A1:$AE734,8,FALSE)*$Q33*_xlfn.IFERROR((VLOOKUP(P33,'Settings'!$E$28:$F$33,2,FALSE)+1),1)</f>
        <v>35.5408516227472</v>
      </c>
      <c r="U33" s="48">
        <f>SUM(S33:T33)</f>
        <v>77.8095140079535</v>
      </c>
      <c r="V33" s="48">
        <f>VLOOKUP(B33,'Player Data'!$A1:$AE734,10,FALSE)*$Q33*_xlfn.IFERROR(((VLOOKUP(P33,'Settings'!$E$28:$F$33,2,FALSE)/2)+1),1)</f>
        <v>315.878865561593</v>
      </c>
      <c r="W33" s="48">
        <f>VLOOKUP(B33,'Player Data'!$A1:$AE734,11,FALSE)*$Q33*_xlfn.IFERROR((VLOOKUP(P33,'Settings'!$E$28:$F$33,2,FALSE)+1),1)</f>
        <v>14.5513862167612</v>
      </c>
      <c r="X33" s="48">
        <f>VLOOKUP(B33,'Player Data'!$A1:$AE734,12,FALSE)*$Q33*_xlfn.IFERROR((VLOOKUP(P33,'Settings'!$E$28:$F$33,2,FALSE)+1),1)</f>
        <v>25.9515364011851</v>
      </c>
      <c r="Y33" s="48">
        <f>VLOOKUP(B33,'Player Data'!$A1:$AE734,13,FALSE)*$Q33</f>
        <v>0.00723856142362763</v>
      </c>
      <c r="Z33" s="48">
        <f>VLOOKUP(B33,'Player Data'!$A1:$AE734,14,FALSE)*$Q33</f>
        <v>0.00881064541554479</v>
      </c>
      <c r="AA33" s="48">
        <f>VLOOKUP(B33,'Player Data'!$A1:$AE734,15,FALSE)*$Q33</f>
        <v>26.6891388590757</v>
      </c>
      <c r="AB33" s="48">
        <f>VLOOKUP(B33,'Player Data'!$A1:$AE734,16,FALSE)*$Q33</f>
        <v>174.567256074185</v>
      </c>
      <c r="AC33" s="48">
        <f>VLOOKUP(B33,'Player Data'!$A1:$AE734,17,FALSE)*$Q33*_xlfn.IFERROR((VLOOKUP(P33,'Settings'!$E$28:$F$33,2,FALSE)+1),1)</f>
        <v>-2.49514011991874</v>
      </c>
      <c r="AD33" s="48">
        <f>VLOOKUP(B33,'Player Data'!$A1:$AE734,18,FALSE)*$Q33</f>
        <v>30.9154401089256</v>
      </c>
      <c r="AE33" s="48">
        <f>VLOOKUP(B33,'Player Data'!$A1:$AE734,19,FALSE)*$Q33*_xlfn.IFERROR((VLOOKUP(P33,'Settings'!$E$28:$F$33,2,FALSE)+1),1)</f>
        <v>5.19929429599448</v>
      </c>
      <c r="AF33" s="48">
        <f>VLOOKUP(B33,'Player Data'!$A1:$AE734,20,FALSE)*$Q33</f>
        <v>3.09470803762982</v>
      </c>
      <c r="AG33" s="48">
        <f>VLOOKUP(B33,'Player Data'!$A1:$AE734,21,FALSE)*$Q33</f>
        <v>6.55635177560311</v>
      </c>
      <c r="AH33" s="49">
        <f>VLOOKUP(B33,'Player Data'!$A1:$AE734,22,FALSE)</f>
        <v>0.320659916891879</v>
      </c>
      <c r="AI33" s="46"/>
      <c r="AJ33" s="50"/>
      <c r="AK33" s="48"/>
      <c r="AL33" s="48"/>
      <c r="AM33" s="48"/>
      <c r="AN33" s="48"/>
      <c r="AO33" s="48"/>
      <c r="AP33" s="48"/>
      <c r="AQ33" s="51"/>
      <c r="AR33" s="52"/>
      <c r="AS33" s="46"/>
    </row>
    <row r="34" ht="21.25" customHeight="1">
      <c r="A34" s="53">
        <f>RANK(K34,K2:K730)</f>
        <v>20</v>
      </c>
      <c r="B34" t="s" s="8">
        <v>167</v>
      </c>
      <c r="C34" t="s" s="39">
        <v>106</v>
      </c>
      <c r="D34" t="s" s="40">
        <f>VLOOKUP(B34,'Player Data'!A1:D734,4,FALSE)</f>
        <v>146</v>
      </c>
      <c r="E34" s="58">
        <f>VLOOKUP(B34,'G'!A1:D75,3,FALSE)</f>
        <v>5</v>
      </c>
      <c r="F34" t="s" s="42">
        <f>VLOOKUP(B34,'Player Data'!A1:B734,2,FALSE)</f>
        <v>164</v>
      </c>
      <c r="G34" s="9">
        <f>VLOOKUP(B34,'Player Data'!A1:D734,3,FALSE)</f>
        <v>30</v>
      </c>
      <c r="H34" s="43">
        <f>_xlfn.IFERROR(VLOOKUP(B34,'ADP'!A1:G731,7,FALSE)/1000000,VLOOKUP(B34,'ADP'!A1:G731,7,FALSE))</f>
        <v>6.166666</v>
      </c>
      <c r="I34" s="44">
        <f>IF('Settings'!$E$15="POINTS",(AJ34*'Settings'!$B$29)+(AK34*'Settings'!$B$21)+(AL34*'Settings'!$B$22)+(AN34*'Settings'!$B$24)+(AO34*'Settings'!$B$25)+(AP34*'Settings'!$B$27)+(AM34*'Settings'!$B$23),VLOOKUP(B34,'Standard Deviations'!A1:C731,3,FALSE))</f>
        <v>390.095487655647</v>
      </c>
      <c r="J34" s="45">
        <f>IF(D34="G",I34/AJ34,I34/Q34)</f>
        <v>6.29186270412334</v>
      </c>
      <c r="K34" s="44">
        <f>VLOOKUP(B34,'G'!A1:F75,6,FALSE)</f>
        <v>124.792266155959</v>
      </c>
      <c r="L34" s="44">
        <f>_xlfn.IFERROR(K34/H34,"N/A")</f>
        <v>20.2365858887053</v>
      </c>
      <c r="M34" s="46">
        <f>IF('Settings'!$E$9="YAHOO",VLOOKUP(B34,'ADP'!A1:E731,2,FALSE),IF('Settings'!$E$9="ESPN",VLOOKUP(B34,'ADP'!A1:E731,3,FALSE),IF('Settings'!$E$9="FANTRAX",VLOOKUP(B34,'ADP'!A1:E731,4,FALSE),VLOOKUP(B34,'ADP'!A1:E731,5,FALSE))))</f>
        <v>73.81999999999999</v>
      </c>
      <c r="N34" s="46">
        <f>_xlfn.IFERROR(M34-A34,"N/A")</f>
        <v>53.82</v>
      </c>
      <c r="O34" s="46"/>
      <c r="P34" t="s" s="47">
        <f>IF('Settings'!$E$27="ON",VLOOKUP(B34,'ADP'!A1:H731,8,FALSE)," ")</f>
        <v>109</v>
      </c>
      <c r="Q34" s="48"/>
      <c r="R34" s="5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9"/>
      <c r="AI34" s="46"/>
      <c r="AJ34" s="50">
        <f>VLOOKUP(B34,'Player Data'!$A1:$AE734,24,FALSE)</f>
        <v>62</v>
      </c>
      <c r="AK34" s="48">
        <f>VLOOKUP(B34,'Player Data'!$A1:$AE734,25,FALSE)*$AJ34*_xlfn.IFERROR((VLOOKUP(P34,'Settings'!$E$28:$F$33,2,FALSE)+1),1)</f>
        <v>33.5356391600886</v>
      </c>
      <c r="AL34" s="48">
        <f>AJ34-AK34-AM34</f>
        <v>20.7143608399114</v>
      </c>
      <c r="AM34" s="48">
        <f>VLOOKUP(B34,'Player Data'!$A1:$AE734,27,FALSE)*$AJ34</f>
        <v>7.75</v>
      </c>
      <c r="AN34" s="48">
        <f>VLOOKUP(B34,'Player Data'!$A1:$AE734,28,FALSE)*AJ34</f>
        <v>4.94626106342391</v>
      </c>
      <c r="AO34" s="48">
        <f>VLOOKUP(B34,'Player Data'!$A1:$AE734,29,FALSE)*$AJ34*_xlfn.IFERROR((VLOOKUP(P34,'Settings'!$E$28:$F$33,2,FALSE)/4)+1,1)</f>
        <v>1690.586916689640</v>
      </c>
      <c r="AP34" s="48">
        <f>VLOOKUP(B34,'Player Data'!$A1:$AE734,31,FALSE)*$AJ34*(_xlfn.IFERROR(1-(VLOOKUP(P34,'Settings'!$E$28:$F$33,2,FALSE)/4),1))</f>
        <v>155.017525347855</v>
      </c>
      <c r="AQ34" s="51">
        <f>1-(AP34/(AO34+AP34))</f>
        <v>0.916007178018752</v>
      </c>
      <c r="AR34" s="52">
        <f>AP34/AJ34</f>
        <v>2.50028266690089</v>
      </c>
      <c r="AS34" s="46"/>
    </row>
    <row r="35" ht="21.25" customHeight="1">
      <c r="A35" s="53">
        <f>RANK(K35,K2:K730)</f>
        <v>63</v>
      </c>
      <c r="B35" t="s" s="8">
        <v>168</v>
      </c>
      <c r="C35" t="s" s="39">
        <v>106</v>
      </c>
      <c r="D35" t="s" s="40">
        <f>VLOOKUP(B35,'Player Data'!A1:D734,4,FALSE)</f>
        <v>133</v>
      </c>
      <c r="E35" s="57">
        <f>VLOOKUP(B35,'LW'!A1:C156,3,FALSE)</f>
        <v>18</v>
      </c>
      <c r="F35" t="s" s="42">
        <f>VLOOKUP(B35,'Player Data'!A1:B734,2,FALSE)</f>
        <v>151</v>
      </c>
      <c r="G35" s="9">
        <f>VLOOKUP(B35,'Player Data'!A1:D734,3,FALSE)</f>
        <v>31</v>
      </c>
      <c r="H35" s="43">
        <f>_xlfn.IFERROR(VLOOKUP(B35,'ADP'!A1:G731,7,FALSE)/1000000,VLOOKUP(B35,'ADP'!A1:G731,7,FALSE))</f>
        <v>11.642857</v>
      </c>
      <c r="I35" s="44">
        <f>IF('Settings'!$E$15="POINTS",((R35*Q35)*'Settings'!$B$12)+(S35*'Settings'!$B$2)+(T35*'Settings'!$B$3)+(U35*'Settings'!$B$4)+(V35*'Settings'!$B$5)+(X35*'Settings'!$B$9)+(AA35*'Settings'!$B$6)+(W35*'Settings'!$B$8)+(AB35*'Settings'!$B$7)+(AC35*'Settings'!$B$14)+(AD35*'Settings'!$B$15)+(AE35*'Settings'!$B$16)+(AF35*'Settings'!$B$17)+(AG35*'Settings'!$B$18)+(Y35*'Settings'!$B$10)+(Z35*'Settings'!$B$11),VLOOKUP(B35,'Standard Deviations'!A1:C731,3,FALSE))</f>
        <v>428.644826895263</v>
      </c>
      <c r="J35" s="45">
        <f>IF(D35="G",I35/AJ35,I35/Q35)</f>
        <v>5.45627325477677</v>
      </c>
      <c r="K35" s="44">
        <f>IF('Settings'!$E$18="C/LW/RW",VLOOKUP(B35,'LW'!A1:F156,6,FALSE),VLOOKUP(B35,'F'!A1:F432,6,FALSE))</f>
        <v>47.016263188907</v>
      </c>
      <c r="L35" s="44">
        <f>_xlfn.IFERROR(K35/H35,"N/A")</f>
        <v>4.0382067038105</v>
      </c>
      <c r="M35" s="46">
        <f>IF('Settings'!$E$9="YAHOO",VLOOKUP(B35,'ADP'!A1:E731,2,FALSE),IF('Settings'!$E$9="ESPN",VLOOKUP(B35,'ADP'!A1:E731,3,FALSE),IF('Settings'!$E$9="FANTRAX",VLOOKUP(B35,'ADP'!A1:E731,4,FALSE),VLOOKUP(B35,'ADP'!A1:E731,5,FALSE))))</f>
        <v>39.72</v>
      </c>
      <c r="N35" s="46">
        <f>_xlfn.IFERROR(M35-A35,"N/A")</f>
        <v>-23.28</v>
      </c>
      <c r="O35" s="46"/>
      <c r="P35" t="s" s="47">
        <f>IF('Settings'!$E$27="ON",VLOOKUP(B35,'ADP'!A1:H731,8,FALSE)," ")</f>
        <v>109</v>
      </c>
      <c r="Q35" s="48">
        <f>IF('Settings'!$E$12="YES",VLOOKUP(B35,'Player Data'!A1:E734,5,FALSE),82)</f>
        <v>78.56</v>
      </c>
      <c r="R35" s="46">
        <f>VLOOKUP(B35,'Player Data'!$A1:$AE734,6,FALSE)</f>
        <v>19.6351476419588</v>
      </c>
      <c r="S35" s="48">
        <f>VLOOKUP(B35,'Player Data'!$A1:$AE734,7,FALSE)*$Q35*_xlfn.IFERROR((VLOOKUP(P35,'Settings'!$E$28:$F$33,2,FALSE)+1),1)</f>
        <v>26.5282763010683</v>
      </c>
      <c r="T35" s="48">
        <f>VLOOKUP(B35,'Player Data'!$A1:$AE734,8,FALSE)*$Q35*_xlfn.IFERROR((VLOOKUP(P35,'Settings'!$E$28:$F$33,2,FALSE)+1),1)</f>
        <v>65.30206115135999</v>
      </c>
      <c r="U35" s="48">
        <f>SUM(S35:T35)</f>
        <v>91.8303374524283</v>
      </c>
      <c r="V35" s="48">
        <f>VLOOKUP(B35,'Player Data'!$A1:$AE734,10,FALSE)*$Q35*_xlfn.IFERROR(((VLOOKUP(P35,'Settings'!$E$28:$F$33,2,FALSE)/2)+1),1)</f>
        <v>198.672948744514</v>
      </c>
      <c r="W35" s="48">
        <f>VLOOKUP(B35,'Player Data'!$A1:$AE734,11,FALSE)*$Q35*_xlfn.IFERROR((VLOOKUP(P35,'Settings'!$E$28:$F$33,2,FALSE)+1),1)</f>
        <v>7.4984803378618</v>
      </c>
      <c r="X35" s="48">
        <f>VLOOKUP(B35,'Player Data'!$A1:$AE734,12,FALSE)*$Q35*_xlfn.IFERROR((VLOOKUP(P35,'Settings'!$E$28:$F$33,2,FALSE)+1),1)</f>
        <v>33.7673014207118</v>
      </c>
      <c r="Y35" s="48">
        <f>VLOOKUP(B35,'Player Data'!$A1:$AE734,13,FALSE)*$Q35</f>
        <v>0.00749326795745404</v>
      </c>
      <c r="Z35" s="48">
        <f>VLOOKUP(B35,'Player Data'!$A1:$AE734,14,FALSE)*$Q35</f>
        <v>0.0139865305163463</v>
      </c>
      <c r="AA35" s="48">
        <f>VLOOKUP(B35,'Player Data'!$A1:$AE734,15,FALSE)*$Q35</f>
        <v>14.2029216127043</v>
      </c>
      <c r="AB35" s="48">
        <f>VLOOKUP(B35,'Player Data'!$A1:$AE734,16,FALSE)*$Q35</f>
        <v>27.5819673869336</v>
      </c>
      <c r="AC35" s="48">
        <f>VLOOKUP(B35,'Player Data'!$A1:$AE734,17,FALSE)*$Q35*_xlfn.IFERROR((VLOOKUP(P35,'Settings'!$E$28:$F$33,2,FALSE)+1),1)</f>
        <v>5.59904487062483</v>
      </c>
      <c r="AD35" s="48">
        <f>VLOOKUP(B35,'Player Data'!$A1:$AE734,18,FALSE)*$Q35</f>
        <v>24.8260764942673</v>
      </c>
      <c r="AE35" s="48">
        <f>VLOOKUP(B35,'Player Data'!$A1:$AE734,19,FALSE)*$Q35*_xlfn.IFERROR((VLOOKUP(P35,'Settings'!$E$28:$F$33,2,FALSE)+1),1)</f>
        <v>4.52036874350268</v>
      </c>
      <c r="AF35" s="48">
        <f>VLOOKUP(B35,'Player Data'!$A1:$AE734,20,FALSE)*$Q35</f>
        <v>5.00646136446618</v>
      </c>
      <c r="AG35" s="48">
        <f>VLOOKUP(B35,'Player Data'!$A1:$AE734,21,FALSE)*$Q35</f>
        <v>9.887246587239609</v>
      </c>
      <c r="AH35" s="49">
        <f>VLOOKUP(B35,'Player Data'!$A1:$AE734,22,FALSE)</f>
        <v>0.336146067903312</v>
      </c>
      <c r="AI35" s="46"/>
      <c r="AJ35" s="50"/>
      <c r="AK35" s="48"/>
      <c r="AL35" s="48"/>
      <c r="AM35" s="48"/>
      <c r="AN35" s="48"/>
      <c r="AO35" s="48"/>
      <c r="AP35" s="48"/>
      <c r="AQ35" s="51"/>
      <c r="AR35" s="52"/>
      <c r="AS35" s="46"/>
    </row>
    <row r="36" ht="21.25" customHeight="1">
      <c r="A36" s="53">
        <f>RANK(K36,K2:K730)</f>
        <v>42</v>
      </c>
      <c r="B36" t="s" s="8">
        <v>169</v>
      </c>
      <c r="C36" t="s" s="39">
        <v>106</v>
      </c>
      <c r="D36" t="s" s="40">
        <f>VLOOKUP(B36,'Player Data'!A1:D734,4,FALSE)</f>
        <v>107</v>
      </c>
      <c r="E36" s="41">
        <f>VLOOKUP(B36,'C'!A1:C218,3,FALSE)</f>
        <v>12</v>
      </c>
      <c r="F36" t="s" s="42">
        <f>VLOOKUP(B36,'Player Data'!A1:B734,2,FALSE)</f>
        <v>170</v>
      </c>
      <c r="G36" s="9">
        <f>VLOOKUP(B36,'Player Data'!A1:D734,3,FALSE)</f>
        <v>36</v>
      </c>
      <c r="H36" s="43">
        <f>_xlfn.IFERROR(VLOOKUP(B36,'ADP'!A1:G731,7,FALSE)/1000000,VLOOKUP(B36,'ADP'!A1:G731,7,FALSE))</f>
        <v>8.699999999999999</v>
      </c>
      <c r="I36" s="44">
        <f>IF('Settings'!$E$15="POINTS",((R36*Q36)*'Settings'!$B$12)+(S36*'Settings'!$B$2)+(T36*'Settings'!$B$3)+(U36*'Settings'!$B$4)+(V36*'Settings'!$B$5)+(X36*'Settings'!$B$9)+(AA36*'Settings'!$B$6)+(W36*'Settings'!$B$8)+(AB36*'Settings'!$B$7)+(AC36*'Settings'!$B$14)+(AD36*'Settings'!$B$15)+(AE36*'Settings'!$B$16)+(AF36*'Settings'!$B$17)+(AG36*'Settings'!$B$18)+(Y36*'Settings'!$B$10)+(Z36*'Settings'!$B$11),VLOOKUP(B36,'Standard Deviations'!A1:C731,3,FALSE))</f>
        <v>469.456069680912</v>
      </c>
      <c r="J36" s="45">
        <f>IF(D36="G",I36/AJ36,I36/Q36)</f>
        <v>5.86116224313906</v>
      </c>
      <c r="K36" s="44">
        <f>IF('Settings'!$E$18="C/LW/RW",VLOOKUP(B36,'C'!A1:F218,6,FALSE),VLOOKUP(B36,'F'!A1:F432,6,FALSE))</f>
        <v>73.681868044897</v>
      </c>
      <c r="L36" s="44">
        <f>_xlfn.IFERROR(K36/H36,"N/A")</f>
        <v>8.469180235045631</v>
      </c>
      <c r="M36" s="46">
        <f>IF('Settings'!$E$9="YAHOO",VLOOKUP(B36,'ADP'!A1:E731,2,FALSE),IF('Settings'!$E$9="ESPN",VLOOKUP(B36,'ADP'!A1:E731,3,FALSE),IF('Settings'!$E$9="FANTRAX",VLOOKUP(B36,'ADP'!A1:E731,4,FALSE),VLOOKUP(B36,'ADP'!A1:E731,5,FALSE))))</f>
        <v>22.75</v>
      </c>
      <c r="N36" s="46">
        <f>_xlfn.IFERROR(M36-A36,"N/A")</f>
        <v>-19.25</v>
      </c>
      <c r="O36" s="46"/>
      <c r="P36" t="s" s="47">
        <f>IF('Settings'!$E$27="ON",VLOOKUP(B36,'ADP'!A1:H731,8,FALSE)," ")</f>
        <v>109</v>
      </c>
      <c r="Q36" s="48">
        <f>IF('Settings'!$E$12="YES",VLOOKUP(B36,'Player Data'!A1:E734,5,FALSE),82)</f>
        <v>80.09607142857141</v>
      </c>
      <c r="R36" s="46">
        <f>VLOOKUP(B36,'Player Data'!$A1:$AE734,6,FALSE)</f>
        <v>20.0132637980183</v>
      </c>
      <c r="S36" s="48">
        <f>VLOOKUP(B36,'Player Data'!$A1:$AE734,7,FALSE)*$Q36*_xlfn.IFERROR((VLOOKUP(P36,'Settings'!$E$28:$F$33,2,FALSE)+1),1)</f>
        <v>31.2030017592397</v>
      </c>
      <c r="T36" s="48">
        <f>VLOOKUP(B36,'Player Data'!$A1:$AE734,8,FALSE)*$Q36*_xlfn.IFERROR((VLOOKUP(P36,'Settings'!$E$28:$F$33,2,FALSE)+1),1)</f>
        <v>56.0671926027083</v>
      </c>
      <c r="U36" s="48">
        <f>SUM(S36:T36)</f>
        <v>87.270194361948</v>
      </c>
      <c r="V36" s="48">
        <f>VLOOKUP(B36,'Player Data'!$A1:$AE734,10,FALSE)*$Q36*_xlfn.IFERROR(((VLOOKUP(P36,'Settings'!$E$28:$F$33,2,FALSE)/2)+1),1)</f>
        <v>245.097759071206</v>
      </c>
      <c r="W36" s="48">
        <f>VLOOKUP(B36,'Player Data'!$A1:$AE734,11,FALSE)*$Q36*_xlfn.IFERROR((VLOOKUP(P36,'Settings'!$E$28:$F$33,2,FALSE)+1),1)</f>
        <v>8.51219002949783</v>
      </c>
      <c r="X36" s="48">
        <f>VLOOKUP(B36,'Player Data'!$A1:$AE734,12,FALSE)*$Q36*_xlfn.IFERROR((VLOOKUP(P36,'Settings'!$E$28:$F$33,2,FALSE)+1),1)</f>
        <v>28.6886760963899</v>
      </c>
      <c r="Y36" s="48">
        <f>VLOOKUP(B36,'Player Data'!$A1:$AE734,13,FALSE)*$Q36</f>
        <v>0.0213187411964413</v>
      </c>
      <c r="Z36" s="48">
        <f>VLOOKUP(B36,'Player Data'!$A1:$AE734,14,FALSE)*$Q36</f>
        <v>0.03974086175139</v>
      </c>
      <c r="AA36" s="48">
        <f>VLOOKUP(B36,'Player Data'!$A1:$AE734,15,FALSE)*$Q36</f>
        <v>43.9415842559073</v>
      </c>
      <c r="AB36" s="48">
        <f>VLOOKUP(B36,'Player Data'!$A1:$AE734,16,FALSE)*$Q36</f>
        <v>64.9673222765943</v>
      </c>
      <c r="AC36" s="48">
        <f>VLOOKUP(B36,'Player Data'!$A1:$AE734,17,FALSE)*$Q36*_xlfn.IFERROR((VLOOKUP(P36,'Settings'!$E$28:$F$33,2,FALSE)+1),1)</f>
        <v>5.25342303367565</v>
      </c>
      <c r="AD36" s="48">
        <f>VLOOKUP(B36,'Player Data'!$A1:$AE734,18,FALSE)*$Q36</f>
        <v>35.643077714848</v>
      </c>
      <c r="AE36" s="48">
        <f>VLOOKUP(B36,'Player Data'!$A1:$AE734,19,FALSE)*$Q36*_xlfn.IFERROR((VLOOKUP(P36,'Settings'!$E$28:$F$33,2,FALSE)+1),1)</f>
        <v>5.00870657345831</v>
      </c>
      <c r="AF36" s="48">
        <f>VLOOKUP(B36,'Player Data'!$A1:$AE734,20,FALSE)*$Q36</f>
        <v>940.629539764692</v>
      </c>
      <c r="AG36" s="48">
        <f>VLOOKUP(B36,'Player Data'!$A1:$AE734,21,FALSE)*$Q36</f>
        <v>837.768342592738</v>
      </c>
      <c r="AH36" s="49">
        <f>VLOOKUP(B36,'Player Data'!$A1:$AE734,22,FALSE)</f>
        <v>0.528919624284414</v>
      </c>
      <c r="AI36" s="46"/>
      <c r="AJ36" s="50"/>
      <c r="AK36" s="48"/>
      <c r="AL36" s="48"/>
      <c r="AM36" s="48"/>
      <c r="AN36" s="48"/>
      <c r="AO36" s="48"/>
      <c r="AP36" s="48"/>
      <c r="AQ36" s="51"/>
      <c r="AR36" s="52"/>
      <c r="AS36" s="46"/>
    </row>
    <row r="37" ht="21.25" customHeight="1">
      <c r="A37" s="53">
        <f>RANK(K37,K2:K730)</f>
        <v>35</v>
      </c>
      <c r="B37" t="s" s="8">
        <v>171</v>
      </c>
      <c r="C37" t="s" s="39">
        <v>106</v>
      </c>
      <c r="D37" t="s" s="40">
        <f>VLOOKUP(B37,'Player Data'!A1:D734,4,FALSE)</f>
        <v>107</v>
      </c>
      <c r="E37" s="41">
        <f>VLOOKUP(B37,'C'!A1:C218,3,FALSE)</f>
        <v>11</v>
      </c>
      <c r="F37" t="s" s="42">
        <f>VLOOKUP(B37,'Player Data'!A1:B734,2,FALSE)</f>
        <v>124</v>
      </c>
      <c r="G37" s="9">
        <f>VLOOKUP(B37,'Player Data'!A1:D734,3,FALSE)</f>
        <v>27</v>
      </c>
      <c r="H37" s="43">
        <f>_xlfn.IFERROR(VLOOKUP(B37,'ADP'!A1:G731,7,FALSE)/1000000,VLOOKUP(B37,'ADP'!A1:G731,7,FALSE))</f>
        <v>9.5</v>
      </c>
      <c r="I37" s="44">
        <f>IF('Settings'!$E$15="POINTS",((R37*Q37)*'Settings'!$B$12)+(S37*'Settings'!$B$2)+(T37*'Settings'!$B$3)+(U37*'Settings'!$B$4)+(V37*'Settings'!$B$5)+(X37*'Settings'!$B$9)+(AA37*'Settings'!$B$6)+(W37*'Settings'!$B$8)+(AB37*'Settings'!$B$7)+(AC37*'Settings'!$B$14)+(AD37*'Settings'!$B$15)+(AE37*'Settings'!$B$16)+(AF37*'Settings'!$B$17)+(AG37*'Settings'!$B$18)+(Y37*'Settings'!$B$10)+(Z37*'Settings'!$B$11),VLOOKUP(B37,'Standard Deviations'!A1:C731,3,FALSE))</f>
        <v>481.349097389320</v>
      </c>
      <c r="J37" s="45">
        <f>IF(D37="G",I37/AJ37,I37/Q37)</f>
        <v>5.98692907200647</v>
      </c>
      <c r="K37" s="44">
        <f>IF('Settings'!$E$18="C/LW/RW",VLOOKUP(B37,'C'!A1:F218,6,FALSE),VLOOKUP(B37,'F'!A1:F432,6,FALSE))</f>
        <v>85.574895753305</v>
      </c>
      <c r="L37" s="44">
        <f>_xlfn.IFERROR(K37/H37,"N/A")</f>
        <v>9.00788376350579</v>
      </c>
      <c r="M37" s="46">
        <f>IF('Settings'!$E$9="YAHOO",VLOOKUP(B37,'ADP'!A1:E731,2,FALSE),IF('Settings'!$E$9="ESPN",VLOOKUP(B37,'ADP'!A1:E731,3,FALSE),IF('Settings'!$E$9="FANTRAX",VLOOKUP(B37,'ADP'!A1:E731,4,FALSE),VLOOKUP(B37,'ADP'!A1:E731,5,FALSE))))</f>
        <v>27.76</v>
      </c>
      <c r="N37" s="46">
        <f>_xlfn.IFERROR(M37-A37,"N/A")</f>
        <v>-7.24</v>
      </c>
      <c r="O37" s="46"/>
      <c r="P37" t="s" s="47">
        <f>IF('Settings'!$E$27="ON",VLOOKUP(B37,'ADP'!A1:H731,8,FALSE)," ")</f>
        <v>116</v>
      </c>
      <c r="Q37" s="48">
        <f>IF('Settings'!$E$12="YES",VLOOKUP(B37,'Player Data'!A1:E734,5,FALSE),82)</f>
        <v>80.40000000000001</v>
      </c>
      <c r="R37" s="46">
        <f>VLOOKUP(B37,'Player Data'!$A1:$AE734,6,FALSE)</f>
        <v>19.7562834912348</v>
      </c>
      <c r="S37" s="48">
        <f>VLOOKUP(B37,'Player Data'!$A1:$AE734,7,FALSE)*$Q37*_xlfn.IFERROR((VLOOKUP(P37,'Settings'!$E$28:$F$33,2,FALSE)+1),1)</f>
        <v>44.8671236364041</v>
      </c>
      <c r="T37" s="48">
        <f>VLOOKUP(B37,'Player Data'!$A1:$AE734,8,FALSE)*$Q37*_xlfn.IFERROR((VLOOKUP(P37,'Settings'!$E$28:$F$33,2,FALSE)+1),1)</f>
        <v>43.8873147094678</v>
      </c>
      <c r="U37" s="48">
        <f>SUM(S37:T37)</f>
        <v>88.7544383458719</v>
      </c>
      <c r="V37" s="48">
        <f>VLOOKUP(B37,'Player Data'!$A1:$AE734,10,FALSE)*$Q37*_xlfn.IFERROR(((VLOOKUP(P37,'Settings'!$E$28:$F$33,2,FALSE)/2)+1),1)</f>
        <v>233.748210202394</v>
      </c>
      <c r="W37" s="48">
        <f>VLOOKUP(B37,'Player Data'!$A1:$AE734,11,FALSE)*$Q37*_xlfn.IFERROR((VLOOKUP(P37,'Settings'!$E$28:$F$33,2,FALSE)+1),1)</f>
        <v>16.5293100394948</v>
      </c>
      <c r="X37" s="48">
        <f>VLOOKUP(B37,'Player Data'!$A1:$AE734,12,FALSE)*$Q37*_xlfn.IFERROR((VLOOKUP(P37,'Settings'!$E$28:$F$33,2,FALSE)+1),1)</f>
        <v>29.9433400820592</v>
      </c>
      <c r="Y37" s="48">
        <f>VLOOKUP(B37,'Player Data'!$A1:$AE734,13,FALSE)*$Q37</f>
        <v>0.0179035196495548</v>
      </c>
      <c r="Z37" s="48">
        <f>VLOOKUP(B37,'Player Data'!$A1:$AE734,14,FALSE)*$Q37</f>
        <v>0.0326800894793483</v>
      </c>
      <c r="AA37" s="48">
        <f>VLOOKUP(B37,'Player Data'!$A1:$AE734,15,FALSE)*$Q37</f>
        <v>35.6180436666657</v>
      </c>
      <c r="AB37" s="48">
        <f>VLOOKUP(B37,'Player Data'!$A1:$AE734,16,FALSE)*$Q37</f>
        <v>52.146439134437</v>
      </c>
      <c r="AC37" s="48">
        <f>VLOOKUP(B37,'Player Data'!$A1:$AE734,17,FALSE)*$Q37*_xlfn.IFERROR((VLOOKUP(P37,'Settings'!$E$28:$F$33,2,FALSE)+1),1)</f>
        <v>1.34613538886444</v>
      </c>
      <c r="AD37" s="48">
        <f>VLOOKUP(B37,'Player Data'!$A1:$AE734,18,FALSE)*$Q37</f>
        <v>22.0280489879916</v>
      </c>
      <c r="AE37" s="48">
        <f>VLOOKUP(B37,'Player Data'!$A1:$AE734,19,FALSE)*$Q37*_xlfn.IFERROR((VLOOKUP(P37,'Settings'!$E$28:$F$33,2,FALSE)+1),1)</f>
        <v>7.02172114710792</v>
      </c>
      <c r="AF37" s="48">
        <f>VLOOKUP(B37,'Player Data'!$A1:$AE734,20,FALSE)*$Q37</f>
        <v>413.499693360446</v>
      </c>
      <c r="AG37" s="48">
        <f>VLOOKUP(B37,'Player Data'!$A1:$AE734,21,FALSE)*$Q37</f>
        <v>404.806820473185</v>
      </c>
      <c r="AH37" s="49">
        <f>VLOOKUP(B37,'Player Data'!$A1:$AE734,22,FALSE)</f>
        <v>0.505311501705233</v>
      </c>
      <c r="AI37" s="46"/>
      <c r="AJ37" s="50"/>
      <c r="AK37" s="48"/>
      <c r="AL37" s="48"/>
      <c r="AM37" s="48"/>
      <c r="AN37" s="48"/>
      <c r="AO37" s="48"/>
      <c r="AP37" s="48"/>
      <c r="AQ37" s="51"/>
      <c r="AR37" s="52"/>
      <c r="AS37" s="46"/>
    </row>
    <row r="38" ht="21.25" customHeight="1">
      <c r="A38" s="53">
        <f>RANK(K38,K2:K730)</f>
        <v>25</v>
      </c>
      <c r="B38" t="s" s="8">
        <v>172</v>
      </c>
      <c r="C38" t="s" s="39">
        <v>106</v>
      </c>
      <c r="D38" t="s" s="40">
        <f>VLOOKUP(B38,'Player Data'!A1:D734,4,FALSE)</f>
        <v>111</v>
      </c>
      <c r="E38" s="54">
        <f>VLOOKUP(B38,'LW'!A1:C156,3,FALSE)</f>
        <v>8</v>
      </c>
      <c r="F38" t="s" s="42">
        <f>VLOOKUP(B38,'Player Data'!A1:B734,2,FALSE)</f>
        <v>173</v>
      </c>
      <c r="G38" s="9">
        <f>VLOOKUP(B38,'Player Data'!A1:D734,3,FALSE)</f>
        <v>21</v>
      </c>
      <c r="H38" s="43">
        <f>_xlfn.IFERROR(VLOOKUP(B38,'ADP'!A1:G731,7,FALSE)/1000000,VLOOKUP(B38,'ADP'!A1:G731,7,FALSE))</f>
        <v>8.35</v>
      </c>
      <c r="I38" s="44">
        <f>IF('Settings'!$E$15="POINTS",((R38*Q38)*'Settings'!$B$12)+(S38*'Settings'!$B$2)+(T38*'Settings'!$B$3)+(U38*'Settings'!$B$4)+(V38*'Settings'!$B$5)+(X38*'Settings'!$B$9)+(AA38*'Settings'!$B$6)+(W38*'Settings'!$B$8)+(AB38*'Settings'!$B$7)+(AC38*'Settings'!$B$14)+(AD38*'Settings'!$B$15)+(AE38*'Settings'!$B$16)+(AF38*'Settings'!$B$17)+(AG38*'Settings'!$B$18)+(Y38*'Settings'!$B$10)+(Z38*'Settings'!$B$11),VLOOKUP(B38,'Standard Deviations'!A1:C731,3,FALSE))</f>
        <v>490.670853892633</v>
      </c>
      <c r="J38" s="45">
        <f>IF(D38="G",I38/AJ38,I38/Q38)</f>
        <v>6.09769780835988</v>
      </c>
      <c r="K38" s="44">
        <f>IF('Settings'!$E$18="C/LW/RW",VLOOKUP(B38,'LW'!A1:F156,6,FALSE),VLOOKUP(B38,'F'!A1:F432,6,FALSE))</f>
        <v>109.042290186277</v>
      </c>
      <c r="L38" s="44">
        <f>_xlfn.IFERROR(K38/H38,"N/A")</f>
        <v>13.0589569085362</v>
      </c>
      <c r="M38" s="46">
        <f>IF('Settings'!$E$9="YAHOO",VLOOKUP(B38,'ADP'!A1:E731,2,FALSE),IF('Settings'!$E$9="ESPN",VLOOKUP(B38,'ADP'!A1:E731,3,FALSE),IF('Settings'!$E$9="FANTRAX",VLOOKUP(B38,'ADP'!A1:E731,4,FALSE),VLOOKUP(B38,'ADP'!A1:E731,5,FALSE))))</f>
        <v>18.13</v>
      </c>
      <c r="N38" s="46">
        <f>_xlfn.IFERROR(M38-A38,"N/A")</f>
        <v>-6.87</v>
      </c>
      <c r="O38" s="46"/>
      <c r="P38" t="s" s="47">
        <f>IF('Settings'!$E$27="ON",VLOOKUP(B38,'ADP'!A1:H731,8,FALSE)," ")</f>
        <v>116</v>
      </c>
      <c r="Q38" s="48">
        <f>IF('Settings'!$E$12="YES",VLOOKUP(B38,'Player Data'!A1:E734,5,FALSE),82)</f>
        <v>80.4682142857143</v>
      </c>
      <c r="R38" s="46">
        <f>VLOOKUP(B38,'Player Data'!$A1:$AE734,6,FALSE)</f>
        <v>20.7365697379221</v>
      </c>
      <c r="S38" s="48">
        <f>VLOOKUP(B38,'Player Data'!$A1:$AE734,7,FALSE)*$Q38*_xlfn.IFERROR((VLOOKUP(P38,'Settings'!$E$28:$F$33,2,FALSE)+1),1)</f>
        <v>36.8816315327616</v>
      </c>
      <c r="T38" s="48">
        <f>VLOOKUP(B38,'Player Data'!$A1:$AE734,8,FALSE)*$Q38*_xlfn.IFERROR((VLOOKUP(P38,'Settings'!$E$28:$F$33,2,FALSE)+1),1)</f>
        <v>50.1386939584479</v>
      </c>
      <c r="U38" s="48">
        <f>SUM(S38:T38)</f>
        <v>87.0203254912095</v>
      </c>
      <c r="V38" s="48">
        <f>VLOOKUP(B38,'Player Data'!$A1:$AE734,10,FALSE)*$Q38*_xlfn.IFERROR(((VLOOKUP(P38,'Settings'!$E$28:$F$33,2,FALSE)/2)+1),1)</f>
        <v>229.348247691667</v>
      </c>
      <c r="W38" s="48">
        <f>VLOOKUP(B38,'Player Data'!$A1:$AE734,11,FALSE)*$Q38*_xlfn.IFERROR((VLOOKUP(P38,'Settings'!$E$28:$F$33,2,FALSE)+1),1)</f>
        <v>9.604785496244229</v>
      </c>
      <c r="X38" s="48">
        <f>VLOOKUP(B38,'Player Data'!$A1:$AE734,12,FALSE)*$Q38*_xlfn.IFERROR((VLOOKUP(P38,'Settings'!$E$28:$F$33,2,FALSE)+1),1)</f>
        <v>28.5767430757103</v>
      </c>
      <c r="Y38" s="48">
        <f>VLOOKUP(B38,'Player Data'!$A1:$AE734,13,FALSE)*$Q38</f>
        <v>2.65193859213709</v>
      </c>
      <c r="Z38" s="48">
        <f>VLOOKUP(B38,'Player Data'!$A1:$AE734,14,FALSE)*$Q38</f>
        <v>2.77556064343323</v>
      </c>
      <c r="AA38" s="48">
        <f>VLOOKUP(B38,'Player Data'!$A1:$AE734,15,FALSE)*$Q38</f>
        <v>50.5702591469216</v>
      </c>
      <c r="AB38" s="48">
        <f>VLOOKUP(B38,'Player Data'!$A1:$AE734,16,FALSE)*$Q38</f>
        <v>115.108221654807</v>
      </c>
      <c r="AC38" s="48">
        <f>VLOOKUP(B38,'Player Data'!$A1:$AE734,17,FALSE)*$Q38*_xlfn.IFERROR((VLOOKUP(P38,'Settings'!$E$28:$F$33,2,FALSE)+1),1)</f>
        <v>1.3741245688388</v>
      </c>
      <c r="AD38" s="48">
        <f>VLOOKUP(B38,'Player Data'!$A1:$AE734,18,FALSE)*$Q38</f>
        <v>45.7800184441933</v>
      </c>
      <c r="AE38" s="48">
        <f>VLOOKUP(B38,'Player Data'!$A1:$AE734,19,FALSE)*$Q38*_xlfn.IFERROR((VLOOKUP(P38,'Settings'!$E$28:$F$33,2,FALSE)+1),1)</f>
        <v>5.54647765164769</v>
      </c>
      <c r="AF38" s="48">
        <f>VLOOKUP(B38,'Player Data'!$A1:$AE734,20,FALSE)*$Q38</f>
        <v>177.916184619110</v>
      </c>
      <c r="AG38" s="48">
        <f>VLOOKUP(B38,'Player Data'!$A1:$AE734,21,FALSE)*$Q38</f>
        <v>283.511680098787</v>
      </c>
      <c r="AH38" s="49">
        <f>VLOOKUP(B38,'Player Data'!$A1:$AE734,22,FALSE)</f>
        <v>0.385577461230875</v>
      </c>
      <c r="AI38" s="46"/>
      <c r="AJ38" s="50"/>
      <c r="AK38" s="48"/>
      <c r="AL38" s="48"/>
      <c r="AM38" s="48"/>
      <c r="AN38" s="48"/>
      <c r="AO38" s="48"/>
      <c r="AP38" s="48"/>
      <c r="AQ38" s="51"/>
      <c r="AR38" s="52"/>
      <c r="AS38" s="46"/>
    </row>
    <row r="39" ht="21.25" customHeight="1">
      <c r="A39" s="53">
        <f>RANK(K39,K2:K730)</f>
        <v>22</v>
      </c>
      <c r="B39" t="s" s="8">
        <v>174</v>
      </c>
      <c r="C39" t="s" s="39">
        <v>106</v>
      </c>
      <c r="D39" t="s" s="40">
        <f>VLOOKUP(B39,'Player Data'!A1:D734,4,FALSE)</f>
        <v>146</v>
      </c>
      <c r="E39" s="58">
        <f>VLOOKUP(B39,'G'!A1:D75,3,FALSE)</f>
        <v>6</v>
      </c>
      <c r="F39" t="s" s="42">
        <f>VLOOKUP(B39,'Player Data'!A1:B734,2,FALSE)</f>
        <v>131</v>
      </c>
      <c r="G39" s="9">
        <f>VLOOKUP(B39,'Player Data'!A1:D734,3,FALSE)</f>
        <v>28</v>
      </c>
      <c r="H39" s="43">
        <f>_xlfn.IFERROR(VLOOKUP(B39,'ADP'!A1:G731,7,FALSE)/1000000,VLOOKUP(B39,'ADP'!A1:G731,7,FALSE))</f>
        <v>5</v>
      </c>
      <c r="I39" s="44">
        <f>IF('Settings'!$E$15="POINTS",(AJ39*'Settings'!$B$29)+(AK39*'Settings'!$B$21)+(AL39*'Settings'!$B$22)+(AN39*'Settings'!$B$24)+(AO39*'Settings'!$B$25)+(AP39*'Settings'!$B$27)+(AM39*'Settings'!$B$23),VLOOKUP(B39,'Standard Deviations'!A1:C731,3,FALSE))</f>
        <v>378.725771309381</v>
      </c>
      <c r="J39" s="45">
        <f>IF(D39="G",I39/AJ39,I39/Q39)</f>
        <v>6.31209618848968</v>
      </c>
      <c r="K39" s="44">
        <f>VLOOKUP(B39,'G'!A1:F75,6,FALSE)</f>
        <v>113.422549809693</v>
      </c>
      <c r="L39" s="44">
        <f>_xlfn.IFERROR(K39/H39,"N/A")</f>
        <v>22.6845099619386</v>
      </c>
      <c r="M39" s="46">
        <f>IF('Settings'!$E$9="YAHOO",VLOOKUP(B39,'ADP'!A1:E731,2,FALSE),IF('Settings'!$E$9="ESPN",VLOOKUP(B39,'ADP'!A1:E731,3,FALSE),IF('Settings'!$E$9="FANTRAX",VLOOKUP(B39,'ADP'!A1:E731,4,FALSE),VLOOKUP(B39,'ADP'!A1:E731,5,FALSE))))</f>
        <v>59.21</v>
      </c>
      <c r="N39" s="46">
        <f>_xlfn.IFERROR(M39-A39,"N/A")</f>
        <v>37.21</v>
      </c>
      <c r="O39" s="46"/>
      <c r="P39" t="s" s="47">
        <f>IF('Settings'!$E$27="ON",VLOOKUP(B39,'ADP'!A1:H731,8,FALSE)," ")</f>
        <v>175</v>
      </c>
      <c r="Q39" s="48"/>
      <c r="R39" s="59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9"/>
      <c r="AI39" s="46"/>
      <c r="AJ39" s="50">
        <f>VLOOKUP(B39,'Player Data'!$A1:$AE734,24,FALSE)</f>
        <v>60</v>
      </c>
      <c r="AK39" s="48">
        <f>VLOOKUP(B39,'Player Data'!$A1:$AE734,25,FALSE)*$AJ39*_xlfn.IFERROR((VLOOKUP(P39,'Settings'!$E$28:$F$33,2,FALSE)+1),1)</f>
        <v>28.3418388430107</v>
      </c>
      <c r="AL39" s="48">
        <f>AJ39-AK39-AM39</f>
        <v>24.1581611569893</v>
      </c>
      <c r="AM39" s="48">
        <f>VLOOKUP(B39,'Player Data'!$A1:$AE734,27,FALSE)*$AJ39</f>
        <v>7.5</v>
      </c>
      <c r="AN39" s="48">
        <f>VLOOKUP(B39,'Player Data'!$A1:$AE734,28,FALSE)*AJ39</f>
        <v>4.37961555099913</v>
      </c>
      <c r="AO39" s="48">
        <f>VLOOKUP(B39,'Player Data'!$A1:$AE734,29,FALSE)*$AJ39*_xlfn.IFERROR((VLOOKUP(P39,'Settings'!$E$28:$F$33,2,FALSE)/4)+1,1)</f>
        <v>1721.640508850340</v>
      </c>
      <c r="AP39" s="48">
        <f>VLOOKUP(B39,'Player Data'!$A1:$AE734,31,FALSE)*$AJ39*(_xlfn.IFERROR(1-(VLOOKUP(P39,'Settings'!$E$28:$F$33,2,FALSE)/4),1))</f>
        <v>157.2871630185</v>
      </c>
      <c r="AQ39" s="51">
        <f>1-(AP39/(AO39+AP39))</f>
        <v>0.9162888676486109</v>
      </c>
      <c r="AR39" s="52">
        <f>AP39/AJ39</f>
        <v>2.621452716975</v>
      </c>
      <c r="AS39" s="46"/>
    </row>
    <row r="40" ht="21.25" customHeight="1">
      <c r="A40" s="53">
        <f>RANK(K40,K2:K730)</f>
        <v>26</v>
      </c>
      <c r="B40" t="s" s="8">
        <v>176</v>
      </c>
      <c r="C40" t="s" s="39">
        <v>106</v>
      </c>
      <c r="D40" t="s" s="40">
        <f>VLOOKUP(B40,'Player Data'!A1:D734,4,FALSE)</f>
        <v>118</v>
      </c>
      <c r="E40" s="54">
        <f>VLOOKUP(B40,'LW'!A1:C156,3,FALSE)</f>
        <v>9</v>
      </c>
      <c r="F40" t="s" s="42">
        <f>VLOOKUP(B40,'Player Data'!A1:B734,2,FALSE)</f>
        <v>127</v>
      </c>
      <c r="G40" s="9">
        <f>VLOOKUP(B40,'Player Data'!A1:D734,3,FALSE)</f>
        <v>26</v>
      </c>
      <c r="H40" s="43">
        <f>_xlfn.IFERROR(VLOOKUP(B40,'ADP'!A1:G731,7,FALSE)/1000000,VLOOKUP(B40,'ADP'!A1:G731,7,FALSE))</f>
        <v>8.800000000000001</v>
      </c>
      <c r="I40" s="44">
        <f>IF('Settings'!$E$15="POINTS",((R40*Q40)*'Settings'!$B$12)+(S40*'Settings'!$B$2)+(T40*'Settings'!$B$3)+(U40*'Settings'!$B$4)+(V40*'Settings'!$B$5)+(X40*'Settings'!$B$9)+(AA40*'Settings'!$B$6)+(W40*'Settings'!$B$8)+(AB40*'Settings'!$B$7)+(AC40*'Settings'!$B$14)+(AD40*'Settings'!$B$15)+(AE40*'Settings'!$B$16)+(AF40*'Settings'!$B$17)+(AG40*'Settings'!$B$18)+(Y40*'Settings'!$B$10)+(Z40*'Settings'!$B$11),VLOOKUP(B40,'Standard Deviations'!A1:C731,3,FALSE))</f>
        <v>486.315232579732</v>
      </c>
      <c r="J40" s="45">
        <f>IF(D40="G",I40/AJ40,I40/Q40)</f>
        <v>6.04193356416613</v>
      </c>
      <c r="K40" s="44">
        <f>IF('Settings'!$E$18="C/LW/RW",VLOOKUP(B40,'RW'!A1:F132,6,FALSE),VLOOKUP(B40,'F'!A1:F432,6,FALSE))</f>
        <v>104.686668873376</v>
      </c>
      <c r="L40" s="44">
        <f>_xlfn.IFERROR(K40/H40,"N/A")</f>
        <v>11.8962123719745</v>
      </c>
      <c r="M40" s="46">
        <f>IF('Settings'!$E$9="YAHOO",VLOOKUP(B40,'ADP'!A1:E731,2,FALSE),IF('Settings'!$E$9="ESPN",VLOOKUP(B40,'ADP'!A1:E731,3,FALSE),IF('Settings'!$E$9="FANTRAX",VLOOKUP(B40,'ADP'!A1:E731,4,FALSE),VLOOKUP(B40,'ADP'!A1:E731,5,FALSE))))</f>
        <v>21.78</v>
      </c>
      <c r="N40" s="46">
        <f>_xlfn.IFERROR(M40-A40,"N/A")</f>
        <v>-4.22</v>
      </c>
      <c r="O40" s="46"/>
      <c r="P40" t="s" s="47">
        <f>IF('Settings'!$E$27="ON",VLOOKUP(B40,'ADP'!A1:H731,8,FALSE)," ")</f>
        <v>109</v>
      </c>
      <c r="Q40" s="48">
        <f>IF('Settings'!$E$12="YES",VLOOKUP(B40,'Player Data'!A1:E734,5,FALSE),82)</f>
        <v>80.48999999999999</v>
      </c>
      <c r="R40" s="46">
        <f>VLOOKUP(B40,'Player Data'!$A1:$AE734,6,FALSE)</f>
        <v>18.5460134320808</v>
      </c>
      <c r="S40" s="48">
        <f>VLOOKUP(B40,'Player Data'!$A1:$AE734,7,FALSE)*$Q40*_xlfn.IFERROR((VLOOKUP(P40,'Settings'!$E$28:$F$33,2,FALSE)+1),1)</f>
        <v>37.4594772332295</v>
      </c>
      <c r="T40" s="48">
        <f>VLOOKUP(B40,'Player Data'!$A1:$AE734,8,FALSE)*$Q40*_xlfn.IFERROR((VLOOKUP(P40,'Settings'!$E$28:$F$33,2,FALSE)+1),1)</f>
        <v>34.3616311430819</v>
      </c>
      <c r="U40" s="48">
        <f>SUM(S40:T40)</f>
        <v>71.8211083763114</v>
      </c>
      <c r="V40" s="48">
        <f>VLOOKUP(B40,'Player Data'!$A1:$AE734,10,FALSE)*$Q40*_xlfn.IFERROR(((VLOOKUP(P40,'Settings'!$E$28:$F$33,2,FALSE)/2)+1),1)</f>
        <v>316.015166533390</v>
      </c>
      <c r="W40" s="48">
        <f>VLOOKUP(B40,'Player Data'!$A1:$AE734,11,FALSE)*$Q40*_xlfn.IFERROR((VLOOKUP(P40,'Settings'!$E$28:$F$33,2,FALSE)+1),1)</f>
        <v>15.526863526194</v>
      </c>
      <c r="X40" s="48">
        <f>VLOOKUP(B40,'Player Data'!$A1:$AE734,12,FALSE)*$Q40*_xlfn.IFERROR((VLOOKUP(P40,'Settings'!$E$28:$F$33,2,FALSE)+1),1)</f>
        <v>24.7819730325428</v>
      </c>
      <c r="Y40" s="48">
        <f>VLOOKUP(B40,'Player Data'!$A1:$AE734,13,FALSE)*$Q40</f>
        <v>0.0463284128627592</v>
      </c>
      <c r="Z40" s="48">
        <f>VLOOKUP(B40,'Player Data'!$A1:$AE734,14,FALSE)*$Q40</f>
        <v>0.0846443295265743</v>
      </c>
      <c r="AA40" s="48">
        <f>VLOOKUP(B40,'Player Data'!$A1:$AE734,15,FALSE)*$Q40</f>
        <v>41.8142413601079</v>
      </c>
      <c r="AB40" s="48">
        <f>VLOOKUP(B40,'Player Data'!$A1:$AE734,16,FALSE)*$Q40</f>
        <v>142.314795980606</v>
      </c>
      <c r="AC40" s="48">
        <f>VLOOKUP(B40,'Player Data'!$A1:$AE734,17,FALSE)*$Q40*_xlfn.IFERROR((VLOOKUP(P40,'Settings'!$E$28:$F$33,2,FALSE)+1),1)</f>
        <v>2.19002788654998</v>
      </c>
      <c r="AD40" s="48">
        <f>VLOOKUP(B40,'Player Data'!$A1:$AE734,18,FALSE)*$Q40</f>
        <v>45.480764608801</v>
      </c>
      <c r="AE40" s="48">
        <f>VLOOKUP(B40,'Player Data'!$A1:$AE734,19,FALSE)*$Q40*_xlfn.IFERROR((VLOOKUP(P40,'Settings'!$E$28:$F$33,2,FALSE)+1),1)</f>
        <v>5.50571833291246</v>
      </c>
      <c r="AF40" s="48">
        <f>VLOOKUP(B40,'Player Data'!$A1:$AE734,20,FALSE)*$Q40</f>
        <v>20.7817818579828</v>
      </c>
      <c r="AG40" s="48">
        <f>VLOOKUP(B40,'Player Data'!$A1:$AE734,21,FALSE)*$Q40</f>
        <v>32.6488400171079</v>
      </c>
      <c r="AH40" s="49">
        <f>VLOOKUP(B40,'Player Data'!$A1:$AE734,22,FALSE)</f>
        <v>0.38894890474167</v>
      </c>
      <c r="AI40" s="46"/>
      <c r="AJ40" s="50"/>
      <c r="AK40" s="48"/>
      <c r="AL40" s="48"/>
      <c r="AM40" s="48"/>
      <c r="AN40" s="48"/>
      <c r="AO40" s="48"/>
      <c r="AP40" s="48"/>
      <c r="AQ40" s="51"/>
      <c r="AR40" s="52"/>
      <c r="AS40" s="46"/>
    </row>
    <row r="41" ht="21.25" customHeight="1">
      <c r="A41" s="53">
        <f>RANK(K41,K2:K730)</f>
        <v>49</v>
      </c>
      <c r="B41" t="s" s="8">
        <v>177</v>
      </c>
      <c r="C41" t="s" s="39">
        <v>106</v>
      </c>
      <c r="D41" t="s" s="40">
        <f>VLOOKUP(B41,'Player Data'!A1:D734,4,FALSE)</f>
        <v>129</v>
      </c>
      <c r="E41" s="56">
        <f>VLOOKUP(B41,'D'!A1:C228,3,FALSE)</f>
        <v>8</v>
      </c>
      <c r="F41" t="s" s="42">
        <f>VLOOKUP(B41,'Player Data'!A1:B734,2,FALSE)</f>
        <v>124</v>
      </c>
      <c r="G41" s="9">
        <f>VLOOKUP(B41,'Player Data'!A1:D734,3,FALSE)</f>
        <v>32</v>
      </c>
      <c r="H41" s="43">
        <f>_xlfn.IFERROR(VLOOKUP(B41,'ADP'!A1:G731,7,FALSE)/1000000,VLOOKUP(B41,'ADP'!A1:G731,7,FALSE))</f>
        <v>7.875</v>
      </c>
      <c r="I41" s="44">
        <f>IF('Settings'!$E$15="POINTS",((R41*Q41)*'Settings'!$B$12)+(S41*'Settings'!$B$2)+(T41*'Settings'!$B$3)+(U41*'Settings'!$B$4)+(V41*'Settings'!$B$5)+(X41*'Settings'!$B$9)+(AA41*'Settings'!$B$6)+(W41*'Settings'!$B$8)+(AB41*'Settings'!$B$7)+(AC41*'Settings'!$B$14)+(AD41*'Settings'!$B$15)+(AE41*'Settings'!$B$16)+(AF41*'Settings'!$B$17)+(AG41*'Settings'!$B$18)+(U41*'Settings'!$B$13)+(Y41*'Settings'!$B$10)+(Z41*'Settings'!$B$11),VLOOKUP(B41,'Standard Deviations'!A1:C731,3,FALSE))</f>
        <v>399.859014561747</v>
      </c>
      <c r="J41" s="45">
        <f>IF(D41="G",I41/AJ41,I41/Q41)</f>
        <v>4.91227290616397</v>
      </c>
      <c r="K41" s="44">
        <f>VLOOKUP(B41,'D'!A1:F228,6,FALSE)</f>
        <v>59.123875915224</v>
      </c>
      <c r="L41" s="44">
        <f>_xlfn.IFERROR(K41/H41,"N/A")</f>
        <v>7.50779376701257</v>
      </c>
      <c r="M41" s="46">
        <f>IF('Settings'!$E$9="YAHOO",VLOOKUP(B41,'ADP'!A1:E731,2,FALSE),IF('Settings'!$E$9="ESPN",VLOOKUP(B41,'ADP'!A1:E731,3,FALSE),IF('Settings'!$E$9="FANTRAX",VLOOKUP(B41,'ADP'!A1:E731,4,FALSE),VLOOKUP(B41,'ADP'!A1:E731,5,FALSE))))</f>
        <v>80.18000000000001</v>
      </c>
      <c r="N41" s="46">
        <f>_xlfn.IFERROR(M41-A41,"N/A")</f>
        <v>31.18</v>
      </c>
      <c r="O41" s="46"/>
      <c r="P41" t="s" s="47">
        <f>IF('Settings'!$E$27="ON",VLOOKUP(B41,'ADP'!A1:H731,8,FALSE)," ")</f>
        <v>109</v>
      </c>
      <c r="Q41" s="48">
        <f>IF('Settings'!$E$12="YES",VLOOKUP(B41,'Player Data'!A1:E734,5,FALSE),82)</f>
        <v>81.40000000000001</v>
      </c>
      <c r="R41" s="46">
        <f>VLOOKUP(B41,'Player Data'!$A1:$AE734,6,FALSE)</f>
        <v>23.9259320894176</v>
      </c>
      <c r="S41" s="48">
        <f>VLOOKUP(B41,'Player Data'!$A1:$AE734,7,FALSE)*$Q41*_xlfn.IFERROR((VLOOKUP(P41,'Settings'!$E$28:$F$33,2,FALSE)+1),1)</f>
        <v>12.9967289196525</v>
      </c>
      <c r="T41" s="48">
        <f>VLOOKUP(B41,'Player Data'!$A1:$AE734,8,FALSE)*$Q41*_xlfn.IFERROR((VLOOKUP(P41,'Settings'!$E$28:$F$33,2,FALSE)+1),1)</f>
        <v>49.0995684599263</v>
      </c>
      <c r="U41" s="48">
        <f>SUM(S41:T41)</f>
        <v>62.0962973795788</v>
      </c>
      <c r="V41" s="48">
        <f>VLOOKUP(B41,'Player Data'!$A1:$AE734,10,FALSE)*$Q41*_xlfn.IFERROR(((VLOOKUP(P41,'Settings'!$E$28:$F$33,2,FALSE)/2)+1),1)</f>
        <v>199.754476124517</v>
      </c>
      <c r="W41" s="48">
        <f>VLOOKUP(B41,'Player Data'!$A1:$AE734,11,FALSE)*$Q41*_xlfn.IFERROR((VLOOKUP(P41,'Settings'!$E$28:$F$33,2,FALSE)+1),1)</f>
        <v>2.57391340752521</v>
      </c>
      <c r="X41" s="48">
        <f>VLOOKUP(B41,'Player Data'!$A1:$AE734,12,FALSE)*$Q41*_xlfn.IFERROR((VLOOKUP(P41,'Settings'!$E$28:$F$33,2,FALSE)+1),1)</f>
        <v>22.9790419243779</v>
      </c>
      <c r="Y41" s="48">
        <f>VLOOKUP(B41,'Player Data'!$A1:$AE734,13,FALSE)*$Q41</f>
        <v>0.429778266295993</v>
      </c>
      <c r="Z41" s="48">
        <f>VLOOKUP(B41,'Player Data'!$A1:$AE734,14,FALSE)*$Q41</f>
        <v>0.926637994106541</v>
      </c>
      <c r="AA41" s="48">
        <f>VLOOKUP(B41,'Player Data'!$A1:$AE734,15,FALSE)*$Q41</f>
        <v>136.111779383586</v>
      </c>
      <c r="AB41" s="48">
        <f>VLOOKUP(B41,'Player Data'!$A1:$AE734,16,FALSE)*$Q41</f>
        <v>97.15450120506711</v>
      </c>
      <c r="AC41" s="48">
        <f>VLOOKUP(B41,'Player Data'!$A1:$AE734,17,FALSE)*$Q41*_xlfn.IFERROR((VLOOKUP(P41,'Settings'!$E$28:$F$33,2,FALSE)+1),1)</f>
        <v>-0.0183402305617876</v>
      </c>
      <c r="AD41" s="48">
        <f>VLOOKUP(B41,'Player Data'!$A1:$AE734,18,FALSE)*$Q41</f>
        <v>37.1552546842644</v>
      </c>
      <c r="AE41" s="48">
        <f>VLOOKUP(B41,'Player Data'!$A1:$AE734,19,FALSE)*$Q41*_xlfn.IFERROR((VLOOKUP(P41,'Settings'!$E$28:$F$33,2,FALSE)+1),1)</f>
        <v>2.03399279699551</v>
      </c>
      <c r="AF41" s="48">
        <f>VLOOKUP(B41,'Player Data'!$A1:$AE734,20,FALSE)*$Q41</f>
        <v>0</v>
      </c>
      <c r="AG41" s="48">
        <f>VLOOKUP(B41,'Player Data'!$A1:$AE734,21,FALSE)*$Q41</f>
        <v>0</v>
      </c>
      <c r="AH41" s="49">
        <f>VLOOKUP(B41,'Player Data'!$A1:$AE734,22,FALSE)</f>
        <v>0</v>
      </c>
      <c r="AI41" s="46"/>
      <c r="AJ41" s="50"/>
      <c r="AK41" s="48"/>
      <c r="AL41" s="48"/>
      <c r="AM41" s="48"/>
      <c r="AN41" s="48"/>
      <c r="AO41" s="48"/>
      <c r="AP41" s="48"/>
      <c r="AQ41" s="51"/>
      <c r="AR41" s="52"/>
      <c r="AS41" s="46"/>
    </row>
    <row r="42" ht="21.25" customHeight="1">
      <c r="A42" s="53">
        <f>RANK(K42,K2:K730)</f>
        <v>43</v>
      </c>
      <c r="B42" t="s" s="8">
        <v>178</v>
      </c>
      <c r="C42" t="s" s="39">
        <v>106</v>
      </c>
      <c r="D42" t="s" s="40">
        <f>VLOOKUP(B42,'Player Data'!A1:D734,4,FALSE)</f>
        <v>111</v>
      </c>
      <c r="E42" s="54">
        <f>VLOOKUP(B42,'LW'!A1:C156,3,FALSE)</f>
        <v>12</v>
      </c>
      <c r="F42" t="s" s="42">
        <f>VLOOKUP(B42,'Player Data'!A1:B734,2,FALSE)</f>
        <v>124</v>
      </c>
      <c r="G42" s="9">
        <f>VLOOKUP(B42,'Player Data'!A1:D734,3,FALSE)</f>
        <v>33</v>
      </c>
      <c r="H42" s="43">
        <f>_xlfn.IFERROR(VLOOKUP(B42,'ADP'!A1:G731,7,FALSE)/1000000,VLOOKUP(B42,'ADP'!A1:G731,7,FALSE))</f>
        <v>8.5</v>
      </c>
      <c r="I42" s="44">
        <f>IF('Settings'!$E$15="POINTS",((R42*Q42)*'Settings'!$B$12)+(S42*'Settings'!$B$2)+(T42*'Settings'!$B$3)+(U42*'Settings'!$B$4)+(V42*'Settings'!$B$5)+(X42*'Settings'!$B$9)+(AA42*'Settings'!$B$6)+(W42*'Settings'!$B$8)+(AB42*'Settings'!$B$7)+(AC42*'Settings'!$B$14)+(AD42*'Settings'!$B$15)+(AE42*'Settings'!$B$16)+(AF42*'Settings'!$B$17)+(AG42*'Settings'!$B$18)+(Y42*'Settings'!$B$10)+(Z42*'Settings'!$B$11),VLOOKUP(B42,'Standard Deviations'!A1:C731,3,FALSE))</f>
        <v>452.923928827016</v>
      </c>
      <c r="J42" s="45">
        <f>IF(D42="G",I42/AJ42,I42/Q42)</f>
        <v>5.70433159731758</v>
      </c>
      <c r="K42" s="44">
        <f>IF('Settings'!$E$18="C/LW/RW",VLOOKUP(B42,'LW'!A1:F156,6,FALSE),VLOOKUP(B42,'F'!A1:F432,6,FALSE))</f>
        <v>71.29536512065999</v>
      </c>
      <c r="L42" s="44">
        <f>_xlfn.IFERROR(K42/H42,"N/A")</f>
        <v>8.387690014195289</v>
      </c>
      <c r="M42" s="46">
        <f>IF('Settings'!$E$9="YAHOO",VLOOKUP(B42,'ADP'!A1:E731,2,FALSE),IF('Settings'!$E$9="ESPN",VLOOKUP(B42,'ADP'!A1:E731,3,FALSE),IF('Settings'!$E$9="FANTRAX",VLOOKUP(B42,'ADP'!A1:E731,4,FALSE),VLOOKUP(B42,'ADP'!A1:E731,5,FALSE))))</f>
        <v>29.4</v>
      </c>
      <c r="N42" s="46">
        <f>_xlfn.IFERROR(M42-A42,"N/A")</f>
        <v>-13.6</v>
      </c>
      <c r="O42" s="46"/>
      <c r="P42" t="s" s="47">
        <f>IF('Settings'!$E$27="ON",VLOOKUP(B42,'ADP'!A1:H731,8,FALSE)," ")</f>
        <v>175</v>
      </c>
      <c r="Q42" s="48">
        <f>IF('Settings'!$E$12="YES",VLOOKUP(B42,'Player Data'!A1:E734,5,FALSE),82)</f>
        <v>79.40000000000001</v>
      </c>
      <c r="R42" s="46">
        <f>VLOOKUP(B42,'Player Data'!$A1:$AE734,6,FALSE)</f>
        <v>18.9991906906156</v>
      </c>
      <c r="S42" s="48">
        <f>VLOOKUP(B42,'Player Data'!$A1:$AE734,7,FALSE)*$Q42*_xlfn.IFERROR((VLOOKUP(P42,'Settings'!$E$28:$F$33,2,FALSE)+1),1)</f>
        <v>32.5292087917135</v>
      </c>
      <c r="T42" s="48">
        <f>VLOOKUP(B42,'Player Data'!$A1:$AE734,8,FALSE)*$Q42*_xlfn.IFERROR((VLOOKUP(P42,'Settings'!$E$28:$F$33,2,FALSE)+1),1)</f>
        <v>49.3008018513682</v>
      </c>
      <c r="U42" s="48">
        <f>SUM(S42:T42)</f>
        <v>81.83001064308171</v>
      </c>
      <c r="V42" s="48">
        <f>VLOOKUP(B42,'Player Data'!$A1:$AE734,10,FALSE)*$Q42*_xlfn.IFERROR(((VLOOKUP(P42,'Settings'!$E$28:$F$33,2,FALSE)/2)+1),1)</f>
        <v>228.740391027155</v>
      </c>
      <c r="W42" s="48">
        <f>VLOOKUP(B42,'Player Data'!$A1:$AE734,11,FALSE)*$Q42*_xlfn.IFERROR((VLOOKUP(P42,'Settings'!$E$28:$F$33,2,FALSE)+1),1)</f>
        <v>12.7337850134917</v>
      </c>
      <c r="X42" s="48">
        <f>VLOOKUP(B42,'Player Data'!$A1:$AE734,12,FALSE)*$Q42*_xlfn.IFERROR((VLOOKUP(P42,'Settings'!$E$28:$F$33,2,FALSE)+1),1)</f>
        <v>30.6902030264669</v>
      </c>
      <c r="Y42" s="48">
        <f>VLOOKUP(B42,'Player Data'!$A1:$AE734,13,FALSE)*$Q42</f>
        <v>0.0601217187034938</v>
      </c>
      <c r="Z42" s="48">
        <f>VLOOKUP(B42,'Player Data'!$A1:$AE734,14,FALSE)*$Q42</f>
        <v>0.210728593400938</v>
      </c>
      <c r="AA42" s="48">
        <f>VLOOKUP(B42,'Player Data'!$A1:$AE734,15,FALSE)*$Q42</f>
        <v>42.9502527468692</v>
      </c>
      <c r="AB42" s="48">
        <f>VLOOKUP(B42,'Player Data'!$A1:$AE734,16,FALSE)*$Q42</f>
        <v>89.49321854554771</v>
      </c>
      <c r="AC42" s="48">
        <f>VLOOKUP(B42,'Player Data'!$A1:$AE734,17,FALSE)*$Q42*_xlfn.IFERROR((VLOOKUP(P42,'Settings'!$E$28:$F$33,2,FALSE)+1),1)</f>
        <v>1.20082486531448</v>
      </c>
      <c r="AD42" s="48">
        <f>VLOOKUP(B42,'Player Data'!$A1:$AE734,18,FALSE)*$Q42</f>
        <v>40.1556245627726</v>
      </c>
      <c r="AE42" s="48">
        <f>VLOOKUP(B42,'Player Data'!$A1:$AE734,19,FALSE)*$Q42*_xlfn.IFERROR((VLOOKUP(P42,'Settings'!$E$28:$F$33,2,FALSE)+1),1)</f>
        <v>5.09083299215859</v>
      </c>
      <c r="AF42" s="48">
        <f>VLOOKUP(B42,'Player Data'!$A1:$AE734,20,FALSE)*$Q42</f>
        <v>497.896913035117</v>
      </c>
      <c r="AG42" s="48">
        <f>VLOOKUP(B42,'Player Data'!$A1:$AE734,21,FALSE)*$Q42</f>
        <v>438.619341662680</v>
      </c>
      <c r="AH42" s="49">
        <f>VLOOKUP(B42,'Player Data'!$A1:$AE734,22,FALSE)</f>
        <v>0.531647913784244</v>
      </c>
      <c r="AI42" s="46"/>
      <c r="AJ42" s="50"/>
      <c r="AK42" s="48"/>
      <c r="AL42" s="48"/>
      <c r="AM42" s="48"/>
      <c r="AN42" s="48"/>
      <c r="AO42" s="48"/>
      <c r="AP42" s="48"/>
      <c r="AQ42" s="51"/>
      <c r="AR42" s="52"/>
      <c r="AS42" s="46"/>
    </row>
    <row r="43" ht="21.25" customHeight="1">
      <c r="A43" s="53">
        <f>RANK(K43,K2:K730)</f>
        <v>23</v>
      </c>
      <c r="B43" t="s" s="8">
        <v>179</v>
      </c>
      <c r="C43" t="s" s="39">
        <v>106</v>
      </c>
      <c r="D43" t="s" s="40">
        <f>VLOOKUP(B43,'Player Data'!A1:D734,4,FALSE)</f>
        <v>133</v>
      </c>
      <c r="E43" s="57">
        <f>VLOOKUP(B43,'LW'!A1:C156,3,FALSE)</f>
        <v>7</v>
      </c>
      <c r="F43" t="s" s="42">
        <f>VLOOKUP(B43,'Player Data'!A1:B734,2,FALSE)</f>
        <v>173</v>
      </c>
      <c r="G43" s="9">
        <f>VLOOKUP(B43,'Player Data'!A1:D734,3,FALSE)</f>
        <v>23</v>
      </c>
      <c r="H43" s="43">
        <f>_xlfn.IFERROR(VLOOKUP(B43,'ADP'!A1:G731,7,FALSE)/1000000,VLOOKUP(B43,'ADP'!A1:G731,7,FALSE))</f>
        <v>8.205714</v>
      </c>
      <c r="I43" s="44">
        <f>IF('Settings'!$E$15="POINTS",((R43*Q43)*'Settings'!$B$12)+(S43*'Settings'!$B$2)+(T43*'Settings'!$B$3)+(U43*'Settings'!$B$4)+(V43*'Settings'!$B$5)+(X43*'Settings'!$B$9)+(AA43*'Settings'!$B$6)+(W43*'Settings'!$B$8)+(AB43*'Settings'!$B$7)+(AC43*'Settings'!$B$14)+(AD43*'Settings'!$B$15)+(AE43*'Settings'!$B$16)+(AF43*'Settings'!$B$17)+(AG43*'Settings'!$B$18)+(Y43*'Settings'!$B$10)+(Z43*'Settings'!$B$11),VLOOKUP(B43,'Standard Deviations'!A1:C731,3,FALSE))</f>
        <v>494.699551842002</v>
      </c>
      <c r="J43" s="45">
        <f>IF(D43="G",I43/AJ43,I43/Q43)</f>
        <v>6.06119461931573</v>
      </c>
      <c r="K43" s="44">
        <f>IF('Settings'!$E$18="C/LW/RW",VLOOKUP(B43,'LW'!A1:F156,6,FALSE),VLOOKUP(B43,'F'!A1:F432,6,FALSE))</f>
        <v>113.070988135646</v>
      </c>
      <c r="L43" s="44">
        <f>_xlfn.IFERROR(K43/H43,"N/A")</f>
        <v>13.7795429057905</v>
      </c>
      <c r="M43" s="46">
        <f>IF('Settings'!$E$9="YAHOO",VLOOKUP(B43,'ADP'!A1:E731,2,FALSE),IF('Settings'!$E$9="ESPN",VLOOKUP(B43,'ADP'!A1:E731,3,FALSE),IF('Settings'!$E$9="FANTRAX",VLOOKUP(B43,'ADP'!A1:E731,4,FALSE),VLOOKUP(B43,'ADP'!A1:E731,5,FALSE))))</f>
        <v>12.41</v>
      </c>
      <c r="N43" s="46">
        <f>_xlfn.IFERROR(M43-A43,"N/A")</f>
        <v>-10.59</v>
      </c>
      <c r="O43" s="46"/>
      <c r="P43" t="s" s="47">
        <f>IF('Settings'!$E$27="ON",VLOOKUP(B43,'ADP'!A1:H731,8,FALSE)," ")</f>
        <v>109</v>
      </c>
      <c r="Q43" s="48">
        <f>IF('Settings'!$E$12="YES",VLOOKUP(B43,'Player Data'!A1:E734,5,FALSE),82)</f>
        <v>81.61750000000001</v>
      </c>
      <c r="R43" s="46">
        <f>VLOOKUP(B43,'Player Data'!$A1:$AE734,6,FALSE)</f>
        <v>18.1165430692073</v>
      </c>
      <c r="S43" s="48">
        <f>VLOOKUP(B43,'Player Data'!$A1:$AE734,7,FALSE)*$Q43*_xlfn.IFERROR((VLOOKUP(P43,'Settings'!$E$28:$F$33,2,FALSE)+1),1)</f>
        <v>31.9625602492261</v>
      </c>
      <c r="T43" s="48">
        <f>VLOOKUP(B43,'Player Data'!$A1:$AE734,8,FALSE)*$Q43*_xlfn.IFERROR((VLOOKUP(P43,'Settings'!$E$28:$F$33,2,FALSE)+1),1)</f>
        <v>42.4718521169907</v>
      </c>
      <c r="U43" s="48">
        <f>SUM(S43:T43)</f>
        <v>74.4344123662168</v>
      </c>
      <c r="V43" s="48">
        <f>VLOOKUP(B43,'Player Data'!$A1:$AE734,10,FALSE)*$Q43*_xlfn.IFERROR(((VLOOKUP(P43,'Settings'!$E$28:$F$33,2,FALSE)/2)+1),1)</f>
        <v>314.119742942474</v>
      </c>
      <c r="W43" s="48">
        <f>VLOOKUP(B43,'Player Data'!$A1:$AE734,11,FALSE)*$Q43*_xlfn.IFERROR((VLOOKUP(P43,'Settings'!$E$28:$F$33,2,FALSE)+1),1)</f>
        <v>9.49609814349242</v>
      </c>
      <c r="X43" s="48">
        <f>VLOOKUP(B43,'Player Data'!$A1:$AE734,12,FALSE)*$Q43*_xlfn.IFERROR((VLOOKUP(P43,'Settings'!$E$28:$F$33,2,FALSE)+1),1)</f>
        <v>22.8114080903756</v>
      </c>
      <c r="Y43" s="48">
        <f>VLOOKUP(B43,'Player Data'!$A1:$AE734,13,FALSE)*$Q43</f>
        <v>0.0254081012762371</v>
      </c>
      <c r="Z43" s="48">
        <f>VLOOKUP(B43,'Player Data'!$A1:$AE734,14,FALSE)*$Q43</f>
        <v>0.0462205953974423</v>
      </c>
      <c r="AA43" s="48">
        <f>VLOOKUP(B43,'Player Data'!$A1:$AE734,15,FALSE)*$Q43</f>
        <v>16.3384573358339</v>
      </c>
      <c r="AB43" s="48">
        <f>VLOOKUP(B43,'Player Data'!$A1:$AE734,16,FALSE)*$Q43</f>
        <v>232.523732158253</v>
      </c>
      <c r="AC43" s="48">
        <f>VLOOKUP(B43,'Player Data'!$A1:$AE734,17,FALSE)*$Q43*_xlfn.IFERROR((VLOOKUP(P43,'Settings'!$E$28:$F$33,2,FALSE)+1),1)</f>
        <v>2.62493727922768</v>
      </c>
      <c r="AD43" s="48">
        <f>VLOOKUP(B43,'Player Data'!$A1:$AE734,18,FALSE)*$Q43</f>
        <v>86.82928978225451</v>
      </c>
      <c r="AE43" s="48">
        <f>VLOOKUP(B43,'Player Data'!$A1:$AE734,19,FALSE)*$Q43*_xlfn.IFERROR((VLOOKUP(P43,'Settings'!$E$28:$F$33,2,FALSE)+1),1)</f>
        <v>4.80671864948001</v>
      </c>
      <c r="AF43" s="48">
        <f>VLOOKUP(B43,'Player Data'!$A1:$AE734,20,FALSE)*$Q43</f>
        <v>320.027045586716</v>
      </c>
      <c r="AG43" s="48">
        <f>VLOOKUP(B43,'Player Data'!$A1:$AE734,21,FALSE)*$Q43</f>
        <v>335.327456071592</v>
      </c>
      <c r="AH43" s="49">
        <f>VLOOKUP(B43,'Player Data'!$A1:$AE734,22,FALSE)</f>
        <v>0.488326615254675</v>
      </c>
      <c r="AI43" s="46"/>
      <c r="AJ43" s="48"/>
      <c r="AK43" s="48"/>
      <c r="AL43" s="48"/>
      <c r="AM43" s="48"/>
      <c r="AN43" s="48"/>
      <c r="AO43" s="48"/>
      <c r="AP43" s="48"/>
      <c r="AQ43" s="51"/>
      <c r="AR43" s="52"/>
      <c r="AS43" s="46"/>
    </row>
    <row r="44" ht="21.25" customHeight="1">
      <c r="A44" s="53">
        <f>RANK(K44,K2:K730)</f>
        <v>48</v>
      </c>
      <c r="B44" t="s" s="8">
        <v>180</v>
      </c>
      <c r="C44" t="s" s="39">
        <v>106</v>
      </c>
      <c r="D44" t="s" s="40">
        <f>VLOOKUP(B44,'Player Data'!A1:D734,4,FALSE)</f>
        <v>118</v>
      </c>
      <c r="E44" s="54">
        <f>VLOOKUP(B44,'LW'!A1:C156,3,FALSE)</f>
        <v>14</v>
      </c>
      <c r="F44" t="s" s="42">
        <f>VLOOKUP(B44,'Player Data'!A1:B734,2,FALSE)</f>
        <v>134</v>
      </c>
      <c r="G44" s="9">
        <f>VLOOKUP(B44,'Player Data'!A1:D734,3,FALSE)</f>
        <v>22</v>
      </c>
      <c r="H44" s="43">
        <f>_xlfn.IFERROR(VLOOKUP(B44,'ADP'!A1:G731,7,FALSE)/1000000,VLOOKUP(B44,'ADP'!A1:G731,7,FALSE))</f>
        <v>7</v>
      </c>
      <c r="I44" s="44">
        <f>IF('Settings'!$E$15="POINTS",((R44*Q44)*'Settings'!$B$12)+(S44*'Settings'!$B$2)+(T44*'Settings'!$B$3)+(U44*'Settings'!$B$4)+(V44*'Settings'!$B$5)+(X44*'Settings'!$B$9)+(AA44*'Settings'!$B$6)+(W44*'Settings'!$B$8)+(AB44*'Settings'!$B$7)+(AC44*'Settings'!$B$14)+(AD44*'Settings'!$B$15)+(AE44*'Settings'!$B$16)+(AF44*'Settings'!$B$17)+(AG44*'Settings'!$B$18)+(Y44*'Settings'!$B$10)+(Z44*'Settings'!$B$11),VLOOKUP(B44,'Standard Deviations'!A1:C731,3,FALSE))</f>
        <v>442.531869414092</v>
      </c>
      <c r="J44" s="45">
        <f>IF(D44="G",I44/AJ44,I44/Q44)</f>
        <v>5.59458747679004</v>
      </c>
      <c r="K44" s="44">
        <f>IF('Settings'!$E$18="C/LW/RW",VLOOKUP(B44,'RW'!A1:F132,6,FALSE),VLOOKUP(B44,'F'!A1:F432,6,FALSE))</f>
        <v>60.903305707736</v>
      </c>
      <c r="L44" s="44">
        <f>_xlfn.IFERROR(K44/H44,"N/A")</f>
        <v>8.70047224396229</v>
      </c>
      <c r="M44" s="46">
        <f>IF('Settings'!$E$9="YAHOO",VLOOKUP(B44,'ADP'!A1:E731,2,FALSE),IF('Settings'!$E$9="ESPN",VLOOKUP(B44,'ADP'!A1:E731,3,FALSE),IF('Settings'!$E$9="FANTRAX",VLOOKUP(B44,'ADP'!A1:E731,4,FALSE),VLOOKUP(B44,'ADP'!A1:E731,5,FALSE))))</f>
        <v>82.92</v>
      </c>
      <c r="N44" s="46">
        <f>_xlfn.IFERROR(M44-A44,"N/A")</f>
        <v>34.92</v>
      </c>
      <c r="O44" s="46"/>
      <c r="P44" t="s" s="47">
        <f>IF('Settings'!$E$27="ON",VLOOKUP(B44,'ADP'!A1:H731,8,FALSE)," ")</f>
        <v>116</v>
      </c>
      <c r="Q44" s="48">
        <f>IF('Settings'!$E$12="YES",VLOOKUP(B44,'Player Data'!A1:E734,5,FALSE),82)</f>
        <v>79.09999999999999</v>
      </c>
      <c r="R44" s="46">
        <f>VLOOKUP(B44,'Player Data'!$A1:$AE734,6,FALSE)</f>
        <v>19.0849791416092</v>
      </c>
      <c r="S44" s="48">
        <f>VLOOKUP(B44,'Player Data'!$A1:$AE734,7,FALSE)*$Q44*_xlfn.IFERROR((VLOOKUP(P44,'Settings'!$E$28:$F$33,2,FALSE)+1),1)</f>
        <v>34.2711918395151</v>
      </c>
      <c r="T44" s="48">
        <f>VLOOKUP(B44,'Player Data'!$A1:$AE734,8,FALSE)*$Q44*_xlfn.IFERROR((VLOOKUP(P44,'Settings'!$E$28:$F$33,2,FALSE)+1),1)</f>
        <v>42.3838655072568</v>
      </c>
      <c r="U44" s="48">
        <f>SUM(S44:T44)</f>
        <v>76.6550573467719</v>
      </c>
      <c r="V44" s="48">
        <f>VLOOKUP(B44,'Player Data'!$A1:$AE734,10,FALSE)*$Q44*_xlfn.IFERROR(((VLOOKUP(P44,'Settings'!$E$28:$F$33,2,FALSE)/2)+1),1)</f>
        <v>258.193360525827</v>
      </c>
      <c r="W44" s="48">
        <f>VLOOKUP(B44,'Player Data'!$A1:$AE734,11,FALSE)*$Q44*_xlfn.IFERROR((VLOOKUP(P44,'Settings'!$E$28:$F$33,2,FALSE)+1),1)</f>
        <v>8.931060529256021</v>
      </c>
      <c r="X44" s="48">
        <f>VLOOKUP(B44,'Player Data'!$A1:$AE734,12,FALSE)*$Q44*_xlfn.IFERROR((VLOOKUP(P44,'Settings'!$E$28:$F$33,2,FALSE)+1),1)</f>
        <v>28.1123206856745</v>
      </c>
      <c r="Y44" s="48">
        <f>VLOOKUP(B44,'Player Data'!$A1:$AE734,13,FALSE)*$Q44</f>
        <v>0.06436378341364229</v>
      </c>
      <c r="Z44" s="48">
        <f>VLOOKUP(B44,'Player Data'!$A1:$AE734,14,FALSE)*$Q44</f>
        <v>0.117260986553427</v>
      </c>
      <c r="AA44" s="48">
        <f>VLOOKUP(B44,'Player Data'!$A1:$AE734,15,FALSE)*$Q44</f>
        <v>31.3263992206251</v>
      </c>
      <c r="AB44" s="48">
        <f>VLOOKUP(B44,'Player Data'!$A1:$AE734,16,FALSE)*$Q44</f>
        <v>64.6620310726848</v>
      </c>
      <c r="AC44" s="48">
        <f>VLOOKUP(B44,'Player Data'!$A1:$AE734,17,FALSE)*$Q44*_xlfn.IFERROR((VLOOKUP(P44,'Settings'!$E$28:$F$33,2,FALSE)+1),1)</f>
        <v>4.32586945015144</v>
      </c>
      <c r="AD44" s="48">
        <f>VLOOKUP(B44,'Player Data'!$A1:$AE734,18,FALSE)*$Q44</f>
        <v>35.3060829794097</v>
      </c>
      <c r="AE44" s="48">
        <f>VLOOKUP(B44,'Player Data'!$A1:$AE734,19,FALSE)*$Q44*_xlfn.IFERROR((VLOOKUP(P44,'Settings'!$E$28:$F$33,2,FALSE)+1),1)</f>
        <v>5.50314514168935</v>
      </c>
      <c r="AF44" s="48">
        <f>VLOOKUP(B44,'Player Data'!$A1:$AE734,20,FALSE)*$Q44</f>
        <v>66.4943465679053</v>
      </c>
      <c r="AG44" s="48">
        <f>VLOOKUP(B44,'Player Data'!$A1:$AE734,21,FALSE)*$Q44</f>
        <v>67.244553236005</v>
      </c>
      <c r="AH44" s="49">
        <f>VLOOKUP(B44,'Player Data'!$A1:$AE734,22,FALSE)</f>
        <v>0.497195256319591</v>
      </c>
      <c r="AI44" s="46"/>
      <c r="AJ44" s="50"/>
      <c r="AK44" s="48"/>
      <c r="AL44" s="48"/>
      <c r="AM44" s="48"/>
      <c r="AN44" s="48"/>
      <c r="AO44" s="48"/>
      <c r="AP44" s="48"/>
      <c r="AQ44" s="51"/>
      <c r="AR44" s="52"/>
      <c r="AS44" s="46"/>
    </row>
    <row r="45" ht="21.25" customHeight="1">
      <c r="A45" s="53">
        <f>RANK(K45,K2:K730)</f>
        <v>61</v>
      </c>
      <c r="B45" t="s" s="8">
        <v>181</v>
      </c>
      <c r="C45" t="s" s="39">
        <v>106</v>
      </c>
      <c r="D45" t="s" s="40">
        <f>VLOOKUP(B45,'Player Data'!A1:D734,4,FALSE)</f>
        <v>107</v>
      </c>
      <c r="E45" s="41">
        <f>VLOOKUP(B45,'C'!A1:C218,3,FALSE)</f>
        <v>17</v>
      </c>
      <c r="F45" t="s" s="42">
        <f>VLOOKUP(B45,'Player Data'!A1:B734,2,FALSE)</f>
        <v>115</v>
      </c>
      <c r="G45" s="9">
        <f>VLOOKUP(B45,'Player Data'!A1:D734,3,FALSE)</f>
        <v>32</v>
      </c>
      <c r="H45" s="43">
        <f>_xlfn.IFERROR(VLOOKUP(B45,'ADP'!A1:G731,7,FALSE)/1000000,VLOOKUP(B45,'ADP'!A1:G731,7,FALSE))</f>
        <v>11</v>
      </c>
      <c r="I45" s="44">
        <f>IF('Settings'!$E$15="POINTS",((R45*Q45)*'Settings'!$B$12)+(S45*'Settings'!$B$2)+(T45*'Settings'!$B$3)+(U45*'Settings'!$B$4)+(V45*'Settings'!$B$5)+(X45*'Settings'!$B$9)+(AA45*'Settings'!$B$6)+(W45*'Settings'!$B$8)+(AB45*'Settings'!$B$7)+(AC45*'Settings'!$B$14)+(AD45*'Settings'!$B$15)+(AE45*'Settings'!$B$16)+(AF45*'Settings'!$B$17)+(AG45*'Settings'!$B$18)+(Y45*'Settings'!$B$10)+(Z45*'Settings'!$B$11),VLOOKUP(B45,'Standard Deviations'!A1:C731,3,FALSE))</f>
        <v>446.554781156434</v>
      </c>
      <c r="J45" s="45">
        <f>IF(D45="G",I45/AJ45,I45/Q45)</f>
        <v>5.49521342755187</v>
      </c>
      <c r="K45" s="44">
        <f>IF('Settings'!$E$18="C/LW/RW",VLOOKUP(B45,'C'!A1:F218,6,FALSE),VLOOKUP(B45,'F'!A1:F432,6,FALSE))</f>
        <v>50.780579520419</v>
      </c>
      <c r="L45" s="44">
        <f>_xlfn.IFERROR(K45/H45,"N/A")</f>
        <v>4.61641632003809</v>
      </c>
      <c r="M45" s="46">
        <f>IF('Settings'!$E$9="YAHOO",VLOOKUP(B45,'ADP'!A1:E731,2,FALSE),IF('Settings'!$E$9="ESPN",VLOOKUP(B45,'ADP'!A1:E731,3,FALSE),IF('Settings'!$E$9="FANTRAX",VLOOKUP(B45,'ADP'!A1:E731,4,FALSE),VLOOKUP(B45,'ADP'!A1:E731,5,FALSE))))</f>
        <v>37.36</v>
      </c>
      <c r="N45" s="46">
        <f>_xlfn.IFERROR(M45-A45,"N/A")</f>
        <v>-23.64</v>
      </c>
      <c r="O45" s="46"/>
      <c r="P45" t="s" s="47">
        <f>IF('Settings'!$E$27="ON",VLOOKUP(B45,'ADP'!A1:H731,8,FALSE)," ")</f>
        <v>109</v>
      </c>
      <c r="Q45" s="48">
        <f>IF('Settings'!$E$12="YES",VLOOKUP(B45,'Player Data'!A1:E734,5,FALSE),82)</f>
        <v>81.2625</v>
      </c>
      <c r="R45" s="46">
        <f>VLOOKUP(B45,'Player Data'!$A1:$AE734,6,FALSE)</f>
        <v>17.5896654537348</v>
      </c>
      <c r="S45" s="48">
        <f>VLOOKUP(B45,'Player Data'!$A1:$AE734,7,FALSE)*$Q45*_xlfn.IFERROR((VLOOKUP(P45,'Settings'!$E$28:$F$33,2,FALSE)+1),1)</f>
        <v>30.5375160937269</v>
      </c>
      <c r="T45" s="48">
        <f>VLOOKUP(B45,'Player Data'!$A1:$AE734,8,FALSE)*$Q45*_xlfn.IFERROR((VLOOKUP(P45,'Settings'!$E$28:$F$33,2,FALSE)+1),1)</f>
        <v>44.4998871337491</v>
      </c>
      <c r="U45" s="48">
        <f>SUM(S45:T45)</f>
        <v>75.03740322747601</v>
      </c>
      <c r="V45" s="48">
        <f>VLOOKUP(B45,'Player Data'!$A1:$AE734,10,FALSE)*$Q45*_xlfn.IFERROR(((VLOOKUP(P45,'Settings'!$E$28:$F$33,2,FALSE)/2)+1),1)</f>
        <v>262.495966639393</v>
      </c>
      <c r="W45" s="48">
        <f>VLOOKUP(B45,'Player Data'!$A1:$AE734,11,FALSE)*$Q45*_xlfn.IFERROR((VLOOKUP(P45,'Settings'!$E$28:$F$33,2,FALSE)+1),1)</f>
        <v>13.975881902466</v>
      </c>
      <c r="X45" s="48">
        <f>VLOOKUP(B45,'Player Data'!$A1:$AE734,12,FALSE)*$Q45*_xlfn.IFERROR((VLOOKUP(P45,'Settings'!$E$28:$F$33,2,FALSE)+1),1)</f>
        <v>32.3694175585216</v>
      </c>
      <c r="Y45" s="48">
        <f>VLOOKUP(B45,'Player Data'!$A1:$AE734,13,FALSE)*$Q45</f>
        <v>0.00577055653089271</v>
      </c>
      <c r="Z45" s="48">
        <f>VLOOKUP(B45,'Player Data'!$A1:$AE734,14,FALSE)*$Q45</f>
        <v>0.0106290623914591</v>
      </c>
      <c r="AA45" s="48">
        <f>VLOOKUP(B45,'Player Data'!$A1:$AE734,15,FALSE)*$Q45</f>
        <v>38.0048315743116</v>
      </c>
      <c r="AB45" s="48">
        <f>VLOOKUP(B45,'Player Data'!$A1:$AE734,16,FALSE)*$Q45</f>
        <v>101.458560407122</v>
      </c>
      <c r="AC45" s="48">
        <f>VLOOKUP(B45,'Player Data'!$A1:$AE734,17,FALSE)*$Q45*_xlfn.IFERROR((VLOOKUP(P45,'Settings'!$E$28:$F$33,2,FALSE)+1),1)</f>
        <v>5.19655534347577</v>
      </c>
      <c r="AD45" s="48">
        <f>VLOOKUP(B45,'Player Data'!$A1:$AE734,18,FALSE)*$Q45</f>
        <v>31.544194997489</v>
      </c>
      <c r="AE45" s="48">
        <f>VLOOKUP(B45,'Player Data'!$A1:$AE734,19,FALSE)*$Q45*_xlfn.IFERROR((VLOOKUP(P45,'Settings'!$E$28:$F$33,2,FALSE)+1),1)</f>
        <v>4.90584384370849</v>
      </c>
      <c r="AF45" s="48">
        <f>VLOOKUP(B45,'Player Data'!$A1:$AE734,20,FALSE)*$Q45</f>
        <v>741.897786817868</v>
      </c>
      <c r="AG45" s="48">
        <f>VLOOKUP(B45,'Player Data'!$A1:$AE734,21,FALSE)*$Q45</f>
        <v>523.695324284510</v>
      </c>
      <c r="AH45" s="49">
        <f>VLOOKUP(B45,'Player Data'!$A1:$AE734,22,FALSE)</f>
        <v>0.58620561403945</v>
      </c>
      <c r="AI45" s="46"/>
      <c r="AJ45" s="48"/>
      <c r="AK45" s="48"/>
      <c r="AL45" s="48"/>
      <c r="AM45" s="48"/>
      <c r="AN45" s="48"/>
      <c r="AO45" s="48"/>
      <c r="AP45" s="48"/>
      <c r="AQ45" s="51"/>
      <c r="AR45" s="52"/>
      <c r="AS45" s="46"/>
    </row>
    <row r="46" ht="21.25" customHeight="1">
      <c r="A46" s="53">
        <f>RANK(K46,K2:K730)</f>
        <v>36</v>
      </c>
      <c r="B46" t="s" s="8">
        <v>182</v>
      </c>
      <c r="C46" t="s" s="39">
        <v>106</v>
      </c>
      <c r="D46" t="s" s="40">
        <f>VLOOKUP(B46,'Player Data'!A1:D734,4,FALSE)</f>
        <v>133</v>
      </c>
      <c r="E46" s="57">
        <f>VLOOKUP(B46,'LW'!A1:C156,3,FALSE)</f>
        <v>11</v>
      </c>
      <c r="F46" t="s" s="42">
        <f>VLOOKUP(B46,'Player Data'!A1:B734,2,FALSE)</f>
        <v>170</v>
      </c>
      <c r="G46" s="9">
        <f>VLOOKUP(B46,'Player Data'!A1:D734,3,FALSE)</f>
        <v>28</v>
      </c>
      <c r="H46" s="43">
        <f>_xlfn.IFERROR(VLOOKUP(B46,'ADP'!A1:G731,7,FALSE)/1000000,VLOOKUP(B46,'ADP'!A1:G731,7,FALSE))</f>
        <v>6</v>
      </c>
      <c r="I46" s="44">
        <f>IF('Settings'!$E$15="POINTS",((R46*Q46)*'Settings'!$B$12)+(S46*'Settings'!$B$2)+(T46*'Settings'!$B$3)+(U46*'Settings'!$B$4)+(V46*'Settings'!$B$5)+(X46*'Settings'!$B$9)+(AA46*'Settings'!$B$6)+(W46*'Settings'!$B$8)+(AB46*'Settings'!$B$7)+(AC46*'Settings'!$B$14)+(AD46*'Settings'!$B$15)+(AE46*'Settings'!$B$16)+(AF46*'Settings'!$B$17)+(AG46*'Settings'!$B$18)+(Y46*'Settings'!$B$10)+(Z46*'Settings'!$B$11),VLOOKUP(B46,'Standard Deviations'!A1:C731,3,FALSE))</f>
        <v>463.518644352683</v>
      </c>
      <c r="J46" s="45">
        <f>IF(D46="G",I46/AJ46,I46/Q46)</f>
        <v>5.75835324371306</v>
      </c>
      <c r="K46" s="44">
        <f>IF('Settings'!$E$18="C/LW/RW",VLOOKUP(B46,'LW'!A1:F156,6,FALSE),VLOOKUP(B46,'F'!A1:F432,6,FALSE))</f>
        <v>81.89008064632699</v>
      </c>
      <c r="L46" s="44">
        <f>_xlfn.IFERROR(K46/H46,"N/A")</f>
        <v>13.6483467743878</v>
      </c>
      <c r="M46" s="46">
        <f>IF('Settings'!$E$9="YAHOO",VLOOKUP(B46,'ADP'!A1:E731,2,FALSE),IF('Settings'!$E$9="ESPN",VLOOKUP(B46,'ADP'!A1:E731,3,FALSE),IF('Settings'!$E$9="FANTRAX",VLOOKUP(B46,'ADP'!A1:E731,4,FALSE),VLOOKUP(B46,'ADP'!A1:E731,5,FALSE))))</f>
        <v>38.2</v>
      </c>
      <c r="N46" s="46">
        <f>_xlfn.IFERROR(M46-A46,"N/A")</f>
        <v>2.2</v>
      </c>
      <c r="O46" s="46"/>
      <c r="P46" t="s" s="47">
        <f>IF('Settings'!$E$27="ON",VLOOKUP(B46,'ADP'!A1:H731,8,FALSE)," ")</f>
        <v>109</v>
      </c>
      <c r="Q46" s="48">
        <f>IF('Settings'!$E$12="YES",VLOOKUP(B46,'Player Data'!A1:E734,5,FALSE),82)</f>
        <v>80.495</v>
      </c>
      <c r="R46" s="46">
        <f>VLOOKUP(B46,'Player Data'!$A1:$AE734,6,FALSE)</f>
        <v>19.9588756699158</v>
      </c>
      <c r="S46" s="48">
        <f>VLOOKUP(B46,'Player Data'!$A1:$AE734,7,FALSE)*$Q46*_xlfn.IFERROR((VLOOKUP(P46,'Settings'!$E$28:$F$33,2,FALSE)+1),1)</f>
        <v>37.3363741209646</v>
      </c>
      <c r="T46" s="48">
        <f>VLOOKUP(B46,'Player Data'!$A1:$AE734,8,FALSE)*$Q46*_xlfn.IFERROR((VLOOKUP(P46,'Settings'!$E$28:$F$33,2,FALSE)+1),1)</f>
        <v>43.0821786015781</v>
      </c>
      <c r="U46" s="48">
        <f>SUM(S46:T46)</f>
        <v>80.4185527225427</v>
      </c>
      <c r="V46" s="48">
        <f>VLOOKUP(B46,'Player Data'!$A1:$AE734,10,FALSE)*$Q46*_xlfn.IFERROR(((VLOOKUP(P46,'Settings'!$E$28:$F$33,2,FALSE)/2)+1),1)</f>
        <v>248.786149245583</v>
      </c>
      <c r="W46" s="48">
        <f>VLOOKUP(B46,'Player Data'!$A1:$AE734,11,FALSE)*$Q46*_xlfn.IFERROR((VLOOKUP(P46,'Settings'!$E$28:$F$33,2,FALSE)+1),1)</f>
        <v>9.87848420330063</v>
      </c>
      <c r="X46" s="48">
        <f>VLOOKUP(B46,'Player Data'!$A1:$AE734,12,FALSE)*$Q46*_xlfn.IFERROR((VLOOKUP(P46,'Settings'!$E$28:$F$33,2,FALSE)+1),1)</f>
        <v>24.1404465567188</v>
      </c>
      <c r="Y46" s="48">
        <f>VLOOKUP(B46,'Player Data'!$A1:$AE734,13,FALSE)*$Q46</f>
        <v>0.0175510402383905</v>
      </c>
      <c r="Z46" s="48">
        <f>VLOOKUP(B46,'Player Data'!$A1:$AE734,14,FALSE)*$Q46</f>
        <v>0.0320796378605398</v>
      </c>
      <c r="AA46" s="48">
        <f>VLOOKUP(B46,'Player Data'!$A1:$AE734,15,FALSE)*$Q46</f>
        <v>44.1495931619699</v>
      </c>
      <c r="AB46" s="48">
        <f>VLOOKUP(B46,'Player Data'!$A1:$AE734,16,FALSE)*$Q46</f>
        <v>78.90557809644299</v>
      </c>
      <c r="AC46" s="48">
        <f>VLOOKUP(B46,'Player Data'!$A1:$AE734,17,FALSE)*$Q46*_xlfn.IFERROR((VLOOKUP(P46,'Settings'!$E$28:$F$33,2,FALSE)+1),1)</f>
        <v>3.77177845025568</v>
      </c>
      <c r="AD46" s="48">
        <f>VLOOKUP(B46,'Player Data'!$A1:$AE734,18,FALSE)*$Q46</f>
        <v>44.6626932336447</v>
      </c>
      <c r="AE46" s="48">
        <f>VLOOKUP(B46,'Player Data'!$A1:$AE734,19,FALSE)*$Q46*_xlfn.IFERROR((VLOOKUP(P46,'Settings'!$E$28:$F$33,2,FALSE)+1),1)</f>
        <v>5.99323564866316</v>
      </c>
      <c r="AF46" s="48">
        <f>VLOOKUP(B46,'Player Data'!$A1:$AE734,20,FALSE)*$Q46</f>
        <v>8.236873235638649</v>
      </c>
      <c r="AG46" s="48">
        <f>VLOOKUP(B46,'Player Data'!$A1:$AE734,21,FALSE)*$Q46</f>
        <v>9.6852416103557</v>
      </c>
      <c r="AH46" s="49">
        <f>VLOOKUP(B46,'Player Data'!$A1:$AE734,22,FALSE)</f>
        <v>0.459592704679026</v>
      </c>
      <c r="AI46" s="46"/>
      <c r="AJ46" s="50"/>
      <c r="AK46" s="48"/>
      <c r="AL46" s="48"/>
      <c r="AM46" s="48"/>
      <c r="AN46" s="48"/>
      <c r="AO46" s="48"/>
      <c r="AP46" s="48"/>
      <c r="AQ46" s="51"/>
      <c r="AR46" s="52"/>
      <c r="AS46" s="46"/>
    </row>
    <row r="47" ht="21.25" customHeight="1">
      <c r="A47" s="53">
        <f>RANK(K47,K2:K730)</f>
        <v>37</v>
      </c>
      <c r="B47" t="s" s="8">
        <v>183</v>
      </c>
      <c r="C47" t="s" s="39">
        <v>106</v>
      </c>
      <c r="D47" t="s" s="40">
        <f>VLOOKUP(B47,'Player Data'!A1:D734,4,FALSE)</f>
        <v>129</v>
      </c>
      <c r="E47" s="56">
        <f>VLOOKUP(B47,'D'!A1:C228,3,FALSE)</f>
        <v>5</v>
      </c>
      <c r="F47" t="s" s="42">
        <f>VLOOKUP(B47,'Player Data'!A1:B734,2,FALSE)</f>
        <v>184</v>
      </c>
      <c r="G47" s="9">
        <f>VLOOKUP(B47,'Player Data'!A1:D734,3,FALSE)</f>
        <v>22</v>
      </c>
      <c r="H47" s="43">
        <f>_xlfn.IFERROR(VLOOKUP(B47,'ADP'!A1:G731,7,FALSE)/1000000,VLOOKUP(B47,'ADP'!A1:G731,7,FALSE))</f>
        <v>0.863</v>
      </c>
      <c r="I47" s="44">
        <f>IF('Settings'!$E$15="POINTS",((R47*Q47)*'Settings'!$B$12)+(S47*'Settings'!$B$2)+(T47*'Settings'!$B$3)+(U47*'Settings'!$B$4)+(V47*'Settings'!$B$5)+(X47*'Settings'!$B$9)+(AA47*'Settings'!$B$6)+(W47*'Settings'!$B$8)+(AB47*'Settings'!$B$7)+(AC47*'Settings'!$B$14)+(AD47*'Settings'!$B$15)+(AE47*'Settings'!$B$16)+(AF47*'Settings'!$B$17)+(AG47*'Settings'!$B$18)+(U47*'Settings'!$B$13)+(Y47*'Settings'!$B$10)+(Z47*'Settings'!$B$11),VLOOKUP(B47,'Standard Deviations'!A1:C731,3,FALSE))</f>
        <v>422.477848580799</v>
      </c>
      <c r="J47" s="45">
        <f>IF(D47="G",I47/AJ47,I47/Q47)</f>
        <v>5.1502846346556</v>
      </c>
      <c r="K47" s="44">
        <f>VLOOKUP(B47,'D'!A1:F228,6,FALSE)</f>
        <v>81.74270993427599</v>
      </c>
      <c r="L47" s="44">
        <f>_xlfn.IFERROR(K47/H47,"N/A")</f>
        <v>94.7192467372839</v>
      </c>
      <c r="M47" s="46">
        <f>IF('Settings'!$E$9="YAHOO",VLOOKUP(B47,'ADP'!A1:E731,2,FALSE),IF('Settings'!$E$9="ESPN",VLOOKUP(B47,'ADP'!A1:E731,3,FALSE),IF('Settings'!$E$9="FANTRAX",VLOOKUP(B47,'ADP'!A1:E731,4,FALSE),VLOOKUP(B47,'ADP'!A1:E731,5,FALSE))))</f>
        <v>77.17</v>
      </c>
      <c r="N47" s="46">
        <f>_xlfn.IFERROR(M47-A47,"N/A")</f>
        <v>40.17</v>
      </c>
      <c r="O47" s="46"/>
      <c r="P47" t="s" s="47">
        <f>IF('Settings'!$E$27="ON",VLOOKUP(B47,'ADP'!A1:H731,8,FALSE)," ")</f>
        <v>142</v>
      </c>
      <c r="Q47" s="48">
        <f>IF('Settings'!$E$12="YES",VLOOKUP(B47,'Player Data'!A1:E734,5,FALSE),82)</f>
        <v>82.03</v>
      </c>
      <c r="R47" s="46">
        <f>VLOOKUP(B47,'Player Data'!$A1:$AE734,6,FALSE)</f>
        <v>25.530220788457</v>
      </c>
      <c r="S47" s="48">
        <f>VLOOKUP(B47,'Player Data'!$A1:$AE734,7,FALSE)*$Q47*_xlfn.IFERROR((VLOOKUP(P47,'Settings'!$E$28:$F$33,2,FALSE)+1),1)</f>
        <v>8.325331083332181</v>
      </c>
      <c r="T47" s="48">
        <f>VLOOKUP(B47,'Player Data'!$A1:$AE734,8,FALSE)*$Q47*_xlfn.IFERROR((VLOOKUP(P47,'Settings'!$E$28:$F$33,2,FALSE)+1),1)</f>
        <v>49.7044773897432</v>
      </c>
      <c r="U47" s="48">
        <f>SUM(S47:T47)</f>
        <v>58.0298084730754</v>
      </c>
      <c r="V47" s="48">
        <f>VLOOKUP(B47,'Player Data'!$A1:$AE734,10,FALSE)*$Q47*_xlfn.IFERROR(((VLOOKUP(P47,'Settings'!$E$28:$F$33,2,FALSE)/2)+1),1)</f>
        <v>180.785330838125</v>
      </c>
      <c r="W47" s="48">
        <f>VLOOKUP(B47,'Player Data'!$A1:$AE734,11,FALSE)*$Q47*_xlfn.IFERROR((VLOOKUP(P47,'Settings'!$E$28:$F$33,2,FALSE)+1),1)</f>
        <v>2.42663868760416</v>
      </c>
      <c r="X47" s="48">
        <f>VLOOKUP(B47,'Player Data'!$A1:$AE734,12,FALSE)*$Q47*_xlfn.IFERROR((VLOOKUP(P47,'Settings'!$E$28:$F$33,2,FALSE)+1),1)</f>
        <v>22.4510343240279</v>
      </c>
      <c r="Y47" s="48">
        <f>VLOOKUP(B47,'Player Data'!$A1:$AE734,13,FALSE)*$Q47</f>
        <v>0.619280022949706</v>
      </c>
      <c r="Z47" s="48">
        <f>VLOOKUP(B47,'Player Data'!$A1:$AE734,14,FALSE)*$Q47</f>
        <v>1.98075541398062</v>
      </c>
      <c r="AA47" s="48">
        <f>VLOOKUP(B47,'Player Data'!$A1:$AE734,15,FALSE)*$Q47</f>
        <v>187.546790816488</v>
      </c>
      <c r="AB47" s="48">
        <f>VLOOKUP(B47,'Player Data'!$A1:$AE734,16,FALSE)*$Q47</f>
        <v>191.091419525228</v>
      </c>
      <c r="AC47" s="48">
        <f>VLOOKUP(B47,'Player Data'!$A1:$AE734,17,FALSE)*$Q47*_xlfn.IFERROR((VLOOKUP(P47,'Settings'!$E$28:$F$33,2,FALSE)+1),1)</f>
        <v>-3.95966907215459</v>
      </c>
      <c r="AD47" s="48">
        <f>VLOOKUP(B47,'Player Data'!$A1:$AE734,18,FALSE)*$Q47</f>
        <v>43.1035764911215</v>
      </c>
      <c r="AE47" s="48">
        <f>VLOOKUP(B47,'Player Data'!$A1:$AE734,19,FALSE)*$Q47*_xlfn.IFERROR((VLOOKUP(P47,'Settings'!$E$28:$F$33,2,FALSE)+1),1)</f>
        <v>1.10173984692902</v>
      </c>
      <c r="AF47" s="48">
        <f>VLOOKUP(B47,'Player Data'!$A1:$AE734,20,FALSE)*$Q47</f>
        <v>0</v>
      </c>
      <c r="AG47" s="48">
        <f>VLOOKUP(B47,'Player Data'!$A1:$AE734,21,FALSE)*$Q47</f>
        <v>0</v>
      </c>
      <c r="AH47" s="49">
        <f>VLOOKUP(B47,'Player Data'!$A1:$AE734,22,FALSE)</f>
        <v>0</v>
      </c>
      <c r="AI47" s="46"/>
      <c r="AJ47" s="48"/>
      <c r="AK47" s="48"/>
      <c r="AL47" s="48"/>
      <c r="AM47" s="48"/>
      <c r="AN47" s="48"/>
      <c r="AO47" s="48"/>
      <c r="AP47" s="48"/>
      <c r="AQ47" s="51"/>
      <c r="AR47" s="52"/>
      <c r="AS47" s="46"/>
    </row>
    <row r="48" ht="21.25" customHeight="1">
      <c r="A48" s="53">
        <f>RANK(K48,K2:K730)</f>
        <v>83</v>
      </c>
      <c r="B48" t="s" s="8">
        <v>185</v>
      </c>
      <c r="C48" t="s" s="39">
        <v>106</v>
      </c>
      <c r="D48" t="s" s="40">
        <f>VLOOKUP(B48,'Player Data'!A1:D734,4,FALSE)</f>
        <v>111</v>
      </c>
      <c r="E48" s="54">
        <f>VLOOKUP(B48,'LW'!A1:C156,3,FALSE)</f>
        <v>24</v>
      </c>
      <c r="F48" t="s" s="42">
        <f>VLOOKUP(B48,'Player Data'!A1:B734,2,FALSE)</f>
        <v>108</v>
      </c>
      <c r="G48" s="9">
        <f>VLOOKUP(B48,'Player Data'!A1:D734,3,FALSE)</f>
        <v>30</v>
      </c>
      <c r="H48" s="43">
        <f>_xlfn.IFERROR(VLOOKUP(B48,'ADP'!A1:G731,7,FALSE)/1000000,VLOOKUP(B48,'ADP'!A1:G731,7,FALSE))</f>
        <v>5.125</v>
      </c>
      <c r="I48" s="44">
        <f>IF('Settings'!$E$15="POINTS",((R48*Q48)*'Settings'!$B$12)+(S48*'Settings'!$B$2)+(T48*'Settings'!$B$3)+(U48*'Settings'!$B$4)+(V48*'Settings'!$B$5)+(X48*'Settings'!$B$9)+(AA48*'Settings'!$B$6)+(W48*'Settings'!$B$8)+(AB48*'Settings'!$B$7)+(AC48*'Settings'!$B$14)+(AD48*'Settings'!$B$15)+(AE48*'Settings'!$B$16)+(AF48*'Settings'!$B$17)+(AG48*'Settings'!$B$18)+(Y48*'Settings'!$B$10)+(Z48*'Settings'!$B$11),VLOOKUP(B48,'Standard Deviations'!A1:C731,3,FALSE))</f>
        <v>409.977300222820</v>
      </c>
      <c r="J48" s="45">
        <f>IF(D48="G",I48/AJ48,I48/Q48)</f>
        <v>5.20065981644413</v>
      </c>
      <c r="K48" s="44">
        <f>IF('Settings'!$E$18="C/LW/RW",VLOOKUP(B48,'LW'!A1:F156,6,FALSE),VLOOKUP(B48,'F'!A1:F432,6,FALSE))</f>
        <v>28.348736516464</v>
      </c>
      <c r="L48" s="44">
        <f>_xlfn.IFERROR(K48/H48,"N/A")</f>
        <v>5.53146078370029</v>
      </c>
      <c r="M48" s="46">
        <f>IF('Settings'!$E$9="YAHOO",VLOOKUP(B48,'ADP'!A1:E731,2,FALSE),IF('Settings'!$E$9="ESPN",VLOOKUP(B48,'ADP'!A1:E731,3,FALSE),IF('Settings'!$E$9="FANTRAX",VLOOKUP(B48,'ADP'!A1:E731,4,FALSE),VLOOKUP(B48,'ADP'!A1:E731,5,FALSE))))</f>
        <v>43.43</v>
      </c>
      <c r="N48" s="46">
        <f>_xlfn.IFERROR(M48-A48,"N/A")</f>
        <v>-39.57</v>
      </c>
      <c r="O48" s="46"/>
      <c r="P48" t="s" s="47">
        <f>IF('Settings'!$E$27="ON",VLOOKUP(B48,'ADP'!A1:H731,8,FALSE)," ")</f>
        <v>109</v>
      </c>
      <c r="Q48" s="48">
        <f>IF('Settings'!$E$12="YES",VLOOKUP(B48,'Player Data'!A1:E734,5,FALSE),82)</f>
        <v>78.8317857142857</v>
      </c>
      <c r="R48" s="46">
        <f>VLOOKUP(B48,'Player Data'!$A1:$AE734,6,FALSE)</f>
        <v>19.6516906821647</v>
      </c>
      <c r="S48" s="48">
        <f>VLOOKUP(B48,'Player Data'!$A1:$AE734,7,FALSE)*$Q48*_xlfn.IFERROR((VLOOKUP(P48,'Settings'!$E$28:$F$33,2,FALSE)+1),1)</f>
        <v>26.6506303973128</v>
      </c>
      <c r="T48" s="48">
        <f>VLOOKUP(B48,'Player Data'!$A1:$AE734,8,FALSE)*$Q48*_xlfn.IFERROR((VLOOKUP(P48,'Settings'!$E$28:$F$33,2,FALSE)+1),1)</f>
        <v>52.4989108458929</v>
      </c>
      <c r="U48" s="48">
        <f>SUM(S48:T48)</f>
        <v>79.1495412432057</v>
      </c>
      <c r="V48" s="48">
        <f>VLOOKUP(B48,'Player Data'!$A1:$AE734,10,FALSE)*$Q48*_xlfn.IFERROR(((VLOOKUP(P48,'Settings'!$E$28:$F$33,2,FALSE)/2)+1),1)</f>
        <v>194.131374021369</v>
      </c>
      <c r="W48" s="48">
        <f>VLOOKUP(B48,'Player Data'!$A1:$AE734,11,FALSE)*$Q48*_xlfn.IFERROR((VLOOKUP(P48,'Settings'!$E$28:$F$33,2,FALSE)+1),1)</f>
        <v>10.0122355683331</v>
      </c>
      <c r="X48" s="48">
        <f>VLOOKUP(B48,'Player Data'!$A1:$AE734,12,FALSE)*$Q48*_xlfn.IFERROR((VLOOKUP(P48,'Settings'!$E$28:$F$33,2,FALSE)+1),1)</f>
        <v>39.0135847177334</v>
      </c>
      <c r="Y48" s="48">
        <f>VLOOKUP(B48,'Player Data'!$A1:$AE734,13,FALSE)*$Q48</f>
        <v>1.42665077056844</v>
      </c>
      <c r="Z48" s="48">
        <f>VLOOKUP(B48,'Player Data'!$A1:$AE734,14,FALSE)*$Q48</f>
        <v>3.5718582309145</v>
      </c>
      <c r="AA48" s="48">
        <f>VLOOKUP(B48,'Player Data'!$A1:$AE734,15,FALSE)*$Q48</f>
        <v>31.1404520299111</v>
      </c>
      <c r="AB48" s="48">
        <f>VLOOKUP(B48,'Player Data'!$A1:$AE734,16,FALSE)*$Q48</f>
        <v>51.0924056390588</v>
      </c>
      <c r="AC48" s="48">
        <f>VLOOKUP(B48,'Player Data'!$A1:$AE734,17,FALSE)*$Q48*_xlfn.IFERROR((VLOOKUP(P48,'Settings'!$E$28:$F$33,2,FALSE)+1),1)</f>
        <v>6.09079888430933</v>
      </c>
      <c r="AD48" s="48">
        <f>VLOOKUP(B48,'Player Data'!$A1:$AE734,18,FALSE)*$Q48</f>
        <v>30.8409085306396</v>
      </c>
      <c r="AE48" s="48">
        <f>VLOOKUP(B48,'Player Data'!$A1:$AE734,19,FALSE)*$Q48*_xlfn.IFERROR((VLOOKUP(P48,'Settings'!$E$28:$F$33,2,FALSE)+1),1)</f>
        <v>4.21850868077555</v>
      </c>
      <c r="AF48" s="48">
        <f>VLOOKUP(B48,'Player Data'!$A1:$AE734,20,FALSE)*$Q48</f>
        <v>261.451919124242</v>
      </c>
      <c r="AG48" s="48">
        <f>VLOOKUP(B48,'Player Data'!$A1:$AE734,21,FALSE)*$Q48</f>
        <v>333.347928869431</v>
      </c>
      <c r="AH48" s="49">
        <f>VLOOKUP(B48,'Player Data'!$A1:$AE734,22,FALSE)</f>
        <v>0.439562854641185</v>
      </c>
      <c r="AI48" s="46"/>
      <c r="AJ48" s="48"/>
      <c r="AK48" s="48"/>
      <c r="AL48" s="48"/>
      <c r="AM48" s="48"/>
      <c r="AN48" s="48"/>
      <c r="AO48" s="48"/>
      <c r="AP48" s="48"/>
      <c r="AQ48" s="51"/>
      <c r="AR48" s="52"/>
      <c r="AS48" s="46"/>
    </row>
    <row r="49" ht="21.25" customHeight="1">
      <c r="A49" s="53">
        <f>RANK(K49,K2:K730)</f>
        <v>40</v>
      </c>
      <c r="B49" t="s" s="8">
        <v>186</v>
      </c>
      <c r="C49" t="s" s="39">
        <v>106</v>
      </c>
      <c r="D49" t="s" s="40">
        <f>VLOOKUP(B49,'Player Data'!A1:D734,4,FALSE)</f>
        <v>187</v>
      </c>
      <c r="E49" s="54">
        <f>VLOOKUP(B49,'RW'!A1:F132,3,FALSE)</f>
        <v>8</v>
      </c>
      <c r="F49" t="s" s="42">
        <f>VLOOKUP(B49,'Player Data'!A1:B734,2,FALSE)</f>
        <v>156</v>
      </c>
      <c r="G49" s="9">
        <f>VLOOKUP(B49,'Player Data'!A1:D734,3,FALSE)</f>
        <v>30</v>
      </c>
      <c r="H49" s="43">
        <f>_xlfn.IFERROR(VLOOKUP(B49,'ADP'!A1:G731,7,FALSE)/1000000,VLOOKUP(B49,'ADP'!A1:G731,7,FALSE))</f>
        <v>8</v>
      </c>
      <c r="I49" s="44">
        <f>IF('Settings'!$E$15="POINTS",((R49*Q49)*'Settings'!$B$12)+(S49*'Settings'!$B$2)+(T49*'Settings'!$B$3)+(U49*'Settings'!$B$4)+(V49*'Settings'!$B$5)+(X49*'Settings'!$B$9)+(AA49*'Settings'!$B$6)+(W49*'Settings'!$B$8)+(AB49*'Settings'!$B$7)+(AC49*'Settings'!$B$14)+(AD49*'Settings'!$B$15)+(AE49*'Settings'!$B$16)+(AF49*'Settings'!$B$17)+(AG49*'Settings'!$B$18)+(Y49*'Settings'!$B$10)+(Z49*'Settings'!$B$11),VLOOKUP(B49,'Standard Deviations'!A1:C731,3,FALSE))</f>
        <v>456.358891763996</v>
      </c>
      <c r="J49" s="45">
        <f>IF(D49="G",I49/AJ49,I49/Q49)</f>
        <v>5.62446309401149</v>
      </c>
      <c r="K49" s="44">
        <f>IF('Settings'!$E$18="C/LW/RW",VLOOKUP(B49,'RW'!A1:F132,6,FALSE),VLOOKUP(B49,'F'!A1:F432,6,FALSE))</f>
        <v>74.73032805763999</v>
      </c>
      <c r="L49" s="44">
        <f>_xlfn.IFERROR(K49/H49,"N/A")</f>
        <v>9.341291007204999</v>
      </c>
      <c r="M49" s="46">
        <f>IF('Settings'!$E$9="YAHOO",VLOOKUP(B49,'ADP'!A1:E731,2,FALSE),IF('Settings'!$E$9="ESPN",VLOOKUP(B49,'ADP'!A1:E731,3,FALSE),IF('Settings'!$E$9="FANTRAX",VLOOKUP(B49,'ADP'!A1:E731,4,FALSE),VLOOKUP(B49,'ADP'!A1:E731,5,FALSE))))</f>
        <v>24.28</v>
      </c>
      <c r="N49" s="46">
        <f>_xlfn.IFERROR(M49-A49,"N/A")</f>
        <v>-15.72</v>
      </c>
      <c r="O49" s="46"/>
      <c r="P49" t="s" s="47">
        <f>IF('Settings'!$E$27="ON",VLOOKUP(B49,'ADP'!A1:H731,8,FALSE)," ")</f>
        <v>175</v>
      </c>
      <c r="Q49" s="48">
        <f>IF('Settings'!$E$12="YES",VLOOKUP(B49,'Player Data'!A1:E734,5,FALSE),82)</f>
        <v>81.1382142857143</v>
      </c>
      <c r="R49" s="46">
        <f>VLOOKUP(B49,'Player Data'!$A1:$AE734,6,FALSE)</f>
        <v>20.0875351690473</v>
      </c>
      <c r="S49" s="48">
        <f>VLOOKUP(B49,'Player Data'!$A1:$AE734,7,FALSE)*$Q49*_xlfn.IFERROR((VLOOKUP(P49,'Settings'!$E$28:$F$33,2,FALSE)+1),1)</f>
        <v>27.9717598908705</v>
      </c>
      <c r="T49" s="48">
        <f>VLOOKUP(B49,'Player Data'!$A1:$AE734,8,FALSE)*$Q49*_xlfn.IFERROR((VLOOKUP(P49,'Settings'!$E$28:$F$33,2,FALSE)+1),1)</f>
        <v>51.1863683431445</v>
      </c>
      <c r="U49" s="48">
        <f>SUM(S49:T49)</f>
        <v>79.158128234015</v>
      </c>
      <c r="V49" s="48">
        <f>VLOOKUP(B49,'Player Data'!$A1:$AE734,10,FALSE)*$Q49*_xlfn.IFERROR(((VLOOKUP(P49,'Settings'!$E$28:$F$33,2,FALSE)/2)+1),1)</f>
        <v>207.935201173220</v>
      </c>
      <c r="W49" s="48">
        <f>VLOOKUP(B49,'Player Data'!$A1:$AE734,11,FALSE)*$Q49*_xlfn.IFERROR((VLOOKUP(P49,'Settings'!$E$28:$F$33,2,FALSE)+1),1)</f>
        <v>8.93320624628241</v>
      </c>
      <c r="X49" s="48">
        <f>VLOOKUP(B49,'Player Data'!$A1:$AE734,12,FALSE)*$Q49*_xlfn.IFERROR((VLOOKUP(P49,'Settings'!$E$28:$F$33,2,FALSE)+1),1)</f>
        <v>30.1217445056324</v>
      </c>
      <c r="Y49" s="48">
        <f>VLOOKUP(B49,'Player Data'!$A1:$AE734,13,FALSE)*$Q49</f>
        <v>1.45791543666768</v>
      </c>
      <c r="Z49" s="48">
        <f>VLOOKUP(B49,'Player Data'!$A1:$AE734,14,FALSE)*$Q49</f>
        <v>2.56476848440389</v>
      </c>
      <c r="AA49" s="48">
        <f>VLOOKUP(B49,'Player Data'!$A1:$AE734,15,FALSE)*$Q49</f>
        <v>48.1681156826784</v>
      </c>
      <c r="AB49" s="48">
        <f>VLOOKUP(B49,'Player Data'!$A1:$AE734,16,FALSE)*$Q49</f>
        <v>174.982687315553</v>
      </c>
      <c r="AC49" s="48">
        <f>VLOOKUP(B49,'Player Data'!$A1:$AE734,17,FALSE)*$Q49*_xlfn.IFERROR((VLOOKUP(P49,'Settings'!$E$28:$F$33,2,FALSE)+1),1)</f>
        <v>-0.570733511532867</v>
      </c>
      <c r="AD49" s="48">
        <f>VLOOKUP(B49,'Player Data'!$A1:$AE734,18,FALSE)*$Q49</f>
        <v>52.9490493742787</v>
      </c>
      <c r="AE49" s="48">
        <f>VLOOKUP(B49,'Player Data'!$A1:$AE734,19,FALSE)*$Q49*_xlfn.IFERROR((VLOOKUP(P49,'Settings'!$E$28:$F$33,2,FALSE)+1),1)</f>
        <v>3.95967251077695</v>
      </c>
      <c r="AF49" s="48">
        <f>VLOOKUP(B49,'Player Data'!$A1:$AE734,20,FALSE)*$Q49</f>
        <v>489.777031186660</v>
      </c>
      <c r="AG49" s="48">
        <f>VLOOKUP(B49,'Player Data'!$A1:$AE734,21,FALSE)*$Q49</f>
        <v>413.396312865999</v>
      </c>
      <c r="AH49" s="49">
        <f>VLOOKUP(B49,'Player Data'!$A1:$AE734,22,FALSE)</f>
        <v>0.542284639390447</v>
      </c>
      <c r="AI49" s="46"/>
      <c r="AJ49" s="50"/>
      <c r="AK49" s="48"/>
      <c r="AL49" s="48"/>
      <c r="AM49" s="48"/>
      <c r="AN49" s="48"/>
      <c r="AO49" s="48"/>
      <c r="AP49" s="48"/>
      <c r="AQ49" s="51"/>
      <c r="AR49" s="52"/>
      <c r="AS49" s="46"/>
    </row>
    <row r="50" ht="21.25" customHeight="1">
      <c r="A50" s="53">
        <f>RANK(K50,K2:K730)</f>
        <v>74</v>
      </c>
      <c r="B50" t="s" s="8">
        <v>188</v>
      </c>
      <c r="C50" t="s" s="39">
        <v>106</v>
      </c>
      <c r="D50" t="s" s="40">
        <f>VLOOKUP(B50,'Player Data'!A1:D734,4,FALSE)</f>
        <v>133</v>
      </c>
      <c r="E50" s="57">
        <f>VLOOKUP(B50,'LW'!A1:C156,3,FALSE)</f>
        <v>21</v>
      </c>
      <c r="F50" t="s" s="42">
        <f>VLOOKUP(B50,'Player Data'!A1:B734,2,FALSE)</f>
        <v>189</v>
      </c>
      <c r="G50" s="9">
        <f>VLOOKUP(B50,'Player Data'!A1:D734,3,FALSE)</f>
        <v>30</v>
      </c>
      <c r="H50" s="43">
        <f>_xlfn.IFERROR(VLOOKUP(B50,'ADP'!A1:G731,7,FALSE)/1000000,VLOOKUP(B50,'ADP'!A1:G731,7,FALSE))</f>
        <v>9.75</v>
      </c>
      <c r="I50" s="44">
        <f>IF('Settings'!$E$15="POINTS",((R50*Q50)*'Settings'!$B$12)+(S50*'Settings'!$B$2)+(T50*'Settings'!$B$3)+(U50*'Settings'!$B$4)+(V50*'Settings'!$B$5)+(X50*'Settings'!$B$9)+(AA50*'Settings'!$B$6)+(W50*'Settings'!$B$8)+(AB50*'Settings'!$B$7)+(AC50*'Settings'!$B$14)+(AD50*'Settings'!$B$15)+(AE50*'Settings'!$B$16)+(AF50*'Settings'!$B$17)+(AG50*'Settings'!$B$18)+(Y50*'Settings'!$B$10)+(Z50*'Settings'!$B$11),VLOOKUP(B50,'Standard Deviations'!A1:C731,3,FALSE))</f>
        <v>419.154061876327</v>
      </c>
      <c r="J50" s="45">
        <f>IF(D50="G",I50/AJ50,I50/Q50)</f>
        <v>5.13197504592993</v>
      </c>
      <c r="K50" s="44">
        <f>IF('Settings'!$E$18="C/LW/RW",VLOOKUP(B50,'LW'!A1:F156,6,FALSE),VLOOKUP(B50,'F'!A1:F432,6,FALSE))</f>
        <v>37.525498169971</v>
      </c>
      <c r="L50" s="44">
        <f>_xlfn.IFERROR(K50/H50,"N/A")</f>
        <v>3.84876904307395</v>
      </c>
      <c r="M50" s="46">
        <f>IF('Settings'!$E$9="YAHOO",VLOOKUP(B50,'ADP'!A1:E731,2,FALSE),IF('Settings'!$E$9="ESPN",VLOOKUP(B50,'ADP'!A1:E731,3,FALSE),IF('Settings'!$E$9="FANTRAX",VLOOKUP(B50,'ADP'!A1:E731,4,FALSE),VLOOKUP(B50,'ADP'!A1:E731,5,FALSE))))</f>
        <v>59.74</v>
      </c>
      <c r="N50" s="46">
        <f>_xlfn.IFERROR(M50-A50,"N/A")</f>
        <v>-14.26</v>
      </c>
      <c r="O50" s="46"/>
      <c r="P50" t="s" s="47">
        <f>IF('Settings'!$E$27="ON",VLOOKUP(B50,'ADP'!A1:H731,8,FALSE)," ")</f>
        <v>175</v>
      </c>
      <c r="Q50" s="48">
        <f>IF('Settings'!$E$12="YES",VLOOKUP(B50,'Player Data'!A1:E734,5,FALSE),82)</f>
        <v>81.675</v>
      </c>
      <c r="R50" s="46">
        <f>VLOOKUP(B50,'Player Data'!$A1:$AE734,6,FALSE)</f>
        <v>19.5911503528963</v>
      </c>
      <c r="S50" s="48">
        <f>VLOOKUP(B50,'Player Data'!$A1:$AE734,7,FALSE)*$Q50*_xlfn.IFERROR((VLOOKUP(P50,'Settings'!$E$28:$F$33,2,FALSE)+1),1)</f>
        <v>27.4686784785813</v>
      </c>
      <c r="T50" s="48">
        <f>VLOOKUP(B50,'Player Data'!$A1:$AE734,8,FALSE)*$Q50*_xlfn.IFERROR((VLOOKUP(P50,'Settings'!$E$28:$F$33,2,FALSE)+1),1)</f>
        <v>56.7646675354959</v>
      </c>
      <c r="U50" s="48">
        <f>SUM(S50:T50)</f>
        <v>84.2333460140772</v>
      </c>
      <c r="V50" s="48">
        <f>VLOOKUP(B50,'Player Data'!$A1:$AE734,10,FALSE)*$Q50*_xlfn.IFERROR(((VLOOKUP(P50,'Settings'!$E$28:$F$33,2,FALSE)/2)+1),1)</f>
        <v>226.393820380750</v>
      </c>
      <c r="W50" s="48">
        <f>VLOOKUP(B50,'Player Data'!$A1:$AE734,11,FALSE)*$Q50*_xlfn.IFERROR((VLOOKUP(P50,'Settings'!$E$28:$F$33,2,FALSE)+1),1)</f>
        <v>5.25401757636597</v>
      </c>
      <c r="X50" s="48">
        <f>VLOOKUP(B50,'Player Data'!$A1:$AE734,12,FALSE)*$Q50*_xlfn.IFERROR((VLOOKUP(P50,'Settings'!$E$28:$F$33,2,FALSE)+1),1)</f>
        <v>23.8216142008246</v>
      </c>
      <c r="Y50" s="48">
        <f>VLOOKUP(B50,'Player Data'!$A1:$AE734,13,FALSE)*$Q50</f>
        <v>0.00661422588516968</v>
      </c>
      <c r="Z50" s="48">
        <f>VLOOKUP(B50,'Player Data'!$A1:$AE734,14,FALSE)*$Q50</f>
        <v>0.0122459268286457</v>
      </c>
      <c r="AA50" s="48">
        <f>VLOOKUP(B50,'Player Data'!$A1:$AE734,15,FALSE)*$Q50</f>
        <v>18.0316346376902</v>
      </c>
      <c r="AB50" s="48">
        <f>VLOOKUP(B50,'Player Data'!$A1:$AE734,16,FALSE)*$Q50</f>
        <v>12.0551470133839</v>
      </c>
      <c r="AC50" s="48">
        <f>VLOOKUP(B50,'Player Data'!$A1:$AE734,17,FALSE)*$Q50*_xlfn.IFERROR((VLOOKUP(P50,'Settings'!$E$28:$F$33,2,FALSE)+1),1)</f>
        <v>-2.52750186469579</v>
      </c>
      <c r="AD50" s="48">
        <f>VLOOKUP(B50,'Player Data'!$A1:$AE734,18,FALSE)*$Q50</f>
        <v>21.4558658203288</v>
      </c>
      <c r="AE50" s="48">
        <f>VLOOKUP(B50,'Player Data'!$A1:$AE734,19,FALSE)*$Q50*_xlfn.IFERROR((VLOOKUP(P50,'Settings'!$E$28:$F$33,2,FALSE)+1),1)</f>
        <v>2.94345802597528</v>
      </c>
      <c r="AF50" s="48">
        <f>VLOOKUP(B50,'Player Data'!$A1:$AE734,20,FALSE)*$Q50</f>
        <v>0.116944971297611</v>
      </c>
      <c r="AG50" s="48">
        <f>VLOOKUP(B50,'Player Data'!$A1:$AE734,21,FALSE)*$Q50</f>
        <v>0.199946350277264</v>
      </c>
      <c r="AH50" s="49">
        <f>VLOOKUP(B50,'Player Data'!$A1:$AE734,22,FALSE)</f>
        <v>0.369038100243395</v>
      </c>
      <c r="AI50" s="46"/>
      <c r="AJ50" s="50"/>
      <c r="AK50" s="48"/>
      <c r="AL50" s="48"/>
      <c r="AM50" s="48"/>
      <c r="AN50" s="48"/>
      <c r="AO50" s="48"/>
      <c r="AP50" s="48"/>
      <c r="AQ50" s="51"/>
      <c r="AR50" s="52"/>
      <c r="AS50" s="46"/>
    </row>
    <row r="51" ht="21.25" customHeight="1">
      <c r="A51" s="53">
        <f>RANK(K51,K2:K730)</f>
        <v>62</v>
      </c>
      <c r="B51" t="s" s="8">
        <v>190</v>
      </c>
      <c r="C51" t="s" s="39">
        <v>106</v>
      </c>
      <c r="D51" t="s" s="40">
        <f>VLOOKUP(B51,'Player Data'!A1:D734,4,FALSE)</f>
        <v>107</v>
      </c>
      <c r="E51" s="41">
        <f>VLOOKUP(B51,'C'!A1:C218,3,FALSE)</f>
        <v>18</v>
      </c>
      <c r="F51" t="s" s="42">
        <f>VLOOKUP(B51,'Player Data'!A1:B734,2,FALSE)</f>
        <v>184</v>
      </c>
      <c r="G51" s="9">
        <f>VLOOKUP(B51,'Player Data'!A1:D734,3,FALSE)</f>
        <v>27</v>
      </c>
      <c r="H51" s="43">
        <f>_xlfn.IFERROR(VLOOKUP(B51,'ADP'!A1:G731,7,FALSE)/1000000,VLOOKUP(B51,'ADP'!A1:G731,7,FALSE))</f>
        <v>8.699999999999999</v>
      </c>
      <c r="I51" s="44">
        <f>IF('Settings'!$E$15="POINTS",((R51*Q51)*'Settings'!$B$12)+(S51*'Settings'!$B$2)+(T51*'Settings'!$B$3)+(U51*'Settings'!$B$4)+(V51*'Settings'!$B$5)+(X51*'Settings'!$B$9)+(AA51*'Settings'!$B$6)+(W51*'Settings'!$B$8)+(AB51*'Settings'!$B$7)+(AC51*'Settings'!$B$14)+(AD51*'Settings'!$B$15)+(AE51*'Settings'!$B$16)+(AF51*'Settings'!$B$17)+(AG51*'Settings'!$B$18)+(Y51*'Settings'!$B$10)+(Z51*'Settings'!$B$11),VLOOKUP(B51,'Standard Deviations'!A1:C731,3,FALSE))</f>
        <v>444.144068374983</v>
      </c>
      <c r="J51" s="45">
        <f>IF(D51="G",I51/AJ51,I51/Q51)</f>
        <v>5.6647158377933</v>
      </c>
      <c r="K51" s="44">
        <f>IF('Settings'!$E$18="C/LW/RW",VLOOKUP(B51,'C'!A1:F218,6,FALSE),VLOOKUP(B51,'F'!A1:F432,6,FALSE))</f>
        <v>48.369866738968</v>
      </c>
      <c r="L51" s="44">
        <f>_xlfn.IFERROR(K51/H51,"N/A")</f>
        <v>5.55975479758253</v>
      </c>
      <c r="M51" s="46">
        <f>IF('Settings'!$E$9="YAHOO",VLOOKUP(B51,'ADP'!A1:E731,2,FALSE),IF('Settings'!$E$9="ESPN",VLOOKUP(B51,'ADP'!A1:E731,3,FALSE),IF('Settings'!$E$9="FANTRAX",VLOOKUP(B51,'ADP'!A1:E731,4,FALSE),VLOOKUP(B51,'ADP'!A1:E731,5,FALSE))))</f>
        <v>59.12</v>
      </c>
      <c r="N51" s="46">
        <f>_xlfn.IFERROR(M51-A51,"N/A")</f>
        <v>-2.88</v>
      </c>
      <c r="O51" s="46"/>
      <c r="P51" t="s" s="47">
        <f>IF('Settings'!$E$27="ON",VLOOKUP(B51,'ADP'!A1:H731,8,FALSE)," ")</f>
        <v>142</v>
      </c>
      <c r="Q51" s="48">
        <f>IF('Settings'!$E$12="YES",VLOOKUP(B51,'Player Data'!A1:E734,5,FALSE),82)</f>
        <v>78.4053571428571</v>
      </c>
      <c r="R51" s="46">
        <f>VLOOKUP(B51,'Player Data'!$A1:$AE734,6,FALSE)</f>
        <v>19.8033006169797</v>
      </c>
      <c r="S51" s="48">
        <f>VLOOKUP(B51,'Player Data'!$A1:$AE734,7,FALSE)*$Q51*_xlfn.IFERROR((VLOOKUP(P51,'Settings'!$E$28:$F$33,2,FALSE)+1),1)</f>
        <v>33.2961828963399</v>
      </c>
      <c r="T51" s="48">
        <f>VLOOKUP(B51,'Player Data'!$A1:$AE734,8,FALSE)*$Q51*_xlfn.IFERROR((VLOOKUP(P51,'Settings'!$E$28:$F$33,2,FALSE)+1),1)</f>
        <v>45.9511617469539</v>
      </c>
      <c r="U51" s="48">
        <f>SUM(S51:T51)</f>
        <v>79.2473446432938</v>
      </c>
      <c r="V51" s="48">
        <f>VLOOKUP(B51,'Player Data'!$A1:$AE734,10,FALSE)*$Q51*_xlfn.IFERROR(((VLOOKUP(P51,'Settings'!$E$28:$F$33,2,FALSE)/2)+1),1)</f>
        <v>248.404589505363</v>
      </c>
      <c r="W51" s="48">
        <f>VLOOKUP(B51,'Player Data'!$A1:$AE734,11,FALSE)*$Q51*_xlfn.IFERROR((VLOOKUP(P51,'Settings'!$E$28:$F$33,2,FALSE)+1),1)</f>
        <v>12.7807847089098</v>
      </c>
      <c r="X51" s="48">
        <f>VLOOKUP(B51,'Player Data'!$A1:$AE734,12,FALSE)*$Q51*_xlfn.IFERROR((VLOOKUP(P51,'Settings'!$E$28:$F$33,2,FALSE)+1),1)</f>
        <v>27.2954911474259</v>
      </c>
      <c r="Y51" s="48">
        <f>VLOOKUP(B51,'Player Data'!$A1:$AE734,13,FALSE)*$Q51</f>
        <v>0.849437495694911</v>
      </c>
      <c r="Z51" s="48">
        <f>VLOOKUP(B51,'Player Data'!$A1:$AE734,14,FALSE)*$Q51</f>
        <v>1.36455813046765</v>
      </c>
      <c r="AA51" s="48">
        <f>VLOOKUP(B51,'Player Data'!$A1:$AE734,15,FALSE)*$Q51</f>
        <v>29.5045433750749</v>
      </c>
      <c r="AB51" s="48">
        <f>VLOOKUP(B51,'Player Data'!$A1:$AE734,16,FALSE)*$Q51</f>
        <v>59.0963095977505</v>
      </c>
      <c r="AC51" s="48">
        <f>VLOOKUP(B51,'Player Data'!$A1:$AE734,17,FALSE)*$Q51*_xlfn.IFERROR((VLOOKUP(P51,'Settings'!$E$28:$F$33,2,FALSE)+1),1)</f>
        <v>-3.14984502348602</v>
      </c>
      <c r="AD51" s="48">
        <f>VLOOKUP(B51,'Player Data'!$A1:$AE734,18,FALSE)*$Q51</f>
        <v>41.4916539218462</v>
      </c>
      <c r="AE51" s="48">
        <f>VLOOKUP(B51,'Player Data'!$A1:$AE734,19,FALSE)*$Q51*_xlfn.IFERROR((VLOOKUP(P51,'Settings'!$E$28:$F$33,2,FALSE)+1),1)</f>
        <v>4.4062789912316</v>
      </c>
      <c r="AF51" s="48">
        <f>VLOOKUP(B51,'Player Data'!$A1:$AE734,20,FALSE)*$Q51</f>
        <v>706.437487172877</v>
      </c>
      <c r="AG51" s="48">
        <f>VLOOKUP(B51,'Player Data'!$A1:$AE734,21,FALSE)*$Q51</f>
        <v>630.171666656339</v>
      </c>
      <c r="AH51" s="49">
        <f>VLOOKUP(B51,'Player Data'!$A1:$AE734,22,FALSE)</f>
        <v>0.528529589333593</v>
      </c>
      <c r="AI51" s="46"/>
      <c r="AJ51" s="50"/>
      <c r="AK51" s="48"/>
      <c r="AL51" s="48"/>
      <c r="AM51" s="48"/>
      <c r="AN51" s="48"/>
      <c r="AO51" s="48"/>
      <c r="AP51" s="48"/>
      <c r="AQ51" s="51"/>
      <c r="AR51" s="52"/>
      <c r="AS51" s="46"/>
    </row>
    <row r="52" ht="21.25" customHeight="1">
      <c r="A52" s="53">
        <f>RANK(K52,K2:K730)</f>
        <v>77</v>
      </c>
      <c r="B52" t="s" s="8">
        <v>191</v>
      </c>
      <c r="C52" t="s" s="39">
        <v>106</v>
      </c>
      <c r="D52" t="s" s="40">
        <f>VLOOKUP(B52,'Player Data'!A1:D734,4,FALSE)</f>
        <v>129</v>
      </c>
      <c r="E52" s="56">
        <f>VLOOKUP(B52,'D'!A1:C228,3,FALSE)</f>
        <v>12</v>
      </c>
      <c r="F52" t="s" s="42">
        <f>VLOOKUP(B52,'Player Data'!A1:B734,2,FALSE)</f>
        <v>164</v>
      </c>
      <c r="G52" s="9">
        <f>VLOOKUP(B52,'Player Data'!A1:D734,3,FALSE)</f>
        <v>28</v>
      </c>
      <c r="H52" s="43">
        <f>_xlfn.IFERROR(VLOOKUP(B52,'ADP'!A1:G731,7,FALSE)/1000000,VLOOKUP(B52,'ADP'!A1:G731,7,FALSE))</f>
        <v>6.25</v>
      </c>
      <c r="I52" s="44">
        <f>IF('Settings'!$E$15="POINTS",((R52*Q52)*'Settings'!$B$12)+(S52*'Settings'!$B$2)+(T52*'Settings'!$B$3)+(U52*'Settings'!$B$4)+(V52*'Settings'!$B$5)+(X52*'Settings'!$B$9)+(AA52*'Settings'!$B$6)+(W52*'Settings'!$B$8)+(AB52*'Settings'!$B$7)+(AC52*'Settings'!$B$14)+(AD52*'Settings'!$B$15)+(AE52*'Settings'!$B$16)+(AF52*'Settings'!$B$17)+(AG52*'Settings'!$B$18)+(U52*'Settings'!$B$13)+(Y52*'Settings'!$B$10)+(Z52*'Settings'!$B$11),VLOOKUP(B52,'Standard Deviations'!A1:C731,3,FALSE))</f>
        <v>374.304382334770</v>
      </c>
      <c r="J52" s="45">
        <f>IF(D52="G",I52/AJ52,I52/Q52)</f>
        <v>4.6485889510031</v>
      </c>
      <c r="K52" s="44">
        <f>VLOOKUP(B52,'D'!A1:F228,6,FALSE)</f>
        <v>33.569243688247</v>
      </c>
      <c r="L52" s="44">
        <f>_xlfn.IFERROR(K52/H52,"N/A")</f>
        <v>5.37107899011952</v>
      </c>
      <c r="M52" s="46">
        <f>IF('Settings'!$E$9="YAHOO",VLOOKUP(B52,'ADP'!A1:E731,2,FALSE),IF('Settings'!$E$9="ESPN",VLOOKUP(B52,'ADP'!A1:E731,3,FALSE),IF('Settings'!$E$9="FANTRAX",VLOOKUP(B52,'ADP'!A1:E731,4,FALSE),VLOOKUP(B52,'ADP'!A1:E731,5,FALSE))))</f>
        <v>69.86</v>
      </c>
      <c r="N52" s="46">
        <f>_xlfn.IFERROR(M52-A52,"N/A")</f>
        <v>-7.14</v>
      </c>
      <c r="O52" s="46"/>
      <c r="P52" t="s" s="47">
        <f>IF('Settings'!$E$27="ON",VLOOKUP(B52,'ADP'!A1:H731,8,FALSE)," ")</f>
        <v>116</v>
      </c>
      <c r="Q52" s="48">
        <f>IF('Settings'!$E$12="YES",VLOOKUP(B52,'Player Data'!A1:E734,5,FALSE),82)</f>
        <v>80.52</v>
      </c>
      <c r="R52" s="46">
        <f>VLOOKUP(B52,'Player Data'!$A1:$AE734,6,FALSE)</f>
        <v>24.0288122801663</v>
      </c>
      <c r="S52" s="48">
        <f>VLOOKUP(B52,'Player Data'!$A1:$AE734,7,FALSE)*$Q52*_xlfn.IFERROR((VLOOKUP(P52,'Settings'!$E$28:$F$33,2,FALSE)+1),1)</f>
        <v>13.2917445263633</v>
      </c>
      <c r="T52" s="48">
        <f>VLOOKUP(B52,'Player Data'!$A1:$AE734,8,FALSE)*$Q52*_xlfn.IFERROR((VLOOKUP(P52,'Settings'!$E$28:$F$33,2,FALSE)+1),1)</f>
        <v>46.0021209128408</v>
      </c>
      <c r="U52" s="48">
        <f>SUM(S52:T52)</f>
        <v>59.2938654392041</v>
      </c>
      <c r="V52" s="48">
        <f>VLOOKUP(B52,'Player Data'!$A1:$AE734,10,FALSE)*$Q52*_xlfn.IFERROR(((VLOOKUP(P52,'Settings'!$E$28:$F$33,2,FALSE)/2)+1),1)</f>
        <v>182.739868482256</v>
      </c>
      <c r="W52" s="48">
        <f>VLOOKUP(B52,'Player Data'!$A1:$AE734,11,FALSE)*$Q52*_xlfn.IFERROR((VLOOKUP(P52,'Settings'!$E$28:$F$33,2,FALSE)+1),1)</f>
        <v>3.83223632210518</v>
      </c>
      <c r="X52" s="48">
        <f>VLOOKUP(B52,'Player Data'!$A1:$AE734,12,FALSE)*$Q52*_xlfn.IFERROR((VLOOKUP(P52,'Settings'!$E$28:$F$33,2,FALSE)+1),1)</f>
        <v>24.5708716219883</v>
      </c>
      <c r="Y52" s="48">
        <f>VLOOKUP(B52,'Player Data'!$A1:$AE734,13,FALSE)*$Q52</f>
        <v>0.0111512796993741</v>
      </c>
      <c r="Z52" s="48">
        <f>VLOOKUP(B52,'Player Data'!$A1:$AE734,14,FALSE)*$Q52</f>
        <v>0.0414714238999792</v>
      </c>
      <c r="AA52" s="48">
        <f>VLOOKUP(B52,'Player Data'!$A1:$AE734,15,FALSE)*$Q52</f>
        <v>116.060797246044</v>
      </c>
      <c r="AB52" s="48">
        <f>VLOOKUP(B52,'Player Data'!$A1:$AE734,16,FALSE)*$Q52</f>
        <v>108.007574062652</v>
      </c>
      <c r="AC52" s="48">
        <f>VLOOKUP(B52,'Player Data'!$A1:$AE734,17,FALSE)*$Q52*_xlfn.IFERROR((VLOOKUP(P52,'Settings'!$E$28:$F$33,2,FALSE)+1),1)</f>
        <v>2.59729083660523</v>
      </c>
      <c r="AD52" s="48">
        <f>VLOOKUP(B52,'Player Data'!$A1:$AE734,18,FALSE)*$Q52</f>
        <v>47.9903835660303</v>
      </c>
      <c r="AE52" s="48">
        <f>VLOOKUP(B52,'Player Data'!$A1:$AE734,19,FALSE)*$Q52*_xlfn.IFERROR((VLOOKUP(P52,'Settings'!$E$28:$F$33,2,FALSE)+1),1)</f>
        <v>2.07355663600096</v>
      </c>
      <c r="AF52" s="48">
        <f>VLOOKUP(B52,'Player Data'!$A1:$AE734,20,FALSE)*$Q52</f>
        <v>0</v>
      </c>
      <c r="AG52" s="48">
        <f>VLOOKUP(B52,'Player Data'!$A1:$AE734,21,FALSE)*$Q52</f>
        <v>0</v>
      </c>
      <c r="AH52" s="49">
        <f>VLOOKUP(B52,'Player Data'!$A1:$AE734,22,FALSE)</f>
        <v>0</v>
      </c>
      <c r="AI52" s="46"/>
      <c r="AJ52" s="50"/>
      <c r="AK52" s="48"/>
      <c r="AL52" s="48"/>
      <c r="AM52" s="48"/>
      <c r="AN52" s="48"/>
      <c r="AO52" s="48"/>
      <c r="AP52" s="48"/>
      <c r="AQ52" s="51"/>
      <c r="AR52" s="52"/>
      <c r="AS52" s="50"/>
    </row>
    <row r="53" ht="21.25" customHeight="1">
      <c r="A53" s="53">
        <f>RANK(K53,K2:K730)</f>
        <v>46</v>
      </c>
      <c r="B53" t="s" s="8">
        <v>192</v>
      </c>
      <c r="C53" t="s" s="39">
        <v>106</v>
      </c>
      <c r="D53" t="s" s="40">
        <f>VLOOKUP(B53,'Player Data'!A1:D734,4,FALSE)</f>
        <v>107</v>
      </c>
      <c r="E53" s="41">
        <f>VLOOKUP(B53,'C'!A1:C218,3,FALSE)</f>
        <v>13</v>
      </c>
      <c r="F53" t="s" s="42">
        <f>VLOOKUP(B53,'Player Data'!A1:B734,2,FALSE)</f>
        <v>127</v>
      </c>
      <c r="G53" s="9">
        <f>VLOOKUP(B53,'Player Data'!A1:D734,3,FALSE)</f>
        <v>24</v>
      </c>
      <c r="H53" s="43">
        <f>_xlfn.IFERROR(VLOOKUP(B53,'ADP'!A1:G731,7,FALSE)/1000000,VLOOKUP(B53,'ADP'!A1:G731,7,FALSE))</f>
        <v>7.25</v>
      </c>
      <c r="I53" s="44">
        <f>IF('Settings'!$E$15="POINTS",((R53*Q53)*'Settings'!$B$12)+(S53*'Settings'!$B$2)+(T53*'Settings'!$B$3)+(U53*'Settings'!$B$4)+(V53*'Settings'!$B$5)+(X53*'Settings'!$B$9)+(AA53*'Settings'!$B$6)+(W53*'Settings'!$B$8)+(AB53*'Settings'!$B$7)+(AC53*'Settings'!$B$14)+(AD53*'Settings'!$B$15)+(AE53*'Settings'!$B$16)+(AF53*'Settings'!$B$17)+(AG53*'Settings'!$B$18)+(Y53*'Settings'!$B$10)+(Z53*'Settings'!$B$11),VLOOKUP(B53,'Standard Deviations'!A1:C731,3,FALSE))</f>
        <v>460.547741778813</v>
      </c>
      <c r="J53" s="45">
        <f>IF(D53="G",I53/AJ53,I53/Q53)</f>
        <v>5.86909317928907</v>
      </c>
      <c r="K53" s="44">
        <f>IF('Settings'!$E$18="C/LW/RW",VLOOKUP(B53,'C'!A1:F218,6,FALSE),VLOOKUP(B53,'F'!A1:F432,6,FALSE))</f>
        <v>64.773540142798</v>
      </c>
      <c r="L53" s="44">
        <f>_xlfn.IFERROR(K53/H53,"N/A")</f>
        <v>8.93428139900662</v>
      </c>
      <c r="M53" s="46">
        <f>IF('Settings'!$E$9="YAHOO",VLOOKUP(B53,'ADP'!A1:E731,2,FALSE),IF('Settings'!$E$9="ESPN",VLOOKUP(B53,'ADP'!A1:E731,3,FALSE),IF('Settings'!$E$9="FANTRAX",VLOOKUP(B53,'ADP'!A1:E731,4,FALSE),VLOOKUP(B53,'ADP'!A1:E731,5,FALSE))))</f>
        <v>45.3</v>
      </c>
      <c r="N53" s="46">
        <f>_xlfn.IFERROR(M53-A53,"N/A")</f>
        <v>-0.7</v>
      </c>
      <c r="O53" s="46"/>
      <c r="P53" t="s" s="47">
        <f>IF('Settings'!$E$27="ON",VLOOKUP(B53,'ADP'!A1:H731,8,FALSE)," ")</f>
        <v>116</v>
      </c>
      <c r="Q53" s="48">
        <f>IF('Settings'!$E$12="YES",VLOOKUP(B53,'Player Data'!A1:E734,5,FALSE),82)</f>
        <v>78.47</v>
      </c>
      <c r="R53" s="46">
        <f>VLOOKUP(B53,'Player Data'!$A1:$AE734,6,FALSE)</f>
        <v>20.2532768230359</v>
      </c>
      <c r="S53" s="48">
        <f>VLOOKUP(B53,'Player Data'!$A1:$AE734,7,FALSE)*$Q53*_xlfn.IFERROR((VLOOKUP(P53,'Settings'!$E$28:$F$33,2,FALSE)+1),1)</f>
        <v>31.3536397207042</v>
      </c>
      <c r="T53" s="48">
        <f>VLOOKUP(B53,'Player Data'!$A1:$AE734,8,FALSE)*$Q53*_xlfn.IFERROR((VLOOKUP(P53,'Settings'!$E$28:$F$33,2,FALSE)+1),1)</f>
        <v>49.6315348515852</v>
      </c>
      <c r="U53" s="48">
        <f>SUM(S53:T53)</f>
        <v>80.9851745722894</v>
      </c>
      <c r="V53" s="48">
        <f>VLOOKUP(B53,'Player Data'!$A1:$AE734,10,FALSE)*$Q53*_xlfn.IFERROR(((VLOOKUP(P53,'Settings'!$E$28:$F$33,2,FALSE)/2)+1),1)</f>
        <v>244.936845898393</v>
      </c>
      <c r="W53" s="48">
        <f>VLOOKUP(B53,'Player Data'!$A1:$AE734,11,FALSE)*$Q53*_xlfn.IFERROR((VLOOKUP(P53,'Settings'!$E$28:$F$33,2,FALSE)+1),1)</f>
        <v>8.191904982090421</v>
      </c>
      <c r="X53" s="48">
        <f>VLOOKUP(B53,'Player Data'!$A1:$AE734,12,FALSE)*$Q53*_xlfn.IFERROR((VLOOKUP(P53,'Settings'!$E$28:$F$33,2,FALSE)+1),1)</f>
        <v>21.4748160381656</v>
      </c>
      <c r="Y53" s="48">
        <f>VLOOKUP(B53,'Player Data'!$A1:$AE734,13,FALSE)*$Q53</f>
        <v>2.25800529530926</v>
      </c>
      <c r="Z53" s="48">
        <f>VLOOKUP(B53,'Player Data'!$A1:$AE734,14,FALSE)*$Q53</f>
        <v>3.74520377492298</v>
      </c>
      <c r="AA53" s="48">
        <f>VLOOKUP(B53,'Player Data'!$A1:$AE734,15,FALSE)*$Q53</f>
        <v>58.6809600458751</v>
      </c>
      <c r="AB53" s="48">
        <f>VLOOKUP(B53,'Player Data'!$A1:$AE734,16,FALSE)*$Q53</f>
        <v>45.0497918356348</v>
      </c>
      <c r="AC53" s="48">
        <f>VLOOKUP(B53,'Player Data'!$A1:$AE734,17,FALSE)*$Q53*_xlfn.IFERROR((VLOOKUP(P53,'Settings'!$E$28:$F$33,2,FALSE)+1),1)</f>
        <v>2.00861816114455</v>
      </c>
      <c r="AD53" s="48">
        <f>VLOOKUP(B53,'Player Data'!$A1:$AE734,18,FALSE)*$Q53</f>
        <v>18.4909322760552</v>
      </c>
      <c r="AE53" s="48">
        <f>VLOOKUP(B53,'Player Data'!$A1:$AE734,19,FALSE)*$Q53*_xlfn.IFERROR((VLOOKUP(P53,'Settings'!$E$28:$F$33,2,FALSE)+1),1)</f>
        <v>4.60829466303074</v>
      </c>
      <c r="AF53" s="48">
        <f>VLOOKUP(B53,'Player Data'!$A1:$AE734,20,FALSE)*$Q53</f>
        <v>890.558357783775</v>
      </c>
      <c r="AG53" s="48">
        <f>VLOOKUP(B53,'Player Data'!$A1:$AE734,21,FALSE)*$Q53</f>
        <v>778.380603248732</v>
      </c>
      <c r="AH53" s="49">
        <f>VLOOKUP(B53,'Player Data'!$A1:$AE734,22,FALSE)</f>
        <v>0.533607506671678</v>
      </c>
      <c r="AI53" s="46"/>
      <c r="AJ53" s="50"/>
      <c r="AK53" s="48"/>
      <c r="AL53" s="48"/>
      <c r="AM53" s="48"/>
      <c r="AN53" s="48"/>
      <c r="AO53" s="48"/>
      <c r="AP53" s="48"/>
      <c r="AQ53" s="51"/>
      <c r="AR53" s="52"/>
      <c r="AS53" s="46"/>
    </row>
    <row r="54" ht="21.25" customHeight="1">
      <c r="A54" s="53">
        <f>RANK(K54,K2:K730)</f>
        <v>68</v>
      </c>
      <c r="B54" t="s" s="8">
        <v>193</v>
      </c>
      <c r="C54" t="s" s="39">
        <v>106</v>
      </c>
      <c r="D54" t="s" s="40">
        <f>VLOOKUP(B54,'Player Data'!A1:D734,4,FALSE)</f>
        <v>187</v>
      </c>
      <c r="E54" s="54">
        <f>VLOOKUP(B54,'RW'!A1:F132,3,FALSE)</f>
        <v>16</v>
      </c>
      <c r="F54" t="s" s="42">
        <f>VLOOKUP(B54,'Player Data'!A1:B734,2,FALSE)</f>
        <v>194</v>
      </c>
      <c r="G54" s="9">
        <f>VLOOKUP(B54,'Player Data'!A1:D734,3,FALSE)</f>
        <v>25</v>
      </c>
      <c r="H54" s="43">
        <f>_xlfn.IFERROR(VLOOKUP(B54,'ADP'!A1:G731,7,FALSE)/1000000,VLOOKUP(B54,'ADP'!A1:G731,7,FALSE))</f>
        <v>8.125</v>
      </c>
      <c r="I54" s="44">
        <f>IF('Settings'!$E$15="POINTS",((R54*Q54)*'Settings'!$B$12)+(S54*'Settings'!$B$2)+(T54*'Settings'!$B$3)+(U54*'Settings'!$B$4)+(V54*'Settings'!$B$5)+(X54*'Settings'!$B$9)+(AA54*'Settings'!$B$6)+(W54*'Settings'!$B$8)+(AB54*'Settings'!$B$7)+(AC54*'Settings'!$B$14)+(AD54*'Settings'!$B$15)+(AE54*'Settings'!$B$16)+(AF54*'Settings'!$B$17)+(AG54*'Settings'!$B$18)+(Y54*'Settings'!$B$10)+(Z54*'Settings'!$B$11),VLOOKUP(B54,'Standard Deviations'!A1:C731,3,FALSE))</f>
        <v>425.025066985041</v>
      </c>
      <c r="J54" s="45">
        <f>IF(D54="G",I54/AJ54,I54/Q54)</f>
        <v>5.28309592274756</v>
      </c>
      <c r="K54" s="44">
        <f>IF('Settings'!$E$18="C/LW/RW",VLOOKUP(B54,'RW'!A1:F132,6,FALSE),VLOOKUP(B54,'F'!A1:F432,6,FALSE))</f>
        <v>43.396503278685</v>
      </c>
      <c r="L54" s="44">
        <f>_xlfn.IFERROR(K54/H54,"N/A")</f>
        <v>5.34110809583815</v>
      </c>
      <c r="M54" s="46">
        <f>IF('Settings'!$E$9="YAHOO",VLOOKUP(B54,'ADP'!A1:E731,2,FALSE),IF('Settings'!$E$9="ESPN",VLOOKUP(B54,'ADP'!A1:E731,3,FALSE),IF('Settings'!$E$9="FANTRAX",VLOOKUP(B54,'ADP'!A1:E731,4,FALSE),VLOOKUP(B54,'ADP'!A1:E731,5,FALSE))))</f>
        <v>62.27</v>
      </c>
      <c r="N54" s="46">
        <f>_xlfn.IFERROR(M54-A54,"N/A")</f>
        <v>-5.73</v>
      </c>
      <c r="O54" s="46"/>
      <c r="P54" t="s" s="47">
        <f>IF('Settings'!$E$27="ON",VLOOKUP(B54,'ADP'!A1:H731,8,FALSE)," ")</f>
        <v>175</v>
      </c>
      <c r="Q54" s="48">
        <f>IF('Settings'!$E$12="YES",VLOOKUP(B54,'Player Data'!A1:E734,5,FALSE),82)</f>
        <v>80.45</v>
      </c>
      <c r="R54" s="46">
        <f>VLOOKUP(B54,'Player Data'!$A1:$AE734,6,FALSE)</f>
        <v>18.0808491066904</v>
      </c>
      <c r="S54" s="48">
        <f>VLOOKUP(B54,'Player Data'!$A1:$AE734,7,FALSE)*$Q54*_xlfn.IFERROR((VLOOKUP(P54,'Settings'!$E$28:$F$33,2,FALSE)+1),1)</f>
        <v>33.4335667713009</v>
      </c>
      <c r="T54" s="48">
        <f>VLOOKUP(B54,'Player Data'!$A1:$AE734,8,FALSE)*$Q54*_xlfn.IFERROR((VLOOKUP(P54,'Settings'!$E$28:$F$33,2,FALSE)+1),1)</f>
        <v>42.7188293759699</v>
      </c>
      <c r="U54" s="48">
        <f>SUM(S54:T54)</f>
        <v>76.15239614727081</v>
      </c>
      <c r="V54" s="48">
        <f>VLOOKUP(B54,'Player Data'!$A1:$AE734,10,FALSE)*$Q54*_xlfn.IFERROR(((VLOOKUP(P54,'Settings'!$E$28:$F$33,2,FALSE)/2)+1),1)</f>
        <v>249.791737872940</v>
      </c>
      <c r="W54" s="48">
        <f>VLOOKUP(B54,'Player Data'!$A1:$AE734,11,FALSE)*$Q54*_xlfn.IFERROR((VLOOKUP(P54,'Settings'!$E$28:$F$33,2,FALSE)+1),1)</f>
        <v>9.40112684656016</v>
      </c>
      <c r="X54" s="48">
        <f>VLOOKUP(B54,'Player Data'!$A1:$AE734,12,FALSE)*$Q54*_xlfn.IFERROR((VLOOKUP(P54,'Settings'!$E$28:$F$33,2,FALSE)+1),1)</f>
        <v>23.4525513557582</v>
      </c>
      <c r="Y54" s="48">
        <f>VLOOKUP(B54,'Player Data'!$A1:$AE734,13,FALSE)*$Q54</f>
        <v>0.0157838458262378</v>
      </c>
      <c r="Z54" s="48">
        <f>VLOOKUP(B54,'Player Data'!$A1:$AE734,14,FALSE)*$Q54</f>
        <v>0.0287756577784124</v>
      </c>
      <c r="AA54" s="48">
        <f>VLOOKUP(B54,'Player Data'!$A1:$AE734,15,FALSE)*$Q54</f>
        <v>33.1345865534727</v>
      </c>
      <c r="AB54" s="48">
        <f>VLOOKUP(B54,'Player Data'!$A1:$AE734,16,FALSE)*$Q54</f>
        <v>19.5872594300552</v>
      </c>
      <c r="AC54" s="48">
        <f>VLOOKUP(B54,'Player Data'!$A1:$AE734,17,FALSE)*$Q54*_xlfn.IFERROR((VLOOKUP(P54,'Settings'!$E$28:$F$33,2,FALSE)+1),1)</f>
        <v>-5.2271506257925</v>
      </c>
      <c r="AD54" s="48">
        <f>VLOOKUP(B54,'Player Data'!$A1:$AE734,18,FALSE)*$Q54</f>
        <v>26.0090253838348</v>
      </c>
      <c r="AE54" s="48">
        <f>VLOOKUP(B54,'Player Data'!$A1:$AE734,19,FALSE)*$Q54*_xlfn.IFERROR((VLOOKUP(P54,'Settings'!$E$28:$F$33,2,FALSE)+1),1)</f>
        <v>3.84729185764647</v>
      </c>
      <c r="AF54" s="48">
        <f>VLOOKUP(B54,'Player Data'!$A1:$AE734,20,FALSE)*$Q54</f>
        <v>6.11495705605279</v>
      </c>
      <c r="AG54" s="48">
        <f>VLOOKUP(B54,'Player Data'!$A1:$AE734,21,FALSE)*$Q54</f>
        <v>9.36268526538503</v>
      </c>
      <c r="AH54" s="49">
        <f>VLOOKUP(B54,'Player Data'!$A1:$AE734,22,FALSE)</f>
        <v>0.39508323871673</v>
      </c>
      <c r="AI54" s="46"/>
      <c r="AJ54" s="50"/>
      <c r="AK54" s="48"/>
      <c r="AL54" s="48"/>
      <c r="AM54" s="48"/>
      <c r="AN54" s="48"/>
      <c r="AO54" s="48"/>
      <c r="AP54" s="48"/>
      <c r="AQ54" s="51"/>
      <c r="AR54" s="52"/>
      <c r="AS54" s="46"/>
    </row>
    <row r="55" ht="21.25" customHeight="1">
      <c r="A55" s="53">
        <f>RANK(K55,K2:K730)</f>
        <v>54</v>
      </c>
      <c r="B55" t="s" s="8">
        <v>195</v>
      </c>
      <c r="C55" t="s" s="39">
        <v>106</v>
      </c>
      <c r="D55" t="s" s="40">
        <f>VLOOKUP(B55,'Player Data'!A1:D734,4,FALSE)</f>
        <v>118</v>
      </c>
      <c r="E55" s="54">
        <f>VLOOKUP(B55,'LW'!A1:C156,3,FALSE)</f>
        <v>15</v>
      </c>
      <c r="F55" t="s" s="42">
        <f>VLOOKUP(B55,'Player Data'!A1:B734,2,FALSE)</f>
        <v>196</v>
      </c>
      <c r="G55" s="9">
        <f>VLOOKUP(B55,'Player Data'!A1:D734,3,FALSE)</f>
        <v>25</v>
      </c>
      <c r="H55" s="43">
        <f>_xlfn.IFERROR(VLOOKUP(B55,'ADP'!A1:G731,7,FALSE)/1000000,VLOOKUP(B55,'ADP'!A1:G731,7,FALSE))</f>
        <v>7.15</v>
      </c>
      <c r="I55" s="44">
        <f>IF('Settings'!$E$15="POINTS",((R55*Q55)*'Settings'!$B$12)+(S55*'Settings'!$B$2)+(T55*'Settings'!$B$3)+(U55*'Settings'!$B$4)+(V55*'Settings'!$B$5)+(X55*'Settings'!$B$9)+(AA55*'Settings'!$B$6)+(W55*'Settings'!$B$8)+(AB55*'Settings'!$B$7)+(AC55*'Settings'!$B$14)+(AD55*'Settings'!$B$15)+(AE55*'Settings'!$B$16)+(AF55*'Settings'!$B$17)+(AG55*'Settings'!$B$18)+(Y55*'Settings'!$B$10)+(Z55*'Settings'!$B$11),VLOOKUP(B55,'Standard Deviations'!A1:C731,3,FALSE))</f>
        <v>436.923136684366</v>
      </c>
      <c r="J55" s="45">
        <f>IF(D55="G",I55/AJ55,I55/Q55)</f>
        <v>5.46375886059169</v>
      </c>
      <c r="K55" s="44">
        <f>IF('Settings'!$E$18="C/LW/RW",VLOOKUP(B55,'RW'!A1:F132,6,FALSE),VLOOKUP(B55,'F'!A1:F432,6,FALSE))</f>
        <v>55.294572978010</v>
      </c>
      <c r="L55" s="44">
        <f>_xlfn.IFERROR(K55/H55,"N/A")</f>
        <v>7.73350671021119</v>
      </c>
      <c r="M55" s="46">
        <f>IF('Settings'!$E$9="YAHOO",VLOOKUP(B55,'ADP'!A1:E731,2,FALSE),IF('Settings'!$E$9="ESPN",VLOOKUP(B55,'ADP'!A1:E731,3,FALSE),IF('Settings'!$E$9="FANTRAX",VLOOKUP(B55,'ADP'!A1:E731,4,FALSE),VLOOKUP(B55,'ADP'!A1:E731,5,FALSE))))</f>
        <v>38.32</v>
      </c>
      <c r="N55" s="46">
        <f>_xlfn.IFERROR(M55-A55,"N/A")</f>
        <v>-15.68</v>
      </c>
      <c r="O55" s="46"/>
      <c r="P55" t="s" s="47">
        <f>IF('Settings'!$E$27="ON",VLOOKUP(B55,'ADP'!A1:H731,8,FALSE)," ")</f>
        <v>109</v>
      </c>
      <c r="Q55" s="48">
        <f>IF('Settings'!$E$12="YES",VLOOKUP(B55,'Player Data'!A1:E734,5,FALSE),82)</f>
        <v>79.9675</v>
      </c>
      <c r="R55" s="46">
        <f>VLOOKUP(B55,'Player Data'!$A1:$AE734,6,FALSE)</f>
        <v>20.7529975668826</v>
      </c>
      <c r="S55" s="48">
        <f>VLOOKUP(B55,'Player Data'!$A1:$AE734,7,FALSE)*$Q55*_xlfn.IFERROR((VLOOKUP(P55,'Settings'!$E$28:$F$33,2,FALSE)+1),1)</f>
        <v>35.3256625786992</v>
      </c>
      <c r="T55" s="48">
        <f>VLOOKUP(B55,'Player Data'!$A1:$AE734,8,FALSE)*$Q55*_xlfn.IFERROR((VLOOKUP(P55,'Settings'!$E$28:$F$33,2,FALSE)+1),1)</f>
        <v>47.4737541461652</v>
      </c>
      <c r="U55" s="48">
        <f>SUM(S55:T55)</f>
        <v>82.7994167248644</v>
      </c>
      <c r="V55" s="48">
        <f>VLOOKUP(B55,'Player Data'!$A1:$AE734,10,FALSE)*$Q55*_xlfn.IFERROR(((VLOOKUP(P55,'Settings'!$E$28:$F$33,2,FALSE)/2)+1),1)</f>
        <v>221.725211444680</v>
      </c>
      <c r="W55" s="48">
        <f>VLOOKUP(B55,'Player Data'!$A1:$AE734,11,FALSE)*$Q55*_xlfn.IFERROR((VLOOKUP(P55,'Settings'!$E$28:$F$33,2,FALSE)+1),1)</f>
        <v>7.12720163830669</v>
      </c>
      <c r="X55" s="48">
        <f>VLOOKUP(B55,'Player Data'!$A1:$AE734,12,FALSE)*$Q55*_xlfn.IFERROR((VLOOKUP(P55,'Settings'!$E$28:$F$33,2,FALSE)+1),1)</f>
        <v>19.6749922699009</v>
      </c>
      <c r="Y55" s="48">
        <f>VLOOKUP(B55,'Player Data'!$A1:$AE734,13,FALSE)*$Q55</f>
        <v>0.611591100726073</v>
      </c>
      <c r="Z55" s="48">
        <f>VLOOKUP(B55,'Player Data'!$A1:$AE734,14,FALSE)*$Q55</f>
        <v>0.870745375300487</v>
      </c>
      <c r="AA55" s="48">
        <f>VLOOKUP(B55,'Player Data'!$A1:$AE734,15,FALSE)*$Q55</f>
        <v>34.1630348882423</v>
      </c>
      <c r="AB55" s="48">
        <f>VLOOKUP(B55,'Player Data'!$A1:$AE734,16,FALSE)*$Q55</f>
        <v>23.4031148986464</v>
      </c>
      <c r="AC55" s="48">
        <f>VLOOKUP(B55,'Player Data'!$A1:$AE734,17,FALSE)*$Q55*_xlfn.IFERROR((VLOOKUP(P55,'Settings'!$E$28:$F$33,2,FALSE)+1),1)</f>
        <v>-2.57719849398232</v>
      </c>
      <c r="AD55" s="48">
        <f>VLOOKUP(B55,'Player Data'!$A1:$AE734,18,FALSE)*$Q55</f>
        <v>37.690796541882</v>
      </c>
      <c r="AE55" s="48">
        <f>VLOOKUP(B55,'Player Data'!$A1:$AE734,19,FALSE)*$Q55*_xlfn.IFERROR((VLOOKUP(P55,'Settings'!$E$28:$F$33,2,FALSE)+1),1)</f>
        <v>4.45797843581133</v>
      </c>
      <c r="AF55" s="48">
        <f>VLOOKUP(B55,'Player Data'!$A1:$AE734,20,FALSE)*$Q55</f>
        <v>25.6945390846859</v>
      </c>
      <c r="AG55" s="48">
        <f>VLOOKUP(B55,'Player Data'!$A1:$AE734,21,FALSE)*$Q55</f>
        <v>39.6078961798844</v>
      </c>
      <c r="AH55" s="49">
        <f>VLOOKUP(B55,'Player Data'!$A1:$AE734,22,FALSE)</f>
        <v>0.393469845046137</v>
      </c>
      <c r="AI55" s="46"/>
      <c r="AJ55" s="50"/>
      <c r="AK55" s="48"/>
      <c r="AL55" s="48"/>
      <c r="AM55" s="48"/>
      <c r="AN55" s="48"/>
      <c r="AO55" s="48"/>
      <c r="AP55" s="48"/>
      <c r="AQ55" s="51"/>
      <c r="AR55" s="52"/>
      <c r="AS55" s="50"/>
    </row>
    <row r="56" ht="21.25" customHeight="1">
      <c r="A56" s="53">
        <f>RANK(K56,K2:K730)</f>
        <v>73</v>
      </c>
      <c r="B56" t="s" s="8">
        <v>197</v>
      </c>
      <c r="C56" t="s" s="39">
        <v>106</v>
      </c>
      <c r="D56" t="s" s="40">
        <f>VLOOKUP(B56,'Player Data'!A1:D734,4,FALSE)</f>
        <v>129</v>
      </c>
      <c r="E56" s="56">
        <f>VLOOKUP(B56,'D'!A1:C228,3,FALSE)</f>
        <v>11</v>
      </c>
      <c r="F56" t="s" s="42">
        <f>VLOOKUP(B56,'Player Data'!A1:B734,2,FALSE)</f>
        <v>124</v>
      </c>
      <c r="G56" s="9">
        <f>VLOOKUP(B56,'Player Data'!A1:D734,3,FALSE)</f>
        <v>25</v>
      </c>
      <c r="H56" s="43">
        <f>_xlfn.IFERROR(VLOOKUP(B56,'ADP'!A1:G731,7,FALSE)/1000000,VLOOKUP(B56,'ADP'!A1:G731,7,FALSE))</f>
        <v>8.088900000000001</v>
      </c>
      <c r="I56" s="44">
        <f>IF('Settings'!$E$15="POINTS",((R56*Q56)*'Settings'!$B$12)+(S56*'Settings'!$B$2)+(T56*'Settings'!$B$3)+(U56*'Settings'!$B$4)+(V56*'Settings'!$B$5)+(X56*'Settings'!$B$9)+(AA56*'Settings'!$B$6)+(W56*'Settings'!$B$8)+(AB56*'Settings'!$B$7)+(AC56*'Settings'!$B$14)+(AD56*'Settings'!$B$15)+(AE56*'Settings'!$B$16)+(AF56*'Settings'!$B$17)+(AG56*'Settings'!$B$18)+(U56*'Settings'!$B$13)+(Y56*'Settings'!$B$10)+(Z56*'Settings'!$B$11),VLOOKUP(B56,'Standard Deviations'!A1:C731,3,FALSE))</f>
        <v>380.931357977396</v>
      </c>
      <c r="J56" s="45">
        <f>IF(D56="G",I56/AJ56,I56/Q56)</f>
        <v>4.68550255814755</v>
      </c>
      <c r="K56" s="44">
        <f>VLOOKUP(B56,'D'!A1:F228,6,FALSE)</f>
        <v>40.196219330873</v>
      </c>
      <c r="L56" s="44">
        <f>_xlfn.IFERROR(K56/H56,"N/A")</f>
        <v>4.96930600339638</v>
      </c>
      <c r="M56" s="46">
        <f>IF('Settings'!$E$9="YAHOO",VLOOKUP(B56,'ADP'!A1:E731,2,FALSE),IF('Settings'!$E$9="ESPN",VLOOKUP(B56,'ADP'!A1:E731,3,FALSE),IF('Settings'!$E$9="FANTRAX",VLOOKUP(B56,'ADP'!A1:E731,4,FALSE),VLOOKUP(B56,'ADP'!A1:E731,5,FALSE))))</f>
        <v>67.55</v>
      </c>
      <c r="N56" s="46">
        <f>_xlfn.IFERROR(M56-A56,"N/A")</f>
        <v>-5.45</v>
      </c>
      <c r="O56" s="46"/>
      <c r="P56" t="s" s="47">
        <f>IF('Settings'!$E$27="ON",VLOOKUP(B56,'ADP'!A1:H731,8,FALSE)," ")</f>
        <v>109</v>
      </c>
      <c r="Q56" s="48">
        <f>IF('Settings'!$E$12="YES",VLOOKUP(B56,'Player Data'!A1:E734,5,FALSE),82)</f>
        <v>81.3</v>
      </c>
      <c r="R56" s="46">
        <f>VLOOKUP(B56,'Player Data'!$A1:$AE734,6,FALSE)</f>
        <v>24.0861238488924</v>
      </c>
      <c r="S56" s="48">
        <f>VLOOKUP(B56,'Player Data'!$A1:$AE734,7,FALSE)*$Q56*_xlfn.IFERROR((VLOOKUP(P56,'Settings'!$E$28:$F$33,2,FALSE)+1),1)</f>
        <v>9.58690597872485</v>
      </c>
      <c r="T56" s="48">
        <f>VLOOKUP(B56,'Player Data'!$A1:$AE734,8,FALSE)*$Q56*_xlfn.IFERROR((VLOOKUP(P56,'Settings'!$E$28:$F$33,2,FALSE)+1),1)</f>
        <v>49.4659233124567</v>
      </c>
      <c r="U56" s="48">
        <f>SUM(S56:T56)</f>
        <v>59.0528292911816</v>
      </c>
      <c r="V56" s="48">
        <f>VLOOKUP(B56,'Player Data'!$A1:$AE734,10,FALSE)*$Q56*_xlfn.IFERROR(((VLOOKUP(P56,'Settings'!$E$28:$F$33,2,FALSE)/2)+1),1)</f>
        <v>167.204433544555</v>
      </c>
      <c r="W56" s="48">
        <f>VLOOKUP(B56,'Player Data'!$A1:$AE734,11,FALSE)*$Q56*_xlfn.IFERROR((VLOOKUP(P56,'Settings'!$E$28:$F$33,2,FALSE)+1),1)</f>
        <v>2.58748881288434</v>
      </c>
      <c r="X56" s="48">
        <f>VLOOKUP(B56,'Player Data'!$A1:$AE734,12,FALSE)*$Q56*_xlfn.IFERROR((VLOOKUP(P56,'Settings'!$E$28:$F$33,2,FALSE)+1),1)</f>
        <v>22.6008870703038</v>
      </c>
      <c r="Y56" s="48">
        <f>VLOOKUP(B56,'Player Data'!$A1:$AE734,13,FALSE)*$Q56</f>
        <v>0.025293199801236</v>
      </c>
      <c r="Z56" s="48">
        <f>VLOOKUP(B56,'Player Data'!$A1:$AE734,14,FALSE)*$Q56</f>
        <v>0.918501860797069</v>
      </c>
      <c r="AA56" s="48">
        <f>VLOOKUP(B56,'Player Data'!$A1:$AE734,15,FALSE)*$Q56</f>
        <v>144.222201833737</v>
      </c>
      <c r="AB56" s="48">
        <f>VLOOKUP(B56,'Player Data'!$A1:$AE734,16,FALSE)*$Q56</f>
        <v>127.368758900097</v>
      </c>
      <c r="AC56" s="48">
        <f>VLOOKUP(B56,'Player Data'!$A1:$AE734,17,FALSE)*$Q56*_xlfn.IFERROR((VLOOKUP(P56,'Settings'!$E$28:$F$33,2,FALSE)+1),1)</f>
        <v>1.00527295548962</v>
      </c>
      <c r="AD56" s="48">
        <f>VLOOKUP(B56,'Player Data'!$A1:$AE734,18,FALSE)*$Q56</f>
        <v>56.323627321332</v>
      </c>
      <c r="AE56" s="48">
        <f>VLOOKUP(B56,'Player Data'!$A1:$AE734,19,FALSE)*$Q56*_xlfn.IFERROR((VLOOKUP(P56,'Settings'!$E$28:$F$33,2,FALSE)+1),1)</f>
        <v>1.50035426812003</v>
      </c>
      <c r="AF56" s="48">
        <f>VLOOKUP(B56,'Player Data'!$A1:$AE734,20,FALSE)*$Q56</f>
        <v>0</v>
      </c>
      <c r="AG56" s="48">
        <f>VLOOKUP(B56,'Player Data'!$A1:$AE734,21,FALSE)*$Q56</f>
        <v>0</v>
      </c>
      <c r="AH56" s="49">
        <f>VLOOKUP(B56,'Player Data'!$A1:$AE734,22,FALSE)</f>
        <v>0</v>
      </c>
      <c r="AI56" s="46"/>
      <c r="AJ56" s="50"/>
      <c r="AK56" s="48"/>
      <c r="AL56" s="48"/>
      <c r="AM56" s="48"/>
      <c r="AN56" s="48"/>
      <c r="AO56" s="48"/>
      <c r="AP56" s="48"/>
      <c r="AQ56" s="51"/>
      <c r="AR56" s="52"/>
      <c r="AS56" s="46"/>
    </row>
    <row r="57" ht="21.25" customHeight="1">
      <c r="A57" s="53">
        <f>RANK(K57,K2:K730)</f>
        <v>56</v>
      </c>
      <c r="B57" t="s" s="8">
        <v>198</v>
      </c>
      <c r="C57" t="s" s="39">
        <v>106</v>
      </c>
      <c r="D57" t="s" s="40">
        <f>VLOOKUP(B57,'Player Data'!A1:D734,4,FALSE)</f>
        <v>118</v>
      </c>
      <c r="E57" s="54">
        <f>VLOOKUP(B57,'LW'!A1:C156,3,FALSE)</f>
        <v>16</v>
      </c>
      <c r="F57" t="s" s="42">
        <f>VLOOKUP(B57,'Player Data'!A1:B734,2,FALSE)</f>
        <v>108</v>
      </c>
      <c r="G57" s="9">
        <f>VLOOKUP(B57,'Player Data'!A1:D734,3,FALSE)</f>
        <v>31</v>
      </c>
      <c r="H57" s="43">
        <f>_xlfn.IFERROR(VLOOKUP(B57,'ADP'!A1:G731,7,FALSE)/1000000,VLOOKUP(B57,'ADP'!A1:G731,7,FALSE))</f>
        <v>5.5</v>
      </c>
      <c r="I57" s="44">
        <f>IF('Settings'!$E$15="POINTS",((R57*Q57)*'Settings'!$B$12)+(S57*'Settings'!$B$2)+(T57*'Settings'!$B$3)+(U57*'Settings'!$B$4)+(V57*'Settings'!$B$5)+(X57*'Settings'!$B$9)+(AA57*'Settings'!$B$6)+(W57*'Settings'!$B$8)+(AB57*'Settings'!$B$7)+(AC57*'Settings'!$B$14)+(AD57*'Settings'!$B$15)+(AE57*'Settings'!$B$16)+(AF57*'Settings'!$B$17)+(AG57*'Settings'!$B$18)+(Y57*'Settings'!$B$10)+(Z57*'Settings'!$B$11),VLOOKUP(B57,'Standard Deviations'!A1:C731,3,FALSE))</f>
        <v>434.537076182727</v>
      </c>
      <c r="J57" s="45">
        <f>IF(D57="G",I57/AJ57,I57/Q57)</f>
        <v>5.51660513940701</v>
      </c>
      <c r="K57" s="44">
        <f>IF('Settings'!$E$18="C/LW/RW",VLOOKUP(B57,'RW'!A1:F132,6,FALSE),VLOOKUP(B57,'F'!A1:F432,6,FALSE))</f>
        <v>52.908512476371</v>
      </c>
      <c r="L57" s="44">
        <f>_xlfn.IFERROR(K57/H57,"N/A")</f>
        <v>9.61972954115836</v>
      </c>
      <c r="M57" s="46">
        <f>IF('Settings'!$E$9="YAHOO",VLOOKUP(B57,'ADP'!A1:E731,2,FALSE),IF('Settings'!$E$9="ESPN",VLOOKUP(B57,'ADP'!A1:E731,3,FALSE),IF('Settings'!$E$9="FANTRAX",VLOOKUP(B57,'ADP'!A1:E731,4,FALSE),VLOOKUP(B57,'ADP'!A1:E731,5,FALSE))))</f>
        <v>45.18</v>
      </c>
      <c r="N57" s="46">
        <f>_xlfn.IFERROR(M57-A57,"N/A")</f>
        <v>-10.82</v>
      </c>
      <c r="O57" s="46"/>
      <c r="P57" t="s" s="47">
        <f>IF('Settings'!$E$27="ON",VLOOKUP(B57,'ADP'!A1:H731,8,FALSE)," ")</f>
        <v>109</v>
      </c>
      <c r="Q57" s="48">
        <f>IF('Settings'!$E$12="YES",VLOOKUP(B57,'Player Data'!A1:E734,5,FALSE),82)</f>
        <v>78.7689285714286</v>
      </c>
      <c r="R57" s="46">
        <f>VLOOKUP(B57,'Player Data'!$A1:$AE734,6,FALSE)</f>
        <v>20.0994932053682</v>
      </c>
      <c r="S57" s="48">
        <f>VLOOKUP(B57,'Player Data'!$A1:$AE734,7,FALSE)*$Q57*_xlfn.IFERROR((VLOOKUP(P57,'Settings'!$E$28:$F$33,2,FALSE)+1),1)</f>
        <v>33.2895309406231</v>
      </c>
      <c r="T57" s="48">
        <f>VLOOKUP(B57,'Player Data'!$A1:$AE734,8,FALSE)*$Q57*_xlfn.IFERROR((VLOOKUP(P57,'Settings'!$E$28:$F$33,2,FALSE)+1),1)</f>
        <v>40.4334324128635</v>
      </c>
      <c r="U57" s="48">
        <f>SUM(S57:T57)</f>
        <v>73.72296335348661</v>
      </c>
      <c r="V57" s="48">
        <f>VLOOKUP(B57,'Player Data'!$A1:$AE734,10,FALSE)*$Q57*_xlfn.IFERROR(((VLOOKUP(P57,'Settings'!$E$28:$F$33,2,FALSE)/2)+1),1)</f>
        <v>262.460221131524</v>
      </c>
      <c r="W57" s="48">
        <f>VLOOKUP(B57,'Player Data'!$A1:$AE734,11,FALSE)*$Q57*_xlfn.IFERROR((VLOOKUP(P57,'Settings'!$E$28:$F$33,2,FALSE)+1),1)</f>
        <v>11.9637884002255</v>
      </c>
      <c r="X57" s="48">
        <f>VLOOKUP(B57,'Player Data'!$A1:$AE734,12,FALSE)*$Q57*_xlfn.IFERROR((VLOOKUP(P57,'Settings'!$E$28:$F$33,2,FALSE)+1),1)</f>
        <v>22.2928092243655</v>
      </c>
      <c r="Y57" s="48">
        <f>VLOOKUP(B57,'Player Data'!$A1:$AE734,13,FALSE)*$Q57</f>
        <v>0.172683329207095</v>
      </c>
      <c r="Z57" s="48">
        <f>VLOOKUP(B57,'Player Data'!$A1:$AE734,14,FALSE)*$Q57</f>
        <v>0.594673383544105</v>
      </c>
      <c r="AA57" s="48">
        <f>VLOOKUP(B57,'Player Data'!$A1:$AE734,15,FALSE)*$Q57</f>
        <v>23.4896121778232</v>
      </c>
      <c r="AB57" s="48">
        <f>VLOOKUP(B57,'Player Data'!$A1:$AE734,16,FALSE)*$Q57</f>
        <v>77.0785051582824</v>
      </c>
      <c r="AC57" s="48">
        <f>VLOOKUP(B57,'Player Data'!$A1:$AE734,17,FALSE)*$Q57*_xlfn.IFERROR((VLOOKUP(P57,'Settings'!$E$28:$F$33,2,FALSE)+1),1)</f>
        <v>8.020817974744091</v>
      </c>
      <c r="AD57" s="48">
        <f>VLOOKUP(B57,'Player Data'!$A1:$AE734,18,FALSE)*$Q57</f>
        <v>40.7884634332762</v>
      </c>
      <c r="AE57" s="48">
        <f>VLOOKUP(B57,'Player Data'!$A1:$AE734,19,FALSE)*$Q57*_xlfn.IFERROR((VLOOKUP(P57,'Settings'!$E$28:$F$33,2,FALSE)+1),1)</f>
        <v>5.26937536404861</v>
      </c>
      <c r="AF57" s="48">
        <f>VLOOKUP(B57,'Player Data'!$A1:$AE734,20,FALSE)*$Q57</f>
        <v>14.6253113507005</v>
      </c>
      <c r="AG57" s="48">
        <f>VLOOKUP(B57,'Player Data'!$A1:$AE734,21,FALSE)*$Q57</f>
        <v>16.6330013731533</v>
      </c>
      <c r="AH57" s="49">
        <f>VLOOKUP(B57,'Player Data'!$A1:$AE734,22,FALSE)</f>
        <v>0.467885502327182</v>
      </c>
      <c r="AI57" s="46"/>
      <c r="AJ57" s="50"/>
      <c r="AK57" s="48"/>
      <c r="AL57" s="48"/>
      <c r="AM57" s="48"/>
      <c r="AN57" s="48"/>
      <c r="AO57" s="48"/>
      <c r="AP57" s="48"/>
      <c r="AQ57" s="51"/>
      <c r="AR57" s="52"/>
      <c r="AS57" s="46"/>
    </row>
    <row r="58" ht="21.25" customHeight="1">
      <c r="A58" s="53">
        <f>RANK(K58,K2:K730)</f>
        <v>60</v>
      </c>
      <c r="B58" t="s" s="8">
        <v>199</v>
      </c>
      <c r="C58" t="s" s="39">
        <v>106</v>
      </c>
      <c r="D58" t="s" s="40">
        <f>VLOOKUP(B58,'Player Data'!A1:D734,4,FALSE)</f>
        <v>118</v>
      </c>
      <c r="E58" s="54">
        <f>VLOOKUP(B58,'LW'!A1:C156,3,FALSE)</f>
        <v>17</v>
      </c>
      <c r="F58" t="s" s="42">
        <f>VLOOKUP(B58,'Player Data'!A1:B734,2,FALSE)</f>
        <v>184</v>
      </c>
      <c r="G58" s="9">
        <f>VLOOKUP(B58,'Player Data'!A1:D734,3,FALSE)</f>
        <v>25</v>
      </c>
      <c r="H58" s="43">
        <f>_xlfn.IFERROR(VLOOKUP(B58,'ADP'!A1:G731,7,FALSE)/1000000,VLOOKUP(B58,'ADP'!A1:G731,7,FALSE))</f>
        <v>7.875</v>
      </c>
      <c r="I58" s="44">
        <f>IF('Settings'!$E$15="POINTS",((R58*Q58)*'Settings'!$B$12)+(S58*'Settings'!$B$2)+(T58*'Settings'!$B$3)+(U58*'Settings'!$B$4)+(V58*'Settings'!$B$5)+(X58*'Settings'!$B$9)+(AA58*'Settings'!$B$6)+(W58*'Settings'!$B$8)+(AB58*'Settings'!$B$7)+(AC58*'Settings'!$B$14)+(AD58*'Settings'!$B$15)+(AE58*'Settings'!$B$16)+(AF58*'Settings'!$B$17)+(AG58*'Settings'!$B$18)+(Y58*'Settings'!$B$10)+(Z58*'Settings'!$B$11),VLOOKUP(B58,'Standard Deviations'!A1:C731,3,FALSE))</f>
        <v>432.441434397072</v>
      </c>
      <c r="J58" s="45">
        <f>IF(D58="G",I58/AJ58,I58/Q58)</f>
        <v>5.30965961091632</v>
      </c>
      <c r="K58" s="44">
        <f>IF('Settings'!$E$18="C/LW/RW",VLOOKUP(B58,'RW'!A1:F132,6,FALSE),VLOOKUP(B58,'F'!A1:F432,6,FALSE))</f>
        <v>50.812870690716</v>
      </c>
      <c r="L58" s="44">
        <f>_xlfn.IFERROR(K58/H58,"N/A")</f>
        <v>6.4524280242179</v>
      </c>
      <c r="M58" s="46">
        <f>IF('Settings'!$E$9="YAHOO",VLOOKUP(B58,'ADP'!A1:E731,2,FALSE),IF('Settings'!$E$9="ESPN",VLOOKUP(B58,'ADP'!A1:E731,3,FALSE),IF('Settings'!$E$9="FANTRAX",VLOOKUP(B58,'ADP'!A1:E731,4,FALSE),VLOOKUP(B58,'ADP'!A1:E731,5,FALSE))))</f>
        <v>44.14</v>
      </c>
      <c r="N58" s="46">
        <f>_xlfn.IFERROR(M58-A58,"N/A")</f>
        <v>-15.86</v>
      </c>
      <c r="O58" s="46"/>
      <c r="P58" t="s" s="47">
        <f>IF('Settings'!$E$27="ON",VLOOKUP(B58,'ADP'!A1:H731,8,FALSE)," ")</f>
        <v>116</v>
      </c>
      <c r="Q58" s="48">
        <f>IF('Settings'!$E$12="YES",VLOOKUP(B58,'Player Data'!A1:E734,5,FALSE),82)</f>
        <v>81.4442857142857</v>
      </c>
      <c r="R58" s="46">
        <f>VLOOKUP(B58,'Player Data'!$A1:$AE734,6,FALSE)</f>
        <v>18.3494528229802</v>
      </c>
      <c r="S58" s="48">
        <f>VLOOKUP(B58,'Player Data'!$A1:$AE734,7,FALSE)*$Q58*_xlfn.IFERROR((VLOOKUP(P58,'Settings'!$E$28:$F$33,2,FALSE)+1),1)</f>
        <v>33.4502582954905</v>
      </c>
      <c r="T58" s="48">
        <f>VLOOKUP(B58,'Player Data'!$A1:$AE734,8,FALSE)*$Q58*_xlfn.IFERROR((VLOOKUP(P58,'Settings'!$E$28:$F$33,2,FALSE)+1),1)</f>
        <v>38.5498285494903</v>
      </c>
      <c r="U58" s="48">
        <f>SUM(S58:T58)</f>
        <v>72.0000868449808</v>
      </c>
      <c r="V58" s="48">
        <f>VLOOKUP(B58,'Player Data'!$A1:$AE734,10,FALSE)*$Q58*_xlfn.IFERROR(((VLOOKUP(P58,'Settings'!$E$28:$F$33,2,FALSE)/2)+1),1)</f>
        <v>247.591144311447</v>
      </c>
      <c r="W58" s="48">
        <f>VLOOKUP(B58,'Player Data'!$A1:$AE734,11,FALSE)*$Q58*_xlfn.IFERROR((VLOOKUP(P58,'Settings'!$E$28:$F$33,2,FALSE)+1),1)</f>
        <v>11.2935184671073</v>
      </c>
      <c r="X58" s="48">
        <f>VLOOKUP(B58,'Player Data'!$A1:$AE734,12,FALSE)*$Q58*_xlfn.IFERROR((VLOOKUP(P58,'Settings'!$E$28:$F$33,2,FALSE)+1),1)</f>
        <v>27.2640115550188</v>
      </c>
      <c r="Y58" s="48">
        <f>VLOOKUP(B58,'Player Data'!$A1:$AE734,13,FALSE)*$Q58</f>
        <v>0.0209573248639399</v>
      </c>
      <c r="Z58" s="48">
        <f>VLOOKUP(B58,'Player Data'!$A1:$AE734,14,FALSE)*$Q58</f>
        <v>0.0276131478316707</v>
      </c>
      <c r="AA58" s="48">
        <f>VLOOKUP(B58,'Player Data'!$A1:$AE734,15,FALSE)*$Q58</f>
        <v>35.2085975868178</v>
      </c>
      <c r="AB58" s="48">
        <f>VLOOKUP(B58,'Player Data'!$A1:$AE734,16,FALSE)*$Q58</f>
        <v>99.2427566963911</v>
      </c>
      <c r="AC58" s="48">
        <f>VLOOKUP(B58,'Player Data'!$A1:$AE734,17,FALSE)*$Q58*_xlfn.IFERROR((VLOOKUP(P58,'Settings'!$E$28:$F$33,2,FALSE)+1),1)</f>
        <v>-2.58286900977251</v>
      </c>
      <c r="AD58" s="48">
        <f>VLOOKUP(B58,'Player Data'!$A1:$AE734,18,FALSE)*$Q58</f>
        <v>23.2388443052223</v>
      </c>
      <c r="AE58" s="48">
        <f>VLOOKUP(B58,'Player Data'!$A1:$AE734,19,FALSE)*$Q58*_xlfn.IFERROR((VLOOKUP(P58,'Settings'!$E$28:$F$33,2,FALSE)+1),1)</f>
        <v>4.42666869165031</v>
      </c>
      <c r="AF58" s="48">
        <f>VLOOKUP(B58,'Player Data'!$A1:$AE734,20,FALSE)*$Q58</f>
        <v>12.6096557134691</v>
      </c>
      <c r="AG58" s="48">
        <f>VLOOKUP(B58,'Player Data'!$A1:$AE734,21,FALSE)*$Q58</f>
        <v>15.7409726180934</v>
      </c>
      <c r="AH58" s="49">
        <f>VLOOKUP(B58,'Player Data'!$A1:$AE734,22,FALSE)</f>
        <v>0.444775176267641</v>
      </c>
      <c r="AI58" s="46"/>
      <c r="AJ58" s="50"/>
      <c r="AK58" s="48"/>
      <c r="AL58" s="48"/>
      <c r="AM58" s="48"/>
      <c r="AN58" s="48"/>
      <c r="AO58" s="48"/>
      <c r="AP58" s="48"/>
      <c r="AQ58" s="51"/>
      <c r="AR58" s="52"/>
      <c r="AS58" s="46"/>
    </row>
    <row r="59" ht="21.25" customHeight="1">
      <c r="A59" s="53">
        <f>RANK(K59,K2:K730)</f>
        <v>31</v>
      </c>
      <c r="B59" t="s" s="8">
        <v>200</v>
      </c>
      <c r="C59" t="s" s="39">
        <v>106</v>
      </c>
      <c r="D59" t="s" s="40">
        <f>VLOOKUP(B59,'Player Data'!A1:D734,4,FALSE)</f>
        <v>146</v>
      </c>
      <c r="E59" s="58">
        <f>VLOOKUP(B59,'G'!A1:D75,3,FALSE)</f>
        <v>8</v>
      </c>
      <c r="F59" t="s" s="42">
        <f>VLOOKUP(B59,'Player Data'!A1:B734,2,FALSE)</f>
        <v>156</v>
      </c>
      <c r="G59" s="9">
        <f>VLOOKUP(B59,'Player Data'!A1:D734,3,FALSE)</f>
        <v>27</v>
      </c>
      <c r="H59" s="43">
        <f>_xlfn.IFERROR(VLOOKUP(B59,'ADP'!A1:G731,7,FALSE)/1000000,VLOOKUP(B59,'ADP'!A1:G731,7,FALSE))</f>
        <v>5</v>
      </c>
      <c r="I59" s="44">
        <f>IF('Settings'!$E$15="POINTS",(AJ59*'Settings'!$B$29)+(AK59*'Settings'!$B$21)+(AL59*'Settings'!$B$22)+(AN59*'Settings'!$B$24)+(AO59*'Settings'!$B$25)+(AP59*'Settings'!$B$27)+(AM59*'Settings'!$B$23),VLOOKUP(B59,'Standard Deviations'!A1:C731,3,FALSE))</f>
        <v>356.243103872544</v>
      </c>
      <c r="J59" s="45">
        <f>IF(D59="G",I59/AJ59,I59/Q59)</f>
        <v>6.361483997724</v>
      </c>
      <c r="K59" s="44">
        <f>VLOOKUP(B59,'G'!A1:F75,6,FALSE)</f>
        <v>90.939882372856</v>
      </c>
      <c r="L59" s="44">
        <f>_xlfn.IFERROR(K59/H59,"N/A")</f>
        <v>18.1879764745712</v>
      </c>
      <c r="M59" s="46">
        <f>IF('Settings'!$E$9="YAHOO",VLOOKUP(B59,'ADP'!A1:E731,2,FALSE),IF('Settings'!$E$9="ESPN",VLOOKUP(B59,'ADP'!A1:E731,3,FALSE),IF('Settings'!$E$9="FANTRAX",VLOOKUP(B59,'ADP'!A1:E731,4,FALSE),VLOOKUP(B59,'ADP'!A1:E731,5,FALSE))))</f>
        <v>120.87</v>
      </c>
      <c r="N59" s="46">
        <f>_xlfn.IFERROR(M59-A59,"N/A")</f>
        <v>89.87</v>
      </c>
      <c r="O59" s="46"/>
      <c r="P59" t="s" s="47">
        <f>IF('Settings'!$E$27="ON",VLOOKUP(B59,'ADP'!A1:H731,8,FALSE)," ")</f>
        <v>116</v>
      </c>
      <c r="Q59" s="48"/>
      <c r="R59" s="59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9"/>
      <c r="AI59" s="46"/>
      <c r="AJ59" s="50">
        <f>VLOOKUP(B59,'Player Data'!$A1:$AE734,24,FALSE)</f>
        <v>56</v>
      </c>
      <c r="AK59" s="48">
        <f>VLOOKUP(B59,'Player Data'!$A1:$AE734,25,FALSE)*$AJ59*_xlfn.IFERROR((VLOOKUP(P59,'Settings'!$E$28:$F$33,2,FALSE)+1),1)</f>
        <v>30.2458200954428</v>
      </c>
      <c r="AL59" s="48">
        <f>AJ59-AK59-AM59</f>
        <v>18.7541799045572</v>
      </c>
      <c r="AM59" s="48">
        <f>VLOOKUP(B59,'Player Data'!$A1:$AE734,27,FALSE)*$AJ59</f>
        <v>7</v>
      </c>
      <c r="AN59" s="48">
        <f>VLOOKUP(B59,'Player Data'!$A1:$AE734,28,FALSE)*AJ59</f>
        <v>3.72484818348108</v>
      </c>
      <c r="AO59" s="48">
        <f>VLOOKUP(B59,'Player Data'!$A1:$AE734,29,FALSE)*$AJ59*_xlfn.IFERROR((VLOOKUP(P59,'Settings'!$E$28:$F$33,2,FALSE)/4)+1,1)</f>
        <v>1587.099676900160</v>
      </c>
      <c r="AP59" s="48">
        <f>VLOOKUP(B59,'Player Data'!$A1:$AE734,31,FALSE)*$AJ59*(_xlfn.IFERROR(1-(VLOOKUP(P59,'Settings'!$E$28:$F$33,2,FALSE)/4),1))</f>
        <v>147.865869356184</v>
      </c>
      <c r="AQ59" s="51">
        <f>1-(AP59/(AO59+AP59))</f>
        <v>0.914773022625582</v>
      </c>
      <c r="AR59" s="52">
        <f>AP59/AJ59</f>
        <v>2.640461952789</v>
      </c>
      <c r="AS59" s="46"/>
    </row>
    <row r="60" ht="21.25" customHeight="1">
      <c r="A60" s="53">
        <f>RANK(K60,K2:K730)</f>
        <v>45</v>
      </c>
      <c r="B60" t="s" s="8">
        <v>201</v>
      </c>
      <c r="C60" t="s" s="39">
        <v>106</v>
      </c>
      <c r="D60" t="s" s="40">
        <f>VLOOKUP(B60,'Player Data'!A1:D734,4,FALSE)</f>
        <v>118</v>
      </c>
      <c r="E60" s="54">
        <f>VLOOKUP(B60,'LW'!A1:C156,3,FALSE)</f>
        <v>13</v>
      </c>
      <c r="F60" t="s" s="42">
        <f>VLOOKUP(B60,'Player Data'!A1:B734,2,FALSE)</f>
        <v>202</v>
      </c>
      <c r="G60" s="9">
        <f>VLOOKUP(B60,'Player Data'!A1:D734,3,FALSE)</f>
        <v>23</v>
      </c>
      <c r="H60" s="43">
        <f>_xlfn.IFERROR(VLOOKUP(B60,'ADP'!A1:G731,7,FALSE)/1000000,VLOOKUP(B60,'ADP'!A1:G731,7,FALSE))</f>
        <v>7.75</v>
      </c>
      <c r="I60" s="44">
        <f>IF('Settings'!$E$15="POINTS",((R60*Q60)*'Settings'!$B$12)+(S60*'Settings'!$B$2)+(T60*'Settings'!$B$3)+(U60*'Settings'!$B$4)+(V60*'Settings'!$B$5)+(X60*'Settings'!$B$9)+(AA60*'Settings'!$B$6)+(W60*'Settings'!$B$8)+(AB60*'Settings'!$B$7)+(AC60*'Settings'!$B$14)+(AD60*'Settings'!$B$15)+(AE60*'Settings'!$B$16)+(AF60*'Settings'!$B$17)+(AG60*'Settings'!$B$18)+(Y60*'Settings'!$B$10)+(Z60*'Settings'!$B$11),VLOOKUP(B60,'Standard Deviations'!A1:C731,3,FALSE))</f>
        <v>447.158630910392</v>
      </c>
      <c r="J60" s="45">
        <f>IF(D60="G",I60/AJ60,I60/Q60)</f>
        <v>5.72263637196326</v>
      </c>
      <c r="K60" s="44">
        <f>IF('Settings'!$E$18="C/LW/RW",VLOOKUP(B60,'RW'!A1:F132,6,FALSE),VLOOKUP(B60,'F'!A1:F432,6,FALSE))</f>
        <v>65.530067204036</v>
      </c>
      <c r="L60" s="44">
        <f>_xlfn.IFERROR(K60/H60,"N/A")</f>
        <v>8.455492542456261</v>
      </c>
      <c r="M60" s="46">
        <f>IF('Settings'!$E$9="YAHOO",VLOOKUP(B60,'ADP'!A1:E731,2,FALSE),IF('Settings'!$E$9="ESPN",VLOOKUP(B60,'ADP'!A1:E731,3,FALSE),IF('Settings'!$E$9="FANTRAX",VLOOKUP(B60,'ADP'!A1:E731,4,FALSE),VLOOKUP(B60,'ADP'!A1:E731,5,FALSE))))</f>
        <v>51.24</v>
      </c>
      <c r="N60" s="46">
        <f>_xlfn.IFERROR(M60-A60,"N/A")</f>
        <v>6.24</v>
      </c>
      <c r="O60" s="46"/>
      <c r="P60" t="s" s="47">
        <f>IF('Settings'!$E$27="ON",VLOOKUP(B60,'ADP'!A1:H731,8,FALSE)," ")</f>
        <v>116</v>
      </c>
      <c r="Q60" s="48">
        <f>IF('Settings'!$E$12="YES",VLOOKUP(B60,'Player Data'!A1:E734,5,FALSE),82)</f>
        <v>78.1385714285714</v>
      </c>
      <c r="R60" s="46">
        <f>VLOOKUP(B60,'Player Data'!$A1:$AE734,6,FALSE)</f>
        <v>17.9701293610518</v>
      </c>
      <c r="S60" s="48">
        <f>VLOOKUP(B60,'Player Data'!$A1:$AE734,7,FALSE)*$Q60*_xlfn.IFERROR((VLOOKUP(P60,'Settings'!$E$28:$F$33,2,FALSE)+1),1)</f>
        <v>31.0735846060283</v>
      </c>
      <c r="T60" s="48">
        <f>VLOOKUP(B60,'Player Data'!$A1:$AE734,8,FALSE)*$Q60*_xlfn.IFERROR((VLOOKUP(P60,'Settings'!$E$28:$F$33,2,FALSE)+1),1)</f>
        <v>43.461361650109</v>
      </c>
      <c r="U60" s="48">
        <f>SUM(S60:T60)</f>
        <v>74.5349462561373</v>
      </c>
      <c r="V60" s="48">
        <f>VLOOKUP(B60,'Player Data'!$A1:$AE734,10,FALSE)*$Q60*_xlfn.IFERROR(((VLOOKUP(P60,'Settings'!$E$28:$F$33,2,FALSE)/2)+1),1)</f>
        <v>249.594032761303</v>
      </c>
      <c r="W60" s="48">
        <f>VLOOKUP(B60,'Player Data'!$A1:$AE734,11,FALSE)*$Q60*_xlfn.IFERROR((VLOOKUP(P60,'Settings'!$E$28:$F$33,2,FALSE)+1),1)</f>
        <v>7.2863029772523</v>
      </c>
      <c r="X60" s="48">
        <f>VLOOKUP(B60,'Player Data'!$A1:$AE734,12,FALSE)*$Q60*_xlfn.IFERROR((VLOOKUP(P60,'Settings'!$E$28:$F$33,2,FALSE)+1),1)</f>
        <v>22.5934816240664</v>
      </c>
      <c r="Y60" s="48">
        <f>VLOOKUP(B60,'Player Data'!$A1:$AE734,13,FALSE)*$Q60</f>
        <v>0.0146839841574673</v>
      </c>
      <c r="Z60" s="48">
        <f>VLOOKUP(B60,'Player Data'!$A1:$AE734,14,FALSE)*$Q60</f>
        <v>0.0266952736995815</v>
      </c>
      <c r="AA60" s="48">
        <f>VLOOKUP(B60,'Player Data'!$A1:$AE734,15,FALSE)*$Q60</f>
        <v>21.5975827154173</v>
      </c>
      <c r="AB60" s="48">
        <f>VLOOKUP(B60,'Player Data'!$A1:$AE734,16,FALSE)*$Q60</f>
        <v>165.176867788715</v>
      </c>
      <c r="AC60" s="48">
        <f>VLOOKUP(B60,'Player Data'!$A1:$AE734,17,FALSE)*$Q60*_xlfn.IFERROR((VLOOKUP(P60,'Settings'!$E$28:$F$33,2,FALSE)+1),1)</f>
        <v>9.303226363443491</v>
      </c>
      <c r="AD60" s="48">
        <f>VLOOKUP(B60,'Player Data'!$A1:$AE734,18,FALSE)*$Q60</f>
        <v>68.73055525557901</v>
      </c>
      <c r="AE60" s="48">
        <f>VLOOKUP(B60,'Player Data'!$A1:$AE734,19,FALSE)*$Q60*_xlfn.IFERROR((VLOOKUP(P60,'Settings'!$E$28:$F$33,2,FALSE)+1),1)</f>
        <v>5.57529686849904</v>
      </c>
      <c r="AF60" s="48">
        <f>VLOOKUP(B60,'Player Data'!$A1:$AE734,20,FALSE)*$Q60</f>
        <v>2.4433265813984</v>
      </c>
      <c r="AG60" s="48">
        <f>VLOOKUP(B60,'Player Data'!$A1:$AE734,21,FALSE)*$Q60</f>
        <v>7.42999677612838</v>
      </c>
      <c r="AH60" s="49">
        <f>VLOOKUP(B60,'Player Data'!$A1:$AE734,22,FALSE)</f>
        <v>0.247467493256541</v>
      </c>
      <c r="AI60" s="46"/>
      <c r="AJ60" s="50"/>
      <c r="AK60" s="48"/>
      <c r="AL60" s="48"/>
      <c r="AM60" s="48"/>
      <c r="AN60" s="48"/>
      <c r="AO60" s="48"/>
      <c r="AP60" s="48"/>
      <c r="AQ60" s="51"/>
      <c r="AR60" s="52"/>
      <c r="AS60" s="46"/>
    </row>
    <row r="61" ht="21.25" customHeight="1">
      <c r="A61" s="53">
        <f>RANK(K61,K2:K730)</f>
        <v>71</v>
      </c>
      <c r="B61" t="s" s="8">
        <v>203</v>
      </c>
      <c r="C61" t="s" s="39">
        <v>106</v>
      </c>
      <c r="D61" t="s" s="40">
        <f>VLOOKUP(B61,'Player Data'!A1:D734,4,FALSE)</f>
        <v>133</v>
      </c>
      <c r="E61" s="57">
        <f>VLOOKUP(B61,'LW'!A1:C156,3,FALSE)</f>
        <v>20</v>
      </c>
      <c r="F61" t="s" s="42">
        <f>VLOOKUP(B61,'Player Data'!A1:B734,2,FALSE)</f>
        <v>204</v>
      </c>
      <c r="G61" s="9">
        <f>VLOOKUP(B61,'Player Data'!A1:D734,3,FALSE)</f>
        <v>27</v>
      </c>
      <c r="H61" s="43">
        <f>_xlfn.IFERROR(VLOOKUP(B61,'ADP'!A1:G731,7,FALSE)/1000000,VLOOKUP(B61,'ADP'!A1:G731,7,FALSE))</f>
        <v>7.875</v>
      </c>
      <c r="I61" s="44">
        <f>IF('Settings'!$E$15="POINTS",((R61*Q61)*'Settings'!$B$12)+(S61*'Settings'!$B$2)+(T61*'Settings'!$B$3)+(U61*'Settings'!$B$4)+(V61*'Settings'!$B$5)+(X61*'Settings'!$B$9)+(AA61*'Settings'!$B$6)+(W61*'Settings'!$B$8)+(AB61*'Settings'!$B$7)+(AC61*'Settings'!$B$14)+(AD61*'Settings'!$B$15)+(AE61*'Settings'!$B$16)+(AF61*'Settings'!$B$17)+(AG61*'Settings'!$B$18)+(Y61*'Settings'!$B$10)+(Z61*'Settings'!$B$11),VLOOKUP(B61,'Standard Deviations'!A1:C731,3,FALSE))</f>
        <v>423.508691485408</v>
      </c>
      <c r="J61" s="45">
        <f>IF(D61="G",I61/AJ61,I61/Q61)</f>
        <v>5.37148134496787</v>
      </c>
      <c r="K61" s="44">
        <f>IF('Settings'!$E$18="C/LW/RW",VLOOKUP(B61,'LW'!A1:F156,6,FALSE),VLOOKUP(B61,'F'!A1:F432,6,FALSE))</f>
        <v>41.880127779052</v>
      </c>
      <c r="L61" s="44">
        <f>_xlfn.IFERROR(K61/H61,"N/A")</f>
        <v>5.3181114640066</v>
      </c>
      <c r="M61" s="46">
        <f>IF('Settings'!$E$9="YAHOO",VLOOKUP(B61,'ADP'!A1:E731,2,FALSE),IF('Settings'!$E$9="ESPN",VLOOKUP(B61,'ADP'!A1:E731,3,FALSE),IF('Settings'!$E$9="FANTRAX",VLOOKUP(B61,'ADP'!A1:E731,4,FALSE),VLOOKUP(B61,'ADP'!A1:E731,5,FALSE))))</f>
        <v>47.7</v>
      </c>
      <c r="N61" s="46">
        <f>_xlfn.IFERROR(M61-A61,"N/A")</f>
        <v>-23.3</v>
      </c>
      <c r="O61" s="46"/>
      <c r="P61" t="s" s="47">
        <f>IF('Settings'!$E$27="ON",VLOOKUP(B61,'ADP'!A1:H731,8,FALSE)," ")</f>
        <v>109</v>
      </c>
      <c r="Q61" s="48">
        <f>IF('Settings'!$E$12="YES",VLOOKUP(B61,'Player Data'!A1:E734,5,FALSE),82)</f>
        <v>78.84392857142861</v>
      </c>
      <c r="R61" s="46">
        <f>VLOOKUP(B61,'Player Data'!$A1:$AE734,6,FALSE)</f>
        <v>17.5325611074309</v>
      </c>
      <c r="S61" s="48">
        <f>VLOOKUP(B61,'Player Data'!$A1:$AE734,7,FALSE)*$Q61*_xlfn.IFERROR((VLOOKUP(P61,'Settings'!$E$28:$F$33,2,FALSE)+1),1)</f>
        <v>28.5600700611092</v>
      </c>
      <c r="T61" s="48">
        <f>VLOOKUP(B61,'Player Data'!$A1:$AE734,8,FALSE)*$Q61*_xlfn.IFERROR((VLOOKUP(P61,'Settings'!$E$28:$F$33,2,FALSE)+1),1)</f>
        <v>49.5538133383808</v>
      </c>
      <c r="U61" s="48">
        <f>SUM(S61:T61)</f>
        <v>78.11388339949001</v>
      </c>
      <c r="V61" s="48">
        <f>VLOOKUP(B61,'Player Data'!$A1:$AE734,10,FALSE)*$Q61*_xlfn.IFERROR(((VLOOKUP(P61,'Settings'!$E$28:$F$33,2,FALSE)/2)+1),1)</f>
        <v>240.362239688192</v>
      </c>
      <c r="W61" s="48">
        <f>VLOOKUP(B61,'Player Data'!$A1:$AE734,11,FALSE)*$Q61*_xlfn.IFERROR((VLOOKUP(P61,'Settings'!$E$28:$F$33,2,FALSE)+1),1)</f>
        <v>6.72017909903412</v>
      </c>
      <c r="X61" s="48">
        <f>VLOOKUP(B61,'Player Data'!$A1:$AE734,12,FALSE)*$Q61*_xlfn.IFERROR((VLOOKUP(P61,'Settings'!$E$28:$F$33,2,FALSE)+1),1)</f>
        <v>22.4719995263735</v>
      </c>
      <c r="Y61" s="48">
        <f>VLOOKUP(B61,'Player Data'!$A1:$AE734,13,FALSE)*$Q61</f>
        <v>0.0163427258282093</v>
      </c>
      <c r="Z61" s="48">
        <f>VLOOKUP(B61,'Player Data'!$A1:$AE734,14,FALSE)*$Q61</f>
        <v>0.0200932818103925</v>
      </c>
      <c r="AA61" s="48">
        <f>VLOOKUP(B61,'Player Data'!$A1:$AE734,15,FALSE)*$Q61</f>
        <v>22.2380602707522</v>
      </c>
      <c r="AB61" s="48">
        <f>VLOOKUP(B61,'Player Data'!$A1:$AE734,16,FALSE)*$Q61</f>
        <v>59.9463986087239</v>
      </c>
      <c r="AC61" s="48">
        <f>VLOOKUP(B61,'Player Data'!$A1:$AE734,17,FALSE)*$Q61*_xlfn.IFERROR((VLOOKUP(P61,'Settings'!$E$28:$F$33,2,FALSE)+1),1)</f>
        <v>1.22972404465682</v>
      </c>
      <c r="AD61" s="48">
        <f>VLOOKUP(B61,'Player Data'!$A1:$AE734,18,FALSE)*$Q61</f>
        <v>48.3125674316587</v>
      </c>
      <c r="AE61" s="48">
        <f>VLOOKUP(B61,'Player Data'!$A1:$AE734,19,FALSE)*$Q61*_xlfn.IFERROR((VLOOKUP(P61,'Settings'!$E$28:$F$33,2,FALSE)+1),1)</f>
        <v>4.22863412435249</v>
      </c>
      <c r="AF61" s="48">
        <f>VLOOKUP(B61,'Player Data'!$A1:$AE734,20,FALSE)*$Q61</f>
        <v>6.75865218784243</v>
      </c>
      <c r="AG61" s="48">
        <f>VLOOKUP(B61,'Player Data'!$A1:$AE734,21,FALSE)*$Q61</f>
        <v>10.6047332478915</v>
      </c>
      <c r="AH61" s="49">
        <f>VLOOKUP(B61,'Player Data'!$A1:$AE734,22,FALSE)</f>
        <v>0.389247374186207</v>
      </c>
      <c r="AI61" s="46"/>
      <c r="AJ61" s="48"/>
      <c r="AK61" s="48"/>
      <c r="AL61" s="48"/>
      <c r="AM61" s="48"/>
      <c r="AN61" s="48"/>
      <c r="AO61" s="48"/>
      <c r="AP61" s="48"/>
      <c r="AQ61" s="51"/>
      <c r="AR61" s="52"/>
      <c r="AS61" s="46"/>
    </row>
    <row r="62" ht="21.25" customHeight="1">
      <c r="A62" s="53">
        <f>RANK(K62,K2:K730)</f>
        <v>29</v>
      </c>
      <c r="B62" t="s" s="8">
        <v>205</v>
      </c>
      <c r="C62" t="s" s="39">
        <v>106</v>
      </c>
      <c r="D62" t="s" s="40">
        <f>VLOOKUP(B62,'Player Data'!A1:D734,4,FALSE)</f>
        <v>146</v>
      </c>
      <c r="E62" s="58">
        <f>VLOOKUP(B62,'G'!A1:D75,3,FALSE)</f>
        <v>7</v>
      </c>
      <c r="F62" t="s" s="42">
        <f>VLOOKUP(B62,'Player Data'!A1:B734,2,FALSE)</f>
        <v>113</v>
      </c>
      <c r="G62" s="9">
        <f>VLOOKUP(B62,'Player Data'!A1:D734,3,FALSE)</f>
        <v>27</v>
      </c>
      <c r="H62" s="43">
        <f>_xlfn.IFERROR(VLOOKUP(B62,'ADP'!A1:G731,7,FALSE)/1000000,VLOOKUP(B62,'ADP'!A1:G731,7,FALSE))</f>
        <v>3.4</v>
      </c>
      <c r="I62" s="44">
        <f>IF('Settings'!$E$15="POINTS",(AJ62*'Settings'!$B$29)+(AK62*'Settings'!$B$21)+(AL62*'Settings'!$B$22)+(AN62*'Settings'!$B$24)+(AO62*'Settings'!$B$25)+(AP62*'Settings'!$B$27)+(AM62*'Settings'!$B$23),VLOOKUP(B62,'Standard Deviations'!A1:C731,3,FALSE))</f>
        <v>358.037882471751</v>
      </c>
      <c r="J62" s="45">
        <f>IF(D62="G",I62/AJ62,I62/Q62)</f>
        <v>6.39353361556698</v>
      </c>
      <c r="K62" s="44">
        <f>VLOOKUP(B62,'G'!A1:F75,6,FALSE)</f>
        <v>92.734660972063</v>
      </c>
      <c r="L62" s="44">
        <f>_xlfn.IFERROR(K62/H62,"N/A")</f>
        <v>27.2749002859009</v>
      </c>
      <c r="M62" s="46">
        <f>IF('Settings'!$E$9="YAHOO",VLOOKUP(B62,'ADP'!A1:E731,2,FALSE),IF('Settings'!$E$9="ESPN",VLOOKUP(B62,'ADP'!A1:E731,3,FALSE),IF('Settings'!$E$9="FANTRAX",VLOOKUP(B62,'ADP'!A1:E731,4,FALSE),VLOOKUP(B62,'ADP'!A1:E731,5,FALSE))))</f>
        <v>69.03</v>
      </c>
      <c r="N62" s="46">
        <f>_xlfn.IFERROR(M62-A62,"N/A")</f>
        <v>40.03</v>
      </c>
      <c r="O62" s="46"/>
      <c r="P62" t="s" s="47">
        <f>IF('Settings'!$E$27="ON",VLOOKUP(B62,'ADP'!A1:H731,8,FALSE)," ")</f>
        <v>109</v>
      </c>
      <c r="Q62" s="48"/>
      <c r="R62" s="59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9"/>
      <c r="AI62" s="46"/>
      <c r="AJ62" s="50">
        <f>VLOOKUP(B62,'Player Data'!$A1:$AE734,24,FALSE)</f>
        <v>56</v>
      </c>
      <c r="AK62" s="48">
        <f>VLOOKUP(B62,'Player Data'!$A1:$AE734,25,FALSE)*$AJ62*_xlfn.IFERROR((VLOOKUP(P62,'Settings'!$E$28:$F$33,2,FALSE)+1),1)</f>
        <v>33.0046604246061</v>
      </c>
      <c r="AL62" s="48">
        <f>AJ62-AK62-AM62</f>
        <v>15.9953395753939</v>
      </c>
      <c r="AM62" s="48">
        <f>VLOOKUP(B62,'Player Data'!$A1:$AE734,27,FALSE)*$AJ62</f>
        <v>7</v>
      </c>
      <c r="AN62" s="48">
        <f>VLOOKUP(B62,'Player Data'!$A1:$AE734,28,FALSE)*AJ62</f>
        <v>3.97408702401156</v>
      </c>
      <c r="AO62" s="48">
        <f>VLOOKUP(B62,'Player Data'!$A1:$AE734,29,FALSE)*$AJ62*_xlfn.IFERROR((VLOOKUP(P62,'Settings'!$E$28:$F$33,2,FALSE)/4)+1,1)</f>
        <v>1556.048637417160</v>
      </c>
      <c r="AP62" s="48">
        <f>VLOOKUP(B62,'Player Data'!$A1:$AE734,31,FALSE)*$AJ62*(_xlfn.IFERROR(1-(VLOOKUP(P62,'Settings'!$E$28:$F$33,2,FALSE)/4),1))</f>
        <v>146.475300732833</v>
      </c>
      <c r="AQ62" s="51">
        <f>1-(AP62/(AO62+AP62))</f>
        <v>0.913965790758868</v>
      </c>
      <c r="AR62" s="52">
        <f>AP62/AJ62</f>
        <v>2.61563037022916</v>
      </c>
      <c r="AS62" s="46"/>
    </row>
    <row r="63" ht="21.25" customHeight="1">
      <c r="A63" s="53">
        <f>RANK(K63,K2:K730)</f>
        <v>52</v>
      </c>
      <c r="B63" t="s" s="8">
        <v>206</v>
      </c>
      <c r="C63" t="s" s="39">
        <v>106</v>
      </c>
      <c r="D63" t="s" s="40">
        <f>VLOOKUP(B63,'Player Data'!A1:D734,4,FALSE)</f>
        <v>107</v>
      </c>
      <c r="E63" s="41">
        <f>VLOOKUP(B63,'C'!A1:C218,3,FALSE)</f>
        <v>16</v>
      </c>
      <c r="F63" t="s" s="42">
        <f>VLOOKUP(B63,'Player Data'!A1:B734,2,FALSE)</f>
        <v>202</v>
      </c>
      <c r="G63" s="9">
        <f>VLOOKUP(B63,'Player Data'!A1:D734,3,FALSE)</f>
        <v>26</v>
      </c>
      <c r="H63" s="43">
        <f>_xlfn.IFERROR(VLOOKUP(B63,'ADP'!A1:G731,7,FALSE)/1000000,VLOOKUP(B63,'ADP'!A1:G731,7,FALSE))</f>
        <v>9.6066</v>
      </c>
      <c r="I63" s="44">
        <f>IF('Settings'!$E$15="POINTS",((R63*Q63)*'Settings'!$B$12)+(S63*'Settings'!$B$2)+(T63*'Settings'!$B$3)+(U63*'Settings'!$B$4)+(V63*'Settings'!$B$5)+(X63*'Settings'!$B$9)+(AA63*'Settings'!$B$6)+(W63*'Settings'!$B$8)+(AB63*'Settings'!$B$7)+(AC63*'Settings'!$B$14)+(AD63*'Settings'!$B$15)+(AE63*'Settings'!$B$16)+(AF63*'Settings'!$B$17)+(AG63*'Settings'!$B$18)+(Y63*'Settings'!$B$10)+(Z63*'Settings'!$B$11),VLOOKUP(B63,'Standard Deviations'!A1:C731,3,FALSE))</f>
        <v>451.340998637869</v>
      </c>
      <c r="J63" s="45">
        <f>IF(D63="G",I63/AJ63,I63/Q63)</f>
        <v>5.6154401074696</v>
      </c>
      <c r="K63" s="44">
        <f>IF('Settings'!$E$18="C/LW/RW",VLOOKUP(B63,'C'!A1:F218,6,FALSE),VLOOKUP(B63,'F'!A1:F432,6,FALSE))</f>
        <v>55.566797001854</v>
      </c>
      <c r="L63" s="44">
        <f>_xlfn.IFERROR(K63/H63,"N/A")</f>
        <v>5.78423136196511</v>
      </c>
      <c r="M63" s="46">
        <f>IF('Settings'!$E$9="YAHOO",VLOOKUP(B63,'ADP'!A1:E731,2,FALSE),IF('Settings'!$E$9="ESPN",VLOOKUP(B63,'ADP'!A1:E731,3,FALSE),IF('Settings'!$E$9="FANTRAX",VLOOKUP(B63,'ADP'!A1:E731,4,FALSE),VLOOKUP(B63,'ADP'!A1:E731,5,FALSE))))</f>
        <v>49.32</v>
      </c>
      <c r="N63" s="46">
        <f>_xlfn.IFERROR(M63-A63,"N/A")</f>
        <v>-2.68</v>
      </c>
      <c r="O63" s="46"/>
      <c r="P63" t="s" s="47">
        <f>IF('Settings'!$E$27="ON",VLOOKUP(B63,'ADP'!A1:H731,8,FALSE)," ")</f>
        <v>109</v>
      </c>
      <c r="Q63" s="48">
        <f>IF('Settings'!$E$12="YES",VLOOKUP(B63,'Player Data'!A1:E734,5,FALSE),82)</f>
        <v>80.375</v>
      </c>
      <c r="R63" s="46">
        <f>VLOOKUP(B63,'Player Data'!$A1:$AE734,6,FALSE)</f>
        <v>19.9799803944147</v>
      </c>
      <c r="S63" s="48">
        <f>VLOOKUP(B63,'Player Data'!$A1:$AE734,7,FALSE)*$Q63*_xlfn.IFERROR((VLOOKUP(P63,'Settings'!$E$28:$F$33,2,FALSE)+1),1)</f>
        <v>38.0443875545685</v>
      </c>
      <c r="T63" s="48">
        <f>VLOOKUP(B63,'Player Data'!$A1:$AE734,8,FALSE)*$Q63*_xlfn.IFERROR((VLOOKUP(P63,'Settings'!$E$28:$F$33,2,FALSE)+1),1)</f>
        <v>41.4440317743563</v>
      </c>
      <c r="U63" s="48">
        <f>SUM(S63:T63)</f>
        <v>79.48841932892481</v>
      </c>
      <c r="V63" s="48">
        <f>VLOOKUP(B63,'Player Data'!$A1:$AE734,10,FALSE)*$Q63*_xlfn.IFERROR(((VLOOKUP(P63,'Settings'!$E$28:$F$33,2,FALSE)/2)+1),1)</f>
        <v>236.237315638745</v>
      </c>
      <c r="W63" s="48">
        <f>VLOOKUP(B63,'Player Data'!$A1:$AE734,11,FALSE)*$Q63*_xlfn.IFERROR((VLOOKUP(P63,'Settings'!$E$28:$F$33,2,FALSE)+1),1)</f>
        <v>9.63079854530026</v>
      </c>
      <c r="X63" s="48">
        <f>VLOOKUP(B63,'Player Data'!$A1:$AE734,12,FALSE)*$Q63*_xlfn.IFERROR((VLOOKUP(P63,'Settings'!$E$28:$F$33,2,FALSE)+1),1)</f>
        <v>21.6723321826206</v>
      </c>
      <c r="Y63" s="48">
        <f>VLOOKUP(B63,'Player Data'!$A1:$AE734,13,FALSE)*$Q63</f>
        <v>2.21104829331951</v>
      </c>
      <c r="Z63" s="48">
        <f>VLOOKUP(B63,'Player Data'!$A1:$AE734,14,FALSE)*$Q63</f>
        <v>3.36563893449293</v>
      </c>
      <c r="AA63" s="48">
        <f>VLOOKUP(B63,'Player Data'!$A1:$AE734,15,FALSE)*$Q63</f>
        <v>26.5501092119944</v>
      </c>
      <c r="AB63" s="48">
        <f>VLOOKUP(B63,'Player Data'!$A1:$AE734,16,FALSE)*$Q63</f>
        <v>70.7366760995471</v>
      </c>
      <c r="AC63" s="48">
        <f>VLOOKUP(B63,'Player Data'!$A1:$AE734,17,FALSE)*$Q63*_xlfn.IFERROR((VLOOKUP(P63,'Settings'!$E$28:$F$33,2,FALSE)+1),1)</f>
        <v>8.55117614972542</v>
      </c>
      <c r="AD63" s="48">
        <f>VLOOKUP(B63,'Player Data'!$A1:$AE734,18,FALSE)*$Q63</f>
        <v>43.9120794272703</v>
      </c>
      <c r="AE63" s="48">
        <f>VLOOKUP(B63,'Player Data'!$A1:$AE734,19,FALSE)*$Q63*_xlfn.IFERROR((VLOOKUP(P63,'Settings'!$E$28:$F$33,2,FALSE)+1),1)</f>
        <v>6.82601500554914</v>
      </c>
      <c r="AF63" s="48">
        <f>VLOOKUP(B63,'Player Data'!$A1:$AE734,20,FALSE)*$Q63</f>
        <v>584.940250664141</v>
      </c>
      <c r="AG63" s="48">
        <f>VLOOKUP(B63,'Player Data'!$A1:$AE734,21,FALSE)*$Q63</f>
        <v>538.330993462502</v>
      </c>
      <c r="AH63" s="49">
        <f>VLOOKUP(B63,'Player Data'!$A1:$AE734,22,FALSE)</f>
        <v>0.520747106918898</v>
      </c>
      <c r="AI63" s="46"/>
      <c r="AJ63" s="50"/>
      <c r="AK63" s="48"/>
      <c r="AL63" s="48"/>
      <c r="AM63" s="48"/>
      <c r="AN63" s="48"/>
      <c r="AO63" s="48"/>
      <c r="AP63" s="48"/>
      <c r="AQ63" s="51"/>
      <c r="AR63" s="52"/>
      <c r="AS63" s="46"/>
    </row>
    <row r="64" ht="21.25" customHeight="1">
      <c r="A64" s="53">
        <f>RANK(K64,K2:K730)</f>
        <v>114</v>
      </c>
      <c r="B64" t="s" s="8">
        <v>207</v>
      </c>
      <c r="C64" t="s" s="39">
        <v>106</v>
      </c>
      <c r="D64" t="s" s="40">
        <f>VLOOKUP(B64,'Player Data'!A1:D734,4,FALSE)</f>
        <v>129</v>
      </c>
      <c r="E64" s="56">
        <f>VLOOKUP(B64,'D'!A1:C228,3,FALSE)</f>
        <v>20</v>
      </c>
      <c r="F64" t="s" s="42">
        <f>VLOOKUP(B64,'Player Data'!A1:B734,2,FALSE)</f>
        <v>119</v>
      </c>
      <c r="G64" s="9">
        <f>VLOOKUP(B64,'Player Data'!A1:D734,3,FALSE)</f>
        <v>29</v>
      </c>
      <c r="H64" s="43">
        <f>_xlfn.IFERROR(VLOOKUP(B64,'ADP'!A1:G731,7,FALSE)/1000000,VLOOKUP(B64,'ADP'!A1:G731,7,FALSE))</f>
        <v>3.5</v>
      </c>
      <c r="I64" s="44">
        <f>IF('Settings'!$E$15="POINTS",((R64*Q64)*'Settings'!$B$12)+(S64*'Settings'!$B$2)+(T64*'Settings'!$B$3)+(U64*'Settings'!$B$4)+(V64*'Settings'!$B$5)+(X64*'Settings'!$B$9)+(AA64*'Settings'!$B$6)+(W64*'Settings'!$B$8)+(AB64*'Settings'!$B$7)+(AC64*'Settings'!$B$14)+(AD64*'Settings'!$B$15)+(AE64*'Settings'!$B$16)+(AF64*'Settings'!$B$17)+(AG64*'Settings'!$B$18)+(U64*'Settings'!$B$13)+(Y64*'Settings'!$B$10)+(Z64*'Settings'!$B$11),VLOOKUP(B64,'Standard Deviations'!A1:C731,3,FALSE))</f>
        <v>341.473632194021</v>
      </c>
      <c r="J64" s="45">
        <f>IF(D64="G",I64/AJ64,I64/Q64)</f>
        <v>4.87819474562887</v>
      </c>
      <c r="K64" s="44">
        <f>VLOOKUP(B64,'D'!A1:F228,6,FALSE)</f>
        <v>0.738493547498</v>
      </c>
      <c r="L64" s="44">
        <f>_xlfn.IFERROR(K64/H64,"N/A")</f>
        <v>0.210998156428</v>
      </c>
      <c r="M64" s="46">
        <f>IF('Settings'!$E$9="YAHOO",VLOOKUP(B64,'ADP'!A1:E731,2,FALSE),IF('Settings'!$E$9="ESPN",VLOOKUP(B64,'ADP'!A1:E731,3,FALSE),IF('Settings'!$E$9="FANTRAX",VLOOKUP(B64,'ADP'!A1:E731,4,FALSE),VLOOKUP(B64,'ADP'!A1:E731,5,FALSE))))</f>
        <v>64.88</v>
      </c>
      <c r="N64" s="46">
        <f>_xlfn.IFERROR(M64-A64,"N/A")</f>
        <v>-49.12</v>
      </c>
      <c r="O64" s="46"/>
      <c r="P64" t="s" s="47">
        <f>IF('Settings'!$E$27="ON",VLOOKUP(B64,'ADP'!A1:H731,8,FALSE)," ")</f>
        <v>109</v>
      </c>
      <c r="Q64" s="48">
        <f>IF('Settings'!$E$12="YES",VLOOKUP(B64,'Player Data'!A1:E734,5,FALSE),82)</f>
        <v>70</v>
      </c>
      <c r="R64" s="46">
        <f>VLOOKUP(B64,'Player Data'!$A1:$AE734,6,FALSE)</f>
        <v>23.8134284774009</v>
      </c>
      <c r="S64" s="48">
        <f>VLOOKUP(B64,'Player Data'!$A1:$AE734,7,FALSE)*$Q64*_xlfn.IFERROR((VLOOKUP(P64,'Settings'!$E$28:$F$33,2,FALSE)+1),1)</f>
        <v>12.3044172481001</v>
      </c>
      <c r="T64" s="48">
        <f>VLOOKUP(B64,'Player Data'!$A1:$AE734,8,FALSE)*$Q64*_xlfn.IFERROR((VLOOKUP(P64,'Settings'!$E$28:$F$33,2,FALSE)+1),1)</f>
        <v>42.259789308238</v>
      </c>
      <c r="U64" s="48">
        <f>SUM(S64:T64)</f>
        <v>54.5642065563381</v>
      </c>
      <c r="V64" s="48">
        <f>VLOOKUP(B64,'Player Data'!$A1:$AE734,10,FALSE)*$Q64*_xlfn.IFERROR(((VLOOKUP(P64,'Settings'!$E$28:$F$33,2,FALSE)/2)+1),1)</f>
        <v>195.981355457894</v>
      </c>
      <c r="W64" s="48">
        <f>VLOOKUP(B64,'Player Data'!$A1:$AE734,11,FALSE)*$Q64*_xlfn.IFERROR((VLOOKUP(P64,'Settings'!$E$28:$F$33,2,FALSE)+1),1)</f>
        <v>2.43550460058605</v>
      </c>
      <c r="X64" s="48">
        <f>VLOOKUP(B64,'Player Data'!$A1:$AE734,12,FALSE)*$Q64*_xlfn.IFERROR((VLOOKUP(P64,'Settings'!$E$28:$F$33,2,FALSE)+1),1)</f>
        <v>23.1260956534322</v>
      </c>
      <c r="Y64" s="48">
        <f>VLOOKUP(B64,'Player Data'!$A1:$AE734,13,FALSE)*$Q64</f>
        <v>0.121295031005156</v>
      </c>
      <c r="Z64" s="48">
        <f>VLOOKUP(B64,'Player Data'!$A1:$AE734,14,FALSE)*$Q64</f>
        <v>0.175885405660621</v>
      </c>
      <c r="AA64" s="48">
        <f>VLOOKUP(B64,'Player Data'!$A1:$AE734,15,FALSE)*$Q64</f>
        <v>83.50266965370329</v>
      </c>
      <c r="AB64" s="48">
        <f>VLOOKUP(B64,'Player Data'!$A1:$AE734,16,FALSE)*$Q64</f>
        <v>76.9224131429453</v>
      </c>
      <c r="AC64" s="48">
        <f>VLOOKUP(B64,'Player Data'!$A1:$AE734,17,FALSE)*$Q64*_xlfn.IFERROR((VLOOKUP(P64,'Settings'!$E$28:$F$33,2,FALSE)+1),1)</f>
        <v>4.30819736128284</v>
      </c>
      <c r="AD64" s="48">
        <f>VLOOKUP(B64,'Player Data'!$A1:$AE734,18,FALSE)*$Q64</f>
        <v>50.5240359727754</v>
      </c>
      <c r="AE64" s="48">
        <f>VLOOKUP(B64,'Player Data'!$A1:$AE734,19,FALSE)*$Q64*_xlfn.IFERROR((VLOOKUP(P64,'Settings'!$E$28:$F$33,2,FALSE)+1),1)</f>
        <v>1.76509672040359</v>
      </c>
      <c r="AF64" s="48">
        <f>VLOOKUP(B64,'Player Data'!$A1:$AE734,20,FALSE)*$Q64</f>
        <v>0</v>
      </c>
      <c r="AG64" s="48">
        <f>VLOOKUP(B64,'Player Data'!$A1:$AE734,21,FALSE)*$Q64</f>
        <v>0</v>
      </c>
      <c r="AH64" s="49">
        <f>VLOOKUP(B64,'Player Data'!$A1:$AE734,22,FALSE)</f>
        <v>0</v>
      </c>
      <c r="AI64" s="46"/>
      <c r="AJ64" s="50"/>
      <c r="AK64" s="48"/>
      <c r="AL64" s="48"/>
      <c r="AM64" s="48"/>
      <c r="AN64" s="48"/>
      <c r="AO64" s="48"/>
      <c r="AP64" s="48"/>
      <c r="AQ64" s="51"/>
      <c r="AR64" s="52"/>
      <c r="AS64" s="46"/>
    </row>
    <row r="65" ht="21.25" customHeight="1">
      <c r="A65" s="53">
        <f>RANK(K65,K2:K730)</f>
        <v>78</v>
      </c>
      <c r="B65" t="s" s="8">
        <v>208</v>
      </c>
      <c r="C65" t="s" s="39">
        <v>106</v>
      </c>
      <c r="D65" t="s" s="40">
        <f>VLOOKUP(B65,'Player Data'!A1:D734,4,FALSE)</f>
        <v>107</v>
      </c>
      <c r="E65" s="41">
        <f>VLOOKUP(B65,'C'!A1:C218,3,FALSE)</f>
        <v>22</v>
      </c>
      <c r="F65" t="s" s="42">
        <f>VLOOKUP(B65,'Player Data'!A1:B734,2,FALSE)</f>
        <v>139</v>
      </c>
      <c r="G65" s="9">
        <f>VLOOKUP(B65,'Player Data'!A1:D734,3,FALSE)</f>
        <v>22</v>
      </c>
      <c r="H65" s="43">
        <f>_xlfn.IFERROR(VLOOKUP(B65,'ADP'!A1:G731,7,FALSE)/1000000,VLOOKUP(B65,'ADP'!A1:G731,7,FALSE))</f>
        <v>7.1</v>
      </c>
      <c r="I65" s="44">
        <f>IF('Settings'!$E$15="POINTS",((R65*Q65)*'Settings'!$B$12)+(S65*'Settings'!$B$2)+(T65*'Settings'!$B$3)+(U65*'Settings'!$B$4)+(V65*'Settings'!$B$5)+(X65*'Settings'!$B$9)+(AA65*'Settings'!$B$6)+(W65*'Settings'!$B$8)+(AB65*'Settings'!$B$7)+(AC65*'Settings'!$B$14)+(AD65*'Settings'!$B$15)+(AE65*'Settings'!$B$16)+(AF65*'Settings'!$B$17)+(AG65*'Settings'!$B$18)+(Y65*'Settings'!$B$10)+(Z65*'Settings'!$B$11),VLOOKUP(B65,'Standard Deviations'!A1:C731,3,FALSE))</f>
        <v>429.280053189410</v>
      </c>
      <c r="J65" s="45">
        <f>IF(D65="G",I65/AJ65,I65/Q65)</f>
        <v>5.26788628284955</v>
      </c>
      <c r="K65" s="44">
        <f>IF('Settings'!$E$18="C/LW/RW",VLOOKUP(B65,'C'!A1:F218,6,FALSE),VLOOKUP(B65,'F'!A1:F432,6,FALSE))</f>
        <v>33.505851553395</v>
      </c>
      <c r="L65" s="44">
        <f>_xlfn.IFERROR(K65/H65,"N/A")</f>
        <v>4.71913402160493</v>
      </c>
      <c r="M65" s="46">
        <f>IF('Settings'!$E$9="YAHOO",VLOOKUP(B65,'ADP'!A1:E731,2,FALSE),IF('Settings'!$E$9="ESPN",VLOOKUP(B65,'ADP'!A1:E731,3,FALSE),IF('Settings'!$E$9="FANTRAX",VLOOKUP(B65,'ADP'!A1:E731,4,FALSE),VLOOKUP(B65,'ADP'!A1:E731,5,FALSE))))</f>
        <v>118.7</v>
      </c>
      <c r="N65" s="46">
        <f>_xlfn.IFERROR(M65-A65,"N/A")</f>
        <v>40.7</v>
      </c>
      <c r="O65" s="46"/>
      <c r="P65" t="s" s="47">
        <f>IF('Settings'!$E$27="ON",VLOOKUP(B65,'ADP'!A1:H731,8,FALSE)," ")</f>
        <v>142</v>
      </c>
      <c r="Q65" s="48">
        <f>IF('Settings'!$E$12="YES",VLOOKUP(B65,'Player Data'!A1:E734,5,FALSE),82)</f>
        <v>81.48999999999999</v>
      </c>
      <c r="R65" s="46">
        <f>VLOOKUP(B65,'Player Data'!$A1:$AE734,6,FALSE)</f>
        <v>18.9416748033175</v>
      </c>
      <c r="S65" s="48">
        <f>VLOOKUP(B65,'Player Data'!$A1:$AE734,7,FALSE)*$Q65*_xlfn.IFERROR((VLOOKUP(P65,'Settings'!$E$28:$F$33,2,FALSE)+1),1)</f>
        <v>31.1327033091542</v>
      </c>
      <c r="T65" s="48">
        <f>VLOOKUP(B65,'Player Data'!$A1:$AE734,8,FALSE)*$Q65*_xlfn.IFERROR((VLOOKUP(P65,'Settings'!$E$28:$F$33,2,FALSE)+1),1)</f>
        <v>44.9516905993807</v>
      </c>
      <c r="U65" s="48">
        <f>SUM(S65:T65)</f>
        <v>76.08439390853491</v>
      </c>
      <c r="V65" s="48">
        <f>VLOOKUP(B65,'Player Data'!$A1:$AE734,10,FALSE)*$Q65*_xlfn.IFERROR(((VLOOKUP(P65,'Settings'!$E$28:$F$33,2,FALSE)/2)+1),1)</f>
        <v>238.477184330666</v>
      </c>
      <c r="W65" s="48">
        <f>VLOOKUP(B65,'Player Data'!$A1:$AE734,11,FALSE)*$Q65*_xlfn.IFERROR((VLOOKUP(P65,'Settings'!$E$28:$F$33,2,FALSE)+1),1)</f>
        <v>7.40376378105513</v>
      </c>
      <c r="X65" s="48">
        <f>VLOOKUP(B65,'Player Data'!$A1:$AE734,12,FALSE)*$Q65*_xlfn.IFERROR((VLOOKUP(P65,'Settings'!$E$28:$F$33,2,FALSE)+1),1)</f>
        <v>24.8379686930366</v>
      </c>
      <c r="Y65" s="48">
        <f>VLOOKUP(B65,'Player Data'!$A1:$AE734,13,FALSE)*$Q65</f>
        <v>0.809095893445685</v>
      </c>
      <c r="Z65" s="48">
        <f>VLOOKUP(B65,'Player Data'!$A1:$AE734,14,FALSE)*$Q65</f>
        <v>1.97237263983979</v>
      </c>
      <c r="AA65" s="48">
        <f>VLOOKUP(B65,'Player Data'!$A1:$AE734,15,FALSE)*$Q65</f>
        <v>32.5856522805118</v>
      </c>
      <c r="AB65" s="48">
        <f>VLOOKUP(B65,'Player Data'!$A1:$AE734,16,FALSE)*$Q65</f>
        <v>59.4066116592233</v>
      </c>
      <c r="AC65" s="48">
        <f>VLOOKUP(B65,'Player Data'!$A1:$AE734,17,FALSE)*$Q65*_xlfn.IFERROR((VLOOKUP(P65,'Settings'!$E$28:$F$33,2,FALSE)+1),1)</f>
        <v>-2.85020114934753</v>
      </c>
      <c r="AD65" s="48">
        <f>VLOOKUP(B65,'Player Data'!$A1:$AE734,18,FALSE)*$Q65</f>
        <v>44.7449311178136</v>
      </c>
      <c r="AE65" s="48">
        <f>VLOOKUP(B65,'Player Data'!$A1:$AE734,19,FALSE)*$Q65*_xlfn.IFERROR((VLOOKUP(P65,'Settings'!$E$28:$F$33,2,FALSE)+1),1)</f>
        <v>3.98557930416011</v>
      </c>
      <c r="AF65" s="48">
        <f>VLOOKUP(B65,'Player Data'!$A1:$AE734,20,FALSE)*$Q65</f>
        <v>589.2933571842329</v>
      </c>
      <c r="AG65" s="48">
        <f>VLOOKUP(B65,'Player Data'!$A1:$AE734,21,FALSE)*$Q65</f>
        <v>660.653534443624</v>
      </c>
      <c r="AH65" s="49">
        <f>VLOOKUP(B65,'Player Data'!$A1:$AE734,22,FALSE)</f>
        <v>0.471454716301404</v>
      </c>
      <c r="AI65" s="46"/>
      <c r="AJ65" s="48"/>
      <c r="AK65" s="48"/>
      <c r="AL65" s="48"/>
      <c r="AM65" s="48"/>
      <c r="AN65" s="48"/>
      <c r="AO65" s="48"/>
      <c r="AP65" s="48"/>
      <c r="AQ65" s="51"/>
      <c r="AR65" s="52"/>
      <c r="AS65" s="46"/>
    </row>
    <row r="66" ht="21.25" customHeight="1">
      <c r="A66" s="53">
        <f>RANK(K66,K2:K730)</f>
        <v>57</v>
      </c>
      <c r="B66" t="s" s="8">
        <v>209</v>
      </c>
      <c r="C66" t="s" s="39">
        <v>106</v>
      </c>
      <c r="D66" t="s" s="40">
        <f>VLOOKUP(B66,'Player Data'!A1:D734,4,FALSE)</f>
        <v>121</v>
      </c>
      <c r="E66" s="55">
        <f>VLOOKUP(B66,'RW'!A1:F132,3,FALSE)</f>
        <v>13</v>
      </c>
      <c r="F66" t="s" s="42">
        <f>VLOOKUP(B66,'Player Data'!A1:B734,2,FALSE)</f>
        <v>139</v>
      </c>
      <c r="G66" s="9">
        <f>VLOOKUP(B66,'Player Data'!A1:D734,3,FALSE)</f>
        <v>27</v>
      </c>
      <c r="H66" s="43">
        <f>_xlfn.IFERROR(VLOOKUP(B66,'ADP'!A1:G731,7,FALSE)/1000000,VLOOKUP(B66,'ADP'!A1:G731,7,FALSE))</f>
        <v>4.75</v>
      </c>
      <c r="I66" s="44">
        <f>IF('Settings'!$E$15="POINTS",((R66*Q66)*'Settings'!$B$12)+(S66*'Settings'!$B$2)+(T66*'Settings'!$B$3)+(U66*'Settings'!$B$4)+(V66*'Settings'!$B$5)+(X66*'Settings'!$B$9)+(AA66*'Settings'!$B$6)+(W66*'Settings'!$B$8)+(AB66*'Settings'!$B$7)+(AC66*'Settings'!$B$14)+(AD66*'Settings'!$B$15)+(AE66*'Settings'!$B$16)+(AF66*'Settings'!$B$17)+(AG66*'Settings'!$B$18)+(Y66*'Settings'!$B$10)+(Z66*'Settings'!$B$11),VLOOKUP(B66,'Standard Deviations'!A1:C731,3,FALSE))</f>
        <v>434.114582276578</v>
      </c>
      <c r="J66" s="45">
        <f>IF(D66="G",I66/AJ66,I66/Q66)</f>
        <v>5.67544230979969</v>
      </c>
      <c r="K66" s="44">
        <f>IF('Settings'!$E$18="C/LW/RW",VLOOKUP(B66,'RW'!A1:F132,6,FALSE),VLOOKUP(B66,'F'!A1:F432,6,FALSE))</f>
        <v>52.486018570222</v>
      </c>
      <c r="L66" s="44">
        <f>_xlfn.IFERROR(K66/H66,"N/A")</f>
        <v>11.0496881200467</v>
      </c>
      <c r="M66" s="46">
        <f>IF('Settings'!$E$9="YAHOO",VLOOKUP(B66,'ADP'!A1:E731,2,FALSE),IF('Settings'!$E$9="ESPN",VLOOKUP(B66,'ADP'!A1:E731,3,FALSE),IF('Settings'!$E$9="FANTRAX",VLOOKUP(B66,'ADP'!A1:E731,4,FALSE),VLOOKUP(B66,'ADP'!A1:E731,5,FALSE))))</f>
        <v>47.37</v>
      </c>
      <c r="N66" s="46">
        <f>_xlfn.IFERROR(M66-A66,"N/A")</f>
        <v>-9.630000000000001</v>
      </c>
      <c r="O66" s="46"/>
      <c r="P66" t="s" s="47">
        <f>IF('Settings'!$E$27="ON",VLOOKUP(B66,'ADP'!A1:H731,8,FALSE)," ")</f>
        <v>109</v>
      </c>
      <c r="Q66" s="48">
        <f>IF('Settings'!$E$12="YES",VLOOKUP(B66,'Player Data'!A1:E734,5,FALSE),82)</f>
        <v>76.48999999999999</v>
      </c>
      <c r="R66" s="46">
        <f>VLOOKUP(B66,'Player Data'!$A1:$AE734,6,FALSE)</f>
        <v>19.9730849972836</v>
      </c>
      <c r="S66" s="48">
        <f>VLOOKUP(B66,'Player Data'!$A1:$AE734,7,FALSE)*$Q66*_xlfn.IFERROR((VLOOKUP(P66,'Settings'!$E$28:$F$33,2,FALSE)+1),1)</f>
        <v>32.2443126152246</v>
      </c>
      <c r="T66" s="48">
        <f>VLOOKUP(B66,'Player Data'!$A1:$AE734,8,FALSE)*$Q66*_xlfn.IFERROR((VLOOKUP(P66,'Settings'!$E$28:$F$33,2,FALSE)+1),1)</f>
        <v>42.6258960724242</v>
      </c>
      <c r="U66" s="48">
        <f>SUM(S66:T66)</f>
        <v>74.8702086876488</v>
      </c>
      <c r="V66" s="48">
        <f>VLOOKUP(B66,'Player Data'!$A1:$AE734,10,FALSE)*$Q66*_xlfn.IFERROR(((VLOOKUP(P66,'Settings'!$E$28:$F$33,2,FALSE)/2)+1),1)</f>
        <v>232.986781899954</v>
      </c>
      <c r="W66" s="48">
        <f>VLOOKUP(B66,'Player Data'!$A1:$AE734,11,FALSE)*$Q66*_xlfn.IFERROR((VLOOKUP(P66,'Settings'!$E$28:$F$33,2,FALSE)+1),1)</f>
        <v>7.28663457423009</v>
      </c>
      <c r="X66" s="48">
        <f>VLOOKUP(B66,'Player Data'!$A1:$AE734,12,FALSE)*$Q66*_xlfn.IFERROR((VLOOKUP(P66,'Settings'!$E$28:$F$33,2,FALSE)+1),1)</f>
        <v>19.2270666456709</v>
      </c>
      <c r="Y66" s="48">
        <f>VLOOKUP(B66,'Player Data'!$A1:$AE734,13,FALSE)*$Q66</f>
        <v>1.05819648088977</v>
      </c>
      <c r="Z66" s="48">
        <f>VLOOKUP(B66,'Player Data'!$A1:$AE734,14,FALSE)*$Q66</f>
        <v>1.16944901955951</v>
      </c>
      <c r="AA66" s="48">
        <f>VLOOKUP(B66,'Player Data'!$A1:$AE734,15,FALSE)*$Q66</f>
        <v>54.2052422700592</v>
      </c>
      <c r="AB66" s="48">
        <f>VLOOKUP(B66,'Player Data'!$A1:$AE734,16,FALSE)*$Q66</f>
        <v>60.8103086666768</v>
      </c>
      <c r="AC66" s="48">
        <f>VLOOKUP(B66,'Player Data'!$A1:$AE734,17,FALSE)*$Q66*_xlfn.IFERROR((VLOOKUP(P66,'Settings'!$E$28:$F$33,2,FALSE)+1),1)</f>
        <v>1.597706894396</v>
      </c>
      <c r="AD66" s="48">
        <f>VLOOKUP(B66,'Player Data'!$A1:$AE734,18,FALSE)*$Q66</f>
        <v>29.0948367384748</v>
      </c>
      <c r="AE66" s="48">
        <f>VLOOKUP(B66,'Player Data'!$A1:$AE734,19,FALSE)*$Q66*_xlfn.IFERROR((VLOOKUP(P66,'Settings'!$E$28:$F$33,2,FALSE)+1),1)</f>
        <v>4.12788647872799</v>
      </c>
      <c r="AF66" s="48">
        <f>VLOOKUP(B66,'Player Data'!$A1:$AE734,20,FALSE)*$Q66</f>
        <v>29.8319861854845</v>
      </c>
      <c r="AG66" s="48">
        <f>VLOOKUP(B66,'Player Data'!$A1:$AE734,21,FALSE)*$Q66</f>
        <v>43.5644792112341</v>
      </c>
      <c r="AH66" s="49">
        <f>VLOOKUP(B66,'Player Data'!$A1:$AE734,22,FALSE)</f>
        <v>0.406449902243088</v>
      </c>
      <c r="AI66" s="46"/>
      <c r="AJ66" s="48"/>
      <c r="AK66" s="48"/>
      <c r="AL66" s="48"/>
      <c r="AM66" s="48"/>
      <c r="AN66" s="48"/>
      <c r="AO66" s="48"/>
      <c r="AP66" s="48"/>
      <c r="AQ66" s="51"/>
      <c r="AR66" s="52"/>
      <c r="AS66" s="46"/>
    </row>
    <row r="67" ht="21.25" customHeight="1">
      <c r="A67" s="53">
        <f>RANK(K67,K2:K730)</f>
        <v>70</v>
      </c>
      <c r="B67" t="s" s="8">
        <v>210</v>
      </c>
      <c r="C67" t="s" s="39">
        <v>106</v>
      </c>
      <c r="D67" t="s" s="40">
        <f>VLOOKUP(B67,'Player Data'!A1:D734,4,FALSE)</f>
        <v>107</v>
      </c>
      <c r="E67" s="41">
        <f>VLOOKUP(B67,'C'!A1:C218,3,FALSE)</f>
        <v>20</v>
      </c>
      <c r="F67" t="s" s="42">
        <f>VLOOKUP(B67,'Player Data'!A1:B734,2,FALSE)</f>
        <v>136</v>
      </c>
      <c r="G67" s="9">
        <f>VLOOKUP(B67,'Player Data'!A1:D734,3,FALSE)</f>
        <v>26</v>
      </c>
      <c r="H67" s="43">
        <f>_xlfn.IFERROR(VLOOKUP(B67,'ADP'!A1:G731,7,FALSE)/1000000,VLOOKUP(B67,'ADP'!A1:G731,7,FALSE))</f>
        <v>8</v>
      </c>
      <c r="I67" s="44">
        <f>IF('Settings'!$E$15="POINTS",((R67*Q67)*'Settings'!$B$12)+(S67*'Settings'!$B$2)+(T67*'Settings'!$B$3)+(U67*'Settings'!$B$4)+(V67*'Settings'!$B$5)+(X67*'Settings'!$B$9)+(AA67*'Settings'!$B$6)+(W67*'Settings'!$B$8)+(AB67*'Settings'!$B$7)+(AC67*'Settings'!$B$14)+(AD67*'Settings'!$B$15)+(AE67*'Settings'!$B$16)+(AF67*'Settings'!$B$17)+(AG67*'Settings'!$B$18)+(Y67*'Settings'!$B$10)+(Z67*'Settings'!$B$11),VLOOKUP(B67,'Standard Deviations'!A1:C731,3,FALSE))</f>
        <v>438.310084617597</v>
      </c>
      <c r="J67" s="45">
        <f>IF(D67="G",I67/AJ67,I67/Q67)</f>
        <v>5.62216599369315</v>
      </c>
      <c r="K67" s="44">
        <f>IF('Settings'!$E$18="C/LW/RW",VLOOKUP(B67,'C'!A1:F218,6,FALSE),VLOOKUP(B67,'F'!A1:F432,6,FALSE))</f>
        <v>42.535882981582</v>
      </c>
      <c r="L67" s="44">
        <f>_xlfn.IFERROR(K67/H67,"N/A")</f>
        <v>5.31698537269775</v>
      </c>
      <c r="M67" s="46">
        <f>IF('Settings'!$E$9="YAHOO",VLOOKUP(B67,'ADP'!A1:E731,2,FALSE),IF('Settings'!$E$9="ESPN",VLOOKUP(B67,'ADP'!A1:E731,3,FALSE),IF('Settings'!$E$9="FANTRAX",VLOOKUP(B67,'ADP'!A1:E731,4,FALSE),VLOOKUP(B67,'ADP'!A1:E731,5,FALSE))))</f>
        <v>39.11</v>
      </c>
      <c r="N67" s="46">
        <f>_xlfn.IFERROR(M67-A67,"N/A")</f>
        <v>-30.89</v>
      </c>
      <c r="O67" s="46"/>
      <c r="P67" t="s" s="47">
        <f>IF('Settings'!$E$27="ON",VLOOKUP(B67,'ADP'!A1:H731,8,FALSE)," ")</f>
        <v>109</v>
      </c>
      <c r="Q67" s="48">
        <f>IF('Settings'!$E$12="YES",VLOOKUP(B67,'Player Data'!A1:E734,5,FALSE),82)</f>
        <v>77.9610714285714</v>
      </c>
      <c r="R67" s="46">
        <f>VLOOKUP(B67,'Player Data'!$A1:$AE734,6,FALSE)</f>
        <v>18.4257263157517</v>
      </c>
      <c r="S67" s="48">
        <f>VLOOKUP(B67,'Player Data'!$A1:$AE734,7,FALSE)*$Q67*_xlfn.IFERROR((VLOOKUP(P67,'Settings'!$E$28:$F$33,2,FALSE)+1),1)</f>
        <v>36.9602103579831</v>
      </c>
      <c r="T67" s="48">
        <f>VLOOKUP(B67,'Player Data'!$A1:$AE734,8,FALSE)*$Q67*_xlfn.IFERROR((VLOOKUP(P67,'Settings'!$E$28:$F$33,2,FALSE)+1),1)</f>
        <v>41.0540146077316</v>
      </c>
      <c r="U67" s="48">
        <f>SUM(S67:T67)</f>
        <v>78.0142249657147</v>
      </c>
      <c r="V67" s="48">
        <f>VLOOKUP(B67,'Player Data'!$A1:$AE734,10,FALSE)*$Q67*_xlfn.IFERROR(((VLOOKUP(P67,'Settings'!$E$28:$F$33,2,FALSE)/2)+1),1)</f>
        <v>203.242936773819</v>
      </c>
      <c r="W67" s="48">
        <f>VLOOKUP(B67,'Player Data'!$A1:$AE734,11,FALSE)*$Q67*_xlfn.IFERROR((VLOOKUP(P67,'Settings'!$E$28:$F$33,2,FALSE)+1),1)</f>
        <v>10.3114074556416</v>
      </c>
      <c r="X67" s="48">
        <f>VLOOKUP(B67,'Player Data'!$A1:$AE734,12,FALSE)*$Q67*_xlfn.IFERROR((VLOOKUP(P67,'Settings'!$E$28:$F$33,2,FALSE)+1),1)</f>
        <v>25.849359662575</v>
      </c>
      <c r="Y67" s="48">
        <f>VLOOKUP(B67,'Player Data'!$A1:$AE734,13,FALSE)*$Q67</f>
        <v>3.0074575983744</v>
      </c>
      <c r="Z67" s="48">
        <f>VLOOKUP(B67,'Player Data'!$A1:$AE734,14,FALSE)*$Q67</f>
        <v>3.48076121524808</v>
      </c>
      <c r="AA67" s="48">
        <f>VLOOKUP(B67,'Player Data'!$A1:$AE734,15,FALSE)*$Q67</f>
        <v>48.5922056291171</v>
      </c>
      <c r="AB67" s="48">
        <f>VLOOKUP(B67,'Player Data'!$A1:$AE734,16,FALSE)*$Q67</f>
        <v>63.7920022060578</v>
      </c>
      <c r="AC67" s="48">
        <f>VLOOKUP(B67,'Player Data'!$A1:$AE734,17,FALSE)*$Q67*_xlfn.IFERROR((VLOOKUP(P67,'Settings'!$E$28:$F$33,2,FALSE)+1),1)</f>
        <v>8.570658692066131</v>
      </c>
      <c r="AD67" s="48">
        <f>VLOOKUP(B67,'Player Data'!$A1:$AE734,18,FALSE)*$Q67</f>
        <v>28.8524528027001</v>
      </c>
      <c r="AE67" s="48">
        <f>VLOOKUP(B67,'Player Data'!$A1:$AE734,19,FALSE)*$Q67*_xlfn.IFERROR((VLOOKUP(P67,'Settings'!$E$28:$F$33,2,FALSE)+1),1)</f>
        <v>5.91337164433327</v>
      </c>
      <c r="AF67" s="48">
        <f>VLOOKUP(B67,'Player Data'!$A1:$AE734,20,FALSE)*$Q67</f>
        <v>307.818305673970</v>
      </c>
      <c r="AG67" s="48">
        <f>VLOOKUP(B67,'Player Data'!$A1:$AE734,21,FALSE)*$Q67</f>
        <v>284.416442017891</v>
      </c>
      <c r="AH67" s="49">
        <f>VLOOKUP(B67,'Player Data'!$A1:$AE734,22,FALSE)</f>
        <v>0.519757253139303</v>
      </c>
      <c r="AI67" s="46"/>
      <c r="AJ67" s="50"/>
      <c r="AK67" s="48"/>
      <c r="AL67" s="48"/>
      <c r="AM67" s="48"/>
      <c r="AN67" s="48"/>
      <c r="AO67" s="48"/>
      <c r="AP67" s="48"/>
      <c r="AQ67" s="51"/>
      <c r="AR67" s="52"/>
      <c r="AS67" s="46"/>
    </row>
    <row r="68" ht="21.25" customHeight="1">
      <c r="A68" s="53">
        <f>RANK(K68,K2:K730)</f>
        <v>115</v>
      </c>
      <c r="B68" t="s" s="8">
        <v>211</v>
      </c>
      <c r="C68" t="s" s="39">
        <v>106</v>
      </c>
      <c r="D68" t="s" s="40">
        <f>VLOOKUP(B68,'Player Data'!A1:D734,4,FALSE)</f>
        <v>129</v>
      </c>
      <c r="E68" s="56">
        <f>VLOOKUP(B68,'D'!A1:C228,3,FALSE)</f>
        <v>21</v>
      </c>
      <c r="F68" t="s" s="42">
        <f>VLOOKUP(B68,'Player Data'!A1:B734,2,FALSE)</f>
        <v>149</v>
      </c>
      <c r="G68" s="9">
        <f>VLOOKUP(B68,'Player Data'!A1:D734,3,FALSE)</f>
        <v>23</v>
      </c>
      <c r="H68" s="43">
        <f>_xlfn.IFERROR(VLOOKUP(B68,'ADP'!A1:G731,7,FALSE)/1000000,VLOOKUP(B68,'ADP'!A1:G731,7,FALSE))</f>
        <v>4</v>
      </c>
      <c r="I68" s="44">
        <f>IF('Settings'!$E$15="POINTS",((R68*Q68)*'Settings'!$B$12)+(S68*'Settings'!$B$2)+(T68*'Settings'!$B$3)+(U68*'Settings'!$B$4)+(V68*'Settings'!$B$5)+(X68*'Settings'!$B$9)+(AA68*'Settings'!$B$6)+(W68*'Settings'!$B$8)+(AB68*'Settings'!$B$7)+(AC68*'Settings'!$B$14)+(AD68*'Settings'!$B$15)+(AE68*'Settings'!$B$16)+(AF68*'Settings'!$B$17)+(AG68*'Settings'!$B$18)+(U68*'Settings'!$B$13)+(Y68*'Settings'!$B$10)+(Z68*'Settings'!$B$11),VLOOKUP(B68,'Standard Deviations'!A1:C731,3,FALSE))</f>
        <v>340.735138646523</v>
      </c>
      <c r="J68" s="45">
        <f>IF(D68="G",I68/AJ68,I68/Q68)</f>
        <v>4.28162955943321</v>
      </c>
      <c r="K68" s="44">
        <f>VLOOKUP(B68,'D'!A1:F228,6,FALSE)</f>
        <v>0</v>
      </c>
      <c r="L68" s="44">
        <f>_xlfn.IFERROR(K68/H68,"N/A")</f>
        <v>0</v>
      </c>
      <c r="M68" s="46">
        <f>IF('Settings'!$E$9="YAHOO",VLOOKUP(B68,'ADP'!A1:E731,2,FALSE),IF('Settings'!$E$9="ESPN",VLOOKUP(B68,'ADP'!A1:E731,3,FALSE),IF('Settings'!$E$9="FANTRAX",VLOOKUP(B68,'ADP'!A1:E731,4,FALSE),VLOOKUP(B68,'ADP'!A1:E731,5,FALSE))))</f>
        <v>93.98</v>
      </c>
      <c r="N68" s="46">
        <f>_xlfn.IFERROR(M68-A68,"N/A")</f>
        <v>-21.02</v>
      </c>
      <c r="O68" s="46"/>
      <c r="P68" t="s" s="47">
        <f>IF('Settings'!$E$27="ON",VLOOKUP(B68,'ADP'!A1:H731,8,FALSE)," ")</f>
        <v>109</v>
      </c>
      <c r="Q68" s="48">
        <f>IF('Settings'!$E$12="YES",VLOOKUP(B68,'Player Data'!A1:E734,5,FALSE),82)</f>
        <v>79.58071428571429</v>
      </c>
      <c r="R68" s="46">
        <f>VLOOKUP(B68,'Player Data'!$A1:$AE734,6,FALSE)</f>
        <v>20.5272666476343</v>
      </c>
      <c r="S68" s="48">
        <f>VLOOKUP(B68,'Player Data'!$A1:$AE734,7,FALSE)*$Q68*_xlfn.IFERROR((VLOOKUP(P68,'Settings'!$E$28:$F$33,2,FALSE)+1),1)</f>
        <v>11.997910464014</v>
      </c>
      <c r="T68" s="48">
        <f>VLOOKUP(B68,'Player Data'!$A1:$AE734,8,FALSE)*$Q68*_xlfn.IFERROR((VLOOKUP(P68,'Settings'!$E$28:$F$33,2,FALSE)+1),1)</f>
        <v>37.780337185948</v>
      </c>
      <c r="U68" s="48">
        <f>SUM(S68:T68)</f>
        <v>49.778247649962</v>
      </c>
      <c r="V68" s="48">
        <f>VLOOKUP(B68,'Player Data'!$A1:$AE734,10,FALSE)*$Q68*_xlfn.IFERROR(((VLOOKUP(P68,'Settings'!$E$28:$F$33,2,FALSE)/2)+1),1)</f>
        <v>194.509285052320</v>
      </c>
      <c r="W68" s="48">
        <f>VLOOKUP(B68,'Player Data'!$A1:$AE734,11,FALSE)*$Q68*_xlfn.IFERROR((VLOOKUP(P68,'Settings'!$E$28:$F$33,2,FALSE)+1),1)</f>
        <v>3.75063112842716</v>
      </c>
      <c r="X68" s="48">
        <f>VLOOKUP(B68,'Player Data'!$A1:$AE734,12,FALSE)*$Q68*_xlfn.IFERROR((VLOOKUP(P68,'Settings'!$E$28:$F$33,2,FALSE)+1),1)</f>
        <v>21.9094724503585</v>
      </c>
      <c r="Y68" s="48">
        <f>VLOOKUP(B68,'Player Data'!$A1:$AE734,13,FALSE)*$Q68</f>
        <v>0.0202241570399768</v>
      </c>
      <c r="Z68" s="48">
        <f>VLOOKUP(B68,'Player Data'!$A1:$AE734,14,FALSE)*$Q68</f>
        <v>0.07487913472271331</v>
      </c>
      <c r="AA68" s="48">
        <f>VLOOKUP(B68,'Player Data'!$A1:$AE734,15,FALSE)*$Q68</f>
        <v>114.375106228236</v>
      </c>
      <c r="AB68" s="48">
        <f>VLOOKUP(B68,'Player Data'!$A1:$AE734,16,FALSE)*$Q68</f>
        <v>75.24630436356919</v>
      </c>
      <c r="AC68" s="48">
        <f>VLOOKUP(B68,'Player Data'!$A1:$AE734,17,FALSE)*$Q68*_xlfn.IFERROR((VLOOKUP(P68,'Settings'!$E$28:$F$33,2,FALSE)+1),1)</f>
        <v>1.01927149117425</v>
      </c>
      <c r="AD68" s="48">
        <f>VLOOKUP(B68,'Player Data'!$A1:$AE734,18,FALSE)*$Q68</f>
        <v>22.0818915464332</v>
      </c>
      <c r="AE68" s="48">
        <f>VLOOKUP(B68,'Player Data'!$A1:$AE734,19,FALSE)*$Q68*_xlfn.IFERROR((VLOOKUP(P68,'Settings'!$E$28:$F$33,2,FALSE)+1),1)</f>
        <v>1.85393940912952</v>
      </c>
      <c r="AF68" s="48">
        <f>VLOOKUP(B68,'Player Data'!$A1:$AE734,20,FALSE)*$Q68</f>
        <v>0</v>
      </c>
      <c r="AG68" s="48">
        <f>VLOOKUP(B68,'Player Data'!$A1:$AE734,21,FALSE)*$Q68</f>
        <v>0</v>
      </c>
      <c r="AH68" s="49">
        <f>VLOOKUP(B68,'Player Data'!$A1:$AE734,22,FALSE)</f>
        <v>0</v>
      </c>
      <c r="AI68" s="46"/>
      <c r="AJ68" s="50"/>
      <c r="AK68" s="48"/>
      <c r="AL68" s="48"/>
      <c r="AM68" s="48"/>
      <c r="AN68" s="48"/>
      <c r="AO68" s="48"/>
      <c r="AP68" s="48"/>
      <c r="AQ68" s="51"/>
      <c r="AR68" s="52"/>
      <c r="AS68" s="46"/>
    </row>
    <row r="69" ht="21.25" customHeight="1">
      <c r="A69" s="53">
        <f>RANK(K69,K2:K730)</f>
        <v>124</v>
      </c>
      <c r="B69" t="s" s="8">
        <v>212</v>
      </c>
      <c r="C69" t="s" s="39">
        <v>106</v>
      </c>
      <c r="D69" t="s" s="40">
        <f>VLOOKUP(B69,'Player Data'!A1:D734,4,FALSE)</f>
        <v>129</v>
      </c>
      <c r="E69" s="56">
        <f>VLOOKUP(B69,'D'!A1:C228,3,FALSE)</f>
        <v>25</v>
      </c>
      <c r="F69" t="s" s="42">
        <f>VLOOKUP(B69,'Player Data'!A1:B734,2,FALSE)</f>
        <v>202</v>
      </c>
      <c r="G69" s="9">
        <f>VLOOKUP(B69,'Player Data'!A1:D734,3,FALSE)</f>
        <v>38</v>
      </c>
      <c r="H69" s="43">
        <f>_xlfn.IFERROR(VLOOKUP(B69,'ADP'!A1:G731,7,FALSE)/1000000,VLOOKUP(B69,'ADP'!A1:G731,7,FALSE))</f>
        <v>5.28</v>
      </c>
      <c r="I69" s="44">
        <f>IF('Settings'!$E$15="POINTS",((R69*Q69)*'Settings'!$B$12)+(S69*'Settings'!$B$2)+(T69*'Settings'!$B$3)+(U69*'Settings'!$B$4)+(V69*'Settings'!$B$5)+(X69*'Settings'!$B$9)+(AA69*'Settings'!$B$6)+(W69*'Settings'!$B$8)+(AB69*'Settings'!$B$7)+(AC69*'Settings'!$B$14)+(AD69*'Settings'!$B$15)+(AE69*'Settings'!$B$16)+(AF69*'Settings'!$B$17)+(AG69*'Settings'!$B$18)+(U69*'Settings'!$B$13)+(Y69*'Settings'!$B$10)+(Z69*'Settings'!$B$11),VLOOKUP(B69,'Standard Deviations'!A1:C731,3,FALSE))</f>
        <v>334.681342112269</v>
      </c>
      <c r="J69" s="45">
        <f>IF(D69="G",I69/AJ69,I69/Q69)</f>
        <v>4.08147978185694</v>
      </c>
      <c r="K69" s="44">
        <f>VLOOKUP(B69,'D'!A1:F228,6,FALSE)</f>
        <v>-6.053796534254</v>
      </c>
      <c r="L69" s="44">
        <f>_xlfn.IFERROR(K69/H69,"N/A")</f>
        <v>-1.14655237391174</v>
      </c>
      <c r="M69" s="46">
        <f>IF('Settings'!$E$9="YAHOO",VLOOKUP(B69,'ADP'!A1:E731,2,FALSE),IF('Settings'!$E$9="ESPN",VLOOKUP(B69,'ADP'!A1:E731,3,FALSE),IF('Settings'!$E$9="FANTRAX",VLOOKUP(B69,'ADP'!A1:E731,4,FALSE),VLOOKUP(B69,'ADP'!A1:E731,5,FALSE))))</f>
        <v>73.68000000000001</v>
      </c>
      <c r="N69" s="46">
        <f>_xlfn.IFERROR(M69-A69,"N/A")</f>
        <v>-50.32</v>
      </c>
      <c r="O69" s="46"/>
      <c r="P69" t="s" s="47">
        <f>IF('Settings'!$E$27="ON",VLOOKUP(B69,'ADP'!A1:H731,8,FALSE)," ")</f>
        <v>116</v>
      </c>
      <c r="Q69" s="48">
        <f>IF('Settings'!$E$12="YES",VLOOKUP(B69,'Player Data'!A1:E734,5,FALSE),82)</f>
        <v>82</v>
      </c>
      <c r="R69" s="46">
        <f>VLOOKUP(B69,'Player Data'!$A1:$AE734,6,FALSE)</f>
        <v>21.3844034327164</v>
      </c>
      <c r="S69" s="48">
        <f>VLOOKUP(B69,'Player Data'!$A1:$AE734,7,FALSE)*$Q69*_xlfn.IFERROR((VLOOKUP(P69,'Settings'!$E$28:$F$33,2,FALSE)+1),1)</f>
        <v>11.2151990120695</v>
      </c>
      <c r="T69" s="48">
        <f>VLOOKUP(B69,'Player Data'!$A1:$AE734,8,FALSE)*$Q69*_xlfn.IFERROR((VLOOKUP(P69,'Settings'!$E$28:$F$33,2,FALSE)+1),1)</f>
        <v>38.0252521290726</v>
      </c>
      <c r="U69" s="48">
        <f>SUM(S69:T69)</f>
        <v>49.2404511411421</v>
      </c>
      <c r="V69" s="48">
        <f>VLOOKUP(B69,'Player Data'!$A1:$AE734,10,FALSE)*$Q69*_xlfn.IFERROR(((VLOOKUP(P69,'Settings'!$E$28:$F$33,2,FALSE)/2)+1),1)</f>
        <v>214.309287750986</v>
      </c>
      <c r="W69" s="48">
        <f>VLOOKUP(B69,'Player Data'!$A1:$AE734,11,FALSE)*$Q69*_xlfn.IFERROR((VLOOKUP(P69,'Settings'!$E$28:$F$33,2,FALSE)+1),1)</f>
        <v>3.70104333119937</v>
      </c>
      <c r="X69" s="48">
        <f>VLOOKUP(B69,'Player Data'!$A1:$AE734,12,FALSE)*$Q69*_xlfn.IFERROR((VLOOKUP(P69,'Settings'!$E$28:$F$33,2,FALSE)+1),1)</f>
        <v>19.0359307413299</v>
      </c>
      <c r="Y69" s="48">
        <f>VLOOKUP(B69,'Player Data'!$A1:$AE734,13,FALSE)*$Q69</f>
        <v>0.0151515730939194</v>
      </c>
      <c r="Z69" s="48">
        <f>VLOOKUP(B69,'Player Data'!$A1:$AE734,14,FALSE)*$Q69</f>
        <v>0.274026791545841</v>
      </c>
      <c r="AA69" s="48">
        <f>VLOOKUP(B69,'Player Data'!$A1:$AE734,15,FALSE)*$Q69</f>
        <v>98.01394752673311</v>
      </c>
      <c r="AB69" s="48">
        <f>VLOOKUP(B69,'Player Data'!$A1:$AE734,16,FALSE)*$Q69</f>
        <v>53.7100757951472</v>
      </c>
      <c r="AC69" s="48">
        <f>VLOOKUP(B69,'Player Data'!$A1:$AE734,17,FALSE)*$Q69*_xlfn.IFERROR((VLOOKUP(P69,'Settings'!$E$28:$F$33,2,FALSE)+1),1)</f>
        <v>8.696892656344451</v>
      </c>
      <c r="AD69" s="48">
        <f>VLOOKUP(B69,'Player Data'!$A1:$AE734,18,FALSE)*$Q69</f>
        <v>39.9630900414631</v>
      </c>
      <c r="AE69" s="48">
        <f>VLOOKUP(B69,'Player Data'!$A1:$AE734,19,FALSE)*$Q69*_xlfn.IFERROR((VLOOKUP(P69,'Settings'!$E$28:$F$33,2,FALSE)+1),1)</f>
        <v>2.01225783006232</v>
      </c>
      <c r="AF69" s="48">
        <f>VLOOKUP(B69,'Player Data'!$A1:$AE734,20,FALSE)*$Q69</f>
        <v>0.334786934689916</v>
      </c>
      <c r="AG69" s="48">
        <f>VLOOKUP(B69,'Player Data'!$A1:$AE734,21,FALSE)*$Q69</f>
        <v>0.464089367004712</v>
      </c>
      <c r="AH69" s="49">
        <f>VLOOKUP(B69,'Player Data'!$A1:$AE734,22,FALSE)</f>
        <v>0.419072306913779</v>
      </c>
      <c r="AI69" s="46"/>
      <c r="AJ69" s="50"/>
      <c r="AK69" s="48"/>
      <c r="AL69" s="48"/>
      <c r="AM69" s="48"/>
      <c r="AN69" s="48"/>
      <c r="AO69" s="48"/>
      <c r="AP69" s="48"/>
      <c r="AQ69" s="51"/>
      <c r="AR69" s="52"/>
      <c r="AS69" s="46"/>
    </row>
    <row r="70" ht="21.25" customHeight="1">
      <c r="A70" s="53">
        <f>RANK(K70,K2:K730)</f>
        <v>41</v>
      </c>
      <c r="B70" t="s" s="8">
        <v>213</v>
      </c>
      <c r="C70" t="s" s="39">
        <v>106</v>
      </c>
      <c r="D70" t="s" s="40">
        <f>VLOOKUP(B70,'Player Data'!A1:D734,4,FALSE)</f>
        <v>146</v>
      </c>
      <c r="E70" s="58">
        <f>VLOOKUP(B70,'G'!A1:D75,3,FALSE)</f>
        <v>10</v>
      </c>
      <c r="F70" t="s" s="42">
        <f>VLOOKUP(B70,'Player Data'!A1:B734,2,FALSE)</f>
        <v>134</v>
      </c>
      <c r="G70" s="9">
        <f>VLOOKUP(B70,'Player Data'!A1:D734,3,FALSE)</f>
        <v>25</v>
      </c>
      <c r="H70" s="43">
        <f>_xlfn.IFERROR(VLOOKUP(B70,'ADP'!A1:G731,7,FALSE)/1000000,VLOOKUP(B70,'ADP'!A1:G731,7,FALSE))</f>
        <v>0</v>
      </c>
      <c r="I70" s="44">
        <f>IF('Settings'!$E$15="POINTS",(AJ70*'Settings'!$B$29)+(AK70*'Settings'!$B$21)+(AL70*'Settings'!$B$22)+(AN70*'Settings'!$B$24)+(AO70*'Settings'!$B$25)+(AP70*'Settings'!$B$27)+(AM70*'Settings'!$B$23),VLOOKUP(B70,'Standard Deviations'!A1:C731,3,FALSE))</f>
        <v>339.830952181580</v>
      </c>
      <c r="J70" s="45">
        <f>IF(D70="G",I70/AJ70,I70/Q70)</f>
        <v>6.53521061887654</v>
      </c>
      <c r="K70" s="44">
        <f>VLOOKUP(B70,'G'!A1:F75,6,FALSE)</f>
        <v>74.527730681892</v>
      </c>
      <c r="L70" t="s" s="60">
        <f>_xlfn.IFERROR(K70/H70,"N/A")</f>
        <v>158</v>
      </c>
      <c r="M70" s="46">
        <f>IF('Settings'!$E$9="YAHOO",VLOOKUP(B70,'ADP'!A1:E731,2,FALSE),IF('Settings'!$E$9="ESPN",VLOOKUP(B70,'ADP'!A1:E731,3,FALSE),IF('Settings'!$E$9="FANTRAX",VLOOKUP(B70,'ADP'!A1:E731,4,FALSE),VLOOKUP(B70,'ADP'!A1:E731,5,FALSE))))</f>
        <v>145.76</v>
      </c>
      <c r="N70" s="46">
        <f>_xlfn.IFERROR(M70-A70,"N/A")</f>
        <v>104.76</v>
      </c>
      <c r="O70" s="46"/>
      <c r="P70" t="s" s="47">
        <f>IF('Settings'!$E$27="ON",VLOOKUP(B70,'ADP'!A1:H731,8,FALSE)," ")</f>
        <v>109</v>
      </c>
      <c r="Q70" s="48"/>
      <c r="R70" s="59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9"/>
      <c r="AI70" s="46"/>
      <c r="AJ70" s="50">
        <f>VLOOKUP(B70,'Player Data'!$A1:$AE734,24,FALSE)</f>
        <v>52</v>
      </c>
      <c r="AK70" s="48">
        <f>VLOOKUP(B70,'Player Data'!$A1:$AE734,25,FALSE)*$AJ70*_xlfn.IFERROR((VLOOKUP(P70,'Settings'!$E$28:$F$33,2,FALSE)+1),1)</f>
        <v>28.5345415241343</v>
      </c>
      <c r="AL70" s="48">
        <f>AJ70-AK70-AM70</f>
        <v>16.9654584758657</v>
      </c>
      <c r="AM70" s="48">
        <f>VLOOKUP(B70,'Player Data'!$A1:$AE734,27,FALSE)*$AJ70</f>
        <v>6.5</v>
      </c>
      <c r="AN70" s="48">
        <f>VLOOKUP(B70,'Player Data'!$A1:$AE734,28,FALSE)*AJ70</f>
        <v>3.2434124156318</v>
      </c>
      <c r="AO70" s="48">
        <f>VLOOKUP(B70,'Player Data'!$A1:$AE734,29,FALSE)*$AJ70*_xlfn.IFERROR((VLOOKUP(P70,'Settings'!$E$28:$F$33,2,FALSE)/4)+1,1)</f>
        <v>1524.295771388770</v>
      </c>
      <c r="AP70" s="48">
        <f>VLOOKUP(B70,'Player Data'!$A1:$AE734,31,FALSE)*$AJ70*(_xlfn.IFERROR(1-(VLOOKUP(P70,'Settings'!$E$28:$F$33,2,FALSE)/4),1))</f>
        <v>141.861094036233</v>
      </c>
      <c r="AQ70" s="51">
        <f>1-(AP70/(AO70+AP70))</f>
        <v>0.914857300065773</v>
      </c>
      <c r="AR70" s="52">
        <f>AP70/AJ70</f>
        <v>2.72809796223525</v>
      </c>
      <c r="AS70" s="46"/>
    </row>
    <row r="71" ht="21.25" customHeight="1">
      <c r="A71" s="53">
        <f>RANK(K71,K2:K730)</f>
        <v>101</v>
      </c>
      <c r="B71" t="s" s="8">
        <v>214</v>
      </c>
      <c r="C71" t="s" s="39">
        <v>106</v>
      </c>
      <c r="D71" t="s" s="40">
        <f>VLOOKUP(B71,'Player Data'!A1:D734,4,FALSE)</f>
        <v>129</v>
      </c>
      <c r="E71" s="56">
        <f>VLOOKUP(B71,'D'!A1:C228,3,FALSE)</f>
        <v>17</v>
      </c>
      <c r="F71" t="s" s="42">
        <f>VLOOKUP(B71,'Player Data'!A1:B734,2,FALSE)</f>
        <v>122</v>
      </c>
      <c r="G71" s="9">
        <f>VLOOKUP(B71,'Player Data'!A1:D734,3,FALSE)</f>
        <v>25</v>
      </c>
      <c r="H71" s="43">
        <f>_xlfn.IFERROR(VLOOKUP(B71,'ADP'!A1:G731,7,FALSE)/1000000,VLOOKUP(B71,'ADP'!A1:G731,7,FALSE))</f>
        <v>9.5</v>
      </c>
      <c r="I71" s="44">
        <f>IF('Settings'!$E$15="POINTS",((R71*Q71)*'Settings'!$B$12)+(S71*'Settings'!$B$2)+(T71*'Settings'!$B$3)+(U71*'Settings'!$B$4)+(V71*'Settings'!$B$5)+(X71*'Settings'!$B$9)+(AA71*'Settings'!$B$6)+(W71*'Settings'!$B$8)+(AB71*'Settings'!$B$7)+(AC71*'Settings'!$B$14)+(AD71*'Settings'!$B$15)+(AE71*'Settings'!$B$16)+(AF71*'Settings'!$B$17)+(AG71*'Settings'!$B$18)+(U71*'Settings'!$B$13)+(Y71*'Settings'!$B$10)+(Z71*'Settings'!$B$11),VLOOKUP(B71,'Standard Deviations'!A1:C731,3,FALSE))</f>
        <v>353.467545508973</v>
      </c>
      <c r="J71" s="45">
        <f>IF(D71="G",I71/AJ71,I71/Q71)</f>
        <v>4.52668155006712</v>
      </c>
      <c r="K71" s="44">
        <f>VLOOKUP(B71,'D'!A1:F228,6,FALSE)</f>
        <v>12.732406862450</v>
      </c>
      <c r="L71" s="44">
        <f>_xlfn.IFERROR(K71/H71,"N/A")</f>
        <v>1.34025335394211</v>
      </c>
      <c r="M71" s="46">
        <f>IF('Settings'!$E$9="YAHOO",VLOOKUP(B71,'ADP'!A1:E731,2,FALSE),IF('Settings'!$E$9="ESPN",VLOOKUP(B71,'ADP'!A1:E731,3,FALSE),IF('Settings'!$E$9="FANTRAX",VLOOKUP(B71,'ADP'!A1:E731,4,FALSE),VLOOKUP(B71,'ADP'!A1:E731,5,FALSE))))</f>
        <v>94.55</v>
      </c>
      <c r="N71" s="46">
        <f>_xlfn.IFERROR(M71-A71,"N/A")</f>
        <v>-6.45</v>
      </c>
      <c r="O71" s="46"/>
      <c r="P71" t="s" s="47">
        <f>IF('Settings'!$E$27="ON",VLOOKUP(B71,'ADP'!A1:H731,8,FALSE)," ")</f>
        <v>109</v>
      </c>
      <c r="Q71" s="48">
        <f>IF('Settings'!$E$12="YES",VLOOKUP(B71,'Player Data'!A1:E734,5,FALSE),82)</f>
        <v>78.08535714285711</v>
      </c>
      <c r="R71" s="46">
        <f>VLOOKUP(B71,'Player Data'!$A1:$AE734,6,FALSE)</f>
        <v>23.3350877745097</v>
      </c>
      <c r="S71" s="48">
        <f>VLOOKUP(B71,'Player Data'!$A1:$AE734,7,FALSE)*$Q71*_xlfn.IFERROR((VLOOKUP(P71,'Settings'!$E$28:$F$33,2,FALSE)+1),1)</f>
        <v>9.20055233990761</v>
      </c>
      <c r="T71" s="48">
        <f>VLOOKUP(B71,'Player Data'!$A1:$AE734,8,FALSE)*$Q71*_xlfn.IFERROR((VLOOKUP(P71,'Settings'!$E$28:$F$33,2,FALSE)+1),1)</f>
        <v>47.6462851655664</v>
      </c>
      <c r="U71" s="48">
        <f>SUM(S71:T71)</f>
        <v>56.846837505474</v>
      </c>
      <c r="V71" s="48">
        <f>VLOOKUP(B71,'Player Data'!$A1:$AE734,10,FALSE)*$Q71*_xlfn.IFERROR(((VLOOKUP(P71,'Settings'!$E$28:$F$33,2,FALSE)/2)+1),1)</f>
        <v>141.609469718109</v>
      </c>
      <c r="W71" s="48">
        <f>VLOOKUP(B71,'Player Data'!$A1:$AE734,11,FALSE)*$Q71*_xlfn.IFERROR((VLOOKUP(P71,'Settings'!$E$28:$F$33,2,FALSE)+1),1)</f>
        <v>2.96239391802938</v>
      </c>
      <c r="X71" s="48">
        <f>VLOOKUP(B71,'Player Data'!$A1:$AE734,12,FALSE)*$Q71*_xlfn.IFERROR((VLOOKUP(P71,'Settings'!$E$28:$F$33,2,FALSE)+1),1)</f>
        <v>20.7895084670228</v>
      </c>
      <c r="Y71" s="48">
        <f>VLOOKUP(B71,'Player Data'!$A1:$AE734,13,FALSE)*$Q71</f>
        <v>0.0308118781696314</v>
      </c>
      <c r="Z71" s="48">
        <f>VLOOKUP(B71,'Player Data'!$A1:$AE734,14,FALSE)*$Q71</f>
        <v>0.27956420831872</v>
      </c>
      <c r="AA71" s="48">
        <f>VLOOKUP(B71,'Player Data'!$A1:$AE734,15,FALSE)*$Q71</f>
        <v>140.110585944507</v>
      </c>
      <c r="AB71" s="48">
        <f>VLOOKUP(B71,'Player Data'!$A1:$AE734,16,FALSE)*$Q71</f>
        <v>110.828192938977</v>
      </c>
      <c r="AC71" s="48">
        <f>VLOOKUP(B71,'Player Data'!$A1:$AE734,17,FALSE)*$Q71*_xlfn.IFERROR((VLOOKUP(P71,'Settings'!$E$28:$F$33,2,FALSE)+1),1)</f>
        <v>7.76518911056413</v>
      </c>
      <c r="AD71" s="48">
        <f>VLOOKUP(B71,'Player Data'!$A1:$AE734,18,FALSE)*$Q71</f>
        <v>60.4997777832877</v>
      </c>
      <c r="AE71" s="48">
        <f>VLOOKUP(B71,'Player Data'!$A1:$AE734,19,FALSE)*$Q71*_xlfn.IFERROR((VLOOKUP(P71,'Settings'!$E$28:$F$33,2,FALSE)+1),1)</f>
        <v>1.54459167670107</v>
      </c>
      <c r="AF71" s="48">
        <f>VLOOKUP(B71,'Player Data'!$A1:$AE734,20,FALSE)*$Q71</f>
        <v>0</v>
      </c>
      <c r="AG71" s="48">
        <f>VLOOKUP(B71,'Player Data'!$A1:$AE734,21,FALSE)*$Q71</f>
        <v>0</v>
      </c>
      <c r="AH71" s="49">
        <f>VLOOKUP(B71,'Player Data'!$A1:$AE734,22,FALSE)</f>
        <v>0</v>
      </c>
      <c r="AI71" s="46"/>
      <c r="AJ71" s="48"/>
      <c r="AK71" s="48"/>
      <c r="AL71" s="48"/>
      <c r="AM71" s="48"/>
      <c r="AN71" s="48"/>
      <c r="AO71" s="48"/>
      <c r="AP71" s="48"/>
      <c r="AQ71" s="51"/>
      <c r="AR71" s="52"/>
      <c r="AS71" s="46"/>
    </row>
    <row r="72" ht="21.25" customHeight="1">
      <c r="A72" s="53">
        <f>RANK(K72,K2:K730)</f>
        <v>102</v>
      </c>
      <c r="B72" t="s" s="8">
        <v>215</v>
      </c>
      <c r="C72" t="s" s="39">
        <v>106</v>
      </c>
      <c r="D72" t="s" s="40">
        <f>VLOOKUP(B72,'Player Data'!A1:D734,4,FALSE)</f>
        <v>118</v>
      </c>
      <c r="E72" s="54">
        <f>VLOOKUP(B72,'LW'!A1:C156,3,FALSE)</f>
        <v>30</v>
      </c>
      <c r="F72" t="s" s="42">
        <f>VLOOKUP(B72,'Player Data'!A1:B734,2,FALSE)</f>
        <v>127</v>
      </c>
      <c r="G72" s="9">
        <f>VLOOKUP(B72,'Player Data'!A1:D734,3,FALSE)</f>
        <v>25</v>
      </c>
      <c r="H72" s="43">
        <f>_xlfn.IFERROR(VLOOKUP(B72,'ADP'!A1:G731,7,FALSE)/1000000,VLOOKUP(B72,'ADP'!A1:G731,7,FALSE))</f>
        <v>7.85</v>
      </c>
      <c r="I72" s="44">
        <f>IF('Settings'!$E$15="POINTS",((R72*Q72)*'Settings'!$B$12)+(S72*'Settings'!$B$2)+(T72*'Settings'!$B$3)+(U72*'Settings'!$B$4)+(V72*'Settings'!$B$5)+(X72*'Settings'!$B$9)+(AA72*'Settings'!$B$6)+(W72*'Settings'!$B$8)+(AB72*'Settings'!$B$7)+(AC72*'Settings'!$B$14)+(AD72*'Settings'!$B$15)+(AE72*'Settings'!$B$16)+(AF72*'Settings'!$B$17)+(AG72*'Settings'!$B$18)+(Y72*'Settings'!$B$10)+(Z72*'Settings'!$B$11),VLOOKUP(B72,'Standard Deviations'!A1:C731,3,FALSE))</f>
        <v>393.266774983083</v>
      </c>
      <c r="J72" s="45">
        <f>IF(D72="G",I72/AJ72,I72/Q72)</f>
        <v>4.89442159281995</v>
      </c>
      <c r="K72" s="44">
        <f>IF('Settings'!$E$18="C/LW/RW",VLOOKUP(B72,'RW'!A1:F132,6,FALSE),VLOOKUP(B72,'F'!A1:F432,6,FALSE))</f>
        <v>11.638211276727</v>
      </c>
      <c r="L72" s="44">
        <f>_xlfn.IFERROR(K72/H72,"N/A")</f>
        <v>1.48257468493338</v>
      </c>
      <c r="M72" s="46">
        <f>IF('Settings'!$E$9="YAHOO",VLOOKUP(B72,'ADP'!A1:E731,2,FALSE),IF('Settings'!$E$9="ESPN",VLOOKUP(B72,'ADP'!A1:E731,3,FALSE),IF('Settings'!$E$9="FANTRAX",VLOOKUP(B72,'ADP'!A1:E731,4,FALSE),VLOOKUP(B72,'ADP'!A1:E731,5,FALSE))))</f>
        <v>76.76000000000001</v>
      </c>
      <c r="N72" s="46">
        <f>_xlfn.IFERROR(M72-A72,"N/A")</f>
        <v>-25.24</v>
      </c>
      <c r="O72" s="46"/>
      <c r="P72" t="s" s="47">
        <f>IF('Settings'!$E$27="ON",VLOOKUP(B72,'ADP'!A1:H731,8,FALSE)," ")</f>
        <v>109</v>
      </c>
      <c r="Q72" s="48">
        <f>IF('Settings'!$E$12="YES",VLOOKUP(B72,'Player Data'!A1:E734,5,FALSE),82)</f>
        <v>80.34999999999999</v>
      </c>
      <c r="R72" s="46">
        <f>VLOOKUP(B72,'Player Data'!$A1:$AE734,6,FALSE)</f>
        <v>17.6488646323171</v>
      </c>
      <c r="S72" s="48">
        <f>VLOOKUP(B72,'Player Data'!$A1:$AE734,7,FALSE)*$Q72*_xlfn.IFERROR((VLOOKUP(P72,'Settings'!$E$28:$F$33,2,FALSE)+1),1)</f>
        <v>29.3776323998102</v>
      </c>
      <c r="T72" s="48">
        <f>VLOOKUP(B72,'Player Data'!$A1:$AE734,8,FALSE)*$Q72*_xlfn.IFERROR((VLOOKUP(P72,'Settings'!$E$28:$F$33,2,FALSE)+1),1)</f>
        <v>45.0455763926686</v>
      </c>
      <c r="U72" s="48">
        <f>SUM(S72:T72)</f>
        <v>74.4232087924788</v>
      </c>
      <c r="V72" s="48">
        <f>VLOOKUP(B72,'Player Data'!$A1:$AE734,10,FALSE)*$Q72*_xlfn.IFERROR(((VLOOKUP(P72,'Settings'!$E$28:$F$33,2,FALSE)/2)+1),1)</f>
        <v>209.052113106897</v>
      </c>
      <c r="W72" s="48">
        <f>VLOOKUP(B72,'Player Data'!$A1:$AE734,11,FALSE)*$Q72*_xlfn.IFERROR((VLOOKUP(P72,'Settings'!$E$28:$F$33,2,FALSE)+1),1)</f>
        <v>7.09177405907129</v>
      </c>
      <c r="X72" s="48">
        <f>VLOOKUP(B72,'Player Data'!$A1:$AE734,12,FALSE)*$Q72*_xlfn.IFERROR((VLOOKUP(P72,'Settings'!$E$28:$F$33,2,FALSE)+1),1)</f>
        <v>22.7749654326811</v>
      </c>
      <c r="Y72" s="48">
        <f>VLOOKUP(B72,'Player Data'!$A1:$AE734,13,FALSE)*$Q72</f>
        <v>0.0153170849798055</v>
      </c>
      <c r="Z72" s="48">
        <f>VLOOKUP(B72,'Player Data'!$A1:$AE734,14,FALSE)*$Q72</f>
        <v>0.0529801550867854</v>
      </c>
      <c r="AA72" s="48">
        <f>VLOOKUP(B72,'Player Data'!$A1:$AE734,15,FALSE)*$Q72</f>
        <v>26.5489779661046</v>
      </c>
      <c r="AB72" s="48">
        <f>VLOOKUP(B72,'Player Data'!$A1:$AE734,16,FALSE)*$Q72</f>
        <v>32.0967766370268</v>
      </c>
      <c r="AC72" s="48">
        <f>VLOOKUP(B72,'Player Data'!$A1:$AE734,17,FALSE)*$Q72*_xlfn.IFERROR((VLOOKUP(P72,'Settings'!$E$28:$F$33,2,FALSE)+1),1)</f>
        <v>1.96336047148101</v>
      </c>
      <c r="AD72" s="48">
        <f>VLOOKUP(B72,'Player Data'!$A1:$AE734,18,FALSE)*$Q72</f>
        <v>15.2703850954289</v>
      </c>
      <c r="AE72" s="48">
        <f>VLOOKUP(B72,'Player Data'!$A1:$AE734,19,FALSE)*$Q72*_xlfn.IFERROR((VLOOKUP(P72,'Settings'!$E$28:$F$33,2,FALSE)+1),1)</f>
        <v>4.31786509657207</v>
      </c>
      <c r="AF72" s="48">
        <f>VLOOKUP(B72,'Player Data'!$A1:$AE734,20,FALSE)*$Q72</f>
        <v>0.0928835473505971</v>
      </c>
      <c r="AG72" s="48">
        <f>VLOOKUP(B72,'Player Data'!$A1:$AE734,21,FALSE)*$Q72</f>
        <v>1.80185909244127</v>
      </c>
      <c r="AH72" s="49">
        <f>VLOOKUP(B72,'Player Data'!$A1:$AE734,22,FALSE)</f>
        <v>0.0490217222117298</v>
      </c>
      <c r="AI72" s="46"/>
      <c r="AJ72" s="50"/>
      <c r="AK72" s="48"/>
      <c r="AL72" s="48"/>
      <c r="AM72" s="48"/>
      <c r="AN72" s="48"/>
      <c r="AO72" s="48"/>
      <c r="AP72" s="48"/>
      <c r="AQ72" s="51"/>
      <c r="AR72" s="52"/>
      <c r="AS72" s="46"/>
    </row>
    <row r="73" ht="21.25" customHeight="1">
      <c r="A73" s="53">
        <f>RANK(K73,K2:K730)</f>
        <v>75</v>
      </c>
      <c r="B73" t="s" s="8">
        <v>216</v>
      </c>
      <c r="C73" t="s" s="39">
        <v>106</v>
      </c>
      <c r="D73" t="s" s="40">
        <f>VLOOKUP(B73,'Player Data'!A1:D734,4,FALSE)</f>
        <v>111</v>
      </c>
      <c r="E73" s="54">
        <f>VLOOKUP(B73,'LW'!A1:C156,3,FALSE)</f>
        <v>22</v>
      </c>
      <c r="F73" t="s" s="42">
        <f>VLOOKUP(B73,'Player Data'!A1:B734,2,FALSE)</f>
        <v>194</v>
      </c>
      <c r="G73" s="9">
        <f>VLOOKUP(B73,'Player Data'!A1:D734,3,FALSE)</f>
        <v>28</v>
      </c>
      <c r="H73" s="43">
        <f>_xlfn.IFERROR(VLOOKUP(B73,'ADP'!A1:G731,7,FALSE)/1000000,VLOOKUP(B73,'ADP'!A1:G731,7,FALSE))</f>
        <v>5.8</v>
      </c>
      <c r="I73" s="44">
        <f>IF('Settings'!$E$15="POINTS",((R73*Q73)*'Settings'!$B$12)+(S73*'Settings'!$B$2)+(T73*'Settings'!$B$3)+(U73*'Settings'!$B$4)+(V73*'Settings'!$B$5)+(X73*'Settings'!$B$9)+(AA73*'Settings'!$B$6)+(W73*'Settings'!$B$8)+(AB73*'Settings'!$B$7)+(AC73*'Settings'!$B$14)+(AD73*'Settings'!$B$15)+(AE73*'Settings'!$B$16)+(AF73*'Settings'!$B$17)+(AG73*'Settings'!$B$18)+(Y73*'Settings'!$B$10)+(Z73*'Settings'!$B$11),VLOOKUP(B73,'Standard Deviations'!A1:C731,3,FALSE))</f>
        <v>417.887478326887</v>
      </c>
      <c r="J73" s="45">
        <f>IF(D73="G",I73/AJ73,I73/Q73)</f>
        <v>5.33019742763886</v>
      </c>
      <c r="K73" s="44">
        <f>IF('Settings'!$E$18="C/LW/RW",VLOOKUP(B73,'LW'!A1:F156,6,FALSE),VLOOKUP(B73,'F'!A1:F432,6,FALSE))</f>
        <v>36.258914620531</v>
      </c>
      <c r="L73" s="44">
        <f>_xlfn.IFERROR(K73/H73,"N/A")</f>
        <v>6.25153700353983</v>
      </c>
      <c r="M73" s="46">
        <f>IF('Settings'!$E$9="YAHOO",VLOOKUP(B73,'ADP'!A1:E731,2,FALSE),IF('Settings'!$E$9="ESPN",VLOOKUP(B73,'ADP'!A1:E731,3,FALSE),IF('Settings'!$E$9="FANTRAX",VLOOKUP(B73,'ADP'!A1:E731,4,FALSE),VLOOKUP(B73,'ADP'!A1:E731,5,FALSE))))</f>
        <v>86.40000000000001</v>
      </c>
      <c r="N73" s="46">
        <f>_xlfn.IFERROR(M73-A73,"N/A")</f>
        <v>11.4</v>
      </c>
      <c r="O73" s="46"/>
      <c r="P73" t="s" s="47">
        <f>IF('Settings'!$E$27="ON",VLOOKUP(B73,'ADP'!A1:H731,8,FALSE)," ")</f>
        <v>175</v>
      </c>
      <c r="Q73" s="48">
        <f>IF('Settings'!$E$12="YES",VLOOKUP(B73,'Player Data'!A1:E734,5,FALSE),82)</f>
        <v>78.40000000000001</v>
      </c>
      <c r="R73" s="46">
        <f>VLOOKUP(B73,'Player Data'!$A1:$AE734,6,FALSE)</f>
        <v>20.3094620798943</v>
      </c>
      <c r="S73" s="48">
        <f>VLOOKUP(B73,'Player Data'!$A1:$AE734,7,FALSE)*$Q73*_xlfn.IFERROR((VLOOKUP(P73,'Settings'!$E$28:$F$33,2,FALSE)+1),1)</f>
        <v>31.7272917044142</v>
      </c>
      <c r="T73" s="48">
        <f>VLOOKUP(B73,'Player Data'!$A1:$AE734,8,FALSE)*$Q73*_xlfn.IFERROR((VLOOKUP(P73,'Settings'!$E$28:$F$33,2,FALSE)+1),1)</f>
        <v>48.8756547226145</v>
      </c>
      <c r="U73" s="48">
        <f>SUM(S73:T73)</f>
        <v>80.6029464270287</v>
      </c>
      <c r="V73" s="48">
        <f>VLOOKUP(B73,'Player Data'!$A1:$AE734,10,FALSE)*$Q73*_xlfn.IFERROR(((VLOOKUP(P73,'Settings'!$E$28:$F$33,2,FALSE)/2)+1),1)</f>
        <v>181.300278086064</v>
      </c>
      <c r="W73" s="48">
        <f>VLOOKUP(B73,'Player Data'!$A1:$AE734,11,FALSE)*$Q73*_xlfn.IFERROR((VLOOKUP(P73,'Settings'!$E$28:$F$33,2,FALSE)+1),1)</f>
        <v>8.75455980513844</v>
      </c>
      <c r="X73" s="48">
        <f>VLOOKUP(B73,'Player Data'!$A1:$AE734,12,FALSE)*$Q73*_xlfn.IFERROR((VLOOKUP(P73,'Settings'!$E$28:$F$33,2,FALSE)+1),1)</f>
        <v>23.5048063597394</v>
      </c>
      <c r="Y73" s="48">
        <f>VLOOKUP(B73,'Player Data'!$A1:$AE734,13,FALSE)*$Q73</f>
        <v>0.689253477947388</v>
      </c>
      <c r="Z73" s="48">
        <f>VLOOKUP(B73,'Player Data'!$A1:$AE734,14,FALSE)*$Q73</f>
        <v>2.6637316953767</v>
      </c>
      <c r="AA73" s="48">
        <f>VLOOKUP(B73,'Player Data'!$A1:$AE734,15,FALSE)*$Q73</f>
        <v>29.6066799137904</v>
      </c>
      <c r="AB73" s="48">
        <f>VLOOKUP(B73,'Player Data'!$A1:$AE734,16,FALSE)*$Q73</f>
        <v>70.8270363939952</v>
      </c>
      <c r="AC73" s="48">
        <f>VLOOKUP(B73,'Player Data'!$A1:$AE734,17,FALSE)*$Q73*_xlfn.IFERROR((VLOOKUP(P73,'Settings'!$E$28:$F$33,2,FALSE)+1),1)</f>
        <v>-0.109962745291771</v>
      </c>
      <c r="AD73" s="48">
        <f>VLOOKUP(B73,'Player Data'!$A1:$AE734,18,FALSE)*$Q73</f>
        <v>36.2917686317707</v>
      </c>
      <c r="AE73" s="48">
        <f>VLOOKUP(B73,'Player Data'!$A1:$AE734,19,FALSE)*$Q73*_xlfn.IFERROR((VLOOKUP(P73,'Settings'!$E$28:$F$33,2,FALSE)+1),1)</f>
        <v>3.65094612472954</v>
      </c>
      <c r="AF73" s="48">
        <f>VLOOKUP(B73,'Player Data'!$A1:$AE734,20,FALSE)*$Q73</f>
        <v>62.3508518813985</v>
      </c>
      <c r="AG73" s="48">
        <f>VLOOKUP(B73,'Player Data'!$A1:$AE734,21,FALSE)*$Q73</f>
        <v>147.991798543710</v>
      </c>
      <c r="AH73" s="49">
        <f>VLOOKUP(B73,'Player Data'!$A1:$AE734,22,FALSE)</f>
        <v>0.296425150844994</v>
      </c>
      <c r="AI73" s="46"/>
      <c r="AJ73" s="50"/>
      <c r="AK73" s="48"/>
      <c r="AL73" s="48"/>
      <c r="AM73" s="48"/>
      <c r="AN73" s="48"/>
      <c r="AO73" s="48"/>
      <c r="AP73" s="48"/>
      <c r="AQ73" s="51"/>
      <c r="AR73" s="52"/>
      <c r="AS73" s="46"/>
    </row>
    <row r="74" ht="21.25" customHeight="1">
      <c r="A74" s="53">
        <f>RANK(K74,K2:K730)</f>
        <v>76</v>
      </c>
      <c r="B74" t="s" s="8">
        <v>217</v>
      </c>
      <c r="C74" t="s" s="39">
        <v>106</v>
      </c>
      <c r="D74" t="s" s="40">
        <f>VLOOKUP(B74,'Player Data'!A1:D734,4,FALSE)</f>
        <v>107</v>
      </c>
      <c r="E74" s="41">
        <f>VLOOKUP(B74,'C'!A1:C218,3,FALSE)</f>
        <v>21</v>
      </c>
      <c r="F74" t="s" s="42">
        <f>VLOOKUP(B74,'Player Data'!A1:B734,2,FALSE)</f>
        <v>218</v>
      </c>
      <c r="G74" s="9">
        <f>VLOOKUP(B74,'Player Data'!A1:D734,3,FALSE)</f>
        <v>26</v>
      </c>
      <c r="H74" s="43">
        <f>_xlfn.IFERROR(VLOOKUP(B74,'ADP'!A1:G731,7,FALSE)/1000000,VLOOKUP(B74,'ADP'!A1:G731,7,FALSE))</f>
        <v>10</v>
      </c>
      <c r="I74" s="44">
        <f>IF('Settings'!$E$15="POINTS",((R74*Q74)*'Settings'!$B$12)+(S74*'Settings'!$B$2)+(T74*'Settings'!$B$3)+(U74*'Settings'!$B$4)+(V74*'Settings'!$B$5)+(X74*'Settings'!$B$9)+(AA74*'Settings'!$B$6)+(W74*'Settings'!$B$8)+(AB74*'Settings'!$B$7)+(AC74*'Settings'!$B$14)+(AD74*'Settings'!$B$15)+(AE74*'Settings'!$B$16)+(AF74*'Settings'!$B$17)+(AG74*'Settings'!$B$18)+(Y74*'Settings'!$B$10)+(Z74*'Settings'!$B$11),VLOOKUP(B74,'Standard Deviations'!A1:C731,3,FALSE))</f>
        <v>430.634958060113</v>
      </c>
      <c r="J74" s="45">
        <f>IF(D74="G",I74/AJ74,I74/Q74)</f>
        <v>5.94553303962603</v>
      </c>
      <c r="K74" s="44">
        <f>IF('Settings'!$E$18="C/LW/RW",VLOOKUP(B74,'C'!A1:F218,6,FALSE),VLOOKUP(B74,'F'!A1:F432,6,FALSE))</f>
        <v>34.860756424098</v>
      </c>
      <c r="L74" s="44">
        <f>_xlfn.IFERROR(K74/H74,"N/A")</f>
        <v>3.4860756424098</v>
      </c>
      <c r="M74" s="46">
        <f>IF('Settings'!$E$9="YAHOO",VLOOKUP(B74,'ADP'!A1:E731,2,FALSE),IF('Settings'!$E$9="ESPN",VLOOKUP(B74,'ADP'!A1:E731,3,FALSE),IF('Settings'!$E$9="FANTRAX",VLOOKUP(B74,'ADP'!A1:E731,4,FALSE),VLOOKUP(B74,'ADP'!A1:E731,5,FALSE))))</f>
        <v>29.21</v>
      </c>
      <c r="N74" s="46">
        <f>_xlfn.IFERROR(M74-A74,"N/A")</f>
        <v>-46.79</v>
      </c>
      <c r="O74" s="46"/>
      <c r="P74" t="s" s="47">
        <f>IF('Settings'!$E$27="ON",VLOOKUP(B74,'ADP'!A1:H731,8,FALSE)," ")</f>
        <v>116</v>
      </c>
      <c r="Q74" s="48">
        <f>IF('Settings'!$E$12="YES",VLOOKUP(B74,'Player Data'!A1:E734,5,FALSE),82)</f>
        <v>72.43000000000001</v>
      </c>
      <c r="R74" s="46">
        <f>VLOOKUP(B74,'Player Data'!$A1:$AE734,6,FALSE)</f>
        <v>19.2655065249875</v>
      </c>
      <c r="S74" s="48">
        <f>VLOOKUP(B74,'Player Data'!$A1:$AE734,7,FALSE)*$Q74*_xlfn.IFERROR((VLOOKUP(P74,'Settings'!$E$28:$F$33,2,FALSE)+1),1)</f>
        <v>29.0593492254052</v>
      </c>
      <c r="T74" s="48">
        <f>VLOOKUP(B74,'Player Data'!$A1:$AE734,8,FALSE)*$Q74*_xlfn.IFERROR((VLOOKUP(P74,'Settings'!$E$28:$F$33,2,FALSE)+1),1)</f>
        <v>42.3666775754134</v>
      </c>
      <c r="U74" s="48">
        <f>SUM(S74:T74)</f>
        <v>71.4260268008186</v>
      </c>
      <c r="V74" s="48">
        <f>VLOOKUP(B74,'Player Data'!$A1:$AE734,10,FALSE)*$Q74*_xlfn.IFERROR(((VLOOKUP(P74,'Settings'!$E$28:$F$33,2,FALSE)/2)+1),1)</f>
        <v>250.217244904973</v>
      </c>
      <c r="W74" s="48">
        <f>VLOOKUP(B74,'Player Data'!$A1:$AE734,11,FALSE)*$Q74*_xlfn.IFERROR((VLOOKUP(P74,'Settings'!$E$28:$F$33,2,FALSE)+1),1)</f>
        <v>4.47736942422709</v>
      </c>
      <c r="X74" s="48">
        <f>VLOOKUP(B74,'Player Data'!$A1:$AE734,12,FALSE)*$Q74*_xlfn.IFERROR((VLOOKUP(P74,'Settings'!$E$28:$F$33,2,FALSE)+1),1)</f>
        <v>19.798926889825</v>
      </c>
      <c r="Y74" s="48">
        <f>VLOOKUP(B74,'Player Data'!$A1:$AE734,13,FALSE)*$Q74</f>
        <v>0.135472044356608</v>
      </c>
      <c r="Z74" s="48">
        <f>VLOOKUP(B74,'Player Data'!$A1:$AE734,14,FALSE)*$Q74</f>
        <v>0.247335006808909</v>
      </c>
      <c r="AA74" s="48">
        <f>VLOOKUP(B74,'Player Data'!$A1:$AE734,15,FALSE)*$Q74</f>
        <v>59.4663427998113</v>
      </c>
      <c r="AB74" s="48">
        <f>VLOOKUP(B74,'Player Data'!$A1:$AE734,16,FALSE)*$Q74</f>
        <v>69.7255598141579</v>
      </c>
      <c r="AC74" s="48">
        <f>VLOOKUP(B74,'Player Data'!$A1:$AE734,17,FALSE)*$Q74*_xlfn.IFERROR((VLOOKUP(P74,'Settings'!$E$28:$F$33,2,FALSE)+1),1)</f>
        <v>6.23000012087954</v>
      </c>
      <c r="AD74" s="48">
        <f>VLOOKUP(B74,'Player Data'!$A1:$AE734,18,FALSE)*$Q74</f>
        <v>16.899294658810</v>
      </c>
      <c r="AE74" s="48">
        <f>VLOOKUP(B74,'Player Data'!$A1:$AE734,19,FALSE)*$Q74*_xlfn.IFERROR((VLOOKUP(P74,'Settings'!$E$28:$F$33,2,FALSE)+1),1)</f>
        <v>4.749090540740</v>
      </c>
      <c r="AF74" s="48">
        <f>VLOOKUP(B74,'Player Data'!$A1:$AE734,20,FALSE)*$Q74</f>
        <v>418.496442334452</v>
      </c>
      <c r="AG74" s="48">
        <f>VLOOKUP(B74,'Player Data'!$A1:$AE734,21,FALSE)*$Q74</f>
        <v>477.777764681332</v>
      </c>
      <c r="AH74" s="49">
        <f>VLOOKUP(B74,'Player Data'!$A1:$AE734,22,FALSE)</f>
        <v>0.466929025803241</v>
      </c>
      <c r="AI74" s="46"/>
      <c r="AJ74" s="48"/>
      <c r="AK74" s="48"/>
      <c r="AL74" s="48"/>
      <c r="AM74" s="48"/>
      <c r="AN74" s="48"/>
      <c r="AO74" s="48"/>
      <c r="AP74" s="48"/>
      <c r="AQ74" s="51"/>
      <c r="AR74" s="52"/>
      <c r="AS74" s="46"/>
    </row>
    <row r="75" ht="21.25" customHeight="1">
      <c r="A75" s="53">
        <f>RANK(K75,K2:K730)</f>
        <v>39</v>
      </c>
      <c r="B75" t="s" s="8">
        <v>219</v>
      </c>
      <c r="C75" t="s" s="39">
        <v>106</v>
      </c>
      <c r="D75" t="s" s="40">
        <f>VLOOKUP(B75,'Player Data'!A1:D734,4,FALSE)</f>
        <v>146</v>
      </c>
      <c r="E75" s="58">
        <f>VLOOKUP(B75,'G'!A1:D75,3,FALSE)</f>
        <v>9</v>
      </c>
      <c r="F75" t="s" s="42">
        <f>VLOOKUP(B75,'Player Data'!A1:B734,2,FALSE)</f>
        <v>170</v>
      </c>
      <c r="G75" s="9">
        <f>VLOOKUP(B75,'Player Data'!A1:D734,3,FALSE)</f>
        <v>28</v>
      </c>
      <c r="H75" s="43">
        <f>_xlfn.IFERROR(VLOOKUP(B75,'ADP'!A1:G731,7,FALSE)/1000000,VLOOKUP(B75,'ADP'!A1:G731,7,FALSE))</f>
        <v>0</v>
      </c>
      <c r="I75" s="44">
        <f>IF('Settings'!$E$15="POINTS",(AJ75*'Settings'!$B$29)+(AK75*'Settings'!$B$21)+(AL75*'Settings'!$B$22)+(AN75*'Settings'!$B$24)+(AO75*'Settings'!$B$25)+(AP75*'Settings'!$B$27)+(AM75*'Settings'!$B$23),VLOOKUP(B75,'Standard Deviations'!A1:C731,3,FALSE))</f>
        <v>341.231795735982</v>
      </c>
      <c r="J75" s="45">
        <f>IF(D75="G",I75/AJ75,I75/Q75)</f>
        <v>6.31910732844411</v>
      </c>
      <c r="K75" s="44">
        <f>VLOOKUP(B75,'G'!A1:F75,6,FALSE)</f>
        <v>75.928574236294</v>
      </c>
      <c r="L75" t="s" s="60">
        <f>_xlfn.IFERROR(K75/H75,"N/A")</f>
        <v>158</v>
      </c>
      <c r="M75" s="46">
        <f>IF('Settings'!$E$9="YAHOO",VLOOKUP(B75,'ADP'!A1:E731,2,FALSE),IF('Settings'!$E$9="ESPN",VLOOKUP(B75,'ADP'!A1:E731,3,FALSE),IF('Settings'!$E$9="FANTRAX",VLOOKUP(B75,'ADP'!A1:E731,4,FALSE),VLOOKUP(B75,'ADP'!A1:E731,5,FALSE))))</f>
        <v>139.96</v>
      </c>
      <c r="N75" s="46">
        <f>_xlfn.IFERROR(M75-A75,"N/A")</f>
        <v>100.96</v>
      </c>
      <c r="O75" s="46"/>
      <c r="P75" t="s" s="47">
        <f>IF('Settings'!$E$27="ON",VLOOKUP(B75,'ADP'!A1:H731,8,FALSE)," ")</f>
        <v>109</v>
      </c>
      <c r="Q75" s="48"/>
      <c r="R75" s="59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9"/>
      <c r="AI75" s="46"/>
      <c r="AJ75" s="50">
        <f>VLOOKUP(B75,'Player Data'!$A1:$AE734,24,FALSE)</f>
        <v>54</v>
      </c>
      <c r="AK75" s="48">
        <f>VLOOKUP(B75,'Player Data'!$A1:$AE734,25,FALSE)*$AJ75*_xlfn.IFERROR((VLOOKUP(P75,'Settings'!$E$28:$F$33,2,FALSE)+1),1)</f>
        <v>29.3034434651759</v>
      </c>
      <c r="AL75" s="48">
        <f>AJ75-AK75-AM75</f>
        <v>17.9465565348241</v>
      </c>
      <c r="AM75" s="48">
        <f>VLOOKUP(B75,'Player Data'!$A1:$AE734,27,FALSE)*$AJ75</f>
        <v>6.75</v>
      </c>
      <c r="AN75" s="48">
        <f>VLOOKUP(B75,'Player Data'!$A1:$AE734,28,FALSE)*AJ75</f>
        <v>3.79615493027845</v>
      </c>
      <c r="AO75" s="48">
        <f>VLOOKUP(B75,'Player Data'!$A1:$AE734,29,FALSE)*$AJ75*_xlfn.IFERROR((VLOOKUP(P75,'Settings'!$E$28:$F$33,2,FALSE)/4)+1,1)</f>
        <v>1515.019583183820</v>
      </c>
      <c r="AP75" s="48">
        <f>VLOOKUP(B75,'Player Data'!$A1:$AE734,31,FALSE)*$AJ75*(_xlfn.IFERROR(1-(VLOOKUP(P75,'Settings'!$E$28:$F$33,2,FALSE)/4),1))</f>
        <v>141.715249603685</v>
      </c>
      <c r="AQ75" s="51">
        <f>1-(AP75/(AO75+AP75))</f>
        <v>0.9144611154428109</v>
      </c>
      <c r="AR75" s="52">
        <f>AP75/AJ75</f>
        <v>2.62435647414231</v>
      </c>
      <c r="AS75" s="46"/>
    </row>
    <row r="76" ht="21.25" customHeight="1">
      <c r="A76" s="53">
        <f>RANK(K76,K2:K730)</f>
        <v>125</v>
      </c>
      <c r="B76" t="s" s="8">
        <v>220</v>
      </c>
      <c r="C76" t="s" s="39">
        <v>106</v>
      </c>
      <c r="D76" t="s" s="40">
        <f>VLOOKUP(B76,'Player Data'!A1:D734,4,FALSE)</f>
        <v>129</v>
      </c>
      <c r="E76" s="56">
        <f>VLOOKUP(B76,'D'!A1:C228,3,FALSE)</f>
        <v>26</v>
      </c>
      <c r="F76" t="s" s="42">
        <f>VLOOKUP(B76,'Player Data'!A1:B734,2,FALSE)</f>
        <v>115</v>
      </c>
      <c r="G76" s="9">
        <f>VLOOKUP(B76,'Player Data'!A1:D734,3,FALSE)</f>
        <v>29</v>
      </c>
      <c r="H76" s="43">
        <f>_xlfn.IFERROR(VLOOKUP(B76,'ADP'!A1:G731,7,FALSE)/1000000,VLOOKUP(B76,'ADP'!A1:G731,7,FALSE))</f>
        <v>7.5</v>
      </c>
      <c r="I76" s="44">
        <f>IF('Settings'!$E$15="POINTS",((R76*Q76)*'Settings'!$B$12)+(S76*'Settings'!$B$2)+(T76*'Settings'!$B$3)+(U76*'Settings'!$B$4)+(V76*'Settings'!$B$5)+(X76*'Settings'!$B$9)+(AA76*'Settings'!$B$6)+(W76*'Settings'!$B$8)+(AB76*'Settings'!$B$7)+(AC76*'Settings'!$B$14)+(AD76*'Settings'!$B$15)+(AE76*'Settings'!$B$16)+(AF76*'Settings'!$B$17)+(AG76*'Settings'!$B$18)+(U76*'Settings'!$B$13)+(Y76*'Settings'!$B$10)+(Z76*'Settings'!$B$11),VLOOKUP(B76,'Standard Deviations'!A1:C731,3,FALSE))</f>
        <v>333.587401006829</v>
      </c>
      <c r="J76" s="45">
        <f>IF(D76="G",I76/AJ76,I76/Q76)</f>
        <v>4.22979609563737</v>
      </c>
      <c r="K76" s="44">
        <f>VLOOKUP(B76,'D'!A1:F228,6,FALSE)</f>
        <v>-7.147737639694</v>
      </c>
      <c r="L76" s="44">
        <f>_xlfn.IFERROR(K76/H76,"N/A")</f>
        <v>-0.953031685292533</v>
      </c>
      <c r="M76" s="46">
        <f>IF('Settings'!$E$9="YAHOO",VLOOKUP(B76,'ADP'!A1:E731,2,FALSE),IF('Settings'!$E$9="ESPN",VLOOKUP(B76,'ADP'!A1:E731,3,FALSE),IF('Settings'!$E$9="FANTRAX",VLOOKUP(B76,'ADP'!A1:E731,4,FALSE),VLOOKUP(B76,'ADP'!A1:E731,5,FALSE))))</f>
        <v>114.63</v>
      </c>
      <c r="N76" s="46">
        <f>_xlfn.IFERROR(M76-A76,"N/A")</f>
        <v>-10.37</v>
      </c>
      <c r="O76" s="46"/>
      <c r="P76" t="s" s="47">
        <f>IF('Settings'!$E$27="ON",VLOOKUP(B76,'ADP'!A1:H731,8,FALSE)," ")</f>
        <v>116</v>
      </c>
      <c r="Q76" s="48">
        <f>IF('Settings'!$E$12="YES",VLOOKUP(B76,'Player Data'!A1:E734,5,FALSE),82)</f>
        <v>78.8660714285714</v>
      </c>
      <c r="R76" s="46">
        <f>VLOOKUP(B76,'Player Data'!$A1:$AE734,6,FALSE)</f>
        <v>21.7301652497655</v>
      </c>
      <c r="S76" s="48">
        <f>VLOOKUP(B76,'Player Data'!$A1:$AE734,7,FALSE)*$Q76*_xlfn.IFERROR((VLOOKUP(P76,'Settings'!$E$28:$F$33,2,FALSE)+1),1)</f>
        <v>7.34529153916693</v>
      </c>
      <c r="T76" s="48">
        <f>VLOOKUP(B76,'Player Data'!$A1:$AE734,8,FALSE)*$Q76*_xlfn.IFERROR((VLOOKUP(P76,'Settings'!$E$28:$F$33,2,FALSE)+1),1)</f>
        <v>47.6996311057889</v>
      </c>
      <c r="U76" s="48">
        <f>SUM(S76:T76)</f>
        <v>55.0449226449558</v>
      </c>
      <c r="V76" s="48">
        <f>VLOOKUP(B76,'Player Data'!$A1:$AE734,10,FALSE)*$Q76*_xlfn.IFERROR(((VLOOKUP(P76,'Settings'!$E$28:$F$33,2,FALSE)/2)+1),1)</f>
        <v>166.590942657418</v>
      </c>
      <c r="W76" s="48">
        <f>VLOOKUP(B76,'Player Data'!$A1:$AE734,11,FALSE)*$Q76*_xlfn.IFERROR((VLOOKUP(P76,'Settings'!$E$28:$F$33,2,FALSE)+1),1)</f>
        <v>1.7110579437694</v>
      </c>
      <c r="X76" s="48">
        <f>VLOOKUP(B76,'Player Data'!$A1:$AE734,12,FALSE)*$Q76*_xlfn.IFERROR((VLOOKUP(P76,'Settings'!$E$28:$F$33,2,FALSE)+1),1)</f>
        <v>21.0230530093213</v>
      </c>
      <c r="Y76" s="48">
        <f>VLOOKUP(B76,'Player Data'!$A1:$AE734,13,FALSE)*$Q76</f>
        <v>0.0246631282158073</v>
      </c>
      <c r="Z76" s="48">
        <f>VLOOKUP(B76,'Player Data'!$A1:$AE734,14,FALSE)*$Q76</f>
        <v>0.8662960291394191</v>
      </c>
      <c r="AA76" s="48">
        <f>VLOOKUP(B76,'Player Data'!$A1:$AE734,15,FALSE)*$Q76</f>
        <v>99.05617614458311</v>
      </c>
      <c r="AB76" s="48">
        <f>VLOOKUP(B76,'Player Data'!$A1:$AE734,16,FALSE)*$Q76</f>
        <v>91.5141772157255</v>
      </c>
      <c r="AC76" s="48">
        <f>VLOOKUP(B76,'Player Data'!$A1:$AE734,17,FALSE)*$Q76*_xlfn.IFERROR((VLOOKUP(P76,'Settings'!$E$28:$F$33,2,FALSE)+1),1)</f>
        <v>5.0730535260221</v>
      </c>
      <c r="AD76" s="48">
        <f>VLOOKUP(B76,'Player Data'!$A1:$AE734,18,FALSE)*$Q76</f>
        <v>29.9168075491319</v>
      </c>
      <c r="AE76" s="48">
        <f>VLOOKUP(B76,'Player Data'!$A1:$AE734,19,FALSE)*$Q76*_xlfn.IFERROR((VLOOKUP(P76,'Settings'!$E$28:$F$33,2,FALSE)+1),1)</f>
        <v>1.18001913341827</v>
      </c>
      <c r="AF76" s="48">
        <f>VLOOKUP(B76,'Player Data'!$A1:$AE734,20,FALSE)*$Q76</f>
        <v>0</v>
      </c>
      <c r="AG76" s="48">
        <f>VLOOKUP(B76,'Player Data'!$A1:$AE734,21,FALSE)*$Q76</f>
        <v>0</v>
      </c>
      <c r="AH76" s="49">
        <f>VLOOKUP(B76,'Player Data'!$A1:$AE734,22,FALSE)</f>
        <v>0</v>
      </c>
      <c r="AI76" s="46"/>
      <c r="AJ76" s="48"/>
      <c r="AK76" s="48"/>
      <c r="AL76" s="48"/>
      <c r="AM76" s="48"/>
      <c r="AN76" s="48"/>
      <c r="AO76" s="48"/>
      <c r="AP76" s="48"/>
      <c r="AQ76" s="51"/>
      <c r="AR76" s="52"/>
      <c r="AS76" s="46"/>
    </row>
    <row r="77" ht="21.25" customHeight="1">
      <c r="A77" s="53">
        <f>RANK(K77,K2:K730)</f>
        <v>88</v>
      </c>
      <c r="B77" t="s" s="8">
        <v>221</v>
      </c>
      <c r="C77" t="s" s="39">
        <v>106</v>
      </c>
      <c r="D77" t="s" s="40">
        <f>VLOOKUP(B77,'Player Data'!A1:D734,4,FALSE)</f>
        <v>118</v>
      </c>
      <c r="E77" s="54">
        <f>VLOOKUP(B77,'LW'!A1:C156,3,FALSE)</f>
        <v>26</v>
      </c>
      <c r="F77" t="s" s="42">
        <f>VLOOKUP(B77,'Player Data'!A1:B734,2,FALSE)</f>
        <v>189</v>
      </c>
      <c r="G77" s="9">
        <f>VLOOKUP(B77,'Player Data'!A1:D734,3,FALSE)</f>
        <v>25</v>
      </c>
      <c r="H77" s="43">
        <f>_xlfn.IFERROR(VLOOKUP(B77,'ADP'!A1:G731,7,FALSE)/1000000,VLOOKUP(B77,'ADP'!A1:G731,7,FALSE))</f>
        <v>8.699999999999999</v>
      </c>
      <c r="I77" s="44">
        <f>IF('Settings'!$E$15="POINTS",((R77*Q77)*'Settings'!$B$12)+(S77*'Settings'!$B$2)+(T77*'Settings'!$B$3)+(U77*'Settings'!$B$4)+(V77*'Settings'!$B$5)+(X77*'Settings'!$B$9)+(AA77*'Settings'!$B$6)+(W77*'Settings'!$B$8)+(AB77*'Settings'!$B$7)+(AC77*'Settings'!$B$14)+(AD77*'Settings'!$B$15)+(AE77*'Settings'!$B$16)+(AF77*'Settings'!$B$17)+(AG77*'Settings'!$B$18)+(Y77*'Settings'!$B$10)+(Z77*'Settings'!$B$11),VLOOKUP(B77,'Standard Deviations'!A1:C731,3,FALSE))</f>
        <v>404.837501140412</v>
      </c>
      <c r="J77" s="45">
        <f>IF(D77="G",I77/AJ77,I77/Q77)</f>
        <v>5.44282738828196</v>
      </c>
      <c r="K77" s="44">
        <f>IF('Settings'!$E$18="C/LW/RW",VLOOKUP(B77,'RW'!A1:F132,6,FALSE),VLOOKUP(B77,'F'!A1:F432,6,FALSE))</f>
        <v>23.208937434056</v>
      </c>
      <c r="L77" s="44">
        <f>_xlfn.IFERROR(K77/H77,"N/A")</f>
        <v>2.66769395793747</v>
      </c>
      <c r="M77" s="46">
        <f>IF('Settings'!$E$9="YAHOO",VLOOKUP(B77,'ADP'!A1:E731,2,FALSE),IF('Settings'!$E$9="ESPN",VLOOKUP(B77,'ADP'!A1:E731,3,FALSE),IF('Settings'!$E$9="FANTRAX",VLOOKUP(B77,'ADP'!A1:E731,4,FALSE),VLOOKUP(B77,'ADP'!A1:E731,5,FALSE))))</f>
        <v>69.31999999999999</v>
      </c>
      <c r="N77" s="46">
        <f>_xlfn.IFERROR(M77-A77,"N/A")</f>
        <v>-18.68</v>
      </c>
      <c r="O77" s="46"/>
      <c r="P77" t="s" s="47">
        <f>IF('Settings'!$E$27="ON",VLOOKUP(B77,'ADP'!A1:H731,8,FALSE)," ")</f>
        <v>109</v>
      </c>
      <c r="Q77" s="48">
        <f>IF('Settings'!$E$12="YES",VLOOKUP(B77,'Player Data'!A1:E734,5,FALSE),82)</f>
        <v>74.38</v>
      </c>
      <c r="R77" s="46">
        <f>VLOOKUP(B77,'Player Data'!$A1:$AE734,6,FALSE)</f>
        <v>19.1773035172879</v>
      </c>
      <c r="S77" s="48">
        <f>VLOOKUP(B77,'Player Data'!$A1:$AE734,7,FALSE)*$Q77*_xlfn.IFERROR((VLOOKUP(P77,'Settings'!$E$28:$F$33,2,FALSE)+1),1)</f>
        <v>31.5655874947362</v>
      </c>
      <c r="T77" s="48">
        <f>VLOOKUP(B77,'Player Data'!$A1:$AE734,8,FALSE)*$Q77*_xlfn.IFERROR((VLOOKUP(P77,'Settings'!$E$28:$F$33,2,FALSE)+1),1)</f>
        <v>39.9519526356557</v>
      </c>
      <c r="U77" s="48">
        <f>SUM(S77:T77)</f>
        <v>71.51754013039189</v>
      </c>
      <c r="V77" s="48">
        <f>VLOOKUP(B77,'Player Data'!$A1:$AE734,10,FALSE)*$Q77*_xlfn.IFERROR(((VLOOKUP(P77,'Settings'!$E$28:$F$33,2,FALSE)/2)+1),1)</f>
        <v>231.545856557008</v>
      </c>
      <c r="W77" s="48">
        <f>VLOOKUP(B77,'Player Data'!$A1:$AE734,11,FALSE)*$Q77*_xlfn.IFERROR((VLOOKUP(P77,'Settings'!$E$28:$F$33,2,FALSE)+1),1)</f>
        <v>9.52542903873446</v>
      </c>
      <c r="X77" s="48">
        <f>VLOOKUP(B77,'Player Data'!$A1:$AE734,12,FALSE)*$Q77*_xlfn.IFERROR((VLOOKUP(P77,'Settings'!$E$28:$F$33,2,FALSE)+1),1)</f>
        <v>20.7854465778063</v>
      </c>
      <c r="Y77" s="48">
        <f>VLOOKUP(B77,'Player Data'!$A1:$AE734,13,FALSE)*$Q77</f>
        <v>0.00349383332892388</v>
      </c>
      <c r="Z77" s="48">
        <f>VLOOKUP(B77,'Player Data'!$A1:$AE734,14,FALSE)*$Q77</f>
        <v>0.0063730879269923</v>
      </c>
      <c r="AA77" s="48">
        <f>VLOOKUP(B77,'Player Data'!$A1:$AE734,15,FALSE)*$Q77</f>
        <v>31.5972815696275</v>
      </c>
      <c r="AB77" s="48">
        <f>VLOOKUP(B77,'Player Data'!$A1:$AE734,16,FALSE)*$Q77</f>
        <v>45.4087370718428</v>
      </c>
      <c r="AC77" s="48">
        <f>VLOOKUP(B77,'Player Data'!$A1:$AE734,17,FALSE)*$Q77*_xlfn.IFERROR((VLOOKUP(P77,'Settings'!$E$28:$F$33,2,FALSE)+1),1)</f>
        <v>-4.23592746792009</v>
      </c>
      <c r="AD77" s="48">
        <f>VLOOKUP(B77,'Player Data'!$A1:$AE734,18,FALSE)*$Q77</f>
        <v>28.2177855746204</v>
      </c>
      <c r="AE77" s="48">
        <f>VLOOKUP(B77,'Player Data'!$A1:$AE734,19,FALSE)*$Q77*_xlfn.IFERROR((VLOOKUP(P77,'Settings'!$E$28:$F$33,2,FALSE)+1),1)</f>
        <v>3.38247003504206</v>
      </c>
      <c r="AF77" s="48">
        <f>VLOOKUP(B77,'Player Data'!$A1:$AE734,20,FALSE)*$Q77</f>
        <v>30.9890552833038</v>
      </c>
      <c r="AG77" s="48">
        <f>VLOOKUP(B77,'Player Data'!$A1:$AE734,21,FALSE)*$Q77</f>
        <v>61.4949956008027</v>
      </c>
      <c r="AH77" s="49">
        <f>VLOOKUP(B77,'Player Data'!$A1:$AE734,22,FALSE)</f>
        <v>0.335074588397266</v>
      </c>
      <c r="AI77" s="46"/>
      <c r="AJ77" s="50"/>
      <c r="AK77" s="48"/>
      <c r="AL77" s="48"/>
      <c r="AM77" s="48"/>
      <c r="AN77" s="48"/>
      <c r="AO77" s="48"/>
      <c r="AP77" s="48"/>
      <c r="AQ77" s="51"/>
      <c r="AR77" s="52"/>
      <c r="AS77" s="50"/>
    </row>
    <row r="78" ht="21.25" customHeight="1">
      <c r="A78" s="53">
        <f>RANK(K78,K2:K730)</f>
        <v>99</v>
      </c>
      <c r="B78" t="s" s="8">
        <v>222</v>
      </c>
      <c r="C78" t="s" s="39">
        <v>106</v>
      </c>
      <c r="D78" t="s" s="40">
        <f>VLOOKUP(B78,'Player Data'!A1:D734,4,FALSE)</f>
        <v>129</v>
      </c>
      <c r="E78" s="56">
        <f>VLOOKUP(B78,'D'!A1:C228,3,FALSE)</f>
        <v>16</v>
      </c>
      <c r="F78" t="s" s="42">
        <f>VLOOKUP(B78,'Player Data'!A1:B734,2,FALSE)</f>
        <v>166</v>
      </c>
      <c r="G78" s="9">
        <f>VLOOKUP(B78,'Player Data'!A1:D734,3,FALSE)</f>
        <v>33</v>
      </c>
      <c r="H78" s="43">
        <f>_xlfn.IFERROR(VLOOKUP(B78,'ADP'!A1:G731,7,FALSE)/1000000,VLOOKUP(B78,'ADP'!A1:G731,7,FALSE))</f>
        <v>8</v>
      </c>
      <c r="I78" s="44">
        <f>IF('Settings'!$E$15="POINTS",((R78*Q78)*'Settings'!$B$12)+(S78*'Settings'!$B$2)+(T78*'Settings'!$B$3)+(U78*'Settings'!$B$4)+(V78*'Settings'!$B$5)+(X78*'Settings'!$B$9)+(AA78*'Settings'!$B$6)+(W78*'Settings'!$B$8)+(AB78*'Settings'!$B$7)+(AC78*'Settings'!$B$14)+(AD78*'Settings'!$B$15)+(AE78*'Settings'!$B$16)+(AF78*'Settings'!$B$17)+(AG78*'Settings'!$B$18)+(U78*'Settings'!$B$13)+(Y78*'Settings'!$B$10)+(Z78*'Settings'!$B$11),VLOOKUP(B78,'Standard Deviations'!A1:C731,3,FALSE))</f>
        <v>353.762607831787</v>
      </c>
      <c r="J78" s="45">
        <f>IF(D78="G",I78/AJ78,I78/Q78)</f>
        <v>4.8727631932753</v>
      </c>
      <c r="K78" s="44">
        <f>VLOOKUP(B78,'D'!A1:F228,6,FALSE)</f>
        <v>13.027469185264</v>
      </c>
      <c r="L78" s="44">
        <f>_xlfn.IFERROR(K78/H78,"N/A")</f>
        <v>1.628433648158</v>
      </c>
      <c r="M78" s="46">
        <f>IF('Settings'!$E$9="YAHOO",VLOOKUP(B78,'ADP'!A1:E731,2,FALSE),IF('Settings'!$E$9="ESPN",VLOOKUP(B78,'ADP'!A1:E731,3,FALSE),IF('Settings'!$E$9="FANTRAX",VLOOKUP(B78,'ADP'!A1:E731,4,FALSE),VLOOKUP(B78,'ADP'!A1:E731,5,FALSE))))</f>
        <v>46.84</v>
      </c>
      <c r="N78" s="46">
        <f>_xlfn.IFERROR(M78-A78,"N/A")</f>
        <v>-52.16</v>
      </c>
      <c r="O78" s="46"/>
      <c r="P78" t="s" s="47">
        <f>IF('Settings'!$E$27="ON",VLOOKUP(B78,'ADP'!A1:H731,8,FALSE)," ")</f>
        <v>175</v>
      </c>
      <c r="Q78" s="48">
        <f>IF('Settings'!$E$12="YES",VLOOKUP(B78,'Player Data'!A1:E734,5,FALSE),82)</f>
        <v>72.59999999999999</v>
      </c>
      <c r="R78" s="46">
        <f>VLOOKUP(B78,'Player Data'!$A1:$AE734,6,FALSE)</f>
        <v>23.0603033650915</v>
      </c>
      <c r="S78" s="48">
        <f>VLOOKUP(B78,'Player Data'!$A1:$AE734,7,FALSE)*$Q78*_xlfn.IFERROR((VLOOKUP(P78,'Settings'!$E$28:$F$33,2,FALSE)+1),1)</f>
        <v>12.6822693346701</v>
      </c>
      <c r="T78" s="48">
        <f>VLOOKUP(B78,'Player Data'!$A1:$AE734,8,FALSE)*$Q78*_xlfn.IFERROR((VLOOKUP(P78,'Settings'!$E$28:$F$33,2,FALSE)+1),1)</f>
        <v>39.0709323471957</v>
      </c>
      <c r="U78" s="48">
        <f>SUM(S78:T78)</f>
        <v>51.7532016818658</v>
      </c>
      <c r="V78" s="48">
        <f>VLOOKUP(B78,'Player Data'!$A1:$AE734,10,FALSE)*$Q78*_xlfn.IFERROR(((VLOOKUP(P78,'Settings'!$E$28:$F$33,2,FALSE)/2)+1),1)</f>
        <v>184.04564816</v>
      </c>
      <c r="W78" s="48">
        <f>VLOOKUP(B78,'Player Data'!$A1:$AE734,11,FALSE)*$Q78*_xlfn.IFERROR((VLOOKUP(P78,'Settings'!$E$28:$F$33,2,FALSE)+1),1)</f>
        <v>4.24369835060507</v>
      </c>
      <c r="X78" s="48">
        <f>VLOOKUP(B78,'Player Data'!$A1:$AE734,12,FALSE)*$Q78*_xlfn.IFERROR((VLOOKUP(P78,'Settings'!$E$28:$F$33,2,FALSE)+1),1)</f>
        <v>18.6579506748869</v>
      </c>
      <c r="Y78" s="48">
        <f>VLOOKUP(B78,'Player Data'!$A1:$AE734,13,FALSE)*$Q78</f>
        <v>0.494820845878067</v>
      </c>
      <c r="Z78" s="48">
        <f>VLOOKUP(B78,'Player Data'!$A1:$AE734,14,FALSE)*$Q78</f>
        <v>1.39643148014573</v>
      </c>
      <c r="AA78" s="48">
        <f>VLOOKUP(B78,'Player Data'!$A1:$AE734,15,FALSE)*$Q78</f>
        <v>127.262363162393</v>
      </c>
      <c r="AB78" s="48">
        <f>VLOOKUP(B78,'Player Data'!$A1:$AE734,16,FALSE)*$Q78</f>
        <v>84.13092065078401</v>
      </c>
      <c r="AC78" s="48">
        <f>VLOOKUP(B78,'Player Data'!$A1:$AE734,17,FALSE)*$Q78*_xlfn.IFERROR((VLOOKUP(P78,'Settings'!$E$28:$F$33,2,FALSE)+1),1)</f>
        <v>-2.41645866947342</v>
      </c>
      <c r="AD78" s="48">
        <f>VLOOKUP(B78,'Player Data'!$A1:$AE734,18,FALSE)*$Q78</f>
        <v>22.3691468540585</v>
      </c>
      <c r="AE78" s="48">
        <f>VLOOKUP(B78,'Player Data'!$A1:$AE734,19,FALSE)*$Q78*_xlfn.IFERROR((VLOOKUP(P78,'Settings'!$E$28:$F$33,2,FALSE)+1),1)</f>
        <v>1.55999378478307</v>
      </c>
      <c r="AF78" s="48">
        <f>VLOOKUP(B78,'Player Data'!$A1:$AE734,20,FALSE)*$Q78</f>
        <v>0</v>
      </c>
      <c r="AG78" s="48">
        <f>VLOOKUP(B78,'Player Data'!$A1:$AE734,21,FALSE)*$Q78</f>
        <v>0</v>
      </c>
      <c r="AH78" s="49">
        <f>VLOOKUP(B78,'Player Data'!$A1:$AE734,22,FALSE)</f>
        <v>0</v>
      </c>
      <c r="AI78" s="46"/>
      <c r="AJ78" s="50"/>
      <c r="AK78" s="48"/>
      <c r="AL78" s="48"/>
      <c r="AM78" s="48"/>
      <c r="AN78" s="48"/>
      <c r="AO78" s="48"/>
      <c r="AP78" s="48"/>
      <c r="AQ78" s="51"/>
      <c r="AR78" s="52"/>
      <c r="AS78" s="46"/>
    </row>
    <row r="79" ht="21.25" customHeight="1">
      <c r="A79" s="53">
        <f>RANK(K79,K2:K730)</f>
        <v>89</v>
      </c>
      <c r="B79" t="s" s="8">
        <v>223</v>
      </c>
      <c r="C79" t="s" s="39">
        <v>106</v>
      </c>
      <c r="D79" t="s" s="40">
        <f>VLOOKUP(B79,'Player Data'!A1:D734,4,FALSE)</f>
        <v>133</v>
      </c>
      <c r="E79" s="57">
        <f>VLOOKUP(B79,'LW'!A1:C156,3,FALSE)</f>
        <v>27</v>
      </c>
      <c r="F79" t="s" s="42">
        <f>VLOOKUP(B79,'Player Data'!A1:B734,2,FALSE)</f>
        <v>122</v>
      </c>
      <c r="G79" s="9">
        <f>VLOOKUP(B79,'Player Data'!A1:D734,3,FALSE)</f>
        <v>35</v>
      </c>
      <c r="H79" s="43">
        <f>_xlfn.IFERROR(VLOOKUP(B79,'ADP'!A1:G731,7,FALSE)/1000000,VLOOKUP(B79,'ADP'!A1:G731,7,FALSE))</f>
        <v>6.125</v>
      </c>
      <c r="I79" s="44">
        <f>IF('Settings'!$E$15="POINTS",((R79*Q79)*'Settings'!$B$12)+(S79*'Settings'!$B$2)+(T79*'Settings'!$B$3)+(U79*'Settings'!$B$4)+(V79*'Settings'!$B$5)+(X79*'Settings'!$B$9)+(AA79*'Settings'!$B$6)+(W79*'Settings'!$B$8)+(AB79*'Settings'!$B$7)+(AC79*'Settings'!$B$14)+(AD79*'Settings'!$B$15)+(AE79*'Settings'!$B$16)+(AF79*'Settings'!$B$17)+(AG79*'Settings'!$B$18)+(Y79*'Settings'!$B$10)+(Z79*'Settings'!$B$11),VLOOKUP(B79,'Standard Deviations'!A1:C731,3,FALSE))</f>
        <v>404.216115972245</v>
      </c>
      <c r="J79" s="45">
        <f>IF(D79="G",I79/AJ79,I79/Q79)</f>
        <v>5.15955491050043</v>
      </c>
      <c r="K79" s="44">
        <f>IF('Settings'!$E$18="C/LW/RW",VLOOKUP(B79,'LW'!A1:F156,6,FALSE),VLOOKUP(B79,'F'!A1:F432,6,FALSE))</f>
        <v>22.587552265889</v>
      </c>
      <c r="L79" s="44">
        <f>_xlfn.IFERROR(K79/H79,"N/A")</f>
        <v>3.68776363524718</v>
      </c>
      <c r="M79" s="46">
        <f>IF('Settings'!$E$9="YAHOO",VLOOKUP(B79,'ADP'!A1:E731,2,FALSE),IF('Settings'!$E$9="ESPN",VLOOKUP(B79,'ADP'!A1:E731,3,FALSE),IF('Settings'!$E$9="FANTRAX",VLOOKUP(B79,'ADP'!A1:E731,4,FALSE),VLOOKUP(B79,'ADP'!A1:E731,5,FALSE))))</f>
        <v>58.89</v>
      </c>
      <c r="N79" s="46">
        <f>_xlfn.IFERROR(M79-A79,"N/A")</f>
        <v>-30.11</v>
      </c>
      <c r="O79" s="46"/>
      <c r="P79" t="s" s="47">
        <f>IF('Settings'!$E$27="ON",VLOOKUP(B79,'ADP'!A1:H731,8,FALSE)," ")</f>
        <v>109</v>
      </c>
      <c r="Q79" s="48">
        <f>IF('Settings'!$E$12="YES",VLOOKUP(B79,'Player Data'!A1:E734,5,FALSE),82)</f>
        <v>78.3432142857143</v>
      </c>
      <c r="R79" s="46">
        <f>VLOOKUP(B79,'Player Data'!$A1:$AE734,6,FALSE)</f>
        <v>18.7016405879135</v>
      </c>
      <c r="S79" s="48">
        <f>VLOOKUP(B79,'Player Data'!$A1:$AE734,7,FALSE)*$Q79*_xlfn.IFERROR((VLOOKUP(P79,'Settings'!$E$28:$F$33,2,FALSE)+1),1)</f>
        <v>26.1402904892248</v>
      </c>
      <c r="T79" s="48">
        <f>VLOOKUP(B79,'Player Data'!$A1:$AE734,8,FALSE)*$Q79*_xlfn.IFERROR((VLOOKUP(P79,'Settings'!$E$28:$F$33,2,FALSE)+1),1)</f>
        <v>47.4716721972676</v>
      </c>
      <c r="U79" s="48">
        <f>SUM(S79:T79)</f>
        <v>73.6119626864924</v>
      </c>
      <c r="V79" s="48">
        <f>VLOOKUP(B79,'Player Data'!$A1:$AE734,10,FALSE)*$Q79*_xlfn.IFERROR(((VLOOKUP(P79,'Settings'!$E$28:$F$33,2,FALSE)/2)+1),1)</f>
        <v>211.961524769608</v>
      </c>
      <c r="W79" s="48">
        <f>VLOOKUP(B79,'Player Data'!$A1:$AE734,11,FALSE)*$Q79*_xlfn.IFERROR((VLOOKUP(P79,'Settings'!$E$28:$F$33,2,FALSE)+1),1)</f>
        <v>7.28855393176513</v>
      </c>
      <c r="X79" s="48">
        <f>VLOOKUP(B79,'Player Data'!$A1:$AE734,12,FALSE)*$Q79*_xlfn.IFERROR((VLOOKUP(P79,'Settings'!$E$28:$F$33,2,FALSE)+1),1)</f>
        <v>26.4757056375385</v>
      </c>
      <c r="Y79" s="48">
        <f>VLOOKUP(B79,'Player Data'!$A1:$AE734,13,FALSE)*$Q79</f>
        <v>1.04315705817641</v>
      </c>
      <c r="Z79" s="48">
        <f>VLOOKUP(B79,'Player Data'!$A1:$AE734,14,FALSE)*$Q79</f>
        <v>2.06515232322401</v>
      </c>
      <c r="AA79" s="48">
        <f>VLOOKUP(B79,'Player Data'!$A1:$AE734,15,FALSE)*$Q79</f>
        <v>24.7961006063499</v>
      </c>
      <c r="AB79" s="48">
        <f>VLOOKUP(B79,'Player Data'!$A1:$AE734,16,FALSE)*$Q79</f>
        <v>86.642699378016</v>
      </c>
      <c r="AC79" s="48">
        <f>VLOOKUP(B79,'Player Data'!$A1:$AE734,17,FALSE)*$Q79*_xlfn.IFERROR((VLOOKUP(P79,'Settings'!$E$28:$F$33,2,FALSE)+1),1)</f>
        <v>7.40903956251694</v>
      </c>
      <c r="AD79" s="48">
        <f>VLOOKUP(B79,'Player Data'!$A1:$AE734,18,FALSE)*$Q79</f>
        <v>68.99249792239431</v>
      </c>
      <c r="AE79" s="48">
        <f>VLOOKUP(B79,'Player Data'!$A1:$AE734,19,FALSE)*$Q79*_xlfn.IFERROR((VLOOKUP(P79,'Settings'!$E$28:$F$33,2,FALSE)+1),1)</f>
        <v>4.38844034842045</v>
      </c>
      <c r="AF79" s="48">
        <f>VLOOKUP(B79,'Player Data'!$A1:$AE734,20,FALSE)*$Q79</f>
        <v>20.624473387144</v>
      </c>
      <c r="AG79" s="48">
        <f>VLOOKUP(B79,'Player Data'!$A1:$AE734,21,FALSE)*$Q79</f>
        <v>37.3252267463699</v>
      </c>
      <c r="AH79" s="49">
        <f>VLOOKUP(B79,'Player Data'!$A1:$AE734,22,FALSE)</f>
        <v>0.355903021752071</v>
      </c>
      <c r="AI79" s="46"/>
      <c r="AJ79" s="50"/>
      <c r="AK79" s="48"/>
      <c r="AL79" s="48"/>
      <c r="AM79" s="48"/>
      <c r="AN79" s="48"/>
      <c r="AO79" s="48"/>
      <c r="AP79" s="48"/>
      <c r="AQ79" s="51"/>
      <c r="AR79" s="52"/>
      <c r="AS79" s="50"/>
    </row>
    <row r="80" ht="21.25" customHeight="1">
      <c r="A80" s="53">
        <f>RANK(K80,K2:K730)</f>
        <v>92</v>
      </c>
      <c r="B80" t="s" s="8">
        <v>224</v>
      </c>
      <c r="C80" t="s" s="39">
        <v>106</v>
      </c>
      <c r="D80" t="s" s="40">
        <f>VLOOKUP(B80,'Player Data'!A1:D734,4,FALSE)</f>
        <v>129</v>
      </c>
      <c r="E80" s="56">
        <f>VLOOKUP(B80,'D'!A1:C228,3,FALSE)</f>
        <v>15</v>
      </c>
      <c r="F80" t="s" s="42">
        <f>VLOOKUP(B80,'Player Data'!A1:B734,2,FALSE)</f>
        <v>225</v>
      </c>
      <c r="G80" s="9">
        <f>VLOOKUP(B80,'Player Data'!A1:D734,3,FALSE)</f>
        <v>28</v>
      </c>
      <c r="H80" s="43">
        <f>_xlfn.IFERROR(VLOOKUP(B80,'ADP'!A1:G731,7,FALSE)/1000000,VLOOKUP(B80,'ADP'!A1:G731,7,FALSE))</f>
        <v>9.5</v>
      </c>
      <c r="I80" s="44">
        <f>IF('Settings'!$E$15="POINTS",((R80*Q80)*'Settings'!$B$12)+(S80*'Settings'!$B$2)+(T80*'Settings'!$B$3)+(U80*'Settings'!$B$4)+(V80*'Settings'!$B$5)+(X80*'Settings'!$B$9)+(AA80*'Settings'!$B$6)+(W80*'Settings'!$B$8)+(AB80*'Settings'!$B$7)+(AC80*'Settings'!$B$14)+(AD80*'Settings'!$B$15)+(AE80*'Settings'!$B$16)+(AF80*'Settings'!$B$17)+(AG80*'Settings'!$B$18)+(U80*'Settings'!$B$13)+(Y80*'Settings'!$B$10)+(Z80*'Settings'!$B$11),VLOOKUP(B80,'Standard Deviations'!A1:C731,3,FALSE))</f>
        <v>358.249450919705</v>
      </c>
      <c r="J80" s="45">
        <f>IF(D80="G",I80/AJ80,I80/Q80)</f>
        <v>4.49469231440568</v>
      </c>
      <c r="K80" s="44">
        <f>VLOOKUP(B80,'D'!A1:F228,6,FALSE)</f>
        <v>17.514312273182</v>
      </c>
      <c r="L80" s="44">
        <f>_xlfn.IFERROR(K80/H80,"N/A")</f>
        <v>1.84361181822968</v>
      </c>
      <c r="M80" s="46">
        <f>IF('Settings'!$E$9="YAHOO",VLOOKUP(B80,'ADP'!A1:E731,2,FALSE),IF('Settings'!$E$9="ESPN",VLOOKUP(B80,'ADP'!A1:E731,3,FALSE),IF('Settings'!$E$9="FANTRAX",VLOOKUP(B80,'ADP'!A1:E731,4,FALSE),VLOOKUP(B80,'ADP'!A1:E731,5,FALSE))))</f>
        <v>116.71</v>
      </c>
      <c r="N80" s="46">
        <f>_xlfn.IFERROR(M80-A80,"N/A")</f>
        <v>24.71</v>
      </c>
      <c r="O80" s="46"/>
      <c r="P80" t="s" s="47">
        <f>IF('Settings'!$E$27="ON",VLOOKUP(B80,'ADP'!A1:H731,8,FALSE)," ")</f>
        <v>116</v>
      </c>
      <c r="Q80" s="48">
        <f>IF('Settings'!$E$12="YES",VLOOKUP(B80,'Player Data'!A1:E734,5,FALSE),82)</f>
        <v>79.705</v>
      </c>
      <c r="R80" s="46">
        <f>VLOOKUP(B80,'Player Data'!$A1:$AE734,6,FALSE)</f>
        <v>24.7786218805048</v>
      </c>
      <c r="S80" s="48">
        <f>VLOOKUP(B80,'Player Data'!$A1:$AE734,7,FALSE)*$Q80*_xlfn.IFERROR((VLOOKUP(P80,'Settings'!$E$28:$F$33,2,FALSE)+1),1)</f>
        <v>9.168646926438701</v>
      </c>
      <c r="T80" s="48">
        <f>VLOOKUP(B80,'Player Data'!$A1:$AE734,8,FALSE)*$Q80*_xlfn.IFERROR((VLOOKUP(P80,'Settings'!$E$28:$F$33,2,FALSE)+1),1)</f>
        <v>39.1262104993557</v>
      </c>
      <c r="U80" s="48">
        <f>SUM(S80:T80)</f>
        <v>48.2948574257944</v>
      </c>
      <c r="V80" s="48">
        <f>VLOOKUP(B80,'Player Data'!$A1:$AE734,10,FALSE)*$Q80*_xlfn.IFERROR(((VLOOKUP(P80,'Settings'!$E$28:$F$33,2,FALSE)/2)+1),1)</f>
        <v>199.280564720461</v>
      </c>
      <c r="W80" s="48">
        <f>VLOOKUP(B80,'Player Data'!$A1:$AE734,11,FALSE)*$Q80*_xlfn.IFERROR((VLOOKUP(P80,'Settings'!$E$28:$F$33,2,FALSE)+1),1)</f>
        <v>1.90638348954862</v>
      </c>
      <c r="X80" s="48">
        <f>VLOOKUP(B80,'Player Data'!$A1:$AE734,12,FALSE)*$Q80*_xlfn.IFERROR((VLOOKUP(P80,'Settings'!$E$28:$F$33,2,FALSE)+1),1)</f>
        <v>17.8572180946846</v>
      </c>
      <c r="Y80" s="48">
        <f>VLOOKUP(B80,'Player Data'!$A1:$AE734,13,FALSE)*$Q80</f>
        <v>0.0266351059694343</v>
      </c>
      <c r="Z80" s="48">
        <f>VLOOKUP(B80,'Player Data'!$A1:$AE734,14,FALSE)*$Q80</f>
        <v>0.981162253442451</v>
      </c>
      <c r="AA80" s="48">
        <f>VLOOKUP(B80,'Player Data'!$A1:$AE734,15,FALSE)*$Q80</f>
        <v>141.641000032399</v>
      </c>
      <c r="AB80" s="48">
        <f>VLOOKUP(B80,'Player Data'!$A1:$AE734,16,FALSE)*$Q80</f>
        <v>108.755205477395</v>
      </c>
      <c r="AC80" s="48">
        <f>VLOOKUP(B80,'Player Data'!$A1:$AE734,17,FALSE)*$Q80*_xlfn.IFERROR((VLOOKUP(P80,'Settings'!$E$28:$F$33,2,FALSE)+1),1)</f>
        <v>-9.147888685866789</v>
      </c>
      <c r="AD80" s="48">
        <f>VLOOKUP(B80,'Player Data'!$A1:$AE734,18,FALSE)*$Q80</f>
        <v>33.9741758846422</v>
      </c>
      <c r="AE80" s="48">
        <f>VLOOKUP(B80,'Player Data'!$A1:$AE734,19,FALSE)*$Q80*_xlfn.IFERROR((VLOOKUP(P80,'Settings'!$E$28:$F$33,2,FALSE)+1),1)</f>
        <v>1.07439627613991</v>
      </c>
      <c r="AF80" s="48">
        <f>VLOOKUP(B80,'Player Data'!$A1:$AE734,20,FALSE)*$Q80</f>
        <v>0</v>
      </c>
      <c r="AG80" s="48">
        <f>VLOOKUP(B80,'Player Data'!$A1:$AE734,21,FALSE)*$Q80</f>
        <v>0</v>
      </c>
      <c r="AH80" s="49">
        <f>VLOOKUP(B80,'Player Data'!$A1:$AE734,22,FALSE)</f>
        <v>0</v>
      </c>
      <c r="AI80" s="46"/>
      <c r="AJ80" s="50"/>
      <c r="AK80" s="48"/>
      <c r="AL80" s="48"/>
      <c r="AM80" s="48"/>
      <c r="AN80" s="48"/>
      <c r="AO80" s="48"/>
      <c r="AP80" s="48"/>
      <c r="AQ80" s="51"/>
      <c r="AR80" s="52"/>
      <c r="AS80" s="46"/>
    </row>
    <row r="81" ht="21.25" customHeight="1">
      <c r="A81" s="53">
        <f>RANK(K81,K2:K730)</f>
        <v>67</v>
      </c>
      <c r="B81" t="s" s="8">
        <v>226</v>
      </c>
      <c r="C81" t="s" s="39">
        <v>106</v>
      </c>
      <c r="D81" t="s" s="40">
        <f>VLOOKUP(B81,'Player Data'!A1:D734,4,FALSE)</f>
        <v>111</v>
      </c>
      <c r="E81" s="54">
        <f>VLOOKUP(B81,'LW'!A1:C156,3,FALSE)</f>
        <v>19</v>
      </c>
      <c r="F81" t="s" s="42">
        <f>VLOOKUP(B81,'Player Data'!A1:B734,2,FALSE)</f>
        <v>119</v>
      </c>
      <c r="G81" s="9">
        <f>VLOOKUP(B81,'Player Data'!A1:D734,3,FALSE)</f>
        <v>28</v>
      </c>
      <c r="H81" s="43">
        <f>_xlfn.IFERROR(VLOOKUP(B81,'ADP'!A1:G731,7,FALSE)/1000000,VLOOKUP(B81,'ADP'!A1:G731,7,FALSE))</f>
        <v>4.1667</v>
      </c>
      <c r="I81" s="44">
        <f>IF('Settings'!$E$15="POINTS",((R81*Q81)*'Settings'!$B$12)+(S81*'Settings'!$B$2)+(T81*'Settings'!$B$3)+(U81*'Settings'!$B$4)+(V81*'Settings'!$B$5)+(X81*'Settings'!$B$9)+(AA81*'Settings'!$B$6)+(W81*'Settings'!$B$8)+(AB81*'Settings'!$B$7)+(AC81*'Settings'!$B$14)+(AD81*'Settings'!$B$15)+(AE81*'Settings'!$B$16)+(AF81*'Settings'!$B$17)+(AG81*'Settings'!$B$18)+(Y81*'Settings'!$B$10)+(Z81*'Settings'!$B$11),VLOOKUP(B81,'Standard Deviations'!A1:C731,3,FALSE))</f>
        <v>426.295752779934</v>
      </c>
      <c r="J81" s="45">
        <f>IF(D81="G",I81/AJ81,I81/Q81)</f>
        <v>5.36903659092114</v>
      </c>
      <c r="K81" s="44">
        <f>IF('Settings'!$E$18="C/LW/RW",VLOOKUP(B81,'LW'!A1:F156,6,FALSE),VLOOKUP(B81,'F'!A1:F432,6,FALSE))</f>
        <v>44.667189073578</v>
      </c>
      <c r="L81" s="44">
        <f>_xlfn.IFERROR(K81/H81,"N/A")</f>
        <v>10.7200396173418</v>
      </c>
      <c r="M81" s="46">
        <f>IF('Settings'!$E$9="YAHOO",VLOOKUP(B81,'ADP'!A1:E731,2,FALSE),IF('Settings'!$E$9="ESPN",VLOOKUP(B81,'ADP'!A1:E731,3,FALSE),IF('Settings'!$E$9="FANTRAX",VLOOKUP(B81,'ADP'!A1:E731,4,FALSE),VLOOKUP(B81,'ADP'!A1:E731,5,FALSE))))</f>
        <v>60.18</v>
      </c>
      <c r="N81" s="46">
        <f>_xlfn.IFERROR(M81-A81,"N/A")</f>
        <v>-6.82</v>
      </c>
      <c r="O81" s="46"/>
      <c r="P81" t="s" s="47">
        <f>IF('Settings'!$E$27="ON",VLOOKUP(B81,'ADP'!A1:H731,8,FALSE)," ")</f>
        <v>109</v>
      </c>
      <c r="Q81" s="48">
        <f>IF('Settings'!$E$12="YES",VLOOKUP(B81,'Player Data'!A1:E734,5,FALSE),82)</f>
        <v>79.3989285714286</v>
      </c>
      <c r="R81" s="46">
        <f>VLOOKUP(B81,'Player Data'!$A1:$AE734,6,FALSE)</f>
        <v>18.2777310597683</v>
      </c>
      <c r="S81" s="48">
        <f>VLOOKUP(B81,'Player Data'!$A1:$AE734,7,FALSE)*$Q81*_xlfn.IFERROR((VLOOKUP(P81,'Settings'!$E$28:$F$33,2,FALSE)+1),1)</f>
        <v>36.2538733029154</v>
      </c>
      <c r="T81" s="48">
        <f>VLOOKUP(B81,'Player Data'!$A1:$AE734,8,FALSE)*$Q81*_xlfn.IFERROR((VLOOKUP(P81,'Settings'!$E$28:$F$33,2,FALSE)+1),1)</f>
        <v>35.3650307051527</v>
      </c>
      <c r="U81" s="48">
        <f>SUM(S81:T81)</f>
        <v>71.6189040080681</v>
      </c>
      <c r="V81" s="48">
        <f>VLOOKUP(B81,'Player Data'!$A1:$AE734,10,FALSE)*$Q81*_xlfn.IFERROR(((VLOOKUP(P81,'Settings'!$E$28:$F$33,2,FALSE)/2)+1),1)</f>
        <v>264.406239261261</v>
      </c>
      <c r="W81" s="48">
        <f>VLOOKUP(B81,'Player Data'!$A1:$AE734,11,FALSE)*$Q81*_xlfn.IFERROR((VLOOKUP(P81,'Settings'!$E$28:$F$33,2,FALSE)+1),1)</f>
        <v>7.15433527311705</v>
      </c>
      <c r="X81" s="48">
        <f>VLOOKUP(B81,'Player Data'!$A1:$AE734,12,FALSE)*$Q81*_xlfn.IFERROR((VLOOKUP(P81,'Settings'!$E$28:$F$33,2,FALSE)+1),1)</f>
        <v>15.001587859764</v>
      </c>
      <c r="Y81" s="48">
        <f>VLOOKUP(B81,'Player Data'!$A1:$AE734,13,FALSE)*$Q81</f>
        <v>0.0183156439947218</v>
      </c>
      <c r="Z81" s="48">
        <f>VLOOKUP(B81,'Player Data'!$A1:$AE734,14,FALSE)*$Q81</f>
        <v>0.0241272161256012</v>
      </c>
      <c r="AA81" s="48">
        <f>VLOOKUP(B81,'Player Data'!$A1:$AE734,15,FALSE)*$Q81</f>
        <v>29.0718201902826</v>
      </c>
      <c r="AB81" s="48">
        <f>VLOOKUP(B81,'Player Data'!$A1:$AE734,16,FALSE)*$Q81</f>
        <v>41.0837865733341</v>
      </c>
      <c r="AC81" s="48">
        <f>VLOOKUP(B81,'Player Data'!$A1:$AE734,17,FALSE)*$Q81*_xlfn.IFERROR((VLOOKUP(P81,'Settings'!$E$28:$F$33,2,FALSE)+1),1)</f>
        <v>7.46472123403892</v>
      </c>
      <c r="AD81" s="48">
        <f>VLOOKUP(B81,'Player Data'!$A1:$AE734,18,FALSE)*$Q81</f>
        <v>49.262693719306</v>
      </c>
      <c r="AE81" s="48">
        <f>VLOOKUP(B81,'Player Data'!$A1:$AE734,19,FALSE)*$Q81*_xlfn.IFERROR((VLOOKUP(P81,'Settings'!$E$28:$F$33,2,FALSE)+1),1)</f>
        <v>5.20070081976322</v>
      </c>
      <c r="AF81" s="48">
        <f>VLOOKUP(B81,'Player Data'!$A1:$AE734,20,FALSE)*$Q81</f>
        <v>24.6233620847249</v>
      </c>
      <c r="AG81" s="48">
        <f>VLOOKUP(B81,'Player Data'!$A1:$AE734,21,FALSE)*$Q81</f>
        <v>20.5730686331052</v>
      </c>
      <c r="AH81" s="49">
        <f>VLOOKUP(B81,'Player Data'!$A1:$AE734,22,FALSE)</f>
        <v>0.544807669403215</v>
      </c>
      <c r="AI81" s="46"/>
      <c r="AJ81" s="50"/>
      <c r="AK81" s="48"/>
      <c r="AL81" s="48"/>
      <c r="AM81" s="48"/>
      <c r="AN81" s="48"/>
      <c r="AO81" s="48"/>
      <c r="AP81" s="48"/>
      <c r="AQ81" s="51"/>
      <c r="AR81" s="52"/>
      <c r="AS81" s="50"/>
    </row>
    <row r="82" ht="21.25" customHeight="1">
      <c r="A82" s="53">
        <f>RANK(K82,K2:K730)</f>
        <v>122</v>
      </c>
      <c r="B82" t="s" s="8">
        <v>227</v>
      </c>
      <c r="C82" t="s" s="39">
        <v>106</v>
      </c>
      <c r="D82" t="s" s="40">
        <f>VLOOKUP(B82,'Player Data'!A1:D734,4,FALSE)</f>
        <v>129</v>
      </c>
      <c r="E82" s="56">
        <f>VLOOKUP(B82,'D'!A1:C228,3,FALSE)</f>
        <v>24</v>
      </c>
      <c r="F82" t="s" s="42">
        <f>VLOOKUP(B82,'Player Data'!A1:B734,2,FALSE)</f>
        <v>218</v>
      </c>
      <c r="G82" s="9">
        <f>VLOOKUP(B82,'Player Data'!A1:D734,3,FALSE)</f>
        <v>28</v>
      </c>
      <c r="H82" s="43">
        <f>_xlfn.IFERROR(VLOOKUP(B82,'ADP'!A1:G731,7,FALSE)/1000000,VLOOKUP(B82,'ADP'!A1:G731,7,FALSE))</f>
        <v>5.2</v>
      </c>
      <c r="I82" s="44">
        <f>IF('Settings'!$E$15="POINTS",((R82*Q82)*'Settings'!$B$12)+(S82*'Settings'!$B$2)+(T82*'Settings'!$B$3)+(U82*'Settings'!$B$4)+(V82*'Settings'!$B$5)+(X82*'Settings'!$B$9)+(AA82*'Settings'!$B$6)+(W82*'Settings'!$B$8)+(AB82*'Settings'!$B$7)+(AC82*'Settings'!$B$14)+(AD82*'Settings'!$B$15)+(AE82*'Settings'!$B$16)+(AF82*'Settings'!$B$17)+(AG82*'Settings'!$B$18)+(U82*'Settings'!$B$13)+(Y82*'Settings'!$B$10)+(Z82*'Settings'!$B$11),VLOOKUP(B82,'Standard Deviations'!A1:C731,3,FALSE))</f>
        <v>335.037474562554</v>
      </c>
      <c r="J82" s="45">
        <f>IF(D82="G",I82/AJ82,I82/Q82)</f>
        <v>4.39403699747137</v>
      </c>
      <c r="K82" s="44">
        <f>VLOOKUP(B82,'D'!A1:F228,6,FALSE)</f>
        <v>-5.697664083969</v>
      </c>
      <c r="L82" s="44">
        <f>_xlfn.IFERROR(K82/H82,"N/A")</f>
        <v>-1.0957046315325</v>
      </c>
      <c r="M82" s="46">
        <f>IF('Settings'!$E$9="YAHOO",VLOOKUP(B82,'ADP'!A1:E731,2,FALSE),IF('Settings'!$E$9="ESPN",VLOOKUP(B82,'ADP'!A1:E731,3,FALSE),IF('Settings'!$E$9="FANTRAX",VLOOKUP(B82,'ADP'!A1:E731,4,FALSE),VLOOKUP(B82,'ADP'!A1:E731,5,FALSE))))</f>
        <v>106.95</v>
      </c>
      <c r="N82" s="46">
        <f>_xlfn.IFERROR(M82-A82,"N/A")</f>
        <v>-15.05</v>
      </c>
      <c r="O82" s="46"/>
      <c r="P82" t="s" s="47">
        <f>IF('Settings'!$E$27="ON",VLOOKUP(B82,'ADP'!A1:H731,8,FALSE)," ")</f>
        <v>109</v>
      </c>
      <c r="Q82" s="48">
        <f>IF('Settings'!$E$12="YES",VLOOKUP(B82,'Player Data'!A1:E734,5,FALSE),82)</f>
        <v>76.2482142857143</v>
      </c>
      <c r="R82" s="46">
        <f>VLOOKUP(B82,'Player Data'!$A1:$AE734,6,FALSE)</f>
        <v>21.8201977139343</v>
      </c>
      <c r="S82" s="48">
        <f>VLOOKUP(B82,'Player Data'!$A1:$AE734,7,FALSE)*$Q82*_xlfn.IFERROR((VLOOKUP(P82,'Settings'!$E$28:$F$33,2,FALSE)+1),1)</f>
        <v>11.689637321072</v>
      </c>
      <c r="T82" s="48">
        <f>VLOOKUP(B82,'Player Data'!$A1:$AE734,8,FALSE)*$Q82*_xlfn.IFERROR((VLOOKUP(P82,'Settings'!$E$28:$F$33,2,FALSE)+1),1)</f>
        <v>41.5271694708396</v>
      </c>
      <c r="U82" s="48">
        <f>SUM(S82:T82)</f>
        <v>53.2168067919116</v>
      </c>
      <c r="V82" s="48">
        <f>VLOOKUP(B82,'Player Data'!$A1:$AE734,10,FALSE)*$Q82*_xlfn.IFERROR(((VLOOKUP(P82,'Settings'!$E$28:$F$33,2,FALSE)/2)+1),1)</f>
        <v>192.136662076704</v>
      </c>
      <c r="W82" s="48">
        <f>VLOOKUP(B82,'Player Data'!$A1:$AE734,11,FALSE)*$Q82*_xlfn.IFERROR((VLOOKUP(P82,'Settings'!$E$28:$F$33,2,FALSE)+1),1)</f>
        <v>1.71486033898045</v>
      </c>
      <c r="X82" s="48">
        <f>VLOOKUP(B82,'Player Data'!$A1:$AE734,12,FALSE)*$Q82*_xlfn.IFERROR((VLOOKUP(P82,'Settings'!$E$28:$F$33,2,FALSE)+1),1)</f>
        <v>15.3504134048194</v>
      </c>
      <c r="Y82" s="48">
        <f>VLOOKUP(B82,'Player Data'!$A1:$AE734,13,FALSE)*$Q82</f>
        <v>0.00272996047902197</v>
      </c>
      <c r="Z82" s="48">
        <f>VLOOKUP(B82,'Player Data'!$A1:$AE734,14,FALSE)*$Q82</f>
        <v>0.0101502624787305</v>
      </c>
      <c r="AA82" s="48">
        <f>VLOOKUP(B82,'Player Data'!$A1:$AE734,15,FALSE)*$Q82</f>
        <v>104.272008523916</v>
      </c>
      <c r="AB82" s="48">
        <f>VLOOKUP(B82,'Player Data'!$A1:$AE734,16,FALSE)*$Q82</f>
        <v>38.5118495197763</v>
      </c>
      <c r="AC82" s="48">
        <f>VLOOKUP(B82,'Player Data'!$A1:$AE734,17,FALSE)*$Q82*_xlfn.IFERROR((VLOOKUP(P82,'Settings'!$E$28:$F$33,2,FALSE)+1),1)</f>
        <v>6.95437878341069</v>
      </c>
      <c r="AD82" s="48">
        <f>VLOOKUP(B82,'Player Data'!$A1:$AE734,18,FALSE)*$Q82</f>
        <v>26.5254588286799</v>
      </c>
      <c r="AE82" s="48">
        <f>VLOOKUP(B82,'Player Data'!$A1:$AE734,19,FALSE)*$Q82*_xlfn.IFERROR((VLOOKUP(P82,'Settings'!$E$28:$F$33,2,FALSE)+1),1)</f>
        <v>1.91040568718759</v>
      </c>
      <c r="AF82" s="48">
        <f>VLOOKUP(B82,'Player Data'!$A1:$AE734,20,FALSE)*$Q82</f>
        <v>0</v>
      </c>
      <c r="AG82" s="48">
        <f>VLOOKUP(B82,'Player Data'!$A1:$AE734,21,FALSE)*$Q82</f>
        <v>0</v>
      </c>
      <c r="AH82" s="49">
        <f>VLOOKUP(B82,'Player Data'!$A1:$AE734,22,FALSE)</f>
        <v>0</v>
      </c>
      <c r="AI82" s="46"/>
      <c r="AJ82" s="50"/>
      <c r="AK82" s="48"/>
      <c r="AL82" s="48"/>
      <c r="AM82" s="48"/>
      <c r="AN82" s="48"/>
      <c r="AO82" s="48"/>
      <c r="AP82" s="48"/>
      <c r="AQ82" s="51"/>
      <c r="AR82" s="52"/>
      <c r="AS82" s="46"/>
    </row>
    <row r="83" ht="21.25" customHeight="1">
      <c r="A83" s="53">
        <f>RANK(K83,K2:K730)</f>
        <v>64</v>
      </c>
      <c r="B83" t="s" s="8">
        <v>228</v>
      </c>
      <c r="C83" t="s" s="39">
        <v>106</v>
      </c>
      <c r="D83" t="s" s="40">
        <f>VLOOKUP(B83,'Player Data'!A1:D734,4,FALSE)</f>
        <v>107</v>
      </c>
      <c r="E83" s="41">
        <f>VLOOKUP(B83,'C'!A1:C218,3,FALSE)</f>
        <v>19</v>
      </c>
      <c r="F83" t="s" s="42">
        <f>VLOOKUP(B83,'Player Data'!A1:B734,2,FALSE)</f>
        <v>149</v>
      </c>
      <c r="G83" s="9">
        <f>VLOOKUP(B83,'Player Data'!A1:D734,3,FALSE)</f>
        <v>28</v>
      </c>
      <c r="H83" s="43">
        <f>_xlfn.IFERROR(VLOOKUP(B83,'ADP'!A1:G731,7,FALSE)/1000000,VLOOKUP(B83,'ADP'!A1:G731,7,FALSE))</f>
        <v>8.5</v>
      </c>
      <c r="I83" s="44">
        <f>IF('Settings'!$E$15="POINTS",((R83*Q83)*'Settings'!$B$12)+(S83*'Settings'!$B$2)+(T83*'Settings'!$B$3)+(U83*'Settings'!$B$4)+(V83*'Settings'!$B$5)+(X83*'Settings'!$B$9)+(AA83*'Settings'!$B$6)+(W83*'Settings'!$B$8)+(AB83*'Settings'!$B$7)+(AC83*'Settings'!$B$14)+(AD83*'Settings'!$B$15)+(AE83*'Settings'!$B$16)+(AF83*'Settings'!$B$17)+(AG83*'Settings'!$B$18)+(Y83*'Settings'!$B$10)+(Z83*'Settings'!$B$11),VLOOKUP(B83,'Standard Deviations'!A1:C731,3,FALSE))</f>
        <v>441.402765266841</v>
      </c>
      <c r="J83" s="45">
        <f>IF(D83="G",I83/AJ83,I83/Q83)</f>
        <v>5.52807245395086</v>
      </c>
      <c r="K83" s="44">
        <f>IF('Settings'!$E$18="C/LW/RW",VLOOKUP(B83,'C'!A1:F218,6,FALSE),VLOOKUP(B83,'F'!A1:F432,6,FALSE))</f>
        <v>45.628563630826</v>
      </c>
      <c r="L83" s="44">
        <f>_xlfn.IFERROR(K83/H83,"N/A")</f>
        <v>5.36806630950894</v>
      </c>
      <c r="M83" s="46">
        <f>IF('Settings'!$E$9="YAHOO",VLOOKUP(B83,'ADP'!A1:E731,2,FALSE),IF('Settings'!$E$9="ESPN",VLOOKUP(B83,'ADP'!A1:E731,3,FALSE),IF('Settings'!$E$9="FANTRAX",VLOOKUP(B83,'ADP'!A1:E731,4,FALSE),VLOOKUP(B83,'ADP'!A1:E731,5,FALSE))))</f>
        <v>108.2</v>
      </c>
      <c r="N83" s="46">
        <f>_xlfn.IFERROR(M83-A83,"N/A")</f>
        <v>44.2</v>
      </c>
      <c r="O83" s="46"/>
      <c r="P83" t="s" s="47">
        <f>IF('Settings'!$E$27="ON",VLOOKUP(B83,'ADP'!A1:H731,8,FALSE)," ")</f>
        <v>116</v>
      </c>
      <c r="Q83" s="48">
        <f>IF('Settings'!$E$12="YES",VLOOKUP(B83,'Player Data'!A1:E734,5,FALSE),82)</f>
        <v>79.8475</v>
      </c>
      <c r="R83" s="46">
        <f>VLOOKUP(B83,'Player Data'!$A1:$AE734,6,FALSE)</f>
        <v>21.0077869443916</v>
      </c>
      <c r="S83" s="48">
        <f>VLOOKUP(B83,'Player Data'!$A1:$AE734,7,FALSE)*$Q83*_xlfn.IFERROR((VLOOKUP(P83,'Settings'!$E$28:$F$33,2,FALSE)+1),1)</f>
        <v>37.8950330465926</v>
      </c>
      <c r="T83" s="48">
        <f>VLOOKUP(B83,'Player Data'!$A1:$AE734,8,FALSE)*$Q83*_xlfn.IFERROR((VLOOKUP(P83,'Settings'!$E$28:$F$33,2,FALSE)+1),1)</f>
        <v>33.4452687835925</v>
      </c>
      <c r="U83" s="48">
        <f>SUM(S83:T83)</f>
        <v>71.3403018301851</v>
      </c>
      <c r="V83" s="48">
        <f>VLOOKUP(B83,'Player Data'!$A1:$AE734,10,FALSE)*$Q83*_xlfn.IFERROR(((VLOOKUP(P83,'Settings'!$E$28:$F$33,2,FALSE)/2)+1),1)</f>
        <v>236.540860221275</v>
      </c>
      <c r="W83" s="48">
        <f>VLOOKUP(B83,'Player Data'!$A1:$AE734,11,FALSE)*$Q83*_xlfn.IFERROR((VLOOKUP(P83,'Settings'!$E$28:$F$33,2,FALSE)+1),1)</f>
        <v>12.5699169149372</v>
      </c>
      <c r="X83" s="48">
        <f>VLOOKUP(B83,'Player Data'!$A1:$AE734,12,FALSE)*$Q83*_xlfn.IFERROR((VLOOKUP(P83,'Settings'!$E$28:$F$33,2,FALSE)+1),1)</f>
        <v>22.0100899980418</v>
      </c>
      <c r="Y83" s="48">
        <f>VLOOKUP(B83,'Player Data'!$A1:$AE734,13,FALSE)*$Q83</f>
        <v>2.16844486928677</v>
      </c>
      <c r="Z83" s="48">
        <f>VLOOKUP(B83,'Player Data'!$A1:$AE734,14,FALSE)*$Q83</f>
        <v>2.99009327993311</v>
      </c>
      <c r="AA83" s="48">
        <f>VLOOKUP(B83,'Player Data'!$A1:$AE734,15,FALSE)*$Q83</f>
        <v>55.3802938417618</v>
      </c>
      <c r="AB83" s="48">
        <f>VLOOKUP(B83,'Player Data'!$A1:$AE734,16,FALSE)*$Q83</f>
        <v>74.39418646005041</v>
      </c>
      <c r="AC83" s="48">
        <f>VLOOKUP(B83,'Player Data'!$A1:$AE734,17,FALSE)*$Q83*_xlfn.IFERROR((VLOOKUP(P83,'Settings'!$E$28:$F$33,2,FALSE)+1),1)</f>
        <v>0.349179689710514</v>
      </c>
      <c r="AD83" s="48">
        <f>VLOOKUP(B83,'Player Data'!$A1:$AE734,18,FALSE)*$Q83</f>
        <v>32.6235371231153</v>
      </c>
      <c r="AE83" s="48">
        <f>VLOOKUP(B83,'Player Data'!$A1:$AE734,19,FALSE)*$Q83*_xlfn.IFERROR((VLOOKUP(P83,'Settings'!$E$28:$F$33,2,FALSE)+1),1)</f>
        <v>5.85561089041825</v>
      </c>
      <c r="AF83" s="48">
        <f>VLOOKUP(B83,'Player Data'!$A1:$AE734,20,FALSE)*$Q83</f>
        <v>985.874662543660</v>
      </c>
      <c r="AG83" s="48">
        <f>VLOOKUP(B83,'Player Data'!$A1:$AE734,21,FALSE)*$Q83</f>
        <v>769.027208020489</v>
      </c>
      <c r="AH83" s="49">
        <f>VLOOKUP(B83,'Player Data'!$A1:$AE734,22,FALSE)</f>
        <v>0.5617833561410071</v>
      </c>
      <c r="AI83" s="46"/>
      <c r="AJ83" s="50"/>
      <c r="AK83" s="48"/>
      <c r="AL83" s="48"/>
      <c r="AM83" s="48"/>
      <c r="AN83" s="48"/>
      <c r="AO83" s="48"/>
      <c r="AP83" s="48"/>
      <c r="AQ83" s="51"/>
      <c r="AR83" s="52"/>
      <c r="AS83" s="46"/>
    </row>
    <row r="84" ht="21.25" customHeight="1">
      <c r="A84" s="53">
        <f>RANK(K84,K2:K730)</f>
        <v>118</v>
      </c>
      <c r="B84" t="s" s="8">
        <v>229</v>
      </c>
      <c r="C84" t="s" s="39">
        <v>106</v>
      </c>
      <c r="D84" t="s" s="40">
        <f>VLOOKUP(B84,'Player Data'!A1:D734,4,FALSE)</f>
        <v>129</v>
      </c>
      <c r="E84" s="56">
        <f>VLOOKUP(B84,'D'!A1:C228,3,FALSE)</f>
        <v>22</v>
      </c>
      <c r="F84" t="s" s="42">
        <f>VLOOKUP(B84,'Player Data'!A1:B734,2,FALSE)</f>
        <v>189</v>
      </c>
      <c r="G84" s="9">
        <f>VLOOKUP(B84,'Player Data'!A1:D734,3,FALSE)</f>
        <v>26</v>
      </c>
      <c r="H84" s="43">
        <f>_xlfn.IFERROR(VLOOKUP(B84,'ADP'!A1:G731,7,FALSE)/1000000,VLOOKUP(B84,'ADP'!A1:G731,7,FALSE))</f>
        <v>9.58333</v>
      </c>
      <c r="I84" s="44">
        <f>IF('Settings'!$E$15="POINTS",((R84*Q84)*'Settings'!$B$12)+(S84*'Settings'!$B$2)+(T84*'Settings'!$B$3)+(U84*'Settings'!$B$4)+(V84*'Settings'!$B$5)+(X84*'Settings'!$B$9)+(AA84*'Settings'!$B$6)+(W84*'Settings'!$B$8)+(AB84*'Settings'!$B$7)+(AC84*'Settings'!$B$14)+(AD84*'Settings'!$B$15)+(AE84*'Settings'!$B$16)+(AF84*'Settings'!$B$17)+(AG84*'Settings'!$B$18)+(U84*'Settings'!$B$13)+(Y84*'Settings'!$B$10)+(Z84*'Settings'!$B$11),VLOOKUP(B84,'Standard Deviations'!A1:C731,3,FALSE))</f>
        <v>338.018052562945</v>
      </c>
      <c r="J84" s="45">
        <f>IF(D84="G",I84/AJ84,I84/Q84)</f>
        <v>4.67004770051043</v>
      </c>
      <c r="K84" s="44">
        <f>VLOOKUP(B84,'D'!A1:F228,6,FALSE)</f>
        <v>-2.717086083578</v>
      </c>
      <c r="L84" s="44">
        <f>_xlfn.IFERROR(K84/H84,"N/A")</f>
        <v>-0.283522124728878</v>
      </c>
      <c r="M84" s="46">
        <f>IF('Settings'!$E$9="YAHOO",VLOOKUP(B84,'ADP'!A1:E731,2,FALSE),IF('Settings'!$E$9="ESPN",VLOOKUP(B84,'ADP'!A1:E731,3,FALSE),IF('Settings'!$E$9="FANTRAX",VLOOKUP(B84,'ADP'!A1:E731,4,FALSE),VLOOKUP(B84,'ADP'!A1:E731,5,FALSE))))</f>
        <v>70.84</v>
      </c>
      <c r="N84" s="46">
        <f>_xlfn.IFERROR(M84-A84,"N/A")</f>
        <v>-47.16</v>
      </c>
      <c r="O84" s="46"/>
      <c r="P84" t="s" s="47">
        <f>IF('Settings'!$E$27="ON",VLOOKUP(B84,'ADP'!A1:H731,8,FALSE)," ")</f>
        <v>116</v>
      </c>
      <c r="Q84" s="48">
        <f>IF('Settings'!$E$12="YES",VLOOKUP(B84,'Player Data'!A1:E734,5,FALSE),82)</f>
        <v>72.38</v>
      </c>
      <c r="R84" s="46">
        <f>VLOOKUP(B84,'Player Data'!$A1:$AE734,6,FALSE)</f>
        <v>23.7053208859053</v>
      </c>
      <c r="S84" s="48">
        <f>VLOOKUP(B84,'Player Data'!$A1:$AE734,7,FALSE)*$Q84*_xlfn.IFERROR((VLOOKUP(P84,'Settings'!$E$28:$F$33,2,FALSE)+1),1)</f>
        <v>12.669877611054</v>
      </c>
      <c r="T84" s="48">
        <f>VLOOKUP(B84,'Player Data'!$A1:$AE734,8,FALSE)*$Q84*_xlfn.IFERROR((VLOOKUP(P84,'Settings'!$E$28:$F$33,2,FALSE)+1),1)</f>
        <v>37.7215986317335</v>
      </c>
      <c r="U84" s="48">
        <f>SUM(S84:T84)</f>
        <v>50.3914762427875</v>
      </c>
      <c r="V84" s="48">
        <f>VLOOKUP(B84,'Player Data'!$A1:$AE734,10,FALSE)*$Q84*_xlfn.IFERROR(((VLOOKUP(P84,'Settings'!$E$28:$F$33,2,FALSE)/2)+1),1)</f>
        <v>204.955921765463</v>
      </c>
      <c r="W84" s="48">
        <f>VLOOKUP(B84,'Player Data'!$A1:$AE734,11,FALSE)*$Q84*_xlfn.IFERROR((VLOOKUP(P84,'Settings'!$E$28:$F$33,2,FALSE)+1),1)</f>
        <v>3.00119175854074</v>
      </c>
      <c r="X84" s="48">
        <f>VLOOKUP(B84,'Player Data'!$A1:$AE734,12,FALSE)*$Q84*_xlfn.IFERROR((VLOOKUP(P84,'Settings'!$E$28:$F$33,2,FALSE)+1),1)</f>
        <v>15.7639306821009</v>
      </c>
      <c r="Y84" s="48">
        <f>VLOOKUP(B84,'Player Data'!$A1:$AE734,13,FALSE)*$Q84</f>
        <v>0.0297414315047058</v>
      </c>
      <c r="Z84" s="48">
        <f>VLOOKUP(B84,'Player Data'!$A1:$AE734,14,FALSE)*$Q84</f>
        <v>0.36598586696993</v>
      </c>
      <c r="AA84" s="48">
        <f>VLOOKUP(B84,'Player Data'!$A1:$AE734,15,FALSE)*$Q84</f>
        <v>102.943727956479</v>
      </c>
      <c r="AB84" s="48">
        <f>VLOOKUP(B84,'Player Data'!$A1:$AE734,16,FALSE)*$Q84</f>
        <v>52.6280432923613</v>
      </c>
      <c r="AC84" s="48">
        <f>VLOOKUP(B84,'Player Data'!$A1:$AE734,17,FALSE)*$Q84*_xlfn.IFERROR((VLOOKUP(P84,'Settings'!$E$28:$F$33,2,FALSE)+1),1)</f>
        <v>-5.2829545298821</v>
      </c>
      <c r="AD84" s="48">
        <f>VLOOKUP(B84,'Player Data'!$A1:$AE734,18,FALSE)*$Q84</f>
        <v>24.5695000434934</v>
      </c>
      <c r="AE84" s="48">
        <f>VLOOKUP(B84,'Player Data'!$A1:$AE734,19,FALSE)*$Q84*_xlfn.IFERROR((VLOOKUP(P84,'Settings'!$E$28:$F$33,2,FALSE)+1),1)</f>
        <v>1.35766462050443</v>
      </c>
      <c r="AF84" s="48">
        <f>VLOOKUP(B84,'Player Data'!$A1:$AE734,20,FALSE)*$Q84</f>
        <v>0</v>
      </c>
      <c r="AG84" s="48">
        <f>VLOOKUP(B84,'Player Data'!$A1:$AE734,21,FALSE)*$Q84</f>
        <v>0</v>
      </c>
      <c r="AH84" s="49">
        <f>VLOOKUP(B84,'Player Data'!$A1:$AE734,22,FALSE)</f>
        <v>0</v>
      </c>
      <c r="AI84" s="46"/>
      <c r="AJ84" s="50"/>
      <c r="AK84" s="48"/>
      <c r="AL84" s="48"/>
      <c r="AM84" s="48"/>
      <c r="AN84" s="48"/>
      <c r="AO84" s="48"/>
      <c r="AP84" s="48"/>
      <c r="AQ84" s="51"/>
      <c r="AR84" s="52"/>
      <c r="AS84" s="46"/>
    </row>
    <row r="85" ht="21.25" customHeight="1">
      <c r="A85" s="53">
        <f>RANK(K85,K2:K730)</f>
        <v>86</v>
      </c>
      <c r="B85" t="s" s="8">
        <v>230</v>
      </c>
      <c r="C85" t="s" s="39">
        <v>106</v>
      </c>
      <c r="D85" t="s" s="40">
        <f>VLOOKUP(B85,'Player Data'!A1:D734,4,FALSE)</f>
        <v>107</v>
      </c>
      <c r="E85" s="41">
        <f>VLOOKUP(B85,'C'!A1:C218,3,FALSE)</f>
        <v>26</v>
      </c>
      <c r="F85" t="s" s="42">
        <f>VLOOKUP(B85,'Player Data'!A1:B734,2,FALSE)</f>
        <v>164</v>
      </c>
      <c r="G85" s="9">
        <f>VLOOKUP(B85,'Player Data'!A1:D734,3,FALSE)</f>
        <v>30</v>
      </c>
      <c r="H85" s="43">
        <f>_xlfn.IFERROR(VLOOKUP(B85,'ADP'!A1:G731,7,FALSE)/1000000,VLOOKUP(B85,'ADP'!A1:G731,7,FALSE))</f>
        <v>6.125</v>
      </c>
      <c r="I85" s="44">
        <f>IF('Settings'!$E$15="POINTS",((R85*Q85)*'Settings'!$B$12)+(S85*'Settings'!$B$2)+(T85*'Settings'!$B$3)+(U85*'Settings'!$B$4)+(V85*'Settings'!$B$5)+(X85*'Settings'!$B$9)+(AA85*'Settings'!$B$6)+(W85*'Settings'!$B$8)+(AB85*'Settings'!$B$7)+(AC85*'Settings'!$B$14)+(AD85*'Settings'!$B$15)+(AE85*'Settings'!$B$16)+(AF85*'Settings'!$B$17)+(AG85*'Settings'!$B$18)+(Y85*'Settings'!$B$10)+(Z85*'Settings'!$B$11),VLOOKUP(B85,'Standard Deviations'!A1:C731,3,FALSE))</f>
        <v>420.257771304693</v>
      </c>
      <c r="J85" s="45">
        <f>IF(D85="G",I85/AJ85,I85/Q85)</f>
        <v>5.28293867133492</v>
      </c>
      <c r="K85" s="44">
        <f>IF('Settings'!$E$18="C/LW/RW",VLOOKUP(B85,'C'!A1:F218,6,FALSE),VLOOKUP(B85,'F'!A1:F432,6,FALSE))</f>
        <v>24.483569668678</v>
      </c>
      <c r="L85" s="44">
        <f>_xlfn.IFERROR(K85/H85,"N/A")</f>
        <v>3.99731749692702</v>
      </c>
      <c r="M85" s="46">
        <f>IF('Settings'!$E$9="YAHOO",VLOOKUP(B85,'ADP'!A1:E731,2,FALSE),IF('Settings'!$E$9="ESPN",VLOOKUP(B85,'ADP'!A1:E731,3,FALSE),IF('Settings'!$E$9="FANTRAX",VLOOKUP(B85,'ADP'!A1:E731,4,FALSE),VLOOKUP(B85,'ADP'!A1:E731,5,FALSE))))</f>
        <v>95.68000000000001</v>
      </c>
      <c r="N85" s="46">
        <f>_xlfn.IFERROR(M85-A85,"N/A")</f>
        <v>9.68</v>
      </c>
      <c r="O85" s="46"/>
      <c r="P85" t="s" s="47">
        <f>IF('Settings'!$E$27="ON",VLOOKUP(B85,'ADP'!A1:H731,8,FALSE)," ")</f>
        <v>116</v>
      </c>
      <c r="Q85" s="48">
        <f>IF('Settings'!$E$12="YES",VLOOKUP(B85,'Player Data'!A1:E734,5,FALSE),82)</f>
        <v>79.55</v>
      </c>
      <c r="R85" s="46">
        <f>VLOOKUP(B85,'Player Data'!$A1:$AE734,6,FALSE)</f>
        <v>20.3373139438897</v>
      </c>
      <c r="S85" s="48">
        <f>VLOOKUP(B85,'Player Data'!$A1:$AE734,7,FALSE)*$Q85*_xlfn.IFERROR((VLOOKUP(P85,'Settings'!$E$28:$F$33,2,FALSE)+1),1)</f>
        <v>37.3961962103294</v>
      </c>
      <c r="T85" s="48">
        <f>VLOOKUP(B85,'Player Data'!$A1:$AE734,8,FALSE)*$Q85*_xlfn.IFERROR((VLOOKUP(P85,'Settings'!$E$28:$F$33,2,FALSE)+1),1)</f>
        <v>39.2043624349023</v>
      </c>
      <c r="U85" s="48">
        <f>SUM(S85:T85)</f>
        <v>76.6005586452317</v>
      </c>
      <c r="V85" s="48">
        <f>VLOOKUP(B85,'Player Data'!$A1:$AE734,10,FALSE)*$Q85*_xlfn.IFERROR(((VLOOKUP(P85,'Settings'!$E$28:$F$33,2,FALSE)/2)+1),1)</f>
        <v>202.980052257231</v>
      </c>
      <c r="W85" s="48">
        <f>VLOOKUP(B85,'Player Data'!$A1:$AE734,11,FALSE)*$Q85*_xlfn.IFERROR((VLOOKUP(P85,'Settings'!$E$28:$F$33,2,FALSE)+1),1)</f>
        <v>10.0369276506031</v>
      </c>
      <c r="X85" s="48">
        <f>VLOOKUP(B85,'Player Data'!$A1:$AE734,12,FALSE)*$Q85*_xlfn.IFERROR((VLOOKUP(P85,'Settings'!$E$28:$F$33,2,FALSE)+1),1)</f>
        <v>22.6697439470927</v>
      </c>
      <c r="Y85" s="48">
        <f>VLOOKUP(B85,'Player Data'!$A1:$AE734,13,FALSE)*$Q85</f>
        <v>0.0403172615794769</v>
      </c>
      <c r="Z85" s="48">
        <f>VLOOKUP(B85,'Player Data'!$A1:$AE734,14,FALSE)*$Q85</f>
        <v>0.0737021232292276</v>
      </c>
      <c r="AA85" s="48">
        <f>VLOOKUP(B85,'Player Data'!$A1:$AE734,15,FALSE)*$Q85</f>
        <v>41.6937976481306</v>
      </c>
      <c r="AB85" s="48">
        <f>VLOOKUP(B85,'Player Data'!$A1:$AE734,16,FALSE)*$Q85</f>
        <v>47.5098874174564</v>
      </c>
      <c r="AC85" s="48">
        <f>VLOOKUP(B85,'Player Data'!$A1:$AE734,17,FALSE)*$Q85*_xlfn.IFERROR((VLOOKUP(P85,'Settings'!$E$28:$F$33,2,FALSE)+1),1)</f>
        <v>1.01923379929783</v>
      </c>
      <c r="AD85" s="48">
        <f>VLOOKUP(B85,'Player Data'!$A1:$AE734,18,FALSE)*$Q85</f>
        <v>25.0150664587053</v>
      </c>
      <c r="AE85" s="48">
        <f>VLOOKUP(B85,'Player Data'!$A1:$AE734,19,FALSE)*$Q85*_xlfn.IFERROR((VLOOKUP(P85,'Settings'!$E$28:$F$33,2,FALSE)+1),1)</f>
        <v>5.83393178068692</v>
      </c>
      <c r="AF85" s="48">
        <f>VLOOKUP(B85,'Player Data'!$A1:$AE734,20,FALSE)*$Q85</f>
        <v>555.252497937242</v>
      </c>
      <c r="AG85" s="48">
        <f>VLOOKUP(B85,'Player Data'!$A1:$AE734,21,FALSE)*$Q85</f>
        <v>571.534690339492</v>
      </c>
      <c r="AH85" s="49">
        <f>VLOOKUP(B85,'Player Data'!$A1:$AE734,22,FALSE)</f>
        <v>0.492774947846562</v>
      </c>
      <c r="AI85" s="46"/>
      <c r="AJ85" s="50"/>
      <c r="AK85" s="48"/>
      <c r="AL85" s="48"/>
      <c r="AM85" s="48"/>
      <c r="AN85" s="48"/>
      <c r="AO85" s="48"/>
      <c r="AP85" s="48"/>
      <c r="AQ85" s="51"/>
      <c r="AR85" s="52"/>
      <c r="AS85" s="46"/>
    </row>
    <row r="86" ht="21.25" customHeight="1">
      <c r="A86" s="53">
        <f>RANK(K86,K2:K730)</f>
        <v>90</v>
      </c>
      <c r="B86" t="s" s="8">
        <v>231</v>
      </c>
      <c r="C86" t="s" s="39">
        <v>106</v>
      </c>
      <c r="D86" t="s" s="40">
        <f>VLOOKUP(B86,'Player Data'!A1:D734,4,FALSE)</f>
        <v>133</v>
      </c>
      <c r="E86" s="57">
        <f>VLOOKUP(B86,'LW'!A1:C156,3,FALSE)</f>
        <v>28</v>
      </c>
      <c r="F86" t="s" s="42">
        <f>VLOOKUP(B86,'Player Data'!A1:B734,2,FALSE)</f>
        <v>139</v>
      </c>
      <c r="G86" s="9">
        <f>VLOOKUP(B86,'Player Data'!A1:D734,3,FALSE)</f>
        <v>31</v>
      </c>
      <c r="H86" s="43">
        <f>_xlfn.IFERROR(VLOOKUP(B86,'ADP'!A1:G731,7,FALSE)/1000000,VLOOKUP(B86,'ADP'!A1:G731,7,FALSE))</f>
        <v>9</v>
      </c>
      <c r="I86" s="44">
        <f>IF('Settings'!$E$15="POINTS",((R86*Q86)*'Settings'!$B$12)+(S86*'Settings'!$B$2)+(T86*'Settings'!$B$3)+(U86*'Settings'!$B$4)+(V86*'Settings'!$B$5)+(X86*'Settings'!$B$9)+(AA86*'Settings'!$B$6)+(W86*'Settings'!$B$8)+(AB86*'Settings'!$B$7)+(AC86*'Settings'!$B$14)+(AD86*'Settings'!$B$15)+(AE86*'Settings'!$B$16)+(AF86*'Settings'!$B$17)+(AG86*'Settings'!$B$18)+(Y86*'Settings'!$B$10)+(Z86*'Settings'!$B$11),VLOOKUP(B86,'Standard Deviations'!A1:C731,3,FALSE))</f>
        <v>401.654553591353</v>
      </c>
      <c r="J86" s="45">
        <f>IF(D86="G",I86/AJ86,I86/Q86)</f>
        <v>4.99011745050755</v>
      </c>
      <c r="K86" s="44">
        <f>IF('Settings'!$E$18="C/LW/RW",VLOOKUP(B86,'LW'!A1:F156,6,FALSE),VLOOKUP(B86,'F'!A1:F432,6,FALSE))</f>
        <v>20.025989884997</v>
      </c>
      <c r="L86" s="44">
        <f>_xlfn.IFERROR(K86/H86,"N/A")</f>
        <v>2.22510998722189</v>
      </c>
      <c r="M86" s="46">
        <f>IF('Settings'!$E$9="YAHOO",VLOOKUP(B86,'ADP'!A1:E731,2,FALSE),IF('Settings'!$E$9="ESPN",VLOOKUP(B86,'ADP'!A1:E731,3,FALSE),IF('Settings'!$E$9="FANTRAX",VLOOKUP(B86,'ADP'!A1:E731,4,FALSE),VLOOKUP(B86,'ADP'!A1:E731,5,FALSE))))</f>
        <v>79.48</v>
      </c>
      <c r="N86" s="46">
        <f>_xlfn.IFERROR(M86-A86,"N/A")</f>
        <v>-10.52</v>
      </c>
      <c r="O86" s="46"/>
      <c r="P86" t="s" s="47">
        <f>IF('Settings'!$E$27="ON",VLOOKUP(B86,'ADP'!A1:H731,8,FALSE)," ")</f>
        <v>109</v>
      </c>
      <c r="Q86" s="48">
        <f>IF('Settings'!$E$12="YES",VLOOKUP(B86,'Player Data'!A1:E734,5,FALSE),82)</f>
        <v>80.48999999999999</v>
      </c>
      <c r="R86" s="46">
        <f>VLOOKUP(B86,'Player Data'!$A1:$AE734,6,FALSE)</f>
        <v>18.0525463591648</v>
      </c>
      <c r="S86" s="48">
        <f>VLOOKUP(B86,'Player Data'!$A1:$AE734,7,FALSE)*$Q86*_xlfn.IFERROR((VLOOKUP(P86,'Settings'!$E$28:$F$33,2,FALSE)+1),1)</f>
        <v>31.4854972853322</v>
      </c>
      <c r="T86" s="48">
        <f>VLOOKUP(B86,'Player Data'!$A1:$AE734,8,FALSE)*$Q86*_xlfn.IFERROR((VLOOKUP(P86,'Settings'!$E$28:$F$33,2,FALSE)+1),1)</f>
        <v>38.8778715946174</v>
      </c>
      <c r="U86" s="48">
        <f>SUM(S86:T86)</f>
        <v>70.3633688799496</v>
      </c>
      <c r="V86" s="48">
        <f>VLOOKUP(B86,'Player Data'!$A1:$AE734,10,FALSE)*$Q86*_xlfn.IFERROR(((VLOOKUP(P86,'Settings'!$E$28:$F$33,2,FALSE)/2)+1),1)</f>
        <v>252.269342582464</v>
      </c>
      <c r="W86" s="48">
        <f>VLOOKUP(B86,'Player Data'!$A1:$AE734,11,FALSE)*$Q86*_xlfn.IFERROR((VLOOKUP(P86,'Settings'!$E$28:$F$33,2,FALSE)+1),1)</f>
        <v>7.5870031442947</v>
      </c>
      <c r="X86" s="48">
        <f>VLOOKUP(B86,'Player Data'!$A1:$AE734,12,FALSE)*$Q86*_xlfn.IFERROR((VLOOKUP(P86,'Settings'!$E$28:$F$33,2,FALSE)+1),1)</f>
        <v>18.9745713547858</v>
      </c>
      <c r="Y86" s="48">
        <f>VLOOKUP(B86,'Player Data'!$A1:$AE734,13,FALSE)*$Q86</f>
        <v>0.0143058341808472</v>
      </c>
      <c r="Z86" s="48">
        <f>VLOOKUP(B86,'Player Data'!$A1:$AE734,14,FALSE)*$Q86</f>
        <v>0.0262307335857369</v>
      </c>
      <c r="AA86" s="48">
        <f>VLOOKUP(B86,'Player Data'!$A1:$AE734,15,FALSE)*$Q86</f>
        <v>18.6768825589965</v>
      </c>
      <c r="AB86" s="48">
        <f>VLOOKUP(B86,'Player Data'!$A1:$AE734,16,FALSE)*$Q86</f>
        <v>31.242507942416</v>
      </c>
      <c r="AC86" s="48">
        <f>VLOOKUP(B86,'Player Data'!$A1:$AE734,17,FALSE)*$Q86*_xlfn.IFERROR((VLOOKUP(P86,'Settings'!$E$28:$F$33,2,FALSE)+1),1)</f>
        <v>0.93670704782657</v>
      </c>
      <c r="AD86" s="48">
        <f>VLOOKUP(B86,'Player Data'!$A1:$AE734,18,FALSE)*$Q86</f>
        <v>32.0943371108359</v>
      </c>
      <c r="AE86" s="48">
        <f>VLOOKUP(B86,'Player Data'!$A1:$AE734,19,FALSE)*$Q86*_xlfn.IFERROR((VLOOKUP(P86,'Settings'!$E$28:$F$33,2,FALSE)+1),1)</f>
        <v>4.03074365613188</v>
      </c>
      <c r="AF86" s="48">
        <f>VLOOKUP(B86,'Player Data'!$A1:$AE734,20,FALSE)*$Q86</f>
        <v>128.269863450972</v>
      </c>
      <c r="AG86" s="48">
        <f>VLOOKUP(B86,'Player Data'!$A1:$AE734,21,FALSE)*$Q86</f>
        <v>158.927407620713</v>
      </c>
      <c r="AH86" s="49">
        <f>VLOOKUP(B86,'Player Data'!$A1:$AE734,22,FALSE)</f>
        <v>0.446626330996563</v>
      </c>
      <c r="AI86" s="46"/>
      <c r="AJ86" s="48"/>
      <c r="AK86" s="48"/>
      <c r="AL86" s="48"/>
      <c r="AM86" s="48"/>
      <c r="AN86" s="48"/>
      <c r="AO86" s="48"/>
      <c r="AP86" s="48"/>
      <c r="AQ86" s="51"/>
      <c r="AR86" s="52"/>
      <c r="AS86" s="46"/>
    </row>
    <row r="87" ht="21.25" customHeight="1">
      <c r="A87" s="53">
        <f>RANK(K87,K2:K730)</f>
        <v>91</v>
      </c>
      <c r="B87" t="s" s="8">
        <v>232</v>
      </c>
      <c r="C87" t="s" s="39">
        <v>106</v>
      </c>
      <c r="D87" t="s" s="40">
        <f>VLOOKUP(B87,'Player Data'!A1:D734,4,FALSE)</f>
        <v>187</v>
      </c>
      <c r="E87" s="54">
        <f>VLOOKUP(B87,'RW'!A1:F132,3,FALSE)</f>
        <v>19</v>
      </c>
      <c r="F87" t="s" s="42">
        <f>VLOOKUP(B87,'Player Data'!A1:B734,2,FALSE)</f>
        <v>119</v>
      </c>
      <c r="G87" s="9">
        <f>VLOOKUP(B87,'Player Data'!A1:D734,3,FALSE)</f>
        <v>27</v>
      </c>
      <c r="H87" s="43">
        <f>_xlfn.IFERROR(VLOOKUP(B87,'ADP'!A1:G731,7,FALSE)/1000000,VLOOKUP(B87,'ADP'!A1:G731,7,FALSE))</f>
        <v>6.5</v>
      </c>
      <c r="I87" s="44">
        <f>IF('Settings'!$E$15="POINTS",((R87*Q87)*'Settings'!$B$12)+(S87*'Settings'!$B$2)+(T87*'Settings'!$B$3)+(U87*'Settings'!$B$4)+(V87*'Settings'!$B$5)+(X87*'Settings'!$B$9)+(AA87*'Settings'!$B$6)+(W87*'Settings'!$B$8)+(AB87*'Settings'!$B$7)+(AC87*'Settings'!$B$14)+(AD87*'Settings'!$B$15)+(AE87*'Settings'!$B$16)+(AF87*'Settings'!$B$17)+(AG87*'Settings'!$B$18)+(Y87*'Settings'!$B$10)+(Z87*'Settings'!$B$11),VLOOKUP(B87,'Standard Deviations'!A1:C731,3,FALSE))</f>
        <v>399.565113963845</v>
      </c>
      <c r="J87" s="45">
        <f>IF(D87="G",I87/AJ87,I87/Q87)</f>
        <v>4.92153190643648</v>
      </c>
      <c r="K87" s="44">
        <f>IF('Settings'!$E$18="C/LW/RW",VLOOKUP(B87,'RW'!A1:F132,6,FALSE),VLOOKUP(B87,'F'!A1:F432,6,FALSE))</f>
        <v>17.936550257489</v>
      </c>
      <c r="L87" s="44">
        <f>_xlfn.IFERROR(K87/H87,"N/A")</f>
        <v>2.75946927038292</v>
      </c>
      <c r="M87" s="46">
        <f>IF('Settings'!$E$9="YAHOO",VLOOKUP(B87,'ADP'!A1:E731,2,FALSE),IF('Settings'!$E$9="ESPN",VLOOKUP(B87,'ADP'!A1:E731,3,FALSE),IF('Settings'!$E$9="FANTRAX",VLOOKUP(B87,'ADP'!A1:E731,4,FALSE),VLOOKUP(B87,'ADP'!A1:E731,5,FALSE))))</f>
        <v>88.59999999999999</v>
      </c>
      <c r="N87" s="46">
        <f>_xlfn.IFERROR(M87-A87,"N/A")</f>
        <v>-2.4</v>
      </c>
      <c r="O87" s="46"/>
      <c r="P87" t="s" s="47">
        <f>IF('Settings'!$E$27="ON",VLOOKUP(B87,'ADP'!A1:H731,8,FALSE)," ")</f>
        <v>175</v>
      </c>
      <c r="Q87" s="48">
        <f>IF('Settings'!$E$12="YES",VLOOKUP(B87,'Player Data'!A1:E734,5,FALSE),82)</f>
        <v>81.1871428571429</v>
      </c>
      <c r="R87" s="46">
        <f>VLOOKUP(B87,'Player Data'!$A1:$AE734,6,FALSE)</f>
        <v>19.4591950002287</v>
      </c>
      <c r="S87" s="48">
        <f>VLOOKUP(B87,'Player Data'!$A1:$AE734,7,FALSE)*$Q87*_xlfn.IFERROR((VLOOKUP(P87,'Settings'!$E$28:$F$33,2,FALSE)+1),1)</f>
        <v>30.7427045643682</v>
      </c>
      <c r="T87" s="48">
        <f>VLOOKUP(B87,'Player Data'!$A1:$AE734,8,FALSE)*$Q87*_xlfn.IFERROR((VLOOKUP(P87,'Settings'!$E$28:$F$33,2,FALSE)+1),1)</f>
        <v>37.9131858352631</v>
      </c>
      <c r="U87" s="48">
        <f>SUM(S87:T87)</f>
        <v>68.6558903996313</v>
      </c>
      <c r="V87" s="48">
        <f>VLOOKUP(B87,'Player Data'!$A1:$AE734,10,FALSE)*$Q87*_xlfn.IFERROR(((VLOOKUP(P87,'Settings'!$E$28:$F$33,2,FALSE)/2)+1),1)</f>
        <v>210.404844427068</v>
      </c>
      <c r="W87" s="48">
        <f>VLOOKUP(B87,'Player Data'!$A1:$AE734,11,FALSE)*$Q87*_xlfn.IFERROR((VLOOKUP(P87,'Settings'!$E$28:$F$33,2,FALSE)+1),1)</f>
        <v>13.442552866953</v>
      </c>
      <c r="X87" s="48">
        <f>VLOOKUP(B87,'Player Data'!$A1:$AE734,12,FALSE)*$Q87*_xlfn.IFERROR((VLOOKUP(P87,'Settings'!$E$28:$F$33,2,FALSE)+1),1)</f>
        <v>25.6704845336629</v>
      </c>
      <c r="Y87" s="48">
        <f>VLOOKUP(B87,'Player Data'!$A1:$AE734,13,FALSE)*$Q87</f>
        <v>0.129949379556034</v>
      </c>
      <c r="Z87" s="48">
        <f>VLOOKUP(B87,'Player Data'!$A1:$AE734,14,FALSE)*$Q87</f>
        <v>2.79087670052046</v>
      </c>
      <c r="AA87" s="48">
        <f>VLOOKUP(B87,'Player Data'!$A1:$AE734,15,FALSE)*$Q87</f>
        <v>44.3131070528538</v>
      </c>
      <c r="AB87" s="48">
        <f>VLOOKUP(B87,'Player Data'!$A1:$AE734,16,FALSE)*$Q87</f>
        <v>58.1706271095865</v>
      </c>
      <c r="AC87" s="48">
        <f>VLOOKUP(B87,'Player Data'!$A1:$AE734,17,FALSE)*$Q87*_xlfn.IFERROR((VLOOKUP(P87,'Settings'!$E$28:$F$33,2,FALSE)+1),1)</f>
        <v>3.55196384687862</v>
      </c>
      <c r="AD87" s="48">
        <f>VLOOKUP(B87,'Player Data'!$A1:$AE734,18,FALSE)*$Q87</f>
        <v>17.1850624767212</v>
      </c>
      <c r="AE87" s="48">
        <f>VLOOKUP(B87,'Player Data'!$A1:$AE734,19,FALSE)*$Q87*_xlfn.IFERROR((VLOOKUP(P87,'Settings'!$E$28:$F$33,2,FALSE)+1),1)</f>
        <v>4.41011109333775</v>
      </c>
      <c r="AF87" s="48">
        <f>VLOOKUP(B87,'Player Data'!$A1:$AE734,20,FALSE)*$Q87</f>
        <v>217.407160943374</v>
      </c>
      <c r="AG87" s="48">
        <f>VLOOKUP(B87,'Player Data'!$A1:$AE734,21,FALSE)*$Q87</f>
        <v>226.341682593013</v>
      </c>
      <c r="AH87" s="49">
        <f>VLOOKUP(B87,'Player Data'!$A1:$AE734,22,FALSE)</f>
        <v>0.489932907116516</v>
      </c>
      <c r="AI87" s="46"/>
      <c r="AJ87" s="50"/>
      <c r="AK87" s="48"/>
      <c r="AL87" s="48"/>
      <c r="AM87" s="48"/>
      <c r="AN87" s="48"/>
      <c r="AO87" s="48"/>
      <c r="AP87" s="48"/>
      <c r="AQ87" s="51"/>
      <c r="AR87" s="52"/>
      <c r="AS87" s="46"/>
    </row>
    <row r="88" ht="21.25" customHeight="1">
      <c r="A88" s="53">
        <f>RANK(K88,K2:K730)</f>
        <v>105</v>
      </c>
      <c r="B88" t="s" s="8">
        <v>233</v>
      </c>
      <c r="C88" t="s" s="39">
        <v>106</v>
      </c>
      <c r="D88" t="s" s="40">
        <f>VLOOKUP(B88,'Player Data'!A1:D734,4,FALSE)</f>
        <v>107</v>
      </c>
      <c r="E88" s="41">
        <f>VLOOKUP(B88,'C'!A1:C218,3,FALSE)</f>
        <v>31</v>
      </c>
      <c r="F88" t="s" s="42">
        <f>VLOOKUP(B88,'Player Data'!A1:B734,2,FALSE)</f>
        <v>234</v>
      </c>
      <c r="G88" s="9">
        <f>VLOOKUP(B88,'Player Data'!A1:D734,3,FALSE)</f>
        <v>22</v>
      </c>
      <c r="H88" s="43">
        <f>_xlfn.IFERROR(VLOOKUP(B88,'ADP'!A1:G731,7,FALSE)/1000000,VLOOKUP(B88,'ADP'!A1:G731,7,FALSE))</f>
        <v>0</v>
      </c>
      <c r="I88" s="44">
        <f>IF('Settings'!$E$15="POINTS",((R88*Q88)*'Settings'!$B$12)+(S88*'Settings'!$B$2)+(T88*'Settings'!$B$3)+(U88*'Settings'!$B$4)+(V88*'Settings'!$B$5)+(X88*'Settings'!$B$9)+(AA88*'Settings'!$B$6)+(W88*'Settings'!$B$8)+(AB88*'Settings'!$B$7)+(AC88*'Settings'!$B$14)+(AD88*'Settings'!$B$15)+(AE88*'Settings'!$B$16)+(AF88*'Settings'!$B$17)+(AG88*'Settings'!$B$18)+(Y88*'Settings'!$B$10)+(Z88*'Settings'!$B$11),VLOOKUP(B88,'Standard Deviations'!A1:C731,3,FALSE))</f>
        <v>404.285265978265</v>
      </c>
      <c r="J88" s="45">
        <f>IF(D88="G",I88/AJ88,I88/Q88)</f>
        <v>4.97337022977322</v>
      </c>
      <c r="K88" s="44">
        <f>IF('Settings'!$E$18="C/LW/RW",VLOOKUP(B88,'C'!A1:F218,6,FALSE),VLOOKUP(B88,'F'!A1:F432,6,FALSE))</f>
        <v>8.511064342250</v>
      </c>
      <c r="L88" t="s" s="60">
        <f>_xlfn.IFERROR(K88/H88,"N/A")</f>
        <v>158</v>
      </c>
      <c r="M88" s="46">
        <f>IF('Settings'!$E$9="YAHOO",VLOOKUP(B88,'ADP'!A1:E731,2,FALSE),IF('Settings'!$E$9="ESPN",VLOOKUP(B88,'ADP'!A1:E731,3,FALSE),IF('Settings'!$E$9="FANTRAX",VLOOKUP(B88,'ADP'!A1:E731,4,FALSE),VLOOKUP(B88,'ADP'!A1:E731,5,FALSE))))</f>
        <v>111.33</v>
      </c>
      <c r="N88" s="46">
        <f>_xlfn.IFERROR(M88-A88,"N/A")</f>
        <v>6.33</v>
      </c>
      <c r="O88" s="46"/>
      <c r="P88" t="s" s="47">
        <f>IF('Settings'!$E$27="ON",VLOOKUP(B88,'ADP'!A1:H731,8,FALSE)," ")</f>
        <v>116</v>
      </c>
      <c r="Q88" s="48">
        <f>IF('Settings'!$E$12="YES",VLOOKUP(B88,'Player Data'!A1:E734,5,FALSE),82)</f>
        <v>81.29000000000001</v>
      </c>
      <c r="R88" s="46">
        <f>VLOOKUP(B88,'Player Data'!$A1:$AE734,6,FALSE)</f>
        <v>19.251722162931</v>
      </c>
      <c r="S88" s="48">
        <f>VLOOKUP(B88,'Player Data'!$A1:$AE734,7,FALSE)*$Q88*_xlfn.IFERROR((VLOOKUP(P88,'Settings'!$E$28:$F$33,2,FALSE)+1),1)</f>
        <v>28.1395867978888</v>
      </c>
      <c r="T88" s="48">
        <f>VLOOKUP(B88,'Player Data'!$A1:$AE734,8,FALSE)*$Q88*_xlfn.IFERROR((VLOOKUP(P88,'Settings'!$E$28:$F$33,2,FALSE)+1),1)</f>
        <v>48.6971016451619</v>
      </c>
      <c r="U88" s="48">
        <f>SUM(S88:T88)</f>
        <v>76.8366884430507</v>
      </c>
      <c r="V88" s="48">
        <f>VLOOKUP(B88,'Player Data'!$A1:$AE734,10,FALSE)*$Q88*_xlfn.IFERROR(((VLOOKUP(P88,'Settings'!$E$28:$F$33,2,FALSE)/2)+1),1)</f>
        <v>205.047073837337</v>
      </c>
      <c r="W88" s="48">
        <f>VLOOKUP(B88,'Player Data'!$A1:$AE734,11,FALSE)*$Q88*_xlfn.IFERROR((VLOOKUP(P88,'Settings'!$E$28:$F$33,2,FALSE)+1),1)</f>
        <v>7.46693360992343</v>
      </c>
      <c r="X88" s="48">
        <f>VLOOKUP(B88,'Player Data'!$A1:$AE734,12,FALSE)*$Q88*_xlfn.IFERROR((VLOOKUP(P88,'Settings'!$E$28:$F$33,2,FALSE)+1),1)</f>
        <v>21.8937187029073</v>
      </c>
      <c r="Y88" s="48">
        <f>VLOOKUP(B88,'Player Data'!$A1:$AE734,13,FALSE)*$Q88</f>
        <v>0.025300190416101</v>
      </c>
      <c r="Z88" s="48">
        <f>VLOOKUP(B88,'Player Data'!$A1:$AE734,14,FALSE)*$Q88</f>
        <v>0.0456601977051597</v>
      </c>
      <c r="AA88" s="48">
        <f>VLOOKUP(B88,'Player Data'!$A1:$AE734,15,FALSE)*$Q88</f>
        <v>30.5766823579955</v>
      </c>
      <c r="AB88" s="48">
        <f>VLOOKUP(B88,'Player Data'!$A1:$AE734,16,FALSE)*$Q88</f>
        <v>54.6504878368106</v>
      </c>
      <c r="AC88" s="48">
        <f>VLOOKUP(B88,'Player Data'!$A1:$AE734,17,FALSE)*$Q88*_xlfn.IFERROR((VLOOKUP(P88,'Settings'!$E$28:$F$33,2,FALSE)+1),1)</f>
        <v>-9.7607191989506</v>
      </c>
      <c r="AD88" s="48">
        <f>VLOOKUP(B88,'Player Data'!$A1:$AE734,18,FALSE)*$Q88</f>
        <v>51.6946422150037</v>
      </c>
      <c r="AE88" s="48">
        <f>VLOOKUP(B88,'Player Data'!$A1:$AE734,19,FALSE)*$Q88*_xlfn.IFERROR((VLOOKUP(P88,'Settings'!$E$28:$F$33,2,FALSE)+1),1)</f>
        <v>2.69754593149419</v>
      </c>
      <c r="AF88" s="48">
        <f>VLOOKUP(B88,'Player Data'!$A1:$AE734,20,FALSE)*$Q88</f>
        <v>241.244761618378</v>
      </c>
      <c r="AG88" s="48">
        <f>VLOOKUP(B88,'Player Data'!$A1:$AE734,21,FALSE)*$Q88</f>
        <v>346.816003239127</v>
      </c>
      <c r="AH88" s="49">
        <f>VLOOKUP(B88,'Player Data'!$A1:$AE734,22,FALSE)</f>
        <v>0.410237812204381</v>
      </c>
      <c r="AI88" s="46"/>
      <c r="AJ88" s="50"/>
      <c r="AK88" s="48"/>
      <c r="AL88" s="48"/>
      <c r="AM88" s="48"/>
      <c r="AN88" s="48"/>
      <c r="AO88" s="48"/>
      <c r="AP88" s="48"/>
      <c r="AQ88" s="51"/>
      <c r="AR88" s="52"/>
      <c r="AS88" s="46"/>
    </row>
    <row r="89" ht="21.25" customHeight="1">
      <c r="A89" s="53">
        <f>RANK(K89,K2:K730)</f>
        <v>66</v>
      </c>
      <c r="B89" t="s" s="8">
        <v>235</v>
      </c>
      <c r="C89" t="s" s="39">
        <v>106</v>
      </c>
      <c r="D89" t="s" s="40">
        <f>VLOOKUP(B89,'Player Data'!A1:D734,4,FALSE)</f>
        <v>121</v>
      </c>
      <c r="E89" s="55">
        <f>VLOOKUP(B89,'RW'!A1:F132,3,FALSE)</f>
        <v>15</v>
      </c>
      <c r="F89" t="s" s="42">
        <f>VLOOKUP(B89,'Player Data'!A1:B734,2,FALSE)</f>
        <v>236</v>
      </c>
      <c r="G89" s="9">
        <f>VLOOKUP(B89,'Player Data'!A1:D734,3,FALSE)</f>
        <v>26</v>
      </c>
      <c r="H89" s="43">
        <f>_xlfn.IFERROR(VLOOKUP(B89,'ADP'!A1:G731,7,FALSE)/1000000,VLOOKUP(B89,'ADP'!A1:G731,7,FALSE))</f>
        <v>5.5</v>
      </c>
      <c r="I89" s="44">
        <f>IF('Settings'!$E$15="POINTS",((R89*Q89)*'Settings'!$B$12)+(S89*'Settings'!$B$2)+(T89*'Settings'!$B$3)+(U89*'Settings'!$B$4)+(V89*'Settings'!$B$5)+(X89*'Settings'!$B$9)+(AA89*'Settings'!$B$6)+(W89*'Settings'!$B$8)+(AB89*'Settings'!$B$7)+(AC89*'Settings'!$B$14)+(AD89*'Settings'!$B$15)+(AE89*'Settings'!$B$16)+(AF89*'Settings'!$B$17)+(AG89*'Settings'!$B$18)+(Y89*'Settings'!$B$10)+(Z89*'Settings'!$B$11),VLOOKUP(B89,'Standard Deviations'!A1:C731,3,FALSE))</f>
        <v>426.759260047710</v>
      </c>
      <c r="J89" s="45">
        <f>IF(D89="G",I89/AJ89,I89/Q89)</f>
        <v>5.55430742619094</v>
      </c>
      <c r="K89" s="44">
        <f>IF('Settings'!$E$18="C/LW/RW",VLOOKUP(B89,'RW'!A1:F132,6,FALSE),VLOOKUP(B89,'F'!A1:F432,6,FALSE))</f>
        <v>45.130696341354</v>
      </c>
      <c r="L89" s="44">
        <f>_xlfn.IFERROR(K89/H89,"N/A")</f>
        <v>8.205581152973449</v>
      </c>
      <c r="M89" s="46">
        <f>IF('Settings'!$E$9="YAHOO",VLOOKUP(B89,'ADP'!A1:E731,2,FALSE),IF('Settings'!$E$9="ESPN",VLOOKUP(B89,'ADP'!A1:E731,3,FALSE),IF('Settings'!$E$9="FANTRAX",VLOOKUP(B89,'ADP'!A1:E731,4,FALSE),VLOOKUP(B89,'ADP'!A1:E731,5,FALSE))))</f>
        <v>61.81</v>
      </c>
      <c r="N89" s="46">
        <f>_xlfn.IFERROR(M89-A89,"N/A")</f>
        <v>-4.19</v>
      </c>
      <c r="O89" s="46"/>
      <c r="P89" t="s" s="47">
        <f>IF('Settings'!$E$27="ON",VLOOKUP(B89,'ADP'!A1:H731,8,FALSE)," ")</f>
        <v>109</v>
      </c>
      <c r="Q89" s="48">
        <f>IF('Settings'!$E$12="YES",VLOOKUP(B89,'Player Data'!A1:E734,5,FALSE),82)</f>
        <v>76.8339285714286</v>
      </c>
      <c r="R89" s="46">
        <f>VLOOKUP(B89,'Player Data'!$A1:$AE734,6,FALSE)</f>
        <v>20.0434017721037</v>
      </c>
      <c r="S89" s="48">
        <f>VLOOKUP(B89,'Player Data'!$A1:$AE734,7,FALSE)*$Q89*_xlfn.IFERROR((VLOOKUP(P89,'Settings'!$E$28:$F$33,2,FALSE)+1),1)</f>
        <v>29.6950338689759</v>
      </c>
      <c r="T89" s="48">
        <f>VLOOKUP(B89,'Player Data'!$A1:$AE734,8,FALSE)*$Q89*_xlfn.IFERROR((VLOOKUP(P89,'Settings'!$E$28:$F$33,2,FALSE)+1),1)</f>
        <v>40.5387252492706</v>
      </c>
      <c r="U89" s="48">
        <f>SUM(S89:T89)</f>
        <v>70.2337591182465</v>
      </c>
      <c r="V89" s="48">
        <f>VLOOKUP(B89,'Player Data'!$A1:$AE734,10,FALSE)*$Q89*_xlfn.IFERROR(((VLOOKUP(P89,'Settings'!$E$28:$F$33,2,FALSE)/2)+1),1)</f>
        <v>235.428266837369</v>
      </c>
      <c r="W89" s="48">
        <f>VLOOKUP(B89,'Player Data'!$A1:$AE734,11,FALSE)*$Q89*_xlfn.IFERROR((VLOOKUP(P89,'Settings'!$E$28:$F$33,2,FALSE)+1),1)</f>
        <v>4.92343843804494</v>
      </c>
      <c r="X89" s="48">
        <f>VLOOKUP(B89,'Player Data'!$A1:$AE734,12,FALSE)*$Q89*_xlfn.IFERROR((VLOOKUP(P89,'Settings'!$E$28:$F$33,2,FALSE)+1),1)</f>
        <v>16.2469838997857</v>
      </c>
      <c r="Y89" s="48">
        <f>VLOOKUP(B89,'Player Data'!$A1:$AE734,13,FALSE)*$Q89</f>
        <v>2.93664354809092</v>
      </c>
      <c r="Z89" s="48">
        <f>VLOOKUP(B89,'Player Data'!$A1:$AE734,14,FALSE)*$Q89</f>
        <v>5.83850200658147</v>
      </c>
      <c r="AA89" s="48">
        <f>VLOOKUP(B89,'Player Data'!$A1:$AE734,15,FALSE)*$Q89</f>
        <v>45.1504387186768</v>
      </c>
      <c r="AB89" s="48">
        <f>VLOOKUP(B89,'Player Data'!$A1:$AE734,16,FALSE)*$Q89</f>
        <v>78.1963003932821</v>
      </c>
      <c r="AC89" s="48">
        <f>VLOOKUP(B89,'Player Data'!$A1:$AE734,17,FALSE)*$Q89*_xlfn.IFERROR((VLOOKUP(P89,'Settings'!$E$28:$F$33,2,FALSE)+1),1)</f>
        <v>-5.62871906311911</v>
      </c>
      <c r="AD89" s="48">
        <f>VLOOKUP(B89,'Player Data'!$A1:$AE734,18,FALSE)*$Q89</f>
        <v>57.2620375249065</v>
      </c>
      <c r="AE89" s="48">
        <f>VLOOKUP(B89,'Player Data'!$A1:$AE734,19,FALSE)*$Q89*_xlfn.IFERROR((VLOOKUP(P89,'Settings'!$E$28:$F$33,2,FALSE)+1),1)</f>
        <v>3.49052183230032</v>
      </c>
      <c r="AF89" s="48">
        <f>VLOOKUP(B89,'Player Data'!$A1:$AE734,20,FALSE)*$Q89</f>
        <v>27.711082728563</v>
      </c>
      <c r="AG89" s="48">
        <f>VLOOKUP(B89,'Player Data'!$A1:$AE734,21,FALSE)*$Q89</f>
        <v>37.4427551850447</v>
      </c>
      <c r="AH89" s="49">
        <f>VLOOKUP(B89,'Player Data'!$A1:$AE734,22,FALSE)</f>
        <v>0.425317734395128</v>
      </c>
      <c r="AI89" s="46"/>
      <c r="AJ89" s="50"/>
      <c r="AK89" s="48"/>
      <c r="AL89" s="48"/>
      <c r="AM89" s="48"/>
      <c r="AN89" s="48"/>
      <c r="AO89" s="48"/>
      <c r="AP89" s="48"/>
      <c r="AQ89" s="51"/>
      <c r="AR89" s="52"/>
      <c r="AS89" s="46"/>
    </row>
    <row r="90" ht="21.25" customHeight="1">
      <c r="A90" s="53">
        <f>RANK(K90,K2:K730)</f>
        <v>128</v>
      </c>
      <c r="B90" t="s" s="8">
        <v>237</v>
      </c>
      <c r="C90" t="s" s="39">
        <v>106</v>
      </c>
      <c r="D90" t="s" s="40">
        <f>VLOOKUP(B90,'Player Data'!A1:D734,4,FALSE)</f>
        <v>129</v>
      </c>
      <c r="E90" s="56">
        <f>VLOOKUP(B90,'D'!A1:C228,3,FALSE)</f>
        <v>28</v>
      </c>
      <c r="F90" t="s" s="42">
        <f>VLOOKUP(B90,'Player Data'!A1:B734,2,FALSE)</f>
        <v>238</v>
      </c>
      <c r="G90" s="9">
        <f>VLOOKUP(B90,'Player Data'!A1:D734,3,FALSE)</f>
        <v>26</v>
      </c>
      <c r="H90" s="43">
        <f>_xlfn.IFERROR(VLOOKUP(B90,'ADP'!A1:G731,7,FALSE)/1000000,VLOOKUP(B90,'ADP'!A1:G731,7,FALSE))</f>
        <v>4.55</v>
      </c>
      <c r="I90" s="44">
        <f>IF('Settings'!$E$15="POINTS",((R90*Q90)*'Settings'!$B$12)+(S90*'Settings'!$B$2)+(T90*'Settings'!$B$3)+(U90*'Settings'!$B$4)+(V90*'Settings'!$B$5)+(X90*'Settings'!$B$9)+(AA90*'Settings'!$B$6)+(W90*'Settings'!$B$8)+(AB90*'Settings'!$B$7)+(AC90*'Settings'!$B$14)+(AD90*'Settings'!$B$15)+(AE90*'Settings'!$B$16)+(AF90*'Settings'!$B$17)+(AG90*'Settings'!$B$18)+(U90*'Settings'!$B$13)+(Y90*'Settings'!$B$10)+(Z90*'Settings'!$B$11),VLOOKUP(B90,'Standard Deviations'!A1:C731,3,FALSE))</f>
        <v>332.107706865729</v>
      </c>
      <c r="J90" s="45">
        <f>IF(D90="G",I90/AJ90,I90/Q90)</f>
        <v>4.11024389685308</v>
      </c>
      <c r="K90" s="44">
        <f>VLOOKUP(B90,'D'!A1:F228,6,FALSE)</f>
        <v>-8.627431780794</v>
      </c>
      <c r="L90" s="44">
        <f>_xlfn.IFERROR(K90/H90,"N/A")</f>
        <v>-1.89613885292176</v>
      </c>
      <c r="M90" s="46">
        <f>IF('Settings'!$E$9="YAHOO",VLOOKUP(B90,'ADP'!A1:E731,2,FALSE),IF('Settings'!$E$9="ESPN",VLOOKUP(B90,'ADP'!A1:E731,3,FALSE),IF('Settings'!$E$9="FANTRAX",VLOOKUP(B90,'ADP'!A1:E731,4,FALSE),VLOOKUP(B90,'ADP'!A1:E731,5,FALSE))))</f>
        <v>131.84</v>
      </c>
      <c r="N90" s="46">
        <f>_xlfn.IFERROR(M90-A90,"N/A")</f>
        <v>3.84</v>
      </c>
      <c r="O90" s="46"/>
      <c r="P90" t="s" s="47">
        <f>IF('Settings'!$E$27="ON",VLOOKUP(B90,'ADP'!A1:H731,8,FALSE)," ")</f>
        <v>109</v>
      </c>
      <c r="Q90" s="48">
        <f>IF('Settings'!$E$12="YES",VLOOKUP(B90,'Player Data'!A1:E734,5,FALSE),82)</f>
        <v>80.8</v>
      </c>
      <c r="R90" s="46">
        <f>VLOOKUP(B90,'Player Data'!$A1:$AE734,6,FALSE)</f>
        <v>24.0488255634455</v>
      </c>
      <c r="S90" s="48">
        <f>VLOOKUP(B90,'Player Data'!$A1:$AE734,7,FALSE)*$Q90*_xlfn.IFERROR((VLOOKUP(P90,'Settings'!$E$28:$F$33,2,FALSE)+1),1)</f>
        <v>8.342294705569831</v>
      </c>
      <c r="T90" s="48">
        <f>VLOOKUP(B90,'Player Data'!$A1:$AE734,8,FALSE)*$Q90*_xlfn.IFERROR((VLOOKUP(P90,'Settings'!$E$28:$F$33,2,FALSE)+1),1)</f>
        <v>42.2447125992707</v>
      </c>
      <c r="U90" s="48">
        <f>SUM(S90:T90)</f>
        <v>50.5870073048405</v>
      </c>
      <c r="V90" s="48">
        <f>VLOOKUP(B90,'Player Data'!$A1:$AE734,10,FALSE)*$Q90*_xlfn.IFERROR(((VLOOKUP(P90,'Settings'!$E$28:$F$33,2,FALSE)/2)+1),1)</f>
        <v>163.738892101375</v>
      </c>
      <c r="W90" s="48">
        <f>VLOOKUP(B90,'Player Data'!$A1:$AE734,11,FALSE)*$Q90*_xlfn.IFERROR((VLOOKUP(P90,'Settings'!$E$28:$F$33,2,FALSE)+1),1)</f>
        <v>1.68020327112538</v>
      </c>
      <c r="X90" s="48">
        <f>VLOOKUP(B90,'Player Data'!$A1:$AE734,12,FALSE)*$Q90*_xlfn.IFERROR((VLOOKUP(P90,'Settings'!$E$28:$F$33,2,FALSE)+1),1)</f>
        <v>20.6259334392871</v>
      </c>
      <c r="Y90" s="48">
        <f>VLOOKUP(B90,'Player Data'!$A1:$AE734,13,FALSE)*$Q90</f>
        <v>0.518483635970166</v>
      </c>
      <c r="Z90" s="48">
        <f>VLOOKUP(B90,'Player Data'!$A1:$AE734,14,FALSE)*$Q90</f>
        <v>1.40772194821197</v>
      </c>
      <c r="AA90" s="48">
        <f>VLOOKUP(B90,'Player Data'!$A1:$AE734,15,FALSE)*$Q90</f>
        <v>134.590142101667</v>
      </c>
      <c r="AB90" s="48">
        <f>VLOOKUP(B90,'Player Data'!$A1:$AE734,16,FALSE)*$Q90</f>
        <v>63.4131275796305</v>
      </c>
      <c r="AC90" s="48">
        <f>VLOOKUP(B90,'Player Data'!$A1:$AE734,17,FALSE)*$Q90*_xlfn.IFERROR((VLOOKUP(P90,'Settings'!$E$28:$F$33,2,FALSE)+1),1)</f>
        <v>3.35068810038266</v>
      </c>
      <c r="AD90" s="48">
        <f>VLOOKUP(B90,'Player Data'!$A1:$AE734,18,FALSE)*$Q90</f>
        <v>36.3771954118173</v>
      </c>
      <c r="AE90" s="48">
        <f>VLOOKUP(B90,'Player Data'!$A1:$AE734,19,FALSE)*$Q90*_xlfn.IFERROR((VLOOKUP(P90,'Settings'!$E$28:$F$33,2,FALSE)+1),1)</f>
        <v>1.39398284679079</v>
      </c>
      <c r="AF90" s="48">
        <f>VLOOKUP(B90,'Player Data'!$A1:$AE734,20,FALSE)*$Q90</f>
        <v>0</v>
      </c>
      <c r="AG90" s="48">
        <f>VLOOKUP(B90,'Player Data'!$A1:$AE734,21,FALSE)*$Q90</f>
        <v>0</v>
      </c>
      <c r="AH90" s="49">
        <f>VLOOKUP(B90,'Player Data'!$A1:$AE734,22,FALSE)</f>
        <v>0</v>
      </c>
      <c r="AI90" s="46"/>
      <c r="AJ90" s="50"/>
      <c r="AK90" s="48"/>
      <c r="AL90" s="48"/>
      <c r="AM90" s="48"/>
      <c r="AN90" s="48"/>
      <c r="AO90" s="48"/>
      <c r="AP90" s="48"/>
      <c r="AQ90" s="51"/>
      <c r="AR90" s="52"/>
      <c r="AS90" s="46"/>
    </row>
    <row r="91" ht="21.25" customHeight="1">
      <c r="A91" s="53">
        <f>RANK(K91,K2:K730)</f>
        <v>111</v>
      </c>
      <c r="B91" t="s" s="8">
        <v>239</v>
      </c>
      <c r="C91" t="s" s="39">
        <v>106</v>
      </c>
      <c r="D91" t="s" s="40">
        <f>VLOOKUP(B91,'Player Data'!A1:D734,4,FALSE)</f>
        <v>107</v>
      </c>
      <c r="E91" s="41">
        <f>VLOOKUP(B91,'C'!A1:C218,3,FALSE)</f>
        <v>34</v>
      </c>
      <c r="F91" t="s" s="42">
        <f>VLOOKUP(B91,'Player Data'!A1:B734,2,FALSE)</f>
        <v>225</v>
      </c>
      <c r="G91" s="9">
        <f>VLOOKUP(B91,'Player Data'!A1:D734,3,FALSE)</f>
        <v>18</v>
      </c>
      <c r="H91" s="43">
        <f>_xlfn.IFERROR(VLOOKUP(B91,'ADP'!A1:G731,7,FALSE)/1000000,VLOOKUP(B91,'ADP'!A1:G731,7,FALSE))</f>
        <v>0</v>
      </c>
      <c r="I91" s="44">
        <f>IF('Settings'!$E$15="POINTS",((R91*Q91)*'Settings'!$B$12)+(S91*'Settings'!$B$2)+(T91*'Settings'!$B$3)+(U91*'Settings'!$B$4)+(V91*'Settings'!$B$5)+(X91*'Settings'!$B$9)+(AA91*'Settings'!$B$6)+(W91*'Settings'!$B$8)+(AB91*'Settings'!$B$7)+(AC91*'Settings'!$B$14)+(AD91*'Settings'!$B$15)+(AE91*'Settings'!$B$16)+(AF91*'Settings'!$B$17)+(AG91*'Settings'!$B$18)+(Y91*'Settings'!$B$10)+(Z91*'Settings'!$B$11),VLOOKUP(B91,'Standard Deviations'!A1:C731,3,FALSE))</f>
        <v>402.123785067730</v>
      </c>
      <c r="J91" s="45">
        <f>IF(D91="G",I91/AJ91,I91/Q91)</f>
        <v>5.15543314189397</v>
      </c>
      <c r="K91" s="44">
        <f>IF('Settings'!$E$18="C/LW/RW",VLOOKUP(B91,'C'!A1:F218,6,FALSE),VLOOKUP(B91,'F'!A1:F432,6,FALSE))</f>
        <v>6.349583431715</v>
      </c>
      <c r="L91" t="s" s="60">
        <f>_xlfn.IFERROR(K91/H91,"N/A")</f>
        <v>158</v>
      </c>
      <c r="M91" s="46">
        <f>IF('Settings'!$E$9="YAHOO",VLOOKUP(B91,'ADP'!A1:E731,2,FALSE),IF('Settings'!$E$9="ESPN",VLOOKUP(B91,'ADP'!A1:E731,3,FALSE),IF('Settings'!$E$9="FANTRAX",VLOOKUP(B91,'ADP'!A1:E731,4,FALSE),VLOOKUP(B91,'ADP'!A1:E731,5,FALSE))))</f>
        <v>50.17</v>
      </c>
      <c r="N91" s="46">
        <f>_xlfn.IFERROR(M91-A91,"N/A")</f>
        <v>-60.83</v>
      </c>
      <c r="O91" s="46"/>
      <c r="P91" t="s" s="47">
        <f>IF('Settings'!$E$27="ON",VLOOKUP(B91,'ADP'!A1:H731,8,FALSE)," ")</f>
        <v>175</v>
      </c>
      <c r="Q91" s="48">
        <f>IF('Settings'!$E$12="YES",VLOOKUP(B91,'Player Data'!A1:E734,5,FALSE),82)</f>
        <v>78</v>
      </c>
      <c r="R91" s="46">
        <f>VLOOKUP(B91,'Player Data'!$A1:$AE734,6,FALSE)</f>
        <v>19</v>
      </c>
      <c r="S91" s="48">
        <f>VLOOKUP(B91,'Player Data'!$A1:$AE734,7,FALSE)*$Q91*_xlfn.IFERROR((VLOOKUP(P91,'Settings'!$E$28:$F$33,2,FALSE)+1),1)</f>
        <v>31.2667130187071</v>
      </c>
      <c r="T91" s="48">
        <f>VLOOKUP(B91,'Player Data'!$A1:$AE734,8,FALSE)*$Q91*_xlfn.IFERROR((VLOOKUP(P91,'Settings'!$E$28:$F$33,2,FALSE)+1),1)</f>
        <v>42.7699492911047</v>
      </c>
      <c r="U91" s="48">
        <f>SUM(S91:T91)</f>
        <v>74.0366623098118</v>
      </c>
      <c r="V91" s="48">
        <f>VLOOKUP(B91,'Player Data'!$A1:$AE734,10,FALSE)*$Q91*_xlfn.IFERROR(((VLOOKUP(P91,'Settings'!$E$28:$F$33,2,FALSE)/2)+1),1)</f>
        <v>209.249408439981</v>
      </c>
      <c r="W91" s="48">
        <f>VLOOKUP(B91,'Player Data'!$A1:$AE734,11,FALSE)*$Q91*_xlfn.IFERROR((VLOOKUP(P91,'Settings'!$E$28:$F$33,2,FALSE)+1),1)</f>
        <v>9.83529216055415</v>
      </c>
      <c r="X91" s="48">
        <f>VLOOKUP(B91,'Player Data'!$A1:$AE734,12,FALSE)*$Q91*_xlfn.IFERROR((VLOOKUP(P91,'Settings'!$E$28:$F$33,2,FALSE)+1),1)</f>
        <v>23.2890551678272</v>
      </c>
      <c r="Y91" s="48">
        <f>VLOOKUP(B91,'Player Data'!$A1:$AE734,13,FALSE)*$Q91</f>
        <v>0</v>
      </c>
      <c r="Z91" s="48">
        <f>VLOOKUP(B91,'Player Data'!$A1:$AE734,14,FALSE)*$Q91</f>
        <v>0</v>
      </c>
      <c r="AA91" s="48">
        <f>VLOOKUP(B91,'Player Data'!$A1:$AE734,15,FALSE)*$Q91</f>
        <v>35.5756097560976</v>
      </c>
      <c r="AB91" s="48">
        <f>VLOOKUP(B91,'Player Data'!$A1:$AE734,16,FALSE)*$Q91</f>
        <v>42.8048780487805</v>
      </c>
      <c r="AC91" s="48">
        <f>VLOOKUP(B91,'Player Data'!$A1:$AE734,17,FALSE)*$Q91*_xlfn.IFERROR((VLOOKUP(P91,'Settings'!$E$28:$F$33,2,FALSE)+1),1)</f>
        <v>0.587378048780488</v>
      </c>
      <c r="AD91" s="48">
        <f>VLOOKUP(B91,'Player Data'!$A1:$AE734,18,FALSE)*$Q91</f>
        <v>22.8292682926829</v>
      </c>
      <c r="AE91" s="48">
        <f>VLOOKUP(B91,'Player Data'!$A1:$AE734,19,FALSE)*$Q91*_xlfn.IFERROR((VLOOKUP(P91,'Settings'!$E$28:$F$33,2,FALSE)+1),1)</f>
        <v>3.66388195596955</v>
      </c>
      <c r="AF91" s="48">
        <f>VLOOKUP(B91,'Player Data'!$A1:$AE734,20,FALSE)*$Q91</f>
        <v>256.677828159517</v>
      </c>
      <c r="AG91" s="48">
        <f>VLOOKUP(B91,'Player Data'!$A1:$AE734,21,FALSE)*$Q91</f>
        <v>369.365655156378</v>
      </c>
      <c r="AH91" s="49">
        <f>VLOOKUP(B91,'Player Data'!$A1:$AE734,22,FALSE)</f>
        <v>0.41</v>
      </c>
      <c r="AI91" s="46"/>
      <c r="AJ91" s="50"/>
      <c r="AK91" s="48"/>
      <c r="AL91" s="48"/>
      <c r="AM91" s="48"/>
      <c r="AN91" s="48"/>
      <c r="AO91" s="48"/>
      <c r="AP91" s="48"/>
      <c r="AQ91" s="51"/>
      <c r="AR91" s="52"/>
      <c r="AS91" s="50"/>
    </row>
    <row r="92" ht="21.25" customHeight="1">
      <c r="A92" s="53">
        <f>RANK(K92,K2:K730)</f>
        <v>131</v>
      </c>
      <c r="B92" t="s" s="8">
        <v>240</v>
      </c>
      <c r="C92" t="s" s="39">
        <v>106</v>
      </c>
      <c r="D92" t="s" s="40">
        <f>VLOOKUP(B92,'Player Data'!A1:D734,4,FALSE)</f>
        <v>187</v>
      </c>
      <c r="E92" s="54">
        <f>VLOOKUP(B92,'RW'!A1:F132,3,FALSE)</f>
        <v>28</v>
      </c>
      <c r="F92" t="s" s="42">
        <f>VLOOKUP(B92,'Player Data'!A1:B734,2,FALSE)</f>
        <v>149</v>
      </c>
      <c r="G92" s="9">
        <f>VLOOKUP(B92,'Player Data'!A1:D734,3,FALSE)</f>
        <v>26</v>
      </c>
      <c r="H92" s="43">
        <f>_xlfn.IFERROR(VLOOKUP(B92,'ADP'!A1:G731,7,FALSE)/1000000,VLOOKUP(B92,'ADP'!A1:G731,7,FALSE))</f>
        <v>9.15</v>
      </c>
      <c r="I92" s="44">
        <f>IF('Settings'!$E$15="POINTS",((R92*Q92)*'Settings'!$B$12)+(S92*'Settings'!$B$2)+(T92*'Settings'!$B$3)+(U92*'Settings'!$B$4)+(V92*'Settings'!$B$5)+(X92*'Settings'!$B$9)+(AA92*'Settings'!$B$6)+(W92*'Settings'!$B$8)+(AB92*'Settings'!$B$7)+(AC92*'Settings'!$B$14)+(AD92*'Settings'!$B$15)+(AE92*'Settings'!$B$16)+(AF92*'Settings'!$B$17)+(AG92*'Settings'!$B$18)+(Y92*'Settings'!$B$10)+(Z92*'Settings'!$B$11),VLOOKUP(B92,'Standard Deviations'!A1:C731,3,FALSE))</f>
        <v>370.596662049552</v>
      </c>
      <c r="J92" s="45">
        <f>IF(D92="G",I92/AJ92,I92/Q92)</f>
        <v>4.85162615537961</v>
      </c>
      <c r="K92" s="44">
        <f>IF('Settings'!$E$18="C/LW/RW",VLOOKUP(B92,'RW'!A1:F132,6,FALSE),VLOOKUP(B92,'F'!A1:F432,6,FALSE))</f>
        <v>-11.031901656804</v>
      </c>
      <c r="L92" s="44">
        <f>_xlfn.IFERROR(K92/H92,"N/A")</f>
        <v>-1.20567231221902</v>
      </c>
      <c r="M92" s="46">
        <f>IF('Settings'!$E$9="YAHOO",VLOOKUP(B92,'ADP'!A1:E731,2,FALSE),IF('Settings'!$E$9="ESPN",VLOOKUP(B92,'ADP'!A1:E731,3,FALSE),IF('Settings'!$E$9="FANTRAX",VLOOKUP(B92,'ADP'!A1:E731,4,FALSE),VLOOKUP(B92,'ADP'!A1:E731,5,FALSE))))</f>
        <v>141.65</v>
      </c>
      <c r="N92" s="46">
        <f>_xlfn.IFERROR(M92-A92,"N/A")</f>
        <v>10.65</v>
      </c>
      <c r="O92" s="46"/>
      <c r="P92" t="s" s="47">
        <f>IF('Settings'!$E$27="ON",VLOOKUP(B92,'ADP'!A1:H731,8,FALSE)," ")</f>
        <v>116</v>
      </c>
      <c r="Q92" s="48">
        <f>IF('Settings'!$E$12="YES",VLOOKUP(B92,'Player Data'!A1:E734,5,FALSE),82)</f>
        <v>76.3860714285714</v>
      </c>
      <c r="R92" s="46">
        <f>VLOOKUP(B92,'Player Data'!$A1:$AE734,6,FALSE)</f>
        <v>18.7420919846142</v>
      </c>
      <c r="S92" s="48">
        <f>VLOOKUP(B92,'Player Data'!$A1:$AE734,7,FALSE)*$Q92*_xlfn.IFERROR((VLOOKUP(P92,'Settings'!$E$28:$F$33,2,FALSE)+1),1)</f>
        <v>21.3388124276429</v>
      </c>
      <c r="T92" s="48">
        <f>VLOOKUP(B92,'Player Data'!$A1:$AE734,8,FALSE)*$Q92*_xlfn.IFERROR((VLOOKUP(P92,'Settings'!$E$28:$F$33,2,FALSE)+1),1)</f>
        <v>50.4286979969928</v>
      </c>
      <c r="U92" s="48">
        <f>SUM(S92:T92)</f>
        <v>71.7675104246357</v>
      </c>
      <c r="V92" s="48">
        <f>VLOOKUP(B92,'Player Data'!$A1:$AE734,10,FALSE)*$Q92*_xlfn.IFERROR(((VLOOKUP(P92,'Settings'!$E$28:$F$33,2,FALSE)/2)+1),1)</f>
        <v>192.036801384102</v>
      </c>
      <c r="W92" s="48">
        <f>VLOOKUP(B92,'Player Data'!$A1:$AE734,11,FALSE)*$Q92*_xlfn.IFERROR((VLOOKUP(P92,'Settings'!$E$28:$F$33,2,FALSE)+1),1)</f>
        <v>4.01740353436031</v>
      </c>
      <c r="X92" s="48">
        <f>VLOOKUP(B92,'Player Data'!$A1:$AE734,12,FALSE)*$Q92*_xlfn.IFERROR((VLOOKUP(P92,'Settings'!$E$28:$F$33,2,FALSE)+1),1)</f>
        <v>24.5998776928337</v>
      </c>
      <c r="Y92" s="48">
        <f>VLOOKUP(B92,'Player Data'!$A1:$AE734,13,FALSE)*$Q92</f>
        <v>0.00691495368939397</v>
      </c>
      <c r="Z92" s="48">
        <f>VLOOKUP(B92,'Player Data'!$A1:$AE734,14,FALSE)*$Q92</f>
        <v>0.0126116305039728</v>
      </c>
      <c r="AA92" s="48">
        <f>VLOOKUP(B92,'Player Data'!$A1:$AE734,15,FALSE)*$Q92</f>
        <v>34.7380349663324</v>
      </c>
      <c r="AB92" s="48">
        <f>VLOOKUP(B92,'Player Data'!$A1:$AE734,16,FALSE)*$Q92</f>
        <v>39.4930827918223</v>
      </c>
      <c r="AC92" s="48">
        <f>VLOOKUP(B92,'Player Data'!$A1:$AE734,17,FALSE)*$Q92*_xlfn.IFERROR((VLOOKUP(P92,'Settings'!$E$28:$F$33,2,FALSE)+1),1)</f>
        <v>3.23108099853431</v>
      </c>
      <c r="AD92" s="48">
        <f>VLOOKUP(B92,'Player Data'!$A1:$AE734,18,FALSE)*$Q92</f>
        <v>31.9328188263625</v>
      </c>
      <c r="AE92" s="48">
        <f>VLOOKUP(B92,'Player Data'!$A1:$AE734,19,FALSE)*$Q92*_xlfn.IFERROR((VLOOKUP(P92,'Settings'!$E$28:$F$33,2,FALSE)+1),1)</f>
        <v>3.29731292980449</v>
      </c>
      <c r="AF92" s="48">
        <f>VLOOKUP(B92,'Player Data'!$A1:$AE734,20,FALSE)*$Q92</f>
        <v>177.375898973147</v>
      </c>
      <c r="AG92" s="48">
        <f>VLOOKUP(B92,'Player Data'!$A1:$AE734,21,FALSE)*$Q92</f>
        <v>249.821862893208</v>
      </c>
      <c r="AH92" s="49">
        <f>VLOOKUP(B92,'Player Data'!$A1:$AE734,22,FALSE)</f>
        <v>0.415207931329559</v>
      </c>
      <c r="AI92" s="46"/>
      <c r="AJ92" s="48"/>
      <c r="AK92" s="48"/>
      <c r="AL92" s="48"/>
      <c r="AM92" s="48"/>
      <c r="AN92" s="48"/>
      <c r="AO92" s="48"/>
      <c r="AP92" s="48"/>
      <c r="AQ92" s="51"/>
      <c r="AR92" s="52"/>
      <c r="AS92" s="46"/>
    </row>
    <row r="93" ht="21.25" customHeight="1">
      <c r="A93" s="53">
        <f>RANK(K93,K2:K730)</f>
        <v>98</v>
      </c>
      <c r="B93" t="s" s="8">
        <v>241</v>
      </c>
      <c r="C93" t="s" s="39">
        <v>106</v>
      </c>
      <c r="D93" t="s" s="40">
        <f>VLOOKUP(B93,'Player Data'!A1:D734,4,FALSE)</f>
        <v>121</v>
      </c>
      <c r="E93" s="55">
        <f>VLOOKUP(B93,'RW'!A1:F132,3,FALSE)</f>
        <v>22</v>
      </c>
      <c r="F93" t="s" s="42">
        <f>VLOOKUP(B93,'Player Data'!A1:B734,2,FALSE)</f>
        <v>234</v>
      </c>
      <c r="G93" s="9">
        <f>VLOOKUP(B93,'Player Data'!A1:D734,3,FALSE)</f>
        <v>25</v>
      </c>
      <c r="H93" s="43">
        <f>_xlfn.IFERROR(VLOOKUP(B93,'ADP'!A1:G731,7,FALSE)/1000000,VLOOKUP(B93,'ADP'!A1:G731,7,FALSE))</f>
        <v>7</v>
      </c>
      <c r="I93" s="44">
        <f>IF('Settings'!$E$15="POINTS",((R93*Q93)*'Settings'!$B$12)+(S93*'Settings'!$B$2)+(T93*'Settings'!$B$3)+(U93*'Settings'!$B$4)+(V93*'Settings'!$B$5)+(X93*'Settings'!$B$9)+(AA93*'Settings'!$B$6)+(W93*'Settings'!$B$8)+(AB93*'Settings'!$B$7)+(AC93*'Settings'!$B$14)+(AD93*'Settings'!$B$15)+(AE93*'Settings'!$B$16)+(AF93*'Settings'!$B$17)+(AG93*'Settings'!$B$18)+(Y93*'Settings'!$B$10)+(Z93*'Settings'!$B$11),VLOOKUP(B93,'Standard Deviations'!A1:C731,3,FALSE))</f>
        <v>395.124213032265</v>
      </c>
      <c r="J93" s="45">
        <f>IF(D93="G",I93/AJ93,I93/Q93)</f>
        <v>5.03535380441271</v>
      </c>
      <c r="K93" s="44">
        <f>IF('Settings'!$E$18="C/LW/RW",VLOOKUP(B93,'RW'!A1:F132,6,FALSE),VLOOKUP(B93,'F'!A1:F432,6,FALSE))</f>
        <v>13.495649325909</v>
      </c>
      <c r="L93" s="44">
        <f>_xlfn.IFERROR(K93/H93,"N/A")</f>
        <v>1.92794990370129</v>
      </c>
      <c r="M93" s="46">
        <f>IF('Settings'!$E$9="YAHOO",VLOOKUP(B93,'ADP'!A1:E731,2,FALSE),IF('Settings'!$E$9="ESPN",VLOOKUP(B93,'ADP'!A1:E731,3,FALSE),IF('Settings'!$E$9="FANTRAX",VLOOKUP(B93,'ADP'!A1:E731,4,FALSE),VLOOKUP(B93,'ADP'!A1:E731,5,FALSE))))</f>
        <v>117.35</v>
      </c>
      <c r="N93" s="46">
        <f>_xlfn.IFERROR(M93-A93,"N/A")</f>
        <v>19.35</v>
      </c>
      <c r="O93" s="46"/>
      <c r="P93" t="s" s="47">
        <f>IF('Settings'!$E$27="ON",VLOOKUP(B93,'ADP'!A1:H731,8,FALSE)," ")</f>
        <v>109</v>
      </c>
      <c r="Q93" s="48">
        <f>IF('Settings'!$E$12="YES",VLOOKUP(B93,'Player Data'!A1:E734,5,FALSE),82)</f>
        <v>78.47</v>
      </c>
      <c r="R93" s="46">
        <f>VLOOKUP(B93,'Player Data'!$A1:$AE734,6,FALSE)</f>
        <v>19.746723321483</v>
      </c>
      <c r="S93" s="48">
        <f>VLOOKUP(B93,'Player Data'!$A1:$AE734,7,FALSE)*$Q93*_xlfn.IFERROR((VLOOKUP(P93,'Settings'!$E$28:$F$33,2,FALSE)+1),1)</f>
        <v>32.5570984455195</v>
      </c>
      <c r="T93" s="48">
        <f>VLOOKUP(B93,'Player Data'!$A1:$AE734,8,FALSE)*$Q93*_xlfn.IFERROR((VLOOKUP(P93,'Settings'!$E$28:$F$33,2,FALSE)+1),1)</f>
        <v>40.9101543044138</v>
      </c>
      <c r="U93" s="48">
        <f>SUM(S93:T93)</f>
        <v>73.46725274993329</v>
      </c>
      <c r="V93" s="48">
        <f>VLOOKUP(B93,'Player Data'!$A1:$AE734,10,FALSE)*$Q93*_xlfn.IFERROR(((VLOOKUP(P93,'Settings'!$E$28:$F$33,2,FALSE)/2)+1),1)</f>
        <v>214.526191826526</v>
      </c>
      <c r="W93" s="48">
        <f>VLOOKUP(B93,'Player Data'!$A1:$AE734,11,FALSE)*$Q93*_xlfn.IFERROR((VLOOKUP(P93,'Settings'!$E$28:$F$33,2,FALSE)+1),1)</f>
        <v>7.7090498135266</v>
      </c>
      <c r="X93" s="48">
        <f>VLOOKUP(B93,'Player Data'!$A1:$AE734,12,FALSE)*$Q93*_xlfn.IFERROR((VLOOKUP(P93,'Settings'!$E$28:$F$33,2,FALSE)+1),1)</f>
        <v>17.0326793047014</v>
      </c>
      <c r="Y93" s="48">
        <f>VLOOKUP(B93,'Player Data'!$A1:$AE734,13,FALSE)*$Q93</f>
        <v>0.0740932692085369</v>
      </c>
      <c r="Z93" s="48">
        <f>VLOOKUP(B93,'Player Data'!$A1:$AE734,14,FALSE)*$Q93</f>
        <v>0.133420909573562</v>
      </c>
      <c r="AA93" s="48">
        <f>VLOOKUP(B93,'Player Data'!$A1:$AE734,15,FALSE)*$Q93</f>
        <v>28.1966183445945</v>
      </c>
      <c r="AB93" s="48">
        <f>VLOOKUP(B93,'Player Data'!$A1:$AE734,16,FALSE)*$Q93</f>
        <v>17.0342408379136</v>
      </c>
      <c r="AC93" s="48">
        <f>VLOOKUP(B93,'Player Data'!$A1:$AE734,17,FALSE)*$Q93*_xlfn.IFERROR((VLOOKUP(P93,'Settings'!$E$28:$F$33,2,FALSE)+1),1)</f>
        <v>-6.63034557780596</v>
      </c>
      <c r="AD93" s="48">
        <f>VLOOKUP(B93,'Player Data'!$A1:$AE734,18,FALSE)*$Q93</f>
        <v>30.5650286171806</v>
      </c>
      <c r="AE93" s="48">
        <f>VLOOKUP(B93,'Player Data'!$A1:$AE734,19,FALSE)*$Q93*_xlfn.IFERROR((VLOOKUP(P93,'Settings'!$E$28:$F$33,2,FALSE)+1),1)</f>
        <v>3.12102196395989</v>
      </c>
      <c r="AF93" s="48">
        <f>VLOOKUP(B93,'Player Data'!$A1:$AE734,20,FALSE)*$Q93</f>
        <v>2.36360440105984</v>
      </c>
      <c r="AG93" s="48">
        <f>VLOOKUP(B93,'Player Data'!$A1:$AE734,21,FALSE)*$Q93</f>
        <v>1.70084751102458</v>
      </c>
      <c r="AH93" s="49">
        <f>VLOOKUP(B93,'Player Data'!$A1:$AE734,22,FALSE)</f>
        <v>0.581530905564998</v>
      </c>
      <c r="AI93" s="46"/>
      <c r="AJ93" s="50"/>
      <c r="AK93" s="48"/>
      <c r="AL93" s="48"/>
      <c r="AM93" s="48"/>
      <c r="AN93" s="48"/>
      <c r="AO93" s="48"/>
      <c r="AP93" s="48"/>
      <c r="AQ93" s="51"/>
      <c r="AR93" s="52"/>
      <c r="AS93" s="50"/>
    </row>
    <row r="94" ht="21.25" customHeight="1">
      <c r="A94" s="53">
        <f>RANK(K94,K2:K730)</f>
        <v>79</v>
      </c>
      <c r="B94" t="s" s="8">
        <v>242</v>
      </c>
      <c r="C94" t="s" s="39">
        <v>106</v>
      </c>
      <c r="D94" t="s" s="40">
        <f>VLOOKUP(B94,'Player Data'!A1:D734,4,FALSE)</f>
        <v>107</v>
      </c>
      <c r="E94" s="41">
        <f>VLOOKUP(B94,'C'!A1:C218,3,FALSE)</f>
        <v>23</v>
      </c>
      <c r="F94" t="s" s="42">
        <f>VLOOKUP(B94,'Player Data'!A1:B734,2,FALSE)</f>
        <v>134</v>
      </c>
      <c r="G94" s="9">
        <f>VLOOKUP(B94,'Player Data'!A1:D734,3,FALSE)</f>
        <v>26</v>
      </c>
      <c r="H94" s="43">
        <f>_xlfn.IFERROR(VLOOKUP(B94,'ADP'!A1:G731,7,FALSE)/1000000,VLOOKUP(B94,'ADP'!A1:G731,7,FALSE))</f>
        <v>5.25</v>
      </c>
      <c r="I94" s="44">
        <f>IF('Settings'!$E$15="POINTS",((R94*Q94)*'Settings'!$B$12)+(S94*'Settings'!$B$2)+(T94*'Settings'!$B$3)+(U94*'Settings'!$B$4)+(V94*'Settings'!$B$5)+(X94*'Settings'!$B$9)+(AA94*'Settings'!$B$6)+(W94*'Settings'!$B$8)+(AB94*'Settings'!$B$7)+(AC94*'Settings'!$B$14)+(AD94*'Settings'!$B$15)+(AE94*'Settings'!$B$16)+(AF94*'Settings'!$B$17)+(AG94*'Settings'!$B$18)+(Y94*'Settings'!$B$10)+(Z94*'Settings'!$B$11),VLOOKUP(B94,'Standard Deviations'!A1:C731,3,FALSE))</f>
        <v>428.276917866636</v>
      </c>
      <c r="J94" s="45">
        <f>IF(D94="G",I94/AJ94,I94/Q94)</f>
        <v>5.31146768197236</v>
      </c>
      <c r="K94" s="44">
        <f>IF('Settings'!$E$18="C/LW/RW",VLOOKUP(B94,'C'!A1:F218,6,FALSE),VLOOKUP(B94,'F'!A1:F432,6,FALSE))</f>
        <v>32.502716230621</v>
      </c>
      <c r="L94" s="44">
        <f>_xlfn.IFERROR(K94/H94,"N/A")</f>
        <v>6.19099356773733</v>
      </c>
      <c r="M94" s="46">
        <f>IF('Settings'!$E$9="YAHOO",VLOOKUP(B94,'ADP'!A1:E731,2,FALSE),IF('Settings'!$E$9="ESPN",VLOOKUP(B94,'ADP'!A1:E731,3,FALSE),IF('Settings'!$E$9="FANTRAX",VLOOKUP(B94,'ADP'!A1:E731,4,FALSE),VLOOKUP(B94,'ADP'!A1:E731,5,FALSE))))</f>
        <v>115.45</v>
      </c>
      <c r="N94" s="46">
        <f>_xlfn.IFERROR(M94-A94,"N/A")</f>
        <v>36.45</v>
      </c>
      <c r="O94" s="46"/>
      <c r="P94" t="s" s="47">
        <f>IF('Settings'!$E$27="ON",VLOOKUP(B94,'ADP'!A1:H731,8,FALSE)," ")</f>
        <v>116</v>
      </c>
      <c r="Q94" s="48">
        <f>IF('Settings'!$E$12="YES",VLOOKUP(B94,'Player Data'!A1:E734,5,FALSE),82)</f>
        <v>80.63249999999999</v>
      </c>
      <c r="R94" s="46">
        <f>VLOOKUP(B94,'Player Data'!$A1:$AE734,6,FALSE)</f>
        <v>19.4013634349118</v>
      </c>
      <c r="S94" s="48">
        <f>VLOOKUP(B94,'Player Data'!$A1:$AE734,7,FALSE)*$Q94*_xlfn.IFERROR((VLOOKUP(P94,'Settings'!$E$28:$F$33,2,FALSE)+1),1)</f>
        <v>29.0852422750977</v>
      </c>
      <c r="T94" s="48">
        <f>VLOOKUP(B94,'Player Data'!$A1:$AE734,8,FALSE)*$Q94*_xlfn.IFERROR((VLOOKUP(P94,'Settings'!$E$28:$F$33,2,FALSE)+1),1)</f>
        <v>35.8504944204398</v>
      </c>
      <c r="U94" s="48">
        <f>SUM(S94:T94)</f>
        <v>64.9357366955375</v>
      </c>
      <c r="V94" s="48">
        <f>VLOOKUP(B94,'Player Data'!$A1:$AE734,10,FALSE)*$Q94*_xlfn.IFERROR(((VLOOKUP(P94,'Settings'!$E$28:$F$33,2,FALSE)/2)+1),1)</f>
        <v>254.935115888283</v>
      </c>
      <c r="W94" s="48">
        <f>VLOOKUP(B94,'Player Data'!$A1:$AE734,11,FALSE)*$Q94*_xlfn.IFERROR((VLOOKUP(P94,'Settings'!$E$28:$F$33,2,FALSE)+1),1)</f>
        <v>12.6810664875666</v>
      </c>
      <c r="X94" s="48">
        <f>VLOOKUP(B94,'Player Data'!$A1:$AE734,12,FALSE)*$Q94*_xlfn.IFERROR((VLOOKUP(P94,'Settings'!$E$28:$F$33,2,FALSE)+1),1)</f>
        <v>23.2263383576792</v>
      </c>
      <c r="Y94" s="48">
        <f>VLOOKUP(B94,'Player Data'!$A1:$AE734,13,FALSE)*$Q94</f>
        <v>1.12670942135556</v>
      </c>
      <c r="Z94" s="48">
        <f>VLOOKUP(B94,'Player Data'!$A1:$AE734,14,FALSE)*$Q94</f>
        <v>1.74524307131238</v>
      </c>
      <c r="AA94" s="48">
        <f>VLOOKUP(B94,'Player Data'!$A1:$AE734,15,FALSE)*$Q94</f>
        <v>53.7619034770071</v>
      </c>
      <c r="AB94" s="48">
        <f>VLOOKUP(B94,'Player Data'!$A1:$AE734,16,FALSE)*$Q94</f>
        <v>128.011394168429</v>
      </c>
      <c r="AC94" s="48">
        <f>VLOOKUP(B94,'Player Data'!$A1:$AE734,17,FALSE)*$Q94*_xlfn.IFERROR((VLOOKUP(P94,'Settings'!$E$28:$F$33,2,FALSE)+1),1)</f>
        <v>4.12662473751768</v>
      </c>
      <c r="AD94" s="48">
        <f>VLOOKUP(B94,'Player Data'!$A1:$AE734,18,FALSE)*$Q94</f>
        <v>38.7695313170705</v>
      </c>
      <c r="AE94" s="48">
        <f>VLOOKUP(B94,'Player Data'!$A1:$AE734,19,FALSE)*$Q94*_xlfn.IFERROR((VLOOKUP(P94,'Settings'!$E$28:$F$33,2,FALSE)+1),1)</f>
        <v>4.67040394949177</v>
      </c>
      <c r="AF94" s="48">
        <f>VLOOKUP(B94,'Player Data'!$A1:$AE734,20,FALSE)*$Q94</f>
        <v>712.361496882575</v>
      </c>
      <c r="AG94" s="48">
        <f>VLOOKUP(B94,'Player Data'!$A1:$AE734,21,FALSE)*$Q94</f>
        <v>762.378460067736</v>
      </c>
      <c r="AH94" s="49">
        <f>VLOOKUP(B94,'Player Data'!$A1:$AE734,22,FALSE)</f>
        <v>0.483042107542609</v>
      </c>
      <c r="AI94" s="46"/>
      <c r="AJ94" s="50"/>
      <c r="AK94" s="48"/>
      <c r="AL94" s="48"/>
      <c r="AM94" s="48"/>
      <c r="AN94" s="48"/>
      <c r="AO94" s="48"/>
      <c r="AP94" s="48"/>
      <c r="AQ94" s="51"/>
      <c r="AR94" s="52"/>
      <c r="AS94" s="46"/>
    </row>
    <row r="95" ht="21.25" customHeight="1">
      <c r="A95" s="53">
        <f>RANK(K95,K2:K730)</f>
        <v>137</v>
      </c>
      <c r="B95" t="s" s="8">
        <v>243</v>
      </c>
      <c r="C95" t="s" s="39">
        <v>106</v>
      </c>
      <c r="D95" t="s" s="40">
        <f>VLOOKUP(B95,'Player Data'!A1:D734,4,FALSE)</f>
        <v>107</v>
      </c>
      <c r="E95" s="41">
        <f>VLOOKUP(B95,'C'!A1:C218,3,FALSE)</f>
        <v>41</v>
      </c>
      <c r="F95" t="s" s="42">
        <f>VLOOKUP(B95,'Player Data'!A1:B734,2,FALSE)</f>
        <v>170</v>
      </c>
      <c r="G95" s="9">
        <f>VLOOKUP(B95,'Player Data'!A1:D734,3,FALSE)</f>
        <v>37</v>
      </c>
      <c r="H95" s="43">
        <f>_xlfn.IFERROR(VLOOKUP(B95,'ADP'!A1:G731,7,FALSE)/1000000,VLOOKUP(B95,'ADP'!A1:G731,7,FALSE))</f>
        <v>6.1</v>
      </c>
      <c r="I95" s="44">
        <f>IF('Settings'!$E$15="POINTS",((R95*Q95)*'Settings'!$B$12)+(S95*'Settings'!$B$2)+(T95*'Settings'!$B$3)+(U95*'Settings'!$B$4)+(V95*'Settings'!$B$5)+(X95*'Settings'!$B$9)+(AA95*'Settings'!$B$6)+(W95*'Settings'!$B$8)+(AB95*'Settings'!$B$7)+(AC95*'Settings'!$B$14)+(AD95*'Settings'!$B$15)+(AE95*'Settings'!$B$16)+(AF95*'Settings'!$B$17)+(AG95*'Settings'!$B$18)+(Y95*'Settings'!$B$10)+(Z95*'Settings'!$B$11),VLOOKUP(B95,'Standard Deviations'!A1:C731,3,FALSE))</f>
        <v>378.678996168849</v>
      </c>
      <c r="J95" s="45">
        <f>IF(D95="G",I95/AJ95,I95/Q95)</f>
        <v>5.18563297748205</v>
      </c>
      <c r="K95" s="44">
        <f>IF('Settings'!$E$18="C/LW/RW",VLOOKUP(B95,'C'!A1:F218,6,FALSE),VLOOKUP(B95,'F'!A1:F432,6,FALSE))</f>
        <v>-17.095205467166</v>
      </c>
      <c r="L95" s="44">
        <f>_xlfn.IFERROR(K95/H95,"N/A")</f>
        <v>-2.80249269953541</v>
      </c>
      <c r="M95" s="46">
        <f>IF('Settings'!$E$9="YAHOO",VLOOKUP(B95,'ADP'!A1:E731,2,FALSE),IF('Settings'!$E$9="ESPN",VLOOKUP(B95,'ADP'!A1:E731,3,FALSE),IF('Settings'!$E$9="FANTRAX",VLOOKUP(B95,'ADP'!A1:E731,4,FALSE),VLOOKUP(B95,'ADP'!A1:E731,5,FALSE))))</f>
        <v>70.81</v>
      </c>
      <c r="N95" s="46">
        <f>_xlfn.IFERROR(M95-A95,"N/A")</f>
        <v>-66.19</v>
      </c>
      <c r="O95" s="46"/>
      <c r="P95" t="s" s="47">
        <f>IF('Settings'!$E$27="ON",VLOOKUP(B95,'ADP'!A1:H731,8,FALSE)," ")</f>
        <v>116</v>
      </c>
      <c r="Q95" s="48">
        <f>IF('Settings'!$E$12="YES",VLOOKUP(B95,'Player Data'!A1:E734,5,FALSE),82)</f>
        <v>73.02464285714289</v>
      </c>
      <c r="R95" s="46">
        <f>VLOOKUP(B95,'Player Data'!$A1:$AE734,6,FALSE)</f>
        <v>18.3297270756479</v>
      </c>
      <c r="S95" s="48">
        <f>VLOOKUP(B95,'Player Data'!$A1:$AE734,7,FALSE)*$Q95*_xlfn.IFERROR((VLOOKUP(P95,'Settings'!$E$28:$F$33,2,FALSE)+1),1)</f>
        <v>24.6322369619923</v>
      </c>
      <c r="T95" s="48">
        <f>VLOOKUP(B95,'Player Data'!$A1:$AE734,8,FALSE)*$Q95*_xlfn.IFERROR((VLOOKUP(P95,'Settings'!$E$28:$F$33,2,FALSE)+1),1)</f>
        <v>44.8112380052212</v>
      </c>
      <c r="U95" s="48">
        <f>SUM(S95:T95)</f>
        <v>69.4434749672135</v>
      </c>
      <c r="V95" s="48">
        <f>VLOOKUP(B95,'Player Data'!$A1:$AE734,10,FALSE)*$Q95*_xlfn.IFERROR(((VLOOKUP(P95,'Settings'!$E$28:$F$33,2,FALSE)/2)+1),1)</f>
        <v>212.350821531457</v>
      </c>
      <c r="W95" s="48">
        <f>VLOOKUP(B95,'Player Data'!$A1:$AE734,11,FALSE)*$Q95*_xlfn.IFERROR((VLOOKUP(P95,'Settings'!$E$28:$F$33,2,FALSE)+1),1)</f>
        <v>10.1164835094617</v>
      </c>
      <c r="X95" s="48">
        <f>VLOOKUP(B95,'Player Data'!$A1:$AE734,12,FALSE)*$Q95*_xlfn.IFERROR((VLOOKUP(P95,'Settings'!$E$28:$F$33,2,FALSE)+1),1)</f>
        <v>29.3609843582855</v>
      </c>
      <c r="Y95" s="48">
        <f>VLOOKUP(B95,'Player Data'!$A1:$AE734,13,FALSE)*$Q95</f>
        <v>0.00622746764205777</v>
      </c>
      <c r="Z95" s="48">
        <f>VLOOKUP(B95,'Player Data'!$A1:$AE734,14,FALSE)*$Q95</f>
        <v>0.0116448743649452</v>
      </c>
      <c r="AA95" s="48">
        <f>VLOOKUP(B95,'Player Data'!$A1:$AE734,15,FALSE)*$Q95</f>
        <v>30.0484235999176</v>
      </c>
      <c r="AB95" s="48">
        <f>VLOOKUP(B95,'Player Data'!$A1:$AE734,16,FALSE)*$Q95</f>
        <v>48.7092140392121</v>
      </c>
      <c r="AC95" s="48">
        <f>VLOOKUP(B95,'Player Data'!$A1:$AE734,17,FALSE)*$Q95*_xlfn.IFERROR((VLOOKUP(P95,'Settings'!$E$28:$F$33,2,FALSE)+1),1)</f>
        <v>2.80567714939679</v>
      </c>
      <c r="AD95" s="48">
        <f>VLOOKUP(B95,'Player Data'!$A1:$AE734,18,FALSE)*$Q95</f>
        <v>45.8530219478417</v>
      </c>
      <c r="AE95" s="48">
        <f>VLOOKUP(B95,'Player Data'!$A1:$AE734,19,FALSE)*$Q95*_xlfn.IFERROR((VLOOKUP(P95,'Settings'!$E$28:$F$33,2,FALSE)+1),1)</f>
        <v>3.95396725425562</v>
      </c>
      <c r="AF95" s="48">
        <f>VLOOKUP(B95,'Player Data'!$A1:$AE734,20,FALSE)*$Q95</f>
        <v>351.701724150233</v>
      </c>
      <c r="AG95" s="48">
        <f>VLOOKUP(B95,'Player Data'!$A1:$AE734,21,FALSE)*$Q95</f>
        <v>397.688088536575</v>
      </c>
      <c r="AH95" s="49">
        <f>VLOOKUP(B95,'Player Data'!$A1:$AE734,22,FALSE)</f>
        <v>0.469317460947684</v>
      </c>
      <c r="AI95" s="46"/>
      <c r="AJ95" s="50"/>
      <c r="AK95" s="48"/>
      <c r="AL95" s="48"/>
      <c r="AM95" s="48"/>
      <c r="AN95" s="48"/>
      <c r="AO95" s="48"/>
      <c r="AP95" s="48"/>
      <c r="AQ95" s="51"/>
      <c r="AR95" s="52"/>
      <c r="AS95" s="50"/>
    </row>
    <row r="96" ht="21.25" customHeight="1">
      <c r="A96" s="53">
        <f>RANK(K96,K2:K730)</f>
        <v>97</v>
      </c>
      <c r="B96" t="s" s="8">
        <v>244</v>
      </c>
      <c r="C96" t="s" s="39">
        <v>106</v>
      </c>
      <c r="D96" t="s" s="40">
        <f>VLOOKUP(B96,'Player Data'!A1:D734,4,FALSE)</f>
        <v>187</v>
      </c>
      <c r="E96" s="54">
        <f>VLOOKUP(B96,'RW'!A1:F132,3,FALSE)</f>
        <v>21</v>
      </c>
      <c r="F96" t="s" s="42">
        <f>VLOOKUP(B96,'Player Data'!A1:B734,2,FALSE)</f>
        <v>136</v>
      </c>
      <c r="G96" s="9">
        <f>VLOOKUP(B96,'Player Data'!A1:D734,3,FALSE)</f>
        <v>39</v>
      </c>
      <c r="H96" s="43">
        <f>_xlfn.IFERROR(VLOOKUP(B96,'ADP'!A1:G731,7,FALSE)/1000000,VLOOKUP(B96,'ADP'!A1:G731,7,FALSE))</f>
        <v>3.5</v>
      </c>
      <c r="I96" s="44">
        <f>IF('Settings'!$E$15="POINTS",((R96*Q96)*'Settings'!$B$12)+(S96*'Settings'!$B$2)+(T96*'Settings'!$B$3)+(U96*'Settings'!$B$4)+(V96*'Settings'!$B$5)+(X96*'Settings'!$B$9)+(AA96*'Settings'!$B$6)+(W96*'Settings'!$B$8)+(AB96*'Settings'!$B$7)+(AC96*'Settings'!$B$14)+(AD96*'Settings'!$B$15)+(AE96*'Settings'!$B$16)+(AF96*'Settings'!$B$17)+(AG96*'Settings'!$B$18)+(Y96*'Settings'!$B$10)+(Z96*'Settings'!$B$11),VLOOKUP(B96,'Standard Deviations'!A1:C731,3,FALSE))</f>
        <v>395.774201636015</v>
      </c>
      <c r="J96" s="45">
        <f>IF(D96="G",I96/AJ96,I96/Q96)</f>
        <v>4.82474950184097</v>
      </c>
      <c r="K96" s="44">
        <f>IF('Settings'!$E$18="C/LW/RW",VLOOKUP(B96,'RW'!A1:F132,6,FALSE),VLOOKUP(B96,'F'!A1:F432,6,FALSE))</f>
        <v>14.145637929659</v>
      </c>
      <c r="L96" s="44">
        <f>_xlfn.IFERROR(K96/H96,"N/A")</f>
        <v>4.04161083704543</v>
      </c>
      <c r="M96" s="46">
        <f>IF('Settings'!$E$9="YAHOO",VLOOKUP(B96,'ADP'!A1:E731,2,FALSE),IF('Settings'!$E$9="ESPN",VLOOKUP(B96,'ADP'!A1:E731,3,FALSE),IF('Settings'!$E$9="FANTRAX",VLOOKUP(B96,'ADP'!A1:E731,4,FALSE),VLOOKUP(B96,'ADP'!A1:E731,5,FALSE))))</f>
        <v>84.37</v>
      </c>
      <c r="N96" s="46">
        <f>_xlfn.IFERROR(M96-A96,"N/A")</f>
        <v>-12.63</v>
      </c>
      <c r="O96" s="46"/>
      <c r="P96" t="s" s="47">
        <f>IF('Settings'!$E$27="ON",VLOOKUP(B96,'ADP'!A1:H731,8,FALSE)," ")</f>
        <v>109</v>
      </c>
      <c r="Q96" s="48">
        <f>IF('Settings'!$E$12="YES",VLOOKUP(B96,'Player Data'!A1:E734,5,FALSE),82)</f>
        <v>82.03</v>
      </c>
      <c r="R96" s="46">
        <f>VLOOKUP(B96,'Player Data'!$A1:$AE734,6,FALSE)</f>
        <v>17.4188282092397</v>
      </c>
      <c r="S96" s="48">
        <f>VLOOKUP(B96,'Player Data'!$A1:$AE734,7,FALSE)*$Q96*_xlfn.IFERROR((VLOOKUP(P96,'Settings'!$E$28:$F$33,2,FALSE)+1),1)</f>
        <v>25.5213072587204</v>
      </c>
      <c r="T96" s="48">
        <f>VLOOKUP(B96,'Player Data'!$A1:$AE734,8,FALSE)*$Q96*_xlfn.IFERROR((VLOOKUP(P96,'Settings'!$E$28:$F$33,2,FALSE)+1),1)</f>
        <v>44.2757460528721</v>
      </c>
      <c r="U96" s="48">
        <f>SUM(S96:T96)</f>
        <v>69.79705331159251</v>
      </c>
      <c r="V96" s="48">
        <f>VLOOKUP(B96,'Player Data'!$A1:$AE734,10,FALSE)*$Q96*_xlfn.IFERROR(((VLOOKUP(P96,'Settings'!$E$28:$F$33,2,FALSE)/2)+1),1)</f>
        <v>189.733669510241</v>
      </c>
      <c r="W96" s="48">
        <f>VLOOKUP(B96,'Player Data'!$A1:$AE734,11,FALSE)*$Q96*_xlfn.IFERROR((VLOOKUP(P96,'Settings'!$E$28:$F$33,2,FALSE)+1),1)</f>
        <v>11.7098457766085</v>
      </c>
      <c r="X96" s="48">
        <f>VLOOKUP(B96,'Player Data'!$A1:$AE734,12,FALSE)*$Q96*_xlfn.IFERROR((VLOOKUP(P96,'Settings'!$E$28:$F$33,2,FALSE)+1),1)</f>
        <v>24.8863545649636</v>
      </c>
      <c r="Y96" s="48">
        <f>VLOOKUP(B96,'Player Data'!$A1:$AE734,13,FALSE)*$Q96</f>
        <v>0.0532248847626525</v>
      </c>
      <c r="Z96" s="48">
        <f>VLOOKUP(B96,'Player Data'!$A1:$AE734,14,FALSE)*$Q96</f>
        <v>0.356149504467629</v>
      </c>
      <c r="AA96" s="48">
        <f>VLOOKUP(B96,'Player Data'!$A1:$AE734,15,FALSE)*$Q96</f>
        <v>59.6745360693762</v>
      </c>
      <c r="AB96" s="48">
        <f>VLOOKUP(B96,'Player Data'!$A1:$AE734,16,FALSE)*$Q96</f>
        <v>90.7387160576519</v>
      </c>
      <c r="AC96" s="48">
        <f>VLOOKUP(B96,'Player Data'!$A1:$AE734,17,FALSE)*$Q96*_xlfn.IFERROR((VLOOKUP(P96,'Settings'!$E$28:$F$33,2,FALSE)+1),1)</f>
        <v>9.48313299736305</v>
      </c>
      <c r="AD96" s="48">
        <f>VLOOKUP(B96,'Player Data'!$A1:$AE734,18,FALSE)*$Q96</f>
        <v>15.9170029134924</v>
      </c>
      <c r="AE96" s="48">
        <f>VLOOKUP(B96,'Player Data'!$A1:$AE734,19,FALSE)*$Q96*_xlfn.IFERROR((VLOOKUP(P96,'Settings'!$E$28:$F$33,2,FALSE)+1),1)</f>
        <v>4.08322823945827</v>
      </c>
      <c r="AF96" s="48">
        <f>VLOOKUP(B96,'Player Data'!$A1:$AE734,20,FALSE)*$Q96</f>
        <v>375.134749783261</v>
      </c>
      <c r="AG96" s="48">
        <f>VLOOKUP(B96,'Player Data'!$A1:$AE734,21,FALSE)*$Q96</f>
        <v>335.466608656575</v>
      </c>
      <c r="AH96" s="49">
        <f>VLOOKUP(B96,'Player Data'!$A1:$AE734,22,FALSE)</f>
        <v>0.5279116699226269</v>
      </c>
      <c r="AI96" s="46"/>
      <c r="AJ96" s="50"/>
      <c r="AK96" s="48"/>
      <c r="AL96" s="48"/>
      <c r="AM96" s="48"/>
      <c r="AN96" s="48"/>
      <c r="AO96" s="48"/>
      <c r="AP96" s="48"/>
      <c r="AQ96" s="51"/>
      <c r="AR96" s="52"/>
      <c r="AS96" s="46"/>
    </row>
    <row r="97" ht="21.25" customHeight="1">
      <c r="A97" s="53">
        <f>RANK(K97,K2:K730)</f>
        <v>100</v>
      </c>
      <c r="B97" t="s" s="8">
        <v>245</v>
      </c>
      <c r="C97" t="s" s="39">
        <v>106</v>
      </c>
      <c r="D97" t="s" s="40">
        <f>VLOOKUP(B97,'Player Data'!A1:D734,4,FALSE)</f>
        <v>121</v>
      </c>
      <c r="E97" s="55">
        <f>VLOOKUP(B97,'RW'!A1:F132,3,FALSE)</f>
        <v>23</v>
      </c>
      <c r="F97" t="s" s="42">
        <f>VLOOKUP(B97,'Player Data'!A1:B734,2,FALSE)</f>
        <v>218</v>
      </c>
      <c r="G97" s="9">
        <f>VLOOKUP(B97,'Player Data'!A1:D734,3,FALSE)</f>
        <v>32</v>
      </c>
      <c r="H97" s="43">
        <f>_xlfn.IFERROR(VLOOKUP(B97,'ADP'!A1:G731,7,FALSE)/1000000,VLOOKUP(B97,'ADP'!A1:G731,7,FALSE))</f>
        <v>5</v>
      </c>
      <c r="I97" s="44">
        <f>IF('Settings'!$E$15="POINTS",((R97*Q97)*'Settings'!$B$12)+(S97*'Settings'!$B$2)+(T97*'Settings'!$B$3)+(U97*'Settings'!$B$4)+(V97*'Settings'!$B$5)+(X97*'Settings'!$B$9)+(AA97*'Settings'!$B$6)+(W97*'Settings'!$B$8)+(AB97*'Settings'!$B$7)+(AC97*'Settings'!$B$14)+(AD97*'Settings'!$B$15)+(AE97*'Settings'!$B$16)+(AF97*'Settings'!$B$17)+(AG97*'Settings'!$B$18)+(Y97*'Settings'!$B$10)+(Z97*'Settings'!$B$11),VLOOKUP(B97,'Standard Deviations'!A1:C731,3,FALSE))</f>
        <v>394.587522466748</v>
      </c>
      <c r="J97" s="45">
        <f>IF(D97="G",I97/AJ97,I97/Q97)</f>
        <v>4.9327404117603</v>
      </c>
      <c r="K97" s="44">
        <f>IF('Settings'!$E$18="C/LW/RW",VLOOKUP(B97,'RW'!A1:F132,6,FALSE),VLOOKUP(B97,'F'!A1:F432,6,FALSE))</f>
        <v>12.958958760392</v>
      </c>
      <c r="L97" s="44">
        <f>_xlfn.IFERROR(K97/H97,"N/A")</f>
        <v>2.5917917520784</v>
      </c>
      <c r="M97" s="46">
        <f>IF('Settings'!$E$9="YAHOO",VLOOKUP(B97,'ADP'!A1:E731,2,FALSE),IF('Settings'!$E$9="ESPN",VLOOKUP(B97,'ADP'!A1:E731,3,FALSE),IF('Settings'!$E$9="FANTRAX",VLOOKUP(B97,'ADP'!A1:E731,4,FALSE),VLOOKUP(B97,'ADP'!A1:E731,5,FALSE))))</f>
        <v>100.74</v>
      </c>
      <c r="N97" s="46">
        <f>_xlfn.IFERROR(M97-A97,"N/A")</f>
        <v>0.74</v>
      </c>
      <c r="O97" s="46"/>
      <c r="P97" t="s" s="47">
        <f>IF('Settings'!$E$27="ON",VLOOKUP(B97,'ADP'!A1:H731,8,FALSE)," ")</f>
        <v>109</v>
      </c>
      <c r="Q97" s="48">
        <f>IF('Settings'!$E$12="YES",VLOOKUP(B97,'Player Data'!A1:E734,5,FALSE),82)</f>
        <v>79.9935714285714</v>
      </c>
      <c r="R97" s="46">
        <f>VLOOKUP(B97,'Player Data'!$A1:$AE734,6,FALSE)</f>
        <v>17.6431850338474</v>
      </c>
      <c r="S97" s="48">
        <f>VLOOKUP(B97,'Player Data'!$A1:$AE734,7,FALSE)*$Q97*_xlfn.IFERROR((VLOOKUP(P97,'Settings'!$E$28:$F$33,2,FALSE)+1),1)</f>
        <v>29.337330162458</v>
      </c>
      <c r="T97" s="48">
        <f>VLOOKUP(B97,'Player Data'!$A1:$AE734,8,FALSE)*$Q97*_xlfn.IFERROR((VLOOKUP(P97,'Settings'!$E$28:$F$33,2,FALSE)+1),1)</f>
        <v>34.5227516380807</v>
      </c>
      <c r="U97" s="48">
        <f>SUM(S97:T97)</f>
        <v>63.8600818005387</v>
      </c>
      <c r="V97" s="48">
        <f>VLOOKUP(B97,'Player Data'!$A1:$AE734,10,FALSE)*$Q97*_xlfn.IFERROR(((VLOOKUP(P97,'Settings'!$E$28:$F$33,2,FALSE)/2)+1),1)</f>
        <v>260.381731844470</v>
      </c>
      <c r="W97" s="48">
        <f>VLOOKUP(B97,'Player Data'!$A1:$AE734,11,FALSE)*$Q97*_xlfn.IFERROR((VLOOKUP(P97,'Settings'!$E$28:$F$33,2,FALSE)+1),1)</f>
        <v>8.50592925170089</v>
      </c>
      <c r="X97" s="48">
        <f>VLOOKUP(B97,'Player Data'!$A1:$AE734,12,FALSE)*$Q97*_xlfn.IFERROR((VLOOKUP(P97,'Settings'!$E$28:$F$33,2,FALSE)+1),1)</f>
        <v>19.9470528007395</v>
      </c>
      <c r="Y97" s="48">
        <f>VLOOKUP(B97,'Player Data'!$A1:$AE734,13,FALSE)*$Q97</f>
        <v>0.000708590383845578</v>
      </c>
      <c r="Z97" s="48">
        <f>VLOOKUP(B97,'Player Data'!$A1:$AE734,14,FALSE)*$Q97</f>
        <v>0.00129958361012108</v>
      </c>
      <c r="AA97" s="48">
        <f>VLOOKUP(B97,'Player Data'!$A1:$AE734,15,FALSE)*$Q97</f>
        <v>19.9723853240986</v>
      </c>
      <c r="AB97" s="48">
        <f>VLOOKUP(B97,'Player Data'!$A1:$AE734,16,FALSE)*$Q97</f>
        <v>75.28649627976171</v>
      </c>
      <c r="AC97" s="48">
        <f>VLOOKUP(B97,'Player Data'!$A1:$AE734,17,FALSE)*$Q97*_xlfn.IFERROR((VLOOKUP(P97,'Settings'!$E$28:$F$33,2,FALSE)+1),1)</f>
        <v>4.99118520961654</v>
      </c>
      <c r="AD97" s="48">
        <f>VLOOKUP(B97,'Player Data'!$A1:$AE734,18,FALSE)*$Q97</f>
        <v>29.520984644721</v>
      </c>
      <c r="AE97" s="48">
        <f>VLOOKUP(B97,'Player Data'!$A1:$AE734,19,FALSE)*$Q97*_xlfn.IFERROR((VLOOKUP(P97,'Settings'!$E$28:$F$33,2,FALSE)+1),1)</f>
        <v>4.794520210497</v>
      </c>
      <c r="AF97" s="48">
        <f>VLOOKUP(B97,'Player Data'!$A1:$AE734,20,FALSE)*$Q97</f>
        <v>31.0825646476117</v>
      </c>
      <c r="AG97" s="48">
        <f>VLOOKUP(B97,'Player Data'!$A1:$AE734,21,FALSE)*$Q97</f>
        <v>44.2302886112063</v>
      </c>
      <c r="AH97" s="49">
        <f>VLOOKUP(B97,'Player Data'!$A1:$AE734,22,FALSE)</f>
        <v>0.412712615478719</v>
      </c>
      <c r="AI97" s="46"/>
      <c r="AJ97" s="50"/>
      <c r="AK97" s="48"/>
      <c r="AL97" s="48"/>
      <c r="AM97" s="48"/>
      <c r="AN97" s="48"/>
      <c r="AO97" s="48"/>
      <c r="AP97" s="48"/>
      <c r="AQ97" s="51"/>
      <c r="AR97" s="52"/>
      <c r="AS97" s="50"/>
    </row>
    <row r="98" ht="21.25" customHeight="1">
      <c r="A98" s="53">
        <f>RANK(K98,K2:K730)</f>
        <v>87</v>
      </c>
      <c r="B98" t="s" s="8">
        <v>246</v>
      </c>
      <c r="C98" t="s" s="39">
        <v>106</v>
      </c>
      <c r="D98" t="s" s="40">
        <f>VLOOKUP(B98,'Player Data'!A1:D734,4,FALSE)</f>
        <v>129</v>
      </c>
      <c r="E98" s="56">
        <f>VLOOKUP(B98,'D'!A1:C228,3,FALSE)</f>
        <v>14</v>
      </c>
      <c r="F98" t="s" s="42">
        <f>VLOOKUP(B98,'Player Data'!A1:B734,2,FALSE)</f>
        <v>218</v>
      </c>
      <c r="G98" s="9">
        <f>VLOOKUP(B98,'Player Data'!A1:D734,3,FALSE)</f>
        <v>33</v>
      </c>
      <c r="H98" s="43">
        <f>_xlfn.IFERROR(VLOOKUP(B98,'ADP'!A1:G731,7,FALSE)/1000000,VLOOKUP(B98,'ADP'!A1:G731,7,FALSE))</f>
        <v>8.800000000000001</v>
      </c>
      <c r="I98" s="44">
        <f>IF('Settings'!$E$15="POINTS",((R98*Q98)*'Settings'!$B$12)+(S98*'Settings'!$B$2)+(T98*'Settings'!$B$3)+(U98*'Settings'!$B$4)+(V98*'Settings'!$B$5)+(X98*'Settings'!$B$9)+(AA98*'Settings'!$B$6)+(W98*'Settings'!$B$8)+(AB98*'Settings'!$B$7)+(AC98*'Settings'!$B$14)+(AD98*'Settings'!$B$15)+(AE98*'Settings'!$B$16)+(AF98*'Settings'!$B$17)+(AG98*'Settings'!$B$18)+(U98*'Settings'!$B$13)+(Y98*'Settings'!$B$10)+(Z98*'Settings'!$B$11),VLOOKUP(B98,'Standard Deviations'!A1:C731,3,FALSE))</f>
        <v>365.078643707994</v>
      </c>
      <c r="J98" s="45">
        <f>IF(D98="G",I98/AJ98,I98/Q98)</f>
        <v>4.68283256012563</v>
      </c>
      <c r="K98" s="44">
        <f>VLOOKUP(B98,'D'!A1:F228,6,FALSE)</f>
        <v>24.343505061471</v>
      </c>
      <c r="L98" s="44">
        <f>_xlfn.IFERROR(K98/H98,"N/A")</f>
        <v>2.76630739334898</v>
      </c>
      <c r="M98" s="46">
        <f>IF('Settings'!$E$9="YAHOO",VLOOKUP(B98,'ADP'!A1:E731,2,FALSE),IF('Settings'!$E$9="ESPN",VLOOKUP(B98,'ADP'!A1:E731,3,FALSE),IF('Settings'!$E$9="FANTRAX",VLOOKUP(B98,'ADP'!A1:E731,4,FALSE),VLOOKUP(B98,'ADP'!A1:E731,5,FALSE))))</f>
        <v>78.56999999999999</v>
      </c>
      <c r="N98" s="46">
        <f>_xlfn.IFERROR(M98-A98,"N/A")</f>
        <v>-8.43</v>
      </c>
      <c r="O98" s="46"/>
      <c r="P98" t="s" s="47">
        <f>IF('Settings'!$E$27="ON",VLOOKUP(B98,'ADP'!A1:H731,8,FALSE)," ")</f>
        <v>109</v>
      </c>
      <c r="Q98" s="48">
        <f>IF('Settings'!$E$12="YES",VLOOKUP(B98,'Player Data'!A1:E734,5,FALSE),82)</f>
        <v>77.9610714285714</v>
      </c>
      <c r="R98" s="46">
        <f>VLOOKUP(B98,'Player Data'!$A1:$AE734,6,FALSE)</f>
        <v>24.5160152185307</v>
      </c>
      <c r="S98" s="48">
        <f>VLOOKUP(B98,'Player Data'!$A1:$AE734,7,FALSE)*$Q98*_xlfn.IFERROR((VLOOKUP(P98,'Settings'!$E$28:$F$33,2,FALSE)+1),1)</f>
        <v>11.0345712627809</v>
      </c>
      <c r="T98" s="48">
        <f>VLOOKUP(B98,'Player Data'!$A1:$AE734,8,FALSE)*$Q98*_xlfn.IFERROR((VLOOKUP(P98,'Settings'!$E$28:$F$33,2,FALSE)+1),1)</f>
        <v>35.8879212109681</v>
      </c>
      <c r="U98" s="48">
        <f>SUM(S98:T98)</f>
        <v>46.922492473749</v>
      </c>
      <c r="V98" s="48">
        <f>VLOOKUP(B98,'Player Data'!$A1:$AE734,10,FALSE)*$Q98*_xlfn.IFERROR(((VLOOKUP(P98,'Settings'!$E$28:$F$33,2,FALSE)/2)+1),1)</f>
        <v>195.859667464020</v>
      </c>
      <c r="W98" s="48">
        <f>VLOOKUP(B98,'Player Data'!$A1:$AE734,11,FALSE)*$Q98*_xlfn.IFERROR((VLOOKUP(P98,'Settings'!$E$28:$F$33,2,FALSE)+1),1)</f>
        <v>1.66162376013377</v>
      </c>
      <c r="X98" s="48">
        <f>VLOOKUP(B98,'Player Data'!$A1:$AE734,12,FALSE)*$Q98*_xlfn.IFERROR((VLOOKUP(P98,'Settings'!$E$28:$F$33,2,FALSE)+1),1)</f>
        <v>12.0185132976307</v>
      </c>
      <c r="Y98" s="48">
        <f>VLOOKUP(B98,'Player Data'!$A1:$AE734,13,FALSE)*$Q98</f>
        <v>0.331957026144264</v>
      </c>
      <c r="Z98" s="48">
        <f>VLOOKUP(B98,'Player Data'!$A1:$AE734,14,FALSE)*$Q98</f>
        <v>2.36438214170735</v>
      </c>
      <c r="AA98" s="48">
        <f>VLOOKUP(B98,'Player Data'!$A1:$AE734,15,FALSE)*$Q98</f>
        <v>173.750350928724</v>
      </c>
      <c r="AB98" s="48">
        <f>VLOOKUP(B98,'Player Data'!$A1:$AE734,16,FALSE)*$Q98</f>
        <v>72.90214365115401</v>
      </c>
      <c r="AC98" s="48">
        <f>VLOOKUP(B98,'Player Data'!$A1:$AE734,17,FALSE)*$Q98*_xlfn.IFERROR((VLOOKUP(P98,'Settings'!$E$28:$F$33,2,FALSE)+1),1)</f>
        <v>5.4404224430872</v>
      </c>
      <c r="AD98" s="48">
        <f>VLOOKUP(B98,'Player Data'!$A1:$AE734,18,FALSE)*$Q98</f>
        <v>27.6785369069797</v>
      </c>
      <c r="AE98" s="48">
        <f>VLOOKUP(B98,'Player Data'!$A1:$AE734,19,FALSE)*$Q98*_xlfn.IFERROR((VLOOKUP(P98,'Settings'!$E$28:$F$33,2,FALSE)+1),1)</f>
        <v>1.80335001994401</v>
      </c>
      <c r="AF98" s="48">
        <f>VLOOKUP(B98,'Player Data'!$A1:$AE734,20,FALSE)*$Q98</f>
        <v>0.356191346612604</v>
      </c>
      <c r="AG98" s="48">
        <f>VLOOKUP(B98,'Player Data'!$A1:$AE734,21,FALSE)*$Q98</f>
        <v>0.452673418920354</v>
      </c>
      <c r="AH98" s="49">
        <f>VLOOKUP(B98,'Player Data'!$A1:$AE734,22,FALSE)</f>
        <v>0.440359577756994</v>
      </c>
      <c r="AI98" s="46"/>
      <c r="AJ98" s="50"/>
      <c r="AK98" s="48"/>
      <c r="AL98" s="48"/>
      <c r="AM98" s="48"/>
      <c r="AN98" s="48"/>
      <c r="AO98" s="48"/>
      <c r="AP98" s="48"/>
      <c r="AQ98" s="51"/>
      <c r="AR98" s="52"/>
      <c r="AS98" s="46"/>
    </row>
    <row r="99" ht="21.25" customHeight="1">
      <c r="A99" s="53">
        <f>RANK(K99,K2:K730)</f>
        <v>126</v>
      </c>
      <c r="B99" t="s" s="8">
        <v>247</v>
      </c>
      <c r="C99" t="s" s="39">
        <v>106</v>
      </c>
      <c r="D99" t="s" s="40">
        <f>VLOOKUP(B99,'Player Data'!A1:D734,4,FALSE)</f>
        <v>129</v>
      </c>
      <c r="E99" s="56">
        <f>VLOOKUP(B99,'D'!A1:C228,3,FALSE)</f>
        <v>27</v>
      </c>
      <c r="F99" t="s" s="42">
        <f>VLOOKUP(B99,'Player Data'!A1:B734,2,FALSE)</f>
        <v>248</v>
      </c>
      <c r="G99" s="9">
        <f>VLOOKUP(B99,'Player Data'!A1:D734,3,FALSE)</f>
        <v>26</v>
      </c>
      <c r="H99" s="43">
        <f>_xlfn.IFERROR(VLOOKUP(B99,'ADP'!A1:G731,7,FALSE)/1000000,VLOOKUP(B99,'ADP'!A1:G731,7,FALSE))</f>
        <v>7.35</v>
      </c>
      <c r="I99" s="44">
        <f>IF('Settings'!$E$15="POINTS",((R99*Q99)*'Settings'!$B$12)+(S99*'Settings'!$B$2)+(T99*'Settings'!$B$3)+(U99*'Settings'!$B$4)+(V99*'Settings'!$B$5)+(X99*'Settings'!$B$9)+(AA99*'Settings'!$B$6)+(W99*'Settings'!$B$8)+(AB99*'Settings'!$B$7)+(AC99*'Settings'!$B$14)+(AD99*'Settings'!$B$15)+(AE99*'Settings'!$B$16)+(AF99*'Settings'!$B$17)+(AG99*'Settings'!$B$18)+(U99*'Settings'!$B$13)+(Y99*'Settings'!$B$10)+(Z99*'Settings'!$B$11),VLOOKUP(B99,'Standard Deviations'!A1:C731,3,FALSE))</f>
        <v>333.519002805303</v>
      </c>
      <c r="J99" s="45">
        <f>IF(D99="G",I99/AJ99,I99/Q99)</f>
        <v>4.23723732193023</v>
      </c>
      <c r="K99" s="44">
        <f>VLOOKUP(B99,'D'!A1:F228,6,FALSE)</f>
        <v>-7.216135841220</v>
      </c>
      <c r="L99" s="44">
        <f>_xlfn.IFERROR(K99/H99,"N/A")</f>
        <v>-0.981787189281633</v>
      </c>
      <c r="M99" s="46">
        <f>IF('Settings'!$E$9="YAHOO",VLOOKUP(B99,'ADP'!A1:E731,2,FALSE),IF('Settings'!$E$9="ESPN",VLOOKUP(B99,'ADP'!A1:E731,3,FALSE),IF('Settings'!$E$9="FANTRAX",VLOOKUP(B99,'ADP'!A1:E731,4,FALSE),VLOOKUP(B99,'ADP'!A1:E731,5,FALSE))))</f>
        <v>101.25</v>
      </c>
      <c r="N99" s="46">
        <f>_xlfn.IFERROR(M99-A99,"N/A")</f>
        <v>-24.75</v>
      </c>
      <c r="O99" s="46"/>
      <c r="P99" t="s" s="47">
        <f>IF('Settings'!$E$27="ON",VLOOKUP(B99,'ADP'!A1:H731,8,FALSE)," ")</f>
        <v>116</v>
      </c>
      <c r="Q99" s="48">
        <f>IF('Settings'!$E$12="YES",VLOOKUP(B99,'Player Data'!A1:E734,5,FALSE),82)</f>
        <v>78.7114285714286</v>
      </c>
      <c r="R99" s="46">
        <f>VLOOKUP(B99,'Player Data'!$A1:$AE734,6,FALSE)</f>
        <v>23.5538313825843</v>
      </c>
      <c r="S99" s="48">
        <f>VLOOKUP(B99,'Player Data'!$A1:$AE734,7,FALSE)*$Q99*_xlfn.IFERROR((VLOOKUP(P99,'Settings'!$E$28:$F$33,2,FALSE)+1),1)</f>
        <v>11.9094498606933</v>
      </c>
      <c r="T99" s="48">
        <f>VLOOKUP(B99,'Player Data'!$A1:$AE734,8,FALSE)*$Q99*_xlfn.IFERROR((VLOOKUP(P99,'Settings'!$E$28:$F$33,2,FALSE)+1),1)</f>
        <v>44.2582351237332</v>
      </c>
      <c r="U99" s="48">
        <f>SUM(S99:T99)</f>
        <v>56.1676849844265</v>
      </c>
      <c r="V99" s="48">
        <f>VLOOKUP(B99,'Player Data'!$A1:$AE734,10,FALSE)*$Q99*_xlfn.IFERROR(((VLOOKUP(P99,'Settings'!$E$28:$F$33,2,FALSE)/2)+1),1)</f>
        <v>152.774677903444</v>
      </c>
      <c r="W99" s="48">
        <f>VLOOKUP(B99,'Player Data'!$A1:$AE734,11,FALSE)*$Q99*_xlfn.IFERROR((VLOOKUP(P99,'Settings'!$E$28:$F$33,2,FALSE)+1),1)</f>
        <v>1.63068934291497</v>
      </c>
      <c r="X99" s="48">
        <f>VLOOKUP(B99,'Player Data'!$A1:$AE734,12,FALSE)*$Q99*_xlfn.IFERROR((VLOOKUP(P99,'Settings'!$E$28:$F$33,2,FALSE)+1),1)</f>
        <v>16.6649389208676</v>
      </c>
      <c r="Y99" s="48">
        <f>VLOOKUP(B99,'Player Data'!$A1:$AE734,13,FALSE)*$Q99</f>
        <v>0.0225249843369455</v>
      </c>
      <c r="Z99" s="48">
        <f>VLOOKUP(B99,'Player Data'!$A1:$AE734,14,FALSE)*$Q99</f>
        <v>0.0834706050912451</v>
      </c>
      <c r="AA99" s="48">
        <f>VLOOKUP(B99,'Player Data'!$A1:$AE734,15,FALSE)*$Q99</f>
        <v>89.2249205281267</v>
      </c>
      <c r="AB99" s="48">
        <f>VLOOKUP(B99,'Player Data'!$A1:$AE734,16,FALSE)*$Q99</f>
        <v>103.940130540062</v>
      </c>
      <c r="AC99" s="48">
        <f>VLOOKUP(B99,'Player Data'!$A1:$AE734,17,FALSE)*$Q99*_xlfn.IFERROR((VLOOKUP(P99,'Settings'!$E$28:$F$33,2,FALSE)+1),1)</f>
        <v>2.24502036415478</v>
      </c>
      <c r="AD99" s="48">
        <f>VLOOKUP(B99,'Player Data'!$A1:$AE734,18,FALSE)*$Q99</f>
        <v>58.2118136740018</v>
      </c>
      <c r="AE99" s="48">
        <f>VLOOKUP(B99,'Player Data'!$A1:$AE734,19,FALSE)*$Q99*_xlfn.IFERROR((VLOOKUP(P99,'Settings'!$E$28:$F$33,2,FALSE)+1),1)</f>
        <v>1.67400389803267</v>
      </c>
      <c r="AF99" s="48">
        <f>VLOOKUP(B99,'Player Data'!$A1:$AE734,20,FALSE)*$Q99</f>
        <v>0</v>
      </c>
      <c r="AG99" s="48">
        <f>VLOOKUP(B99,'Player Data'!$A1:$AE734,21,FALSE)*$Q99</f>
        <v>0</v>
      </c>
      <c r="AH99" s="49">
        <f>VLOOKUP(B99,'Player Data'!$A1:$AE734,22,FALSE)</f>
        <v>0</v>
      </c>
      <c r="AI99" s="46"/>
      <c r="AJ99" s="50"/>
      <c r="AK99" s="48"/>
      <c r="AL99" s="48"/>
      <c r="AM99" s="48"/>
      <c r="AN99" s="48"/>
      <c r="AO99" s="48"/>
      <c r="AP99" s="48"/>
      <c r="AQ99" s="51"/>
      <c r="AR99" s="52"/>
      <c r="AS99" s="50"/>
    </row>
    <row r="100" ht="21.25" customHeight="1">
      <c r="A100" s="53">
        <f>RANK(K100,K2:K730)</f>
        <v>113</v>
      </c>
      <c r="B100" t="s" s="8">
        <v>249</v>
      </c>
      <c r="C100" t="s" s="39">
        <v>106</v>
      </c>
      <c r="D100" t="s" s="40">
        <f>VLOOKUP(B100,'Player Data'!A1:D734,4,FALSE)</f>
        <v>187</v>
      </c>
      <c r="E100" s="54">
        <f>VLOOKUP(B100,'RW'!A1:F132,3,FALSE)</f>
        <v>25</v>
      </c>
      <c r="F100" t="s" s="42">
        <f>VLOOKUP(B100,'Player Data'!A1:B734,2,FALSE)</f>
        <v>202</v>
      </c>
      <c r="G100" s="9">
        <f>VLOOKUP(B100,'Player Data'!A1:D734,3,FALSE)</f>
        <v>24</v>
      </c>
      <c r="H100" s="43">
        <f>_xlfn.IFERROR(VLOOKUP(B100,'ADP'!A1:G731,7,FALSE)/1000000,VLOOKUP(B100,'ADP'!A1:G731,7,FALSE))</f>
        <v>3</v>
      </c>
      <c r="I100" s="44">
        <f>IF('Settings'!$E$15="POINTS",((R100*Q100)*'Settings'!$B$12)+(S100*'Settings'!$B$2)+(T100*'Settings'!$B$3)+(U100*'Settings'!$B$4)+(V100*'Settings'!$B$5)+(X100*'Settings'!$B$9)+(AA100*'Settings'!$B$6)+(W100*'Settings'!$B$8)+(AB100*'Settings'!$B$7)+(AC100*'Settings'!$B$14)+(AD100*'Settings'!$B$15)+(AE100*'Settings'!$B$16)+(AF100*'Settings'!$B$17)+(AG100*'Settings'!$B$18)+(Y100*'Settings'!$B$10)+(Z100*'Settings'!$B$11),VLOOKUP(B100,'Standard Deviations'!A1:C731,3,FALSE))</f>
        <v>383.059770401307</v>
      </c>
      <c r="J100" s="45">
        <f>IF(D100="G",I100/AJ100,I100/Q100)</f>
        <v>4.72675708472663</v>
      </c>
      <c r="K100" s="44">
        <f>IF('Settings'!$E$18="C/LW/RW",VLOOKUP(B100,'RW'!A1:F132,6,FALSE),VLOOKUP(B100,'F'!A1:F432,6,FALSE))</f>
        <v>1.431206694951</v>
      </c>
      <c r="L100" s="44">
        <f>_xlfn.IFERROR(K100/H100,"N/A")</f>
        <v>0.477068898317</v>
      </c>
      <c r="M100" s="46">
        <f>IF('Settings'!$E$9="YAHOO",VLOOKUP(B100,'ADP'!A1:E731,2,FALSE),IF('Settings'!$E$9="ESPN",VLOOKUP(B100,'ADP'!A1:E731,3,FALSE),IF('Settings'!$E$9="FANTRAX",VLOOKUP(B100,'ADP'!A1:E731,4,FALSE),VLOOKUP(B100,'ADP'!A1:E731,5,FALSE))))</f>
        <v>91.31</v>
      </c>
      <c r="N100" s="46">
        <f>_xlfn.IFERROR(M100-A100,"N/A")</f>
        <v>-21.69</v>
      </c>
      <c r="O100" s="46"/>
      <c r="P100" t="s" s="47">
        <f>IF('Settings'!$E$27="ON",VLOOKUP(B100,'ADP'!A1:H731,8,FALSE)," ")</f>
        <v>109</v>
      </c>
      <c r="Q100" s="48">
        <f>IF('Settings'!$E$12="YES",VLOOKUP(B100,'Player Data'!A1:E734,5,FALSE),82)</f>
        <v>81.0407142857143</v>
      </c>
      <c r="R100" s="46">
        <f>VLOOKUP(B100,'Player Data'!$A1:$AE734,6,FALSE)</f>
        <v>18.3565549174542</v>
      </c>
      <c r="S100" s="48">
        <f>VLOOKUP(B100,'Player Data'!$A1:$AE734,7,FALSE)*$Q100*_xlfn.IFERROR((VLOOKUP(P100,'Settings'!$E$28:$F$33,2,FALSE)+1),1)</f>
        <v>25.7347938570254</v>
      </c>
      <c r="T100" s="48">
        <f>VLOOKUP(B100,'Player Data'!$A1:$AE734,8,FALSE)*$Q100*_xlfn.IFERROR((VLOOKUP(P100,'Settings'!$E$28:$F$33,2,FALSE)+1),1)</f>
        <v>42.179999169562</v>
      </c>
      <c r="U100" s="48">
        <f>SUM(S100:T100)</f>
        <v>67.9147930265874</v>
      </c>
      <c r="V100" s="48">
        <f>VLOOKUP(B100,'Player Data'!$A1:$AE734,10,FALSE)*$Q100*_xlfn.IFERROR(((VLOOKUP(P100,'Settings'!$E$28:$F$33,2,FALSE)/2)+1),1)</f>
        <v>224.194082820344</v>
      </c>
      <c r="W100" s="48">
        <f>VLOOKUP(B100,'Player Data'!$A1:$AE734,11,FALSE)*$Q100*_xlfn.IFERROR((VLOOKUP(P100,'Settings'!$E$28:$F$33,2,FALSE)+1),1)</f>
        <v>6.9723556095952</v>
      </c>
      <c r="X100" s="48">
        <f>VLOOKUP(B100,'Player Data'!$A1:$AE734,12,FALSE)*$Q100*_xlfn.IFERROR((VLOOKUP(P100,'Settings'!$E$28:$F$33,2,FALSE)+1),1)</f>
        <v>21.4609643074371</v>
      </c>
      <c r="Y100" s="48">
        <f>VLOOKUP(B100,'Player Data'!$A1:$AE734,13,FALSE)*$Q100</f>
        <v>0.291596207089684</v>
      </c>
      <c r="Z100" s="48">
        <f>VLOOKUP(B100,'Player Data'!$A1:$AE734,14,FALSE)*$Q100</f>
        <v>0.684000868246492</v>
      </c>
      <c r="AA100" s="48">
        <f>VLOOKUP(B100,'Player Data'!$A1:$AE734,15,FALSE)*$Q100</f>
        <v>23.9953658358222</v>
      </c>
      <c r="AB100" s="48">
        <f>VLOOKUP(B100,'Player Data'!$A1:$AE734,16,FALSE)*$Q100</f>
        <v>61.0018978857225</v>
      </c>
      <c r="AC100" s="48">
        <f>VLOOKUP(B100,'Player Data'!$A1:$AE734,17,FALSE)*$Q100*_xlfn.IFERROR((VLOOKUP(P100,'Settings'!$E$28:$F$33,2,FALSE)+1),1)</f>
        <v>6.09136210337996</v>
      </c>
      <c r="AD100" s="48">
        <f>VLOOKUP(B100,'Player Data'!$A1:$AE734,18,FALSE)*$Q100</f>
        <v>31.7595805849519</v>
      </c>
      <c r="AE100" s="48">
        <f>VLOOKUP(B100,'Player Data'!$A1:$AE734,19,FALSE)*$Q100*_xlfn.IFERROR((VLOOKUP(P100,'Settings'!$E$28:$F$33,2,FALSE)+1),1)</f>
        <v>4.61739826356268</v>
      </c>
      <c r="AF100" s="48">
        <f>VLOOKUP(B100,'Player Data'!$A1:$AE734,20,FALSE)*$Q100</f>
        <v>155.056222709162</v>
      </c>
      <c r="AG100" s="48">
        <f>VLOOKUP(B100,'Player Data'!$A1:$AE734,21,FALSE)*$Q100</f>
        <v>187.939916915358</v>
      </c>
      <c r="AH100" s="49">
        <f>VLOOKUP(B100,'Player Data'!$A1:$AE734,22,FALSE)</f>
        <v>0.452064046198605</v>
      </c>
      <c r="AI100" s="46"/>
      <c r="AJ100" s="50"/>
      <c r="AK100" s="48"/>
      <c r="AL100" s="48"/>
      <c r="AM100" s="48"/>
      <c r="AN100" s="48"/>
      <c r="AO100" s="48"/>
      <c r="AP100" s="48"/>
      <c r="AQ100" s="51"/>
      <c r="AR100" s="52"/>
      <c r="AS100" s="46"/>
    </row>
    <row r="101" ht="21.25" customHeight="1">
      <c r="A101" s="53">
        <f>RANK(K101,K2:K730)</f>
        <v>80</v>
      </c>
      <c r="B101" t="s" s="8">
        <v>250</v>
      </c>
      <c r="C101" t="s" s="39">
        <v>106</v>
      </c>
      <c r="D101" t="s" s="40">
        <f>VLOOKUP(B101,'Player Data'!A1:D734,4,FALSE)</f>
        <v>133</v>
      </c>
      <c r="E101" s="57">
        <f>VLOOKUP(B101,'LW'!A1:C156,3,FALSE)</f>
        <v>23</v>
      </c>
      <c r="F101" t="s" s="42">
        <f>VLOOKUP(B101,'Player Data'!A1:B734,2,FALSE)</f>
        <v>131</v>
      </c>
      <c r="G101" s="9">
        <f>VLOOKUP(B101,'Player Data'!A1:D734,3,FALSE)</f>
        <v>29</v>
      </c>
      <c r="H101" s="43">
        <f>_xlfn.IFERROR(VLOOKUP(B101,'ADP'!A1:G731,7,FALSE)/1000000,VLOOKUP(B101,'ADP'!A1:G731,7,FALSE))</f>
        <v>8.5</v>
      </c>
      <c r="I101" s="44">
        <f>IF('Settings'!$E$15="POINTS",((R101*Q101)*'Settings'!$B$12)+(S101*'Settings'!$B$2)+(T101*'Settings'!$B$3)+(U101*'Settings'!$B$4)+(V101*'Settings'!$B$5)+(X101*'Settings'!$B$9)+(AA101*'Settings'!$B$6)+(W101*'Settings'!$B$8)+(AB101*'Settings'!$B$7)+(AC101*'Settings'!$B$14)+(AD101*'Settings'!$B$15)+(AE101*'Settings'!$B$16)+(AF101*'Settings'!$B$17)+(AG101*'Settings'!$B$18)+(Y101*'Settings'!$B$10)+(Z101*'Settings'!$B$11),VLOOKUP(B101,'Standard Deviations'!A1:C731,3,FALSE))</f>
        <v>411.621822454147</v>
      </c>
      <c r="J101" s="45">
        <f>IF(D101="G",I101/AJ101,I101/Q101)</f>
        <v>5.71116227482774</v>
      </c>
      <c r="K101" s="44">
        <f>IF('Settings'!$E$18="C/LW/RW",VLOOKUP(B101,'LW'!A1:F156,6,FALSE),VLOOKUP(B101,'F'!A1:F432,6,FALSE))</f>
        <v>29.993258747791</v>
      </c>
      <c r="L101" s="44">
        <f>_xlfn.IFERROR(K101/H101,"N/A")</f>
        <v>3.52861867621071</v>
      </c>
      <c r="M101" s="46">
        <f>IF('Settings'!$E$9="YAHOO",VLOOKUP(B101,'ADP'!A1:E731,2,FALSE),IF('Settings'!$E$9="ESPN",VLOOKUP(B101,'ADP'!A1:E731,3,FALSE),IF('Settings'!$E$9="FANTRAX",VLOOKUP(B101,'ADP'!A1:E731,4,FALSE),VLOOKUP(B101,'ADP'!A1:E731,5,FALSE))))</f>
        <v>64.88</v>
      </c>
      <c r="N101" s="46">
        <f>_xlfn.IFERROR(M101-A101,"N/A")</f>
        <v>-15.12</v>
      </c>
      <c r="O101" s="46"/>
      <c r="P101" t="s" s="47">
        <f>IF('Settings'!$E$27="ON",VLOOKUP(B101,'ADP'!A1:H731,8,FALSE)," ")</f>
        <v>116</v>
      </c>
      <c r="Q101" s="48">
        <f>IF('Settings'!$E$12="YES",VLOOKUP(B101,'Player Data'!A1:E734,5,FALSE),82)</f>
        <v>72.0732142857143</v>
      </c>
      <c r="R101" s="46">
        <f>VLOOKUP(B101,'Player Data'!$A1:$AE734,6,FALSE)</f>
        <v>17.3823662698171</v>
      </c>
      <c r="S101" s="48">
        <f>VLOOKUP(B101,'Player Data'!$A1:$AE734,7,FALSE)*$Q101*_xlfn.IFERROR((VLOOKUP(P101,'Settings'!$E$28:$F$33,2,FALSE)+1),1)</f>
        <v>31.4453759465311</v>
      </c>
      <c r="T101" s="48">
        <f>VLOOKUP(B101,'Player Data'!$A1:$AE734,8,FALSE)*$Q101*_xlfn.IFERROR((VLOOKUP(P101,'Settings'!$E$28:$F$33,2,FALSE)+1),1)</f>
        <v>37.4400736698648</v>
      </c>
      <c r="U101" s="48">
        <f>SUM(S101:T101)</f>
        <v>68.8854496163959</v>
      </c>
      <c r="V101" s="48">
        <f>VLOOKUP(B101,'Player Data'!$A1:$AE734,10,FALSE)*$Q101*_xlfn.IFERROR(((VLOOKUP(P101,'Settings'!$E$28:$F$33,2,FALSE)/2)+1),1)</f>
        <v>225.136698122557</v>
      </c>
      <c r="W101" s="48">
        <f>VLOOKUP(B101,'Player Data'!$A1:$AE734,11,FALSE)*$Q101*_xlfn.IFERROR((VLOOKUP(P101,'Settings'!$E$28:$F$33,2,FALSE)+1),1)</f>
        <v>6.84518542549212</v>
      </c>
      <c r="X101" s="48">
        <f>VLOOKUP(B101,'Player Data'!$A1:$AE734,12,FALSE)*$Q101*_xlfn.IFERROR((VLOOKUP(P101,'Settings'!$E$28:$F$33,2,FALSE)+1),1)</f>
        <v>20.3104559616259</v>
      </c>
      <c r="Y101" s="48">
        <f>VLOOKUP(B101,'Player Data'!$A1:$AE734,13,FALSE)*$Q101</f>
        <v>0.0100775737496046</v>
      </c>
      <c r="Z101" s="48">
        <f>VLOOKUP(B101,'Player Data'!$A1:$AE734,14,FALSE)*$Q101</f>
        <v>0.0184263685810007</v>
      </c>
      <c r="AA101" s="48">
        <f>VLOOKUP(B101,'Player Data'!$A1:$AE734,15,FALSE)*$Q101</f>
        <v>34.9106341751568</v>
      </c>
      <c r="AB101" s="48">
        <f>VLOOKUP(B101,'Player Data'!$A1:$AE734,16,FALSE)*$Q101</f>
        <v>110.947563196575</v>
      </c>
      <c r="AC101" s="48">
        <f>VLOOKUP(B101,'Player Data'!$A1:$AE734,17,FALSE)*$Q101*_xlfn.IFERROR((VLOOKUP(P101,'Settings'!$E$28:$F$33,2,FALSE)+1),1)</f>
        <v>0.242250850311611</v>
      </c>
      <c r="AD101" s="48">
        <f>VLOOKUP(B101,'Player Data'!$A1:$AE734,18,FALSE)*$Q101</f>
        <v>27.028692617112</v>
      </c>
      <c r="AE101" s="48">
        <f>VLOOKUP(B101,'Player Data'!$A1:$AE734,19,FALSE)*$Q101*_xlfn.IFERROR((VLOOKUP(P101,'Settings'!$E$28:$F$33,2,FALSE)+1),1)</f>
        <v>4.59184731298714</v>
      </c>
      <c r="AF101" s="48">
        <f>VLOOKUP(B101,'Player Data'!$A1:$AE734,20,FALSE)*$Q101</f>
        <v>1.43443939312899</v>
      </c>
      <c r="AG101" s="48">
        <f>VLOOKUP(B101,'Player Data'!$A1:$AE734,21,FALSE)*$Q101</f>
        <v>1.36472563585065</v>
      </c>
      <c r="AH101" s="49">
        <f>VLOOKUP(B101,'Player Data'!$A1:$AE734,22,FALSE)</f>
        <v>0.5124525986422001</v>
      </c>
      <c r="AI101" s="46"/>
      <c r="AJ101" s="50"/>
      <c r="AK101" s="48"/>
      <c r="AL101" s="48"/>
      <c r="AM101" s="48"/>
      <c r="AN101" s="48"/>
      <c r="AO101" s="48"/>
      <c r="AP101" s="48"/>
      <c r="AQ101" s="51"/>
      <c r="AR101" s="52"/>
      <c r="AS101" s="50"/>
    </row>
    <row r="102" ht="21.25" customHeight="1">
      <c r="A102" s="53">
        <f>RANK(K102,K2:K730)</f>
        <v>93</v>
      </c>
      <c r="B102" t="s" s="8">
        <v>251</v>
      </c>
      <c r="C102" t="s" s="39">
        <v>106</v>
      </c>
      <c r="D102" t="s" s="40">
        <f>VLOOKUP(B102,'Player Data'!A1:D734,4,FALSE)</f>
        <v>107</v>
      </c>
      <c r="E102" s="41">
        <f>VLOOKUP(B102,'C'!A1:C218,3,FALSE)</f>
        <v>28</v>
      </c>
      <c r="F102" t="s" s="42">
        <f>VLOOKUP(B102,'Player Data'!A1:B734,2,FALSE)</f>
        <v>238</v>
      </c>
      <c r="G102" s="9">
        <f>VLOOKUP(B102,'Player Data'!A1:D734,3,FALSE)</f>
        <v>28</v>
      </c>
      <c r="H102" s="43">
        <f>_xlfn.IFERROR(VLOOKUP(B102,'ADP'!A1:G731,7,FALSE)/1000000,VLOOKUP(B102,'ADP'!A1:G731,7,FALSE))</f>
        <v>4.85</v>
      </c>
      <c r="I102" s="44">
        <f>IF('Settings'!$E$15="POINTS",((R102*Q102)*'Settings'!$B$12)+(S102*'Settings'!$B$2)+(T102*'Settings'!$B$3)+(U102*'Settings'!$B$4)+(V102*'Settings'!$B$5)+(X102*'Settings'!$B$9)+(AA102*'Settings'!$B$6)+(W102*'Settings'!$B$8)+(AB102*'Settings'!$B$7)+(AC102*'Settings'!$B$14)+(AD102*'Settings'!$B$15)+(AE102*'Settings'!$B$16)+(AF102*'Settings'!$B$17)+(AG102*'Settings'!$B$18)+(Y102*'Settings'!$B$10)+(Z102*'Settings'!$B$11),VLOOKUP(B102,'Standard Deviations'!A1:C731,3,FALSE))</f>
        <v>412.971004757655</v>
      </c>
      <c r="J102" s="45">
        <f>IF(D102="G",I102/AJ102,I102/Q102)</f>
        <v>5.06650723540247</v>
      </c>
      <c r="K102" s="44">
        <f>IF('Settings'!$E$18="C/LW/RW",VLOOKUP(B102,'C'!A1:F218,6,FALSE),VLOOKUP(B102,'F'!A1:F432,6,FALSE))</f>
        <v>17.196803121640</v>
      </c>
      <c r="L102" s="44">
        <f>_xlfn.IFERROR(K102/H102,"N/A")</f>
        <v>3.5457326024</v>
      </c>
      <c r="M102" s="46">
        <f>IF('Settings'!$E$9="YAHOO",VLOOKUP(B102,'ADP'!A1:E731,2,FALSE),IF('Settings'!$E$9="ESPN",VLOOKUP(B102,'ADP'!A1:E731,3,FALSE),IF('Settings'!$E$9="FANTRAX",VLOOKUP(B102,'ADP'!A1:E731,4,FALSE),VLOOKUP(B102,'ADP'!A1:E731,5,FALSE))))</f>
        <v>108.84</v>
      </c>
      <c r="N102" s="46">
        <f>_xlfn.IFERROR(M102-A102,"N/A")</f>
        <v>15.84</v>
      </c>
      <c r="O102" s="46"/>
      <c r="P102" t="s" s="47">
        <f>IF('Settings'!$E$27="ON",VLOOKUP(B102,'ADP'!A1:H731,8,FALSE)," ")</f>
        <v>109</v>
      </c>
      <c r="Q102" s="48">
        <f>IF('Settings'!$E$12="YES",VLOOKUP(B102,'Player Data'!A1:E734,5,FALSE),82)</f>
        <v>81.51000000000001</v>
      </c>
      <c r="R102" s="46">
        <f>VLOOKUP(B102,'Player Data'!$A1:$AE734,6,FALSE)</f>
        <v>19.3996199273993</v>
      </c>
      <c r="S102" s="48">
        <f>VLOOKUP(B102,'Player Data'!$A1:$AE734,7,FALSE)*$Q102*_xlfn.IFERROR((VLOOKUP(P102,'Settings'!$E$28:$F$33,2,FALSE)+1),1)</f>
        <v>29.8739035154887</v>
      </c>
      <c r="T102" s="48">
        <f>VLOOKUP(B102,'Player Data'!$A1:$AE734,8,FALSE)*$Q102*_xlfn.IFERROR((VLOOKUP(P102,'Settings'!$E$28:$F$33,2,FALSE)+1),1)</f>
        <v>41.0257621874608</v>
      </c>
      <c r="U102" s="48">
        <f>SUM(S102:T102)</f>
        <v>70.89966570294951</v>
      </c>
      <c r="V102" s="48">
        <f>VLOOKUP(B102,'Player Data'!$A1:$AE734,10,FALSE)*$Q102*_xlfn.IFERROR(((VLOOKUP(P102,'Settings'!$E$28:$F$33,2,FALSE)/2)+1),1)</f>
        <v>205.933487005671</v>
      </c>
      <c r="W102" s="48">
        <f>VLOOKUP(B102,'Player Data'!$A1:$AE734,11,FALSE)*$Q102*_xlfn.IFERROR((VLOOKUP(P102,'Settings'!$E$28:$F$33,2,FALSE)+1),1)</f>
        <v>10.5741034815307</v>
      </c>
      <c r="X102" s="48">
        <f>VLOOKUP(B102,'Player Data'!$A1:$AE734,12,FALSE)*$Q102*_xlfn.IFERROR((VLOOKUP(P102,'Settings'!$E$28:$F$33,2,FALSE)+1),1)</f>
        <v>21.8080530882041</v>
      </c>
      <c r="Y102" s="48">
        <f>VLOOKUP(B102,'Player Data'!$A1:$AE734,13,FALSE)*$Q102</f>
        <v>0.8181063699207189</v>
      </c>
      <c r="Z102" s="48">
        <f>VLOOKUP(B102,'Player Data'!$A1:$AE734,14,FALSE)*$Q102</f>
        <v>2.30037372418836</v>
      </c>
      <c r="AA102" s="48">
        <f>VLOOKUP(B102,'Player Data'!$A1:$AE734,15,FALSE)*$Q102</f>
        <v>50.8395975726274</v>
      </c>
      <c r="AB102" s="48">
        <f>VLOOKUP(B102,'Player Data'!$A1:$AE734,16,FALSE)*$Q102</f>
        <v>89.8954505521892</v>
      </c>
      <c r="AC102" s="48">
        <f>VLOOKUP(B102,'Player Data'!$A1:$AE734,17,FALSE)*$Q102*_xlfn.IFERROR((VLOOKUP(P102,'Settings'!$E$28:$F$33,2,FALSE)+1),1)</f>
        <v>4.86961935458157</v>
      </c>
      <c r="AD102" s="48">
        <f>VLOOKUP(B102,'Player Data'!$A1:$AE734,18,FALSE)*$Q102</f>
        <v>23.1378321128218</v>
      </c>
      <c r="AE102" s="48">
        <f>VLOOKUP(B102,'Player Data'!$A1:$AE734,19,FALSE)*$Q102*_xlfn.IFERROR((VLOOKUP(P102,'Settings'!$E$28:$F$33,2,FALSE)+1),1)</f>
        <v>4.99187699991825</v>
      </c>
      <c r="AF102" s="48">
        <f>VLOOKUP(B102,'Player Data'!$A1:$AE734,20,FALSE)*$Q102</f>
        <v>855.521443420655</v>
      </c>
      <c r="AG102" s="48">
        <f>VLOOKUP(B102,'Player Data'!$A1:$AE734,21,FALSE)*$Q102</f>
        <v>734.369180164080</v>
      </c>
      <c r="AH102" s="49">
        <f>VLOOKUP(B102,'Player Data'!$A1:$AE734,22,FALSE)</f>
        <v>0.538100816955386</v>
      </c>
      <c r="AI102" s="46"/>
      <c r="AJ102" s="50"/>
      <c r="AK102" s="48"/>
      <c r="AL102" s="48"/>
      <c r="AM102" s="48"/>
      <c r="AN102" s="48"/>
      <c r="AO102" s="48"/>
      <c r="AP102" s="48"/>
      <c r="AQ102" s="51"/>
      <c r="AR102" s="52"/>
      <c r="AS102" s="46"/>
    </row>
    <row r="103" ht="21.25" customHeight="1">
      <c r="A103" s="53">
        <f>RANK(K103,K2:K730)</f>
        <v>95</v>
      </c>
      <c r="B103" t="s" s="8">
        <v>252</v>
      </c>
      <c r="C103" t="s" s="39">
        <v>106</v>
      </c>
      <c r="D103" t="s" s="40">
        <f>VLOOKUP(B103,'Player Data'!A1:D734,4,FALSE)</f>
        <v>118</v>
      </c>
      <c r="E103" s="54">
        <f>VLOOKUP(B103,'LW'!A1:C156,3,FALSE)</f>
        <v>29</v>
      </c>
      <c r="F103" t="s" s="42">
        <f>VLOOKUP(B103,'Player Data'!A1:B734,2,FALSE)</f>
        <v>113</v>
      </c>
      <c r="G103" s="9">
        <f>VLOOKUP(B103,'Player Data'!A1:D734,3,FALSE)</f>
        <v>28</v>
      </c>
      <c r="H103" s="43">
        <f>_xlfn.IFERROR(VLOOKUP(B103,'ADP'!A1:G731,7,FALSE)/1000000,VLOOKUP(B103,'ADP'!A1:G731,7,FALSE))</f>
        <v>6.125</v>
      </c>
      <c r="I103" s="44">
        <f>IF('Settings'!$E$15="POINTS",((R103*Q103)*'Settings'!$B$12)+(S103*'Settings'!$B$2)+(T103*'Settings'!$B$3)+(U103*'Settings'!$B$4)+(V103*'Settings'!$B$5)+(X103*'Settings'!$B$9)+(AA103*'Settings'!$B$6)+(W103*'Settings'!$B$8)+(AB103*'Settings'!$B$7)+(AC103*'Settings'!$B$14)+(AD103*'Settings'!$B$15)+(AE103*'Settings'!$B$16)+(AF103*'Settings'!$B$17)+(AG103*'Settings'!$B$18)+(Y103*'Settings'!$B$10)+(Z103*'Settings'!$B$11),VLOOKUP(B103,'Standard Deviations'!A1:C731,3,FALSE))</f>
        <v>397.404159517415</v>
      </c>
      <c r="J103" s="45">
        <f>IF(D103="G",I103/AJ103,I103/Q103)</f>
        <v>5.37133749426177</v>
      </c>
      <c r="K103" s="44">
        <f>IF('Settings'!$E$18="C/LW/RW",VLOOKUP(B103,'RW'!A1:F132,6,FALSE),VLOOKUP(B103,'F'!A1:F432,6,FALSE))</f>
        <v>15.775595811059</v>
      </c>
      <c r="L103" s="44">
        <f>_xlfn.IFERROR(K103/H103,"N/A")</f>
        <v>2.57560747935657</v>
      </c>
      <c r="M103" s="46">
        <f>IF('Settings'!$E$9="YAHOO",VLOOKUP(B103,'ADP'!A1:E731,2,FALSE),IF('Settings'!$E$9="ESPN",VLOOKUP(B103,'ADP'!A1:E731,3,FALSE),IF('Settings'!$E$9="FANTRAX",VLOOKUP(B103,'ADP'!A1:E731,4,FALSE),VLOOKUP(B103,'ADP'!A1:E731,5,FALSE))))</f>
        <v>90.47</v>
      </c>
      <c r="N103" s="46">
        <f>_xlfn.IFERROR(M103-A103,"N/A")</f>
        <v>-4.53</v>
      </c>
      <c r="O103" s="46"/>
      <c r="P103" t="s" s="47">
        <f>IF('Settings'!$E$27="ON",VLOOKUP(B103,'ADP'!A1:H731,8,FALSE)," ")</f>
        <v>109</v>
      </c>
      <c r="Q103" s="48">
        <f>IF('Settings'!$E$12="YES",VLOOKUP(B103,'Player Data'!A1:E734,5,FALSE),82)</f>
        <v>73.98607142857141</v>
      </c>
      <c r="R103" s="46">
        <f>VLOOKUP(B103,'Player Data'!$A1:$AE734,6,FALSE)</f>
        <v>20.4072528168251</v>
      </c>
      <c r="S103" s="48">
        <f>VLOOKUP(B103,'Player Data'!$A1:$AE734,7,FALSE)*$Q103*_xlfn.IFERROR((VLOOKUP(P103,'Settings'!$E$28:$F$33,2,FALSE)+1),1)</f>
        <v>27.7842370676043</v>
      </c>
      <c r="T103" s="48">
        <f>VLOOKUP(B103,'Player Data'!$A1:$AE734,8,FALSE)*$Q103*_xlfn.IFERROR((VLOOKUP(P103,'Settings'!$E$28:$F$33,2,FALSE)+1),1)</f>
        <v>37.5652127030599</v>
      </c>
      <c r="U103" s="48">
        <f>SUM(S103:T103)</f>
        <v>65.34944977066419</v>
      </c>
      <c r="V103" s="48">
        <f>VLOOKUP(B103,'Player Data'!$A1:$AE734,10,FALSE)*$Q103*_xlfn.IFERROR(((VLOOKUP(P103,'Settings'!$E$28:$F$33,2,FALSE)/2)+1),1)</f>
        <v>220.889347310394</v>
      </c>
      <c r="W103" s="48">
        <f>VLOOKUP(B103,'Player Data'!$A1:$AE734,11,FALSE)*$Q103*_xlfn.IFERROR((VLOOKUP(P103,'Settings'!$E$28:$F$33,2,FALSE)+1),1)</f>
        <v>11.2828842866472</v>
      </c>
      <c r="X103" s="48">
        <f>VLOOKUP(B103,'Player Data'!$A1:$AE734,12,FALSE)*$Q103*_xlfn.IFERROR((VLOOKUP(P103,'Settings'!$E$28:$F$33,2,FALSE)+1),1)</f>
        <v>20.3890733214013</v>
      </c>
      <c r="Y103" s="48">
        <f>VLOOKUP(B103,'Player Data'!$A1:$AE734,13,FALSE)*$Q103</f>
        <v>1.12269818240014</v>
      </c>
      <c r="Z103" s="48">
        <f>VLOOKUP(B103,'Player Data'!$A1:$AE734,14,FALSE)*$Q103</f>
        <v>2.54754888400938</v>
      </c>
      <c r="AA103" s="48">
        <f>VLOOKUP(B103,'Player Data'!$A1:$AE734,15,FALSE)*$Q103</f>
        <v>45.6891495052097</v>
      </c>
      <c r="AB103" s="48">
        <f>VLOOKUP(B103,'Player Data'!$A1:$AE734,16,FALSE)*$Q103</f>
        <v>85.1804337127827</v>
      </c>
      <c r="AC103" s="48">
        <f>VLOOKUP(B103,'Player Data'!$A1:$AE734,17,FALSE)*$Q103*_xlfn.IFERROR((VLOOKUP(P103,'Settings'!$E$28:$F$33,2,FALSE)+1),1)</f>
        <v>6.14530104581664</v>
      </c>
      <c r="AD103" s="48">
        <f>VLOOKUP(B103,'Player Data'!$A1:$AE734,18,FALSE)*$Q103</f>
        <v>14.6667358236886</v>
      </c>
      <c r="AE103" s="48">
        <f>VLOOKUP(B103,'Player Data'!$A1:$AE734,19,FALSE)*$Q103*_xlfn.IFERROR((VLOOKUP(P103,'Settings'!$E$28:$F$33,2,FALSE)+1),1)</f>
        <v>4.39588492196781</v>
      </c>
      <c r="AF103" s="48">
        <f>VLOOKUP(B103,'Player Data'!$A1:$AE734,20,FALSE)*$Q103</f>
        <v>0.349565191412261</v>
      </c>
      <c r="AG103" s="48">
        <f>VLOOKUP(B103,'Player Data'!$A1:$AE734,21,FALSE)*$Q103</f>
        <v>5.42678845875742</v>
      </c>
      <c r="AH103" s="49">
        <f>VLOOKUP(B103,'Player Data'!$A1:$AE734,22,FALSE)</f>
        <v>0.0605165840914177</v>
      </c>
      <c r="AI103" s="46"/>
      <c r="AJ103" s="48"/>
      <c r="AK103" s="48"/>
      <c r="AL103" s="48"/>
      <c r="AM103" s="48"/>
      <c r="AN103" s="48"/>
      <c r="AO103" s="48"/>
      <c r="AP103" s="48"/>
      <c r="AQ103" s="51"/>
      <c r="AR103" s="52"/>
      <c r="AS103" s="46"/>
    </row>
    <row r="104" ht="21.25" customHeight="1">
      <c r="A104" s="53">
        <f>RANK(K104,K2:K730)</f>
        <v>119</v>
      </c>
      <c r="B104" t="s" s="8">
        <v>253</v>
      </c>
      <c r="C104" t="s" s="39">
        <v>106</v>
      </c>
      <c r="D104" t="s" s="40">
        <f>VLOOKUP(B104,'Player Data'!A1:D734,4,FALSE)</f>
        <v>133</v>
      </c>
      <c r="E104" s="57">
        <f>VLOOKUP(B104,'LW'!A1:C156,3,FALSE)</f>
        <v>35</v>
      </c>
      <c r="F104" t="s" s="42">
        <f>VLOOKUP(B104,'Player Data'!A1:B734,2,FALSE)</f>
        <v>238</v>
      </c>
      <c r="G104" s="9">
        <f>VLOOKUP(B104,'Player Data'!A1:D734,3,FALSE)</f>
        <v>30</v>
      </c>
      <c r="H104" s="43">
        <f>_xlfn.IFERROR(VLOOKUP(B104,'ADP'!A1:G731,7,FALSE)/1000000,VLOOKUP(B104,'ADP'!A1:G731,7,FALSE))</f>
        <v>10.5</v>
      </c>
      <c r="I104" s="44">
        <f>IF('Settings'!$E$15="POINTS",((R104*Q104)*'Settings'!$B$12)+(S104*'Settings'!$B$2)+(T104*'Settings'!$B$3)+(U104*'Settings'!$B$4)+(V104*'Settings'!$B$5)+(X104*'Settings'!$B$9)+(AA104*'Settings'!$B$6)+(W104*'Settings'!$B$8)+(AB104*'Settings'!$B$7)+(AC104*'Settings'!$B$14)+(AD104*'Settings'!$B$15)+(AE104*'Settings'!$B$16)+(AF104*'Settings'!$B$17)+(AG104*'Settings'!$B$18)+(Y104*'Settings'!$B$10)+(Z104*'Settings'!$B$11),VLOOKUP(B104,'Standard Deviations'!A1:C731,3,FALSE))</f>
        <v>377.869432920536</v>
      </c>
      <c r="J104" s="45">
        <f>IF(D104="G",I104/AJ104,I104/Q104)</f>
        <v>4.6823969382966</v>
      </c>
      <c r="K104" s="44">
        <f>IF('Settings'!$E$18="C/LW/RW",VLOOKUP(B104,'LW'!A1:F156,6,FALSE),VLOOKUP(B104,'F'!A1:F432,6,FALSE))</f>
        <v>-3.759130785820</v>
      </c>
      <c r="L104" s="44">
        <f>_xlfn.IFERROR(K104/H104,"N/A")</f>
        <v>-0.358012455792381</v>
      </c>
      <c r="M104" s="46">
        <f>IF('Settings'!$E$9="YAHOO",VLOOKUP(B104,'ADP'!A1:E731,2,FALSE),IF('Settings'!$E$9="ESPN",VLOOKUP(B104,'ADP'!A1:E731,3,FALSE),IF('Settings'!$E$9="FANTRAX",VLOOKUP(B104,'ADP'!A1:E731,4,FALSE),VLOOKUP(B104,'ADP'!A1:E731,5,FALSE))))</f>
        <v>79.75</v>
      </c>
      <c r="N104" s="46">
        <f>_xlfn.IFERROR(M104-A104,"N/A")</f>
        <v>-39.25</v>
      </c>
      <c r="O104" s="46"/>
      <c r="P104" t="s" s="47">
        <f>IF('Settings'!$E$27="ON",VLOOKUP(B104,'ADP'!A1:H731,8,FALSE)," ")</f>
        <v>109</v>
      </c>
      <c r="Q104" s="48">
        <f>IF('Settings'!$E$12="YES",VLOOKUP(B104,'Player Data'!A1:E734,5,FALSE),82)</f>
        <v>80.7</v>
      </c>
      <c r="R104" s="46">
        <f>VLOOKUP(B104,'Player Data'!$A1:$AE734,6,FALSE)</f>
        <v>18.0033008230162</v>
      </c>
      <c r="S104" s="48">
        <f>VLOOKUP(B104,'Player Data'!$A1:$AE734,7,FALSE)*$Q104*_xlfn.IFERROR((VLOOKUP(P104,'Settings'!$E$28:$F$33,2,FALSE)+1),1)</f>
        <v>21.5610645857264</v>
      </c>
      <c r="T104" s="48">
        <f>VLOOKUP(B104,'Player Data'!$A1:$AE734,8,FALSE)*$Q104*_xlfn.IFERROR((VLOOKUP(P104,'Settings'!$E$28:$F$33,2,FALSE)+1),1)</f>
        <v>55.0557777343116</v>
      </c>
      <c r="U104" s="48">
        <f>SUM(S104:T104)</f>
        <v>76.616842320038</v>
      </c>
      <c r="V104" s="48">
        <f>VLOOKUP(B104,'Player Data'!$A1:$AE734,10,FALSE)*$Q104*_xlfn.IFERROR(((VLOOKUP(P104,'Settings'!$E$28:$F$33,2,FALSE)/2)+1),1)</f>
        <v>162.728976320770</v>
      </c>
      <c r="W104" s="48">
        <f>VLOOKUP(B104,'Player Data'!$A1:$AE734,11,FALSE)*$Q104*_xlfn.IFERROR((VLOOKUP(P104,'Settings'!$E$28:$F$33,2,FALSE)+1),1)</f>
        <v>4.93190075268125</v>
      </c>
      <c r="X104" s="48">
        <f>VLOOKUP(B104,'Player Data'!$A1:$AE734,12,FALSE)*$Q104*_xlfn.IFERROR((VLOOKUP(P104,'Settings'!$E$28:$F$33,2,FALSE)+1),1)</f>
        <v>23.2806244228566</v>
      </c>
      <c r="Y104" s="48">
        <f>VLOOKUP(B104,'Player Data'!$A1:$AE734,13,FALSE)*$Q104</f>
        <v>0.17912845646123</v>
      </c>
      <c r="Z104" s="48">
        <f>VLOOKUP(B104,'Player Data'!$A1:$AE734,14,FALSE)*$Q104</f>
        <v>0.309938811309558</v>
      </c>
      <c r="AA104" s="48">
        <f>VLOOKUP(B104,'Player Data'!$A1:$AE734,15,FALSE)*$Q104</f>
        <v>28.0346766939424</v>
      </c>
      <c r="AB104" s="48">
        <f>VLOOKUP(B104,'Player Data'!$A1:$AE734,16,FALSE)*$Q104</f>
        <v>78.70241980742919</v>
      </c>
      <c r="AC104" s="48">
        <f>VLOOKUP(B104,'Player Data'!$A1:$AE734,17,FALSE)*$Q104*_xlfn.IFERROR((VLOOKUP(P104,'Settings'!$E$28:$F$33,2,FALSE)+1),1)</f>
        <v>3.67459200551199</v>
      </c>
      <c r="AD104" s="48">
        <f>VLOOKUP(B104,'Player Data'!$A1:$AE734,18,FALSE)*$Q104</f>
        <v>36.2123644402414</v>
      </c>
      <c r="AE104" s="48">
        <f>VLOOKUP(B104,'Player Data'!$A1:$AE734,19,FALSE)*$Q104*_xlfn.IFERROR((VLOOKUP(P104,'Settings'!$E$28:$F$33,2,FALSE)+1),1)</f>
        <v>3.6028161617191</v>
      </c>
      <c r="AF104" s="48">
        <f>VLOOKUP(B104,'Player Data'!$A1:$AE734,20,FALSE)*$Q104</f>
        <v>9.394303435372249</v>
      </c>
      <c r="AG104" s="48">
        <f>VLOOKUP(B104,'Player Data'!$A1:$AE734,21,FALSE)*$Q104</f>
        <v>17.269506259747</v>
      </c>
      <c r="AH104" s="49">
        <f>VLOOKUP(B104,'Player Data'!$A1:$AE734,22,FALSE)</f>
        <v>0.352324125576543</v>
      </c>
      <c r="AI104" s="46"/>
      <c r="AJ104" s="50"/>
      <c r="AK104" s="48"/>
      <c r="AL104" s="48"/>
      <c r="AM104" s="48"/>
      <c r="AN104" s="48"/>
      <c r="AO104" s="48"/>
      <c r="AP104" s="48"/>
      <c r="AQ104" s="51"/>
      <c r="AR104" s="52"/>
      <c r="AS104" s="46"/>
    </row>
    <row r="105" ht="21.25" customHeight="1">
      <c r="A105" s="53">
        <f>RANK(K105,K2:K730)</f>
        <v>104</v>
      </c>
      <c r="B105" t="s" s="8">
        <v>254</v>
      </c>
      <c r="C105" t="s" s="39">
        <v>106</v>
      </c>
      <c r="D105" t="s" s="40">
        <f>VLOOKUP(B105,'Player Data'!A1:D734,4,FALSE)</f>
        <v>129</v>
      </c>
      <c r="E105" s="56">
        <f>VLOOKUP(B105,'D'!A1:C228,3,FALSE)</f>
        <v>18</v>
      </c>
      <c r="F105" t="s" s="42">
        <f>VLOOKUP(B105,'Player Data'!A1:B734,2,FALSE)</f>
        <v>170</v>
      </c>
      <c r="G105" s="9">
        <f>VLOOKUP(B105,'Player Data'!A1:D734,3,FALSE)</f>
        <v>36</v>
      </c>
      <c r="H105" s="43">
        <f>_xlfn.IFERROR(VLOOKUP(B105,'ADP'!A1:G731,7,FALSE)/1000000,VLOOKUP(B105,'ADP'!A1:G731,7,FALSE))</f>
        <v>6.1</v>
      </c>
      <c r="I105" s="44">
        <f>IF('Settings'!$E$15="POINTS",((R105*Q105)*'Settings'!$B$12)+(S105*'Settings'!$B$2)+(T105*'Settings'!$B$3)+(U105*'Settings'!$B$4)+(V105*'Settings'!$B$5)+(X105*'Settings'!$B$9)+(AA105*'Settings'!$B$6)+(W105*'Settings'!$B$8)+(AB105*'Settings'!$B$7)+(AC105*'Settings'!$B$14)+(AD105*'Settings'!$B$15)+(AE105*'Settings'!$B$16)+(AF105*'Settings'!$B$17)+(AG105*'Settings'!$B$18)+(U105*'Settings'!$B$13)+(Y105*'Settings'!$B$10)+(Z105*'Settings'!$B$11),VLOOKUP(B105,'Standard Deviations'!A1:C731,3,FALSE))</f>
        <v>349.696212578686</v>
      </c>
      <c r="J105" s="45">
        <f>IF(D105="G",I105/AJ105,I105/Q105)</f>
        <v>4.47533409154214</v>
      </c>
      <c r="K105" s="44">
        <f>VLOOKUP(B105,'D'!A1:F228,6,FALSE)</f>
        <v>8.961073932163</v>
      </c>
      <c r="L105" s="44">
        <f>_xlfn.IFERROR(K105/H105,"N/A")</f>
        <v>1.46902851346934</v>
      </c>
      <c r="M105" s="46">
        <f>IF('Settings'!$E$9="YAHOO",VLOOKUP(B105,'ADP'!A1:E731,2,FALSE),IF('Settings'!$E$9="ESPN",VLOOKUP(B105,'ADP'!A1:E731,3,FALSE),IF('Settings'!$E$9="FANTRAX",VLOOKUP(B105,'ADP'!A1:E731,4,FALSE),VLOOKUP(B105,'ADP'!A1:E731,5,FALSE))))</f>
        <v>92.48999999999999</v>
      </c>
      <c r="N105" s="46">
        <f>_xlfn.IFERROR(M105-A105,"N/A")</f>
        <v>-11.51</v>
      </c>
      <c r="O105" s="46"/>
      <c r="P105" t="s" s="47">
        <f>IF('Settings'!$E$27="ON",VLOOKUP(B105,'ADP'!A1:H731,8,FALSE)," ")</f>
        <v>175</v>
      </c>
      <c r="Q105" s="48">
        <f>IF('Settings'!$E$12="YES",VLOOKUP(B105,'Player Data'!A1:E734,5,FALSE),82)</f>
        <v>78.1385714285714</v>
      </c>
      <c r="R105" s="46">
        <f>VLOOKUP(B105,'Player Data'!$A1:$AE734,6,FALSE)</f>
        <v>23.7331719893293</v>
      </c>
      <c r="S105" s="48">
        <f>VLOOKUP(B105,'Player Data'!$A1:$AE734,7,FALSE)*$Q105*_xlfn.IFERROR((VLOOKUP(P105,'Settings'!$E$28:$F$33,2,FALSE)+1),1)</f>
        <v>9.183390839329</v>
      </c>
      <c r="T105" s="48">
        <f>VLOOKUP(B105,'Player Data'!$A1:$AE734,8,FALSE)*$Q105*_xlfn.IFERROR((VLOOKUP(P105,'Settings'!$E$28:$F$33,2,FALSE)+1),1)</f>
        <v>38.1243997676993</v>
      </c>
      <c r="U105" s="48">
        <f>SUM(S105:T105)</f>
        <v>47.3077906070283</v>
      </c>
      <c r="V105" s="48">
        <f>VLOOKUP(B105,'Player Data'!$A1:$AE734,10,FALSE)*$Q105*_xlfn.IFERROR(((VLOOKUP(P105,'Settings'!$E$28:$F$33,2,FALSE)/2)+1),1)</f>
        <v>181.144101863233</v>
      </c>
      <c r="W105" s="48">
        <f>VLOOKUP(B105,'Player Data'!$A1:$AE734,11,FALSE)*$Q105*_xlfn.IFERROR((VLOOKUP(P105,'Settings'!$E$28:$F$33,2,FALSE)+1),1)</f>
        <v>2.48190447256553</v>
      </c>
      <c r="X105" s="48">
        <f>VLOOKUP(B105,'Player Data'!$A1:$AE734,12,FALSE)*$Q105*_xlfn.IFERROR((VLOOKUP(P105,'Settings'!$E$28:$F$33,2,FALSE)+1),1)</f>
        <v>14.2116814970316</v>
      </c>
      <c r="Y105" s="48">
        <f>VLOOKUP(B105,'Player Data'!$A1:$AE734,13,FALSE)*$Q105</f>
        <v>0.35744974151013</v>
      </c>
      <c r="Z105" s="48">
        <f>VLOOKUP(B105,'Player Data'!$A1:$AE734,14,FALSE)*$Q105</f>
        <v>0.559923481319808</v>
      </c>
      <c r="AA105" s="48">
        <f>VLOOKUP(B105,'Player Data'!$A1:$AE734,15,FALSE)*$Q105</f>
        <v>122.363649540404</v>
      </c>
      <c r="AB105" s="48">
        <f>VLOOKUP(B105,'Player Data'!$A1:$AE734,16,FALSE)*$Q105</f>
        <v>164.496127336599</v>
      </c>
      <c r="AC105" s="48">
        <f>VLOOKUP(B105,'Player Data'!$A1:$AE734,17,FALSE)*$Q105*_xlfn.IFERROR((VLOOKUP(P105,'Settings'!$E$28:$F$33,2,FALSE)+1),1)</f>
        <v>2.16351434640426</v>
      </c>
      <c r="AD105" s="48">
        <f>VLOOKUP(B105,'Player Data'!$A1:$AE734,18,FALSE)*$Q105</f>
        <v>41.440484232320</v>
      </c>
      <c r="AE105" s="48">
        <f>VLOOKUP(B105,'Player Data'!$A1:$AE734,19,FALSE)*$Q105*_xlfn.IFERROR((VLOOKUP(P105,'Settings'!$E$28:$F$33,2,FALSE)+1),1)</f>
        <v>1.47411811268971</v>
      </c>
      <c r="AF105" s="48">
        <f>VLOOKUP(B105,'Player Data'!$A1:$AE734,20,FALSE)*$Q105</f>
        <v>0</v>
      </c>
      <c r="AG105" s="48">
        <f>VLOOKUP(B105,'Player Data'!$A1:$AE734,21,FALSE)*$Q105</f>
        <v>0.167162355928668</v>
      </c>
      <c r="AH105" s="49">
        <f>VLOOKUP(B105,'Player Data'!$A1:$AE734,22,FALSE)</f>
        <v>0</v>
      </c>
      <c r="AI105" s="46"/>
      <c r="AJ105" s="50"/>
      <c r="AK105" s="48"/>
      <c r="AL105" s="48"/>
      <c r="AM105" s="48"/>
      <c r="AN105" s="48"/>
      <c r="AO105" s="48"/>
      <c r="AP105" s="48"/>
      <c r="AQ105" s="51"/>
      <c r="AR105" s="52"/>
      <c r="AS105" s="46"/>
    </row>
    <row r="106" ht="21.25" customHeight="1">
      <c r="A106" s="53">
        <f>RANK(K106,K2:K730)</f>
        <v>149</v>
      </c>
      <c r="B106" t="s" s="8">
        <v>255</v>
      </c>
      <c r="C106" t="s" s="39">
        <v>106</v>
      </c>
      <c r="D106" t="s" s="40">
        <f>VLOOKUP(B106,'Player Data'!A1:D734,4,FALSE)</f>
        <v>121</v>
      </c>
      <c r="E106" s="55">
        <f>VLOOKUP(B106,'RW'!A1:F132,3,FALSE)</f>
        <v>34</v>
      </c>
      <c r="F106" t="s" s="42">
        <f>VLOOKUP(B106,'Player Data'!A1:B734,2,FALSE)</f>
        <v>134</v>
      </c>
      <c r="G106" s="9">
        <f>VLOOKUP(B106,'Player Data'!A1:D734,3,FALSE)</f>
        <v>35</v>
      </c>
      <c r="H106" s="43">
        <f>_xlfn.IFERROR(VLOOKUP(B106,'ADP'!A1:G731,7,FALSE)/1000000,VLOOKUP(B106,'ADP'!A1:G731,7,FALSE))</f>
        <v>6</v>
      </c>
      <c r="I106" s="44">
        <f>IF('Settings'!$E$15="POINTS",((R106*Q106)*'Settings'!$B$12)+(S106*'Settings'!$B$2)+(T106*'Settings'!$B$3)+(U106*'Settings'!$B$4)+(V106*'Settings'!$B$5)+(X106*'Settings'!$B$9)+(AA106*'Settings'!$B$6)+(W106*'Settings'!$B$8)+(AB106*'Settings'!$B$7)+(AC106*'Settings'!$B$14)+(AD106*'Settings'!$B$15)+(AE106*'Settings'!$B$16)+(AF106*'Settings'!$B$17)+(AG106*'Settings'!$B$18)+(Y106*'Settings'!$B$10)+(Z106*'Settings'!$B$11),VLOOKUP(B106,'Standard Deviations'!A1:C731,3,FALSE))</f>
        <v>356.936483815501</v>
      </c>
      <c r="J106" s="45">
        <f>IF(D106="G",I106/AJ106,I106/Q106)</f>
        <v>4.56440516388109</v>
      </c>
      <c r="K106" s="44">
        <f>IF('Settings'!$E$18="C/LW/RW",VLOOKUP(B106,'RW'!A1:F132,6,FALSE),VLOOKUP(B106,'F'!A1:F432,6,FALSE))</f>
        <v>-24.692079890855</v>
      </c>
      <c r="L106" s="44">
        <f>_xlfn.IFERROR(K106/H106,"N/A")</f>
        <v>-4.11534664847583</v>
      </c>
      <c r="M106" s="46">
        <f>IF('Settings'!$E$9="YAHOO",VLOOKUP(B106,'ADP'!A1:E731,2,FALSE),IF('Settings'!$E$9="ESPN",VLOOKUP(B106,'ADP'!A1:E731,3,FALSE),IF('Settings'!$E$9="FANTRAX",VLOOKUP(B106,'ADP'!A1:E731,4,FALSE),VLOOKUP(B106,'ADP'!A1:E731,5,FALSE))))</f>
        <v>119.24</v>
      </c>
      <c r="N106" s="46">
        <f>_xlfn.IFERROR(M106-A106,"N/A")</f>
        <v>-29.76</v>
      </c>
      <c r="O106" s="46"/>
      <c r="P106" t="s" s="47">
        <f>IF('Settings'!$E$27="ON",VLOOKUP(B106,'ADP'!A1:H731,8,FALSE)," ")</f>
        <v>175</v>
      </c>
      <c r="Q106" s="48">
        <f>IF('Settings'!$E$12="YES",VLOOKUP(B106,'Player Data'!A1:E734,5,FALSE),82)</f>
        <v>78.2</v>
      </c>
      <c r="R106" s="46">
        <f>VLOOKUP(B106,'Player Data'!$A1:$AE734,6,FALSE)</f>
        <v>18.9603441546428</v>
      </c>
      <c r="S106" s="48">
        <f>VLOOKUP(B106,'Player Data'!$A1:$AE734,7,FALSE)*$Q106*_xlfn.IFERROR((VLOOKUP(P106,'Settings'!$E$28:$F$33,2,FALSE)+1),1)</f>
        <v>21.1323765725545</v>
      </c>
      <c r="T106" s="48">
        <f>VLOOKUP(B106,'Player Data'!$A1:$AE734,8,FALSE)*$Q106*_xlfn.IFERROR((VLOOKUP(P106,'Settings'!$E$28:$F$33,2,FALSE)+1),1)</f>
        <v>45.2591001281009</v>
      </c>
      <c r="U106" s="48">
        <f>SUM(S106:T106)</f>
        <v>66.3914767006554</v>
      </c>
      <c r="V106" s="48">
        <f>VLOOKUP(B106,'Player Data'!$A1:$AE734,10,FALSE)*$Q106*_xlfn.IFERROR(((VLOOKUP(P106,'Settings'!$E$28:$F$33,2,FALSE)/2)+1),1)</f>
        <v>183.685752858695</v>
      </c>
      <c r="W106" s="48">
        <f>VLOOKUP(B106,'Player Data'!$A1:$AE734,11,FALSE)*$Q106*_xlfn.IFERROR((VLOOKUP(P106,'Settings'!$E$28:$F$33,2,FALSE)+1),1)</f>
        <v>7.6237848522976</v>
      </c>
      <c r="X106" s="48">
        <f>VLOOKUP(B106,'Player Data'!$A1:$AE734,12,FALSE)*$Q106*_xlfn.IFERROR((VLOOKUP(P106,'Settings'!$E$28:$F$33,2,FALSE)+1),1)</f>
        <v>26.4527226493825</v>
      </c>
      <c r="Y106" s="48">
        <f>VLOOKUP(B106,'Player Data'!$A1:$AE734,13,FALSE)*$Q106</f>
        <v>0.0418034001450414</v>
      </c>
      <c r="Z106" s="48">
        <f>VLOOKUP(B106,'Player Data'!$A1:$AE734,14,FALSE)*$Q106</f>
        <v>0.0790449800540847</v>
      </c>
      <c r="AA106" s="48">
        <f>VLOOKUP(B106,'Player Data'!$A1:$AE734,15,FALSE)*$Q106</f>
        <v>43.9112874333249</v>
      </c>
      <c r="AB106" s="48">
        <f>VLOOKUP(B106,'Player Data'!$A1:$AE734,16,FALSE)*$Q106</f>
        <v>48.4275149943379</v>
      </c>
      <c r="AC106" s="48">
        <f>VLOOKUP(B106,'Player Data'!$A1:$AE734,17,FALSE)*$Q106*_xlfn.IFERROR((VLOOKUP(P106,'Settings'!$E$28:$F$33,2,FALSE)+1),1)</f>
        <v>2.16704007992585</v>
      </c>
      <c r="AD106" s="48">
        <f>VLOOKUP(B106,'Player Data'!$A1:$AE734,18,FALSE)*$Q106</f>
        <v>26.4421105362285</v>
      </c>
      <c r="AE106" s="48">
        <f>VLOOKUP(B106,'Player Data'!$A1:$AE734,19,FALSE)*$Q106*_xlfn.IFERROR((VLOOKUP(P106,'Settings'!$E$28:$F$33,2,FALSE)+1),1)</f>
        <v>3.39336128174901</v>
      </c>
      <c r="AF106" s="48">
        <f>VLOOKUP(B106,'Player Data'!$A1:$AE734,20,FALSE)*$Q106</f>
        <v>22.4476980309359</v>
      </c>
      <c r="AG106" s="48">
        <f>VLOOKUP(B106,'Player Data'!$A1:$AE734,21,FALSE)*$Q106</f>
        <v>35.7012412332838</v>
      </c>
      <c r="AH106" s="49">
        <f>VLOOKUP(B106,'Player Data'!$A1:$AE734,22,FALSE)</f>
        <v>0.386037962428465</v>
      </c>
      <c r="AI106" s="46"/>
      <c r="AJ106" s="50"/>
      <c r="AK106" s="48"/>
      <c r="AL106" s="48"/>
      <c r="AM106" s="48"/>
      <c r="AN106" s="48"/>
      <c r="AO106" s="48"/>
      <c r="AP106" s="48"/>
      <c r="AQ106" s="51"/>
      <c r="AR106" s="52"/>
      <c r="AS106" s="46"/>
    </row>
    <row r="107" ht="21.25" customHeight="1">
      <c r="A107" s="53">
        <f>RANK(K107,K2:K730)</f>
        <v>82</v>
      </c>
      <c r="B107" t="s" s="8">
        <v>256</v>
      </c>
      <c r="C107" t="s" s="39">
        <v>106</v>
      </c>
      <c r="D107" t="s" s="40">
        <f>VLOOKUP(B107,'Player Data'!A1:D734,4,FALSE)</f>
        <v>187</v>
      </c>
      <c r="E107" s="54">
        <f>VLOOKUP(B107,'RW'!A1:F132,3,FALSE)</f>
        <v>17</v>
      </c>
      <c r="F107" t="s" s="42">
        <f>VLOOKUP(B107,'Player Data'!A1:B734,2,FALSE)</f>
        <v>204</v>
      </c>
      <c r="G107" s="9">
        <f>VLOOKUP(B107,'Player Data'!A1:D734,3,FALSE)</f>
        <v>26</v>
      </c>
      <c r="H107" s="43">
        <f>_xlfn.IFERROR(VLOOKUP(B107,'ADP'!A1:G731,7,FALSE)/1000000,VLOOKUP(B107,'ADP'!A1:G731,7,FALSE))</f>
        <v>5.5</v>
      </c>
      <c r="I107" s="44">
        <f>IF('Settings'!$E$15="POINTS",((R107*Q107)*'Settings'!$B$12)+(S107*'Settings'!$B$2)+(T107*'Settings'!$B$3)+(U107*'Settings'!$B$4)+(V107*'Settings'!$B$5)+(X107*'Settings'!$B$9)+(AA107*'Settings'!$B$6)+(W107*'Settings'!$B$8)+(AB107*'Settings'!$B$7)+(AC107*'Settings'!$B$14)+(AD107*'Settings'!$B$15)+(AE107*'Settings'!$B$16)+(AF107*'Settings'!$B$17)+(AG107*'Settings'!$B$18)+(Y107*'Settings'!$B$10)+(Z107*'Settings'!$B$11),VLOOKUP(B107,'Standard Deviations'!A1:C731,3,FALSE))</f>
        <v>410.7826647549</v>
      </c>
      <c r="J107" s="45">
        <f>IF(D107="G",I107/AJ107,I107/Q107)</f>
        <v>5.04151527681517</v>
      </c>
      <c r="K107" s="44">
        <f>IF('Settings'!$E$18="C/LW/RW",VLOOKUP(B107,'RW'!A1:F132,6,FALSE),VLOOKUP(B107,'F'!A1:F432,6,FALSE))</f>
        <v>29.154101048544</v>
      </c>
      <c r="L107" s="44">
        <f>_xlfn.IFERROR(K107/H107,"N/A")</f>
        <v>5.30074564518982</v>
      </c>
      <c r="M107" s="46">
        <f>IF('Settings'!$E$9="YAHOO",VLOOKUP(B107,'ADP'!A1:E731,2,FALSE),IF('Settings'!$E$9="ESPN",VLOOKUP(B107,'ADP'!A1:E731,3,FALSE),IF('Settings'!$E$9="FANTRAX",VLOOKUP(B107,'ADP'!A1:E731,4,FALSE),VLOOKUP(B107,'ADP'!A1:E731,5,FALSE))))</f>
        <v>62.93</v>
      </c>
      <c r="N107" s="46">
        <f>_xlfn.IFERROR(M107-A107,"N/A")</f>
        <v>-19.07</v>
      </c>
      <c r="O107" s="46"/>
      <c r="P107" t="s" s="47">
        <f>IF('Settings'!$E$27="ON",VLOOKUP(B107,'ADP'!A1:H731,8,FALSE)," ")</f>
        <v>109</v>
      </c>
      <c r="Q107" s="48">
        <f>IF('Settings'!$E$12="YES",VLOOKUP(B107,'Player Data'!A1:E734,5,FALSE),82)</f>
        <v>81.48</v>
      </c>
      <c r="R107" s="46">
        <f>VLOOKUP(B107,'Player Data'!$A1:$AE734,6,FALSE)</f>
        <v>18.7638607183689</v>
      </c>
      <c r="S107" s="48">
        <f>VLOOKUP(B107,'Player Data'!$A1:$AE734,7,FALSE)*$Q107*_xlfn.IFERROR((VLOOKUP(P107,'Settings'!$E$28:$F$33,2,FALSE)+1),1)</f>
        <v>35.9370301107449</v>
      </c>
      <c r="T107" s="48">
        <f>VLOOKUP(B107,'Player Data'!$A1:$AE734,8,FALSE)*$Q107*_xlfn.IFERROR((VLOOKUP(P107,'Settings'!$E$28:$F$33,2,FALSE)+1),1)</f>
        <v>26.0123291613194</v>
      </c>
      <c r="U107" s="48">
        <f>SUM(S107:T107)</f>
        <v>61.9493592720643</v>
      </c>
      <c r="V107" s="48">
        <f>VLOOKUP(B107,'Player Data'!$A1:$AE734,10,FALSE)*$Q107*_xlfn.IFERROR(((VLOOKUP(P107,'Settings'!$E$28:$F$33,2,FALSE)/2)+1),1)</f>
        <v>242.412542398139</v>
      </c>
      <c r="W107" s="48">
        <f>VLOOKUP(B107,'Player Data'!$A1:$AE734,11,FALSE)*$Q107*_xlfn.IFERROR((VLOOKUP(P107,'Settings'!$E$28:$F$33,2,FALSE)+1),1)</f>
        <v>8.80379797426604</v>
      </c>
      <c r="X107" s="48">
        <f>VLOOKUP(B107,'Player Data'!$A1:$AE734,12,FALSE)*$Q107*_xlfn.IFERROR((VLOOKUP(P107,'Settings'!$E$28:$F$33,2,FALSE)+1),1)</f>
        <v>19.1761980845945</v>
      </c>
      <c r="Y107" s="48">
        <f>VLOOKUP(B107,'Player Data'!$A1:$AE734,13,FALSE)*$Q107</f>
        <v>2.5906714901778</v>
      </c>
      <c r="Z107" s="48">
        <f>VLOOKUP(B107,'Player Data'!$A1:$AE734,14,FALSE)*$Q107</f>
        <v>2.69717069975697</v>
      </c>
      <c r="AA107" s="48">
        <f>VLOOKUP(B107,'Player Data'!$A1:$AE734,15,FALSE)*$Q107</f>
        <v>32.5157620406694</v>
      </c>
      <c r="AB107" s="48">
        <f>VLOOKUP(B107,'Player Data'!$A1:$AE734,16,FALSE)*$Q107</f>
        <v>112.682192614688</v>
      </c>
      <c r="AC107" s="48">
        <f>VLOOKUP(B107,'Player Data'!$A1:$AE734,17,FALSE)*$Q107*_xlfn.IFERROR((VLOOKUP(P107,'Settings'!$E$28:$F$33,2,FALSE)+1),1)</f>
        <v>0.08011626895178341</v>
      </c>
      <c r="AD107" s="48">
        <f>VLOOKUP(B107,'Player Data'!$A1:$AE734,18,FALSE)*$Q107</f>
        <v>44.9420286484187</v>
      </c>
      <c r="AE107" s="48">
        <f>VLOOKUP(B107,'Player Data'!$A1:$AE734,19,FALSE)*$Q107*_xlfn.IFERROR((VLOOKUP(P107,'Settings'!$E$28:$F$33,2,FALSE)+1),1)</f>
        <v>5.32087461721993</v>
      </c>
      <c r="AF107" s="48">
        <f>VLOOKUP(B107,'Player Data'!$A1:$AE734,20,FALSE)*$Q107</f>
        <v>22.4204898923533</v>
      </c>
      <c r="AG107" s="48">
        <f>VLOOKUP(B107,'Player Data'!$A1:$AE734,21,FALSE)*$Q107</f>
        <v>34.2367872725916</v>
      </c>
      <c r="AH107" s="49">
        <f>VLOOKUP(B107,'Player Data'!$A1:$AE734,22,FALSE)</f>
        <v>0.395721273845919</v>
      </c>
      <c r="AI107" s="46"/>
      <c r="AJ107" s="50"/>
      <c r="AK107" s="48"/>
      <c r="AL107" s="48"/>
      <c r="AM107" s="48"/>
      <c r="AN107" s="48"/>
      <c r="AO107" s="48"/>
      <c r="AP107" s="48"/>
      <c r="AQ107" s="51"/>
      <c r="AR107" s="52"/>
      <c r="AS107" s="46"/>
    </row>
    <row r="108" ht="21.25" customHeight="1">
      <c r="A108" s="53">
        <f>RANK(K108,K2:K730)</f>
        <v>115</v>
      </c>
      <c r="B108" t="s" s="8">
        <v>257</v>
      </c>
      <c r="C108" t="s" s="39">
        <v>106</v>
      </c>
      <c r="D108" t="s" s="40">
        <f>VLOOKUP(B108,'Player Data'!A1:D734,4,FALSE)</f>
        <v>118</v>
      </c>
      <c r="E108" s="54">
        <f>VLOOKUP(B108,'LW'!A1:C156,3,FALSE)</f>
        <v>34</v>
      </c>
      <c r="F108" t="s" s="42">
        <f>VLOOKUP(B108,'Player Data'!A1:B734,2,FALSE)</f>
        <v>258</v>
      </c>
      <c r="G108" s="9">
        <f>VLOOKUP(B108,'Player Data'!A1:D734,3,FALSE)</f>
        <v>22</v>
      </c>
      <c r="H108" s="43">
        <f>_xlfn.IFERROR(VLOOKUP(B108,'ADP'!A1:G731,7,FALSE)/1000000,VLOOKUP(B108,'ADP'!A1:G731,7,FALSE))</f>
        <v>7.85</v>
      </c>
      <c r="I108" s="44">
        <f>IF('Settings'!$E$15="POINTS",((R108*Q108)*'Settings'!$B$12)+(S108*'Settings'!$B$2)+(T108*'Settings'!$B$3)+(U108*'Settings'!$B$4)+(V108*'Settings'!$B$5)+(X108*'Settings'!$B$9)+(AA108*'Settings'!$B$6)+(W108*'Settings'!$B$8)+(AB108*'Settings'!$B$7)+(AC108*'Settings'!$B$14)+(AD108*'Settings'!$B$15)+(AE108*'Settings'!$B$16)+(AF108*'Settings'!$B$17)+(AG108*'Settings'!$B$18)+(Y108*'Settings'!$B$10)+(Z108*'Settings'!$B$11),VLOOKUP(B108,'Standard Deviations'!A1:C731,3,FALSE))</f>
        <v>381.628563706356</v>
      </c>
      <c r="J108" s="45">
        <f>IF(D108="G",I108/AJ108,I108/Q108)</f>
        <v>5.22564102021575</v>
      </c>
      <c r="K108" s="44">
        <f>IF('Settings'!$E$18="C/LW/RW",VLOOKUP(B108,'RW'!A1:F132,6,FALSE),VLOOKUP(B108,'F'!A1:F432,6,FALSE))</f>
        <v>0</v>
      </c>
      <c r="L108" s="44">
        <f>_xlfn.IFERROR(K108/H108,"N/A")</f>
        <v>0</v>
      </c>
      <c r="M108" s="46">
        <f>IF('Settings'!$E$9="YAHOO",VLOOKUP(B108,'ADP'!A1:E731,2,FALSE),IF('Settings'!$E$9="ESPN",VLOOKUP(B108,'ADP'!A1:E731,3,FALSE),IF('Settings'!$E$9="FANTRAX",VLOOKUP(B108,'ADP'!A1:E731,4,FALSE),VLOOKUP(B108,'ADP'!A1:E731,5,FALSE))))</f>
        <v>72.33</v>
      </c>
      <c r="N108" s="46">
        <f>_xlfn.IFERROR(M108-A108,"N/A")</f>
        <v>-42.67</v>
      </c>
      <c r="O108" s="46"/>
      <c r="P108" t="s" s="47">
        <f>IF('Settings'!$E$27="ON",VLOOKUP(B108,'ADP'!A1:H731,8,FALSE)," ")</f>
        <v>116</v>
      </c>
      <c r="Q108" s="48">
        <f>IF('Settings'!$E$12="YES",VLOOKUP(B108,'Player Data'!A1:E734,5,FALSE),82)</f>
        <v>73.03</v>
      </c>
      <c r="R108" s="46">
        <f>VLOOKUP(B108,'Player Data'!$A1:$AE734,6,FALSE)</f>
        <v>18.1097208337553</v>
      </c>
      <c r="S108" s="48">
        <f>VLOOKUP(B108,'Player Data'!$A1:$AE734,7,FALSE)*$Q108*_xlfn.IFERROR((VLOOKUP(P108,'Settings'!$E$28:$F$33,2,FALSE)+1),1)</f>
        <v>36.3794777540115</v>
      </c>
      <c r="T108" s="48">
        <f>VLOOKUP(B108,'Player Data'!$A1:$AE734,8,FALSE)*$Q108*_xlfn.IFERROR((VLOOKUP(P108,'Settings'!$E$28:$F$33,2,FALSE)+1),1)</f>
        <v>25.8972954317713</v>
      </c>
      <c r="U108" s="48">
        <f>SUM(S108:T108)</f>
        <v>62.2767731857828</v>
      </c>
      <c r="V108" s="48">
        <f>VLOOKUP(B108,'Player Data'!$A1:$AE734,10,FALSE)*$Q108*_xlfn.IFERROR(((VLOOKUP(P108,'Settings'!$E$28:$F$33,2,FALSE)/2)+1),1)</f>
        <v>245.841990920681</v>
      </c>
      <c r="W108" s="48">
        <f>VLOOKUP(B108,'Player Data'!$A1:$AE734,11,FALSE)*$Q108*_xlfn.IFERROR((VLOOKUP(P108,'Settings'!$E$28:$F$33,2,FALSE)+1),1)</f>
        <v>9.790272130958821</v>
      </c>
      <c r="X108" s="48">
        <f>VLOOKUP(B108,'Player Data'!$A1:$AE734,12,FALSE)*$Q108*_xlfn.IFERROR((VLOOKUP(P108,'Settings'!$E$28:$F$33,2,FALSE)+1),1)</f>
        <v>18.8622444710364</v>
      </c>
      <c r="Y108" s="48">
        <f>VLOOKUP(B108,'Player Data'!$A1:$AE734,13,FALSE)*$Q108</f>
        <v>0.00334609302779083</v>
      </c>
      <c r="Z108" s="48">
        <f>VLOOKUP(B108,'Player Data'!$A1:$AE734,14,FALSE)*$Q108</f>
        <v>0.00616223390677958</v>
      </c>
      <c r="AA108" s="48">
        <f>VLOOKUP(B108,'Player Data'!$A1:$AE734,15,FALSE)*$Q108</f>
        <v>18.0412204311329</v>
      </c>
      <c r="AB108" s="48">
        <f>VLOOKUP(B108,'Player Data'!$A1:$AE734,16,FALSE)*$Q108</f>
        <v>33.1003894970784</v>
      </c>
      <c r="AC108" s="48">
        <f>VLOOKUP(B108,'Player Data'!$A1:$AE734,17,FALSE)*$Q108*_xlfn.IFERROR((VLOOKUP(P108,'Settings'!$E$28:$F$33,2,FALSE)+1),1)</f>
        <v>-7.37435627342077</v>
      </c>
      <c r="AD108" s="48">
        <f>VLOOKUP(B108,'Player Data'!$A1:$AE734,18,FALSE)*$Q108</f>
        <v>14.2069792235742</v>
      </c>
      <c r="AE108" s="48">
        <f>VLOOKUP(B108,'Player Data'!$A1:$AE734,19,FALSE)*$Q108*_xlfn.IFERROR((VLOOKUP(P108,'Settings'!$E$28:$F$33,2,FALSE)+1),1)</f>
        <v>3.72679062855899</v>
      </c>
      <c r="AF108" s="48">
        <f>VLOOKUP(B108,'Player Data'!$A1:$AE734,20,FALSE)*$Q108</f>
        <v>0.630085467430794</v>
      </c>
      <c r="AG108" s="48">
        <f>VLOOKUP(B108,'Player Data'!$A1:$AE734,21,FALSE)*$Q108</f>
        <v>1.87045194710481</v>
      </c>
      <c r="AH108" s="49">
        <f>VLOOKUP(B108,'Player Data'!$A1:$AE734,22,FALSE)</f>
        <v>0.251980019882171</v>
      </c>
      <c r="AI108" s="46"/>
      <c r="AJ108" s="50"/>
      <c r="AK108" s="48"/>
      <c r="AL108" s="48"/>
      <c r="AM108" s="48"/>
      <c r="AN108" s="48"/>
      <c r="AO108" s="48"/>
      <c r="AP108" s="48"/>
      <c r="AQ108" s="51"/>
      <c r="AR108" s="52"/>
      <c r="AS108" s="46"/>
    </row>
    <row r="109" ht="21.25" customHeight="1">
      <c r="A109" s="53">
        <f>RANK(K109,K2:K730)</f>
        <v>123</v>
      </c>
      <c r="B109" t="s" s="8">
        <v>259</v>
      </c>
      <c r="C109" t="s" s="39">
        <v>106</v>
      </c>
      <c r="D109" t="s" s="40">
        <f>VLOOKUP(B109,'Player Data'!A1:D734,4,FALSE)</f>
        <v>121</v>
      </c>
      <c r="E109" s="55">
        <f>VLOOKUP(B109,'RW'!A1:F132,3,FALSE)</f>
        <v>27</v>
      </c>
      <c r="F109" t="s" s="42">
        <f>VLOOKUP(B109,'Player Data'!A1:B734,2,FALSE)</f>
        <v>173</v>
      </c>
      <c r="G109" s="9">
        <f>VLOOKUP(B109,'Player Data'!A1:D734,3,FALSE)</f>
        <v>25</v>
      </c>
      <c r="H109" s="43">
        <f>_xlfn.IFERROR(VLOOKUP(B109,'ADP'!A1:G731,7,FALSE)/1000000,VLOOKUP(B109,'ADP'!A1:G731,7,FALSE))</f>
        <v>4.975</v>
      </c>
      <c r="I109" s="44">
        <f>IF('Settings'!$E$15="POINTS",((R109*Q109)*'Settings'!$B$12)+(S109*'Settings'!$B$2)+(T109*'Settings'!$B$3)+(U109*'Settings'!$B$4)+(V109*'Settings'!$B$5)+(X109*'Settings'!$B$9)+(AA109*'Settings'!$B$6)+(W109*'Settings'!$B$8)+(AB109*'Settings'!$B$7)+(AC109*'Settings'!$B$14)+(AD109*'Settings'!$B$15)+(AE109*'Settings'!$B$16)+(AF109*'Settings'!$B$17)+(AG109*'Settings'!$B$18)+(Y109*'Settings'!$B$10)+(Z109*'Settings'!$B$11),VLOOKUP(B109,'Standard Deviations'!A1:C731,3,FALSE))</f>
        <v>375.663050828843</v>
      </c>
      <c r="J109" s="45">
        <f>IF(D109="G",I109/AJ109,I109/Q109)</f>
        <v>4.87367735896268</v>
      </c>
      <c r="K109" s="44">
        <f>IF('Settings'!$E$18="C/LW/RW",VLOOKUP(B109,'RW'!A1:F132,6,FALSE),VLOOKUP(B109,'F'!A1:F432,6,FALSE))</f>
        <v>-5.965512877513</v>
      </c>
      <c r="L109" s="44">
        <f>_xlfn.IFERROR(K109/H109,"N/A")</f>
        <v>-1.19909806583176</v>
      </c>
      <c r="M109" s="46">
        <f>IF('Settings'!$E$9="YAHOO",VLOOKUP(B109,'ADP'!A1:E731,2,FALSE),IF('Settings'!$E$9="ESPN",VLOOKUP(B109,'ADP'!A1:E731,3,FALSE),IF('Settings'!$E$9="FANTRAX",VLOOKUP(B109,'ADP'!A1:E731,4,FALSE),VLOOKUP(B109,'ADP'!A1:E731,5,FALSE))))</f>
        <v>99.59</v>
      </c>
      <c r="N109" s="46">
        <f>_xlfn.IFERROR(M109-A109,"N/A")</f>
        <v>-23.41</v>
      </c>
      <c r="O109" s="46"/>
      <c r="P109" t="s" s="47">
        <f>IF('Settings'!$E$27="ON",VLOOKUP(B109,'ADP'!A1:H731,8,FALSE)," ")</f>
        <v>109</v>
      </c>
      <c r="Q109" s="48">
        <f>IF('Settings'!$E$12="YES",VLOOKUP(B109,'Player Data'!A1:E734,5,FALSE),82)</f>
        <v>77.08</v>
      </c>
      <c r="R109" s="46">
        <f>VLOOKUP(B109,'Player Data'!$A1:$AE734,6,FALSE)</f>
        <v>18.2517564047637</v>
      </c>
      <c r="S109" s="48">
        <f>VLOOKUP(B109,'Player Data'!$A1:$AE734,7,FALSE)*$Q109*_xlfn.IFERROR((VLOOKUP(P109,'Settings'!$E$28:$F$33,2,FALSE)+1),1)</f>
        <v>24.1548242769142</v>
      </c>
      <c r="T109" s="48">
        <f>VLOOKUP(B109,'Player Data'!$A1:$AE734,8,FALSE)*$Q109*_xlfn.IFERROR((VLOOKUP(P109,'Settings'!$E$28:$F$33,2,FALSE)+1),1)</f>
        <v>38.4203795730107</v>
      </c>
      <c r="U109" s="48">
        <f>SUM(S109:T109)</f>
        <v>62.5752038499249</v>
      </c>
      <c r="V109" s="48">
        <f>VLOOKUP(B109,'Player Data'!$A1:$AE734,10,FALSE)*$Q109*_xlfn.IFERROR(((VLOOKUP(P109,'Settings'!$E$28:$F$33,2,FALSE)/2)+1),1)</f>
        <v>215.552254419738</v>
      </c>
      <c r="W109" s="48">
        <f>VLOOKUP(B109,'Player Data'!$A1:$AE734,11,FALSE)*$Q109*_xlfn.IFERROR((VLOOKUP(P109,'Settings'!$E$28:$F$33,2,FALSE)+1),1)</f>
        <v>9.667924200367111</v>
      </c>
      <c r="X109" s="48">
        <f>VLOOKUP(B109,'Player Data'!$A1:$AE734,12,FALSE)*$Q109*_xlfn.IFERROR((VLOOKUP(P109,'Settings'!$E$28:$F$33,2,FALSE)+1),1)</f>
        <v>24.1470386129067</v>
      </c>
      <c r="Y109" s="48">
        <f>VLOOKUP(B109,'Player Data'!$A1:$AE734,13,FALSE)*$Q109</f>
        <v>0.0195791124506731</v>
      </c>
      <c r="Z109" s="48">
        <f>VLOOKUP(B109,'Player Data'!$A1:$AE734,14,FALSE)*$Q109</f>
        <v>0.035664500689099</v>
      </c>
      <c r="AA109" s="48">
        <f>VLOOKUP(B109,'Player Data'!$A1:$AE734,15,FALSE)*$Q109</f>
        <v>32.2049012047276</v>
      </c>
      <c r="AB109" s="48">
        <f>VLOOKUP(B109,'Player Data'!$A1:$AE734,16,FALSE)*$Q109</f>
        <v>111.021184200345</v>
      </c>
      <c r="AC109" s="48">
        <f>VLOOKUP(B109,'Player Data'!$A1:$AE734,17,FALSE)*$Q109*_xlfn.IFERROR((VLOOKUP(P109,'Settings'!$E$28:$F$33,2,FALSE)+1),1)</f>
        <v>0.302888273857609</v>
      </c>
      <c r="AD109" s="48">
        <f>VLOOKUP(B109,'Player Data'!$A1:$AE734,18,FALSE)*$Q109</f>
        <v>29.272643916534</v>
      </c>
      <c r="AE109" s="48">
        <f>VLOOKUP(B109,'Player Data'!$A1:$AE734,19,FALSE)*$Q109*_xlfn.IFERROR((VLOOKUP(P109,'Settings'!$E$28:$F$33,2,FALSE)+1),1)</f>
        <v>3.63254518478591</v>
      </c>
      <c r="AF109" s="48">
        <f>VLOOKUP(B109,'Player Data'!$A1:$AE734,20,FALSE)*$Q109</f>
        <v>13.6123432297353</v>
      </c>
      <c r="AG109" s="48">
        <f>VLOOKUP(B109,'Player Data'!$A1:$AE734,21,FALSE)*$Q109</f>
        <v>23.1608556906375</v>
      </c>
      <c r="AH109" s="49">
        <f>VLOOKUP(B109,'Player Data'!$A1:$AE734,22,FALSE)</f>
        <v>0.370170222590939</v>
      </c>
      <c r="AI109" s="46"/>
      <c r="AJ109" s="50"/>
      <c r="AK109" s="48"/>
      <c r="AL109" s="48"/>
      <c r="AM109" s="48"/>
      <c r="AN109" s="48"/>
      <c r="AO109" s="48"/>
      <c r="AP109" s="48"/>
      <c r="AQ109" s="51"/>
      <c r="AR109" s="52"/>
      <c r="AS109" s="46"/>
    </row>
    <row r="110" ht="21.25" customHeight="1">
      <c r="A110" s="53">
        <f>RANK(K110,K2:K730)</f>
        <v>110</v>
      </c>
      <c r="B110" t="s" s="8">
        <v>260</v>
      </c>
      <c r="C110" t="s" s="39">
        <v>106</v>
      </c>
      <c r="D110" t="s" s="40">
        <f>VLOOKUP(B110,'Player Data'!A1:D734,4,FALSE)</f>
        <v>107</v>
      </c>
      <c r="E110" s="41">
        <f>VLOOKUP(B110,'C'!A1:C218,3,FALSE)</f>
        <v>33</v>
      </c>
      <c r="F110" t="s" s="42">
        <f>VLOOKUP(B110,'Player Data'!A1:B734,2,FALSE)</f>
        <v>149</v>
      </c>
      <c r="G110" s="9">
        <f>VLOOKUP(B110,'Player Data'!A1:D734,3,FALSE)</f>
        <v>31</v>
      </c>
      <c r="H110" s="43">
        <f>_xlfn.IFERROR(VLOOKUP(B110,'ADP'!A1:G731,7,FALSE)/1000000,VLOOKUP(B110,'ADP'!A1:G731,7,FALSE))</f>
        <v>6</v>
      </c>
      <c r="I110" s="44">
        <f>IF('Settings'!$E$15="POINTS",((R110*Q110)*'Settings'!$B$12)+(S110*'Settings'!$B$2)+(T110*'Settings'!$B$3)+(U110*'Settings'!$B$4)+(V110*'Settings'!$B$5)+(X110*'Settings'!$B$9)+(AA110*'Settings'!$B$6)+(W110*'Settings'!$B$8)+(AB110*'Settings'!$B$7)+(AC110*'Settings'!$B$14)+(AD110*'Settings'!$B$15)+(AE110*'Settings'!$B$16)+(AF110*'Settings'!$B$17)+(AG110*'Settings'!$B$18)+(Y110*'Settings'!$B$10)+(Z110*'Settings'!$B$11),VLOOKUP(B110,'Standard Deviations'!A1:C731,3,FALSE))</f>
        <v>402.232228471616</v>
      </c>
      <c r="J110" s="45">
        <f>IF(D110="G",I110/AJ110,I110/Q110)</f>
        <v>4.98707121036037</v>
      </c>
      <c r="K110" s="44">
        <f>IF('Settings'!$E$18="C/LW/RW",VLOOKUP(B110,'C'!A1:F218,6,FALSE),VLOOKUP(B110,'F'!A1:F432,6,FALSE))</f>
        <v>6.458026835601</v>
      </c>
      <c r="L110" s="44">
        <f>_xlfn.IFERROR(K110/H110,"N/A")</f>
        <v>1.0763378059335</v>
      </c>
      <c r="M110" s="46">
        <f>IF('Settings'!$E$9="YAHOO",VLOOKUP(B110,'ADP'!A1:E731,2,FALSE),IF('Settings'!$E$9="ESPN",VLOOKUP(B110,'ADP'!A1:E731,3,FALSE),IF('Settings'!$E$9="FANTRAX",VLOOKUP(B110,'ADP'!A1:E731,4,FALSE),VLOOKUP(B110,'ADP'!A1:E731,5,FALSE))))</f>
        <v>131.49</v>
      </c>
      <c r="N110" s="46">
        <f>_xlfn.IFERROR(M110-A110,"N/A")</f>
        <v>21.49</v>
      </c>
      <c r="O110" s="46"/>
      <c r="P110" t="s" s="47">
        <f>IF('Settings'!$E$27="ON",VLOOKUP(B110,'ADP'!A1:H731,8,FALSE)," ")</f>
        <v>109</v>
      </c>
      <c r="Q110" s="48">
        <f>IF('Settings'!$E$12="YES",VLOOKUP(B110,'Player Data'!A1:E734,5,FALSE),82)</f>
        <v>80.655</v>
      </c>
      <c r="R110" s="46">
        <f>VLOOKUP(B110,'Player Data'!$A1:$AE734,6,FALSE)</f>
        <v>18.6743720439024</v>
      </c>
      <c r="S110" s="48">
        <f>VLOOKUP(B110,'Player Data'!$A1:$AE734,7,FALSE)*$Q110*_xlfn.IFERROR((VLOOKUP(P110,'Settings'!$E$28:$F$33,2,FALSE)+1),1)</f>
        <v>35.1190059468198</v>
      </c>
      <c r="T110" s="48">
        <f>VLOOKUP(B110,'Player Data'!$A1:$AE734,8,FALSE)*$Q110*_xlfn.IFERROR((VLOOKUP(P110,'Settings'!$E$28:$F$33,2,FALSE)+1),1)</f>
        <v>33.6647401008727</v>
      </c>
      <c r="U110" s="48">
        <f>SUM(S110:T110)</f>
        <v>68.7837460476925</v>
      </c>
      <c r="V110" s="48">
        <f>VLOOKUP(B110,'Player Data'!$A1:$AE734,10,FALSE)*$Q110*_xlfn.IFERROR(((VLOOKUP(P110,'Settings'!$E$28:$F$33,2,FALSE)/2)+1),1)</f>
        <v>217.435219484694</v>
      </c>
      <c r="W110" s="48">
        <f>VLOOKUP(B110,'Player Data'!$A1:$AE734,11,FALSE)*$Q110*_xlfn.IFERROR((VLOOKUP(P110,'Settings'!$E$28:$F$33,2,FALSE)+1),1)</f>
        <v>9.447683700254739</v>
      </c>
      <c r="X110" s="48">
        <f>VLOOKUP(B110,'Player Data'!$A1:$AE734,12,FALSE)*$Q110*_xlfn.IFERROR((VLOOKUP(P110,'Settings'!$E$28:$F$33,2,FALSE)+1),1)</f>
        <v>18.8691877603182</v>
      </c>
      <c r="Y110" s="48">
        <f>VLOOKUP(B110,'Player Data'!$A1:$AE734,13,FALSE)*$Q110</f>
        <v>0.0857389103135308</v>
      </c>
      <c r="Z110" s="48">
        <f>VLOOKUP(B110,'Player Data'!$A1:$AE734,14,FALSE)*$Q110</f>
        <v>0.156450293079529</v>
      </c>
      <c r="AA110" s="48">
        <f>VLOOKUP(B110,'Player Data'!$A1:$AE734,15,FALSE)*$Q110</f>
        <v>43.3794595636658</v>
      </c>
      <c r="AB110" s="48">
        <f>VLOOKUP(B110,'Player Data'!$A1:$AE734,16,FALSE)*$Q110</f>
        <v>49.9289651918778</v>
      </c>
      <c r="AC110" s="48">
        <f>VLOOKUP(B110,'Player Data'!$A1:$AE734,17,FALSE)*$Q110*_xlfn.IFERROR((VLOOKUP(P110,'Settings'!$E$28:$F$33,2,FALSE)+1),1)</f>
        <v>2.19550833299692</v>
      </c>
      <c r="AD110" s="48">
        <f>VLOOKUP(B110,'Player Data'!$A1:$AE734,18,FALSE)*$Q110</f>
        <v>29.5545831364575</v>
      </c>
      <c r="AE110" s="48">
        <f>VLOOKUP(B110,'Player Data'!$A1:$AE734,19,FALSE)*$Q110*_xlfn.IFERROR((VLOOKUP(P110,'Settings'!$E$28:$F$33,2,FALSE)+1),1)</f>
        <v>5.42665402692799</v>
      </c>
      <c r="AF110" s="48">
        <f>VLOOKUP(B110,'Player Data'!$A1:$AE734,20,FALSE)*$Q110</f>
        <v>508.167744680174</v>
      </c>
      <c r="AG110" s="48">
        <f>VLOOKUP(B110,'Player Data'!$A1:$AE734,21,FALSE)*$Q110</f>
        <v>542.714312592316</v>
      </c>
      <c r="AH110" s="49">
        <f>VLOOKUP(B110,'Player Data'!$A1:$AE734,22,FALSE)</f>
        <v>0.483563061300235</v>
      </c>
      <c r="AI110" s="46"/>
      <c r="AJ110" s="50"/>
      <c r="AK110" s="48"/>
      <c r="AL110" s="48"/>
      <c r="AM110" s="48"/>
      <c r="AN110" s="48"/>
      <c r="AO110" s="48"/>
      <c r="AP110" s="48"/>
      <c r="AQ110" s="51"/>
      <c r="AR110" s="52"/>
      <c r="AS110" s="46"/>
    </row>
    <row r="111" ht="21.25" customHeight="1">
      <c r="A111" s="53">
        <f>RANK(K111,K2:K730)</f>
        <v>47</v>
      </c>
      <c r="B111" t="s" s="8">
        <v>261</v>
      </c>
      <c r="C111" t="s" s="39">
        <v>106</v>
      </c>
      <c r="D111" t="s" s="40">
        <f>VLOOKUP(B111,'Player Data'!A1:D734,4,FALSE)</f>
        <v>146</v>
      </c>
      <c r="E111" s="58">
        <f>VLOOKUP(B111,'G'!A1:D75,3,FALSE)</f>
        <v>11</v>
      </c>
      <c r="F111" t="s" s="42">
        <f>VLOOKUP(B111,'Player Data'!A1:B734,2,FALSE)</f>
        <v>238</v>
      </c>
      <c r="G111" s="9">
        <f>VLOOKUP(B111,'Player Data'!A1:D734,3,FALSE)</f>
        <v>33</v>
      </c>
      <c r="H111" s="43">
        <f>_xlfn.IFERROR(VLOOKUP(B111,'ADP'!A1:G731,7,FALSE)/1000000,VLOOKUP(B111,'ADP'!A1:G731,7,FALSE))</f>
        <v>6</v>
      </c>
      <c r="I111" s="44">
        <f>IF('Settings'!$E$15="POINTS",(AJ111*'Settings'!$B$29)+(AK111*'Settings'!$B$21)+(AL111*'Settings'!$B$22)+(AN111*'Settings'!$B$24)+(AO111*'Settings'!$B$25)+(AP111*'Settings'!$B$27)+(AM111*'Settings'!$B$23),VLOOKUP(B111,'Standard Deviations'!A1:C731,3,FALSE))</f>
        <v>327.535220876138</v>
      </c>
      <c r="J111" s="45">
        <f>IF(D111="G",I111/AJ111,I111/Q111)</f>
        <v>5.84884322993104</v>
      </c>
      <c r="K111" s="44">
        <f>VLOOKUP(B111,'G'!A1:F75,6,FALSE)</f>
        <v>62.231999376450</v>
      </c>
      <c r="L111" s="44">
        <f>_xlfn.IFERROR(K111/H111,"N/A")</f>
        <v>10.371999896075</v>
      </c>
      <c r="M111" s="46">
        <f>IF('Settings'!$E$9="YAHOO",VLOOKUP(B111,'ADP'!A1:E731,2,FALSE),IF('Settings'!$E$9="ESPN",VLOOKUP(B111,'ADP'!A1:E731,3,FALSE),IF('Settings'!$E$9="FANTRAX",VLOOKUP(B111,'ADP'!A1:E731,4,FALSE),VLOOKUP(B111,'ADP'!A1:E731,5,FALSE))))</f>
        <v>175.08</v>
      </c>
      <c r="N111" s="46">
        <f>_xlfn.IFERROR(M111-A111,"N/A")</f>
        <v>128.08</v>
      </c>
      <c r="O111" s="46"/>
      <c r="P111" t="s" s="47">
        <f>IF('Settings'!$E$27="ON",VLOOKUP(B111,'ADP'!A1:H731,8,FALSE)," ")</f>
        <v>109</v>
      </c>
      <c r="Q111" s="48"/>
      <c r="R111" s="59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9"/>
      <c r="AI111" s="46"/>
      <c r="AJ111" s="50">
        <f>VLOOKUP(B111,'Player Data'!$A1:$AE734,24,FALSE)</f>
        <v>56</v>
      </c>
      <c r="AK111" s="48">
        <f>VLOOKUP(B111,'Player Data'!$A1:$AE734,25,FALSE)*$AJ111*_xlfn.IFERROR((VLOOKUP(P111,'Settings'!$E$28:$F$33,2,FALSE)+1),1)</f>
        <v>30.8885897279491</v>
      </c>
      <c r="AL111" s="48">
        <f>AJ111-AK111-AM111</f>
        <v>18.1114102720509</v>
      </c>
      <c r="AM111" s="48">
        <f>VLOOKUP(B111,'Player Data'!$A1:$AE734,27,FALSE)*$AJ111</f>
        <v>7</v>
      </c>
      <c r="AN111" s="48">
        <f>VLOOKUP(B111,'Player Data'!$A1:$AE734,28,FALSE)*AJ111</f>
        <v>3.50944990505669</v>
      </c>
      <c r="AO111" s="48">
        <f>VLOOKUP(B111,'Player Data'!$A1:$AE734,29,FALSE)*$AJ111*_xlfn.IFERROR((VLOOKUP(P111,'Settings'!$E$28:$F$33,2,FALSE)/4)+1,1)</f>
        <v>1510.588365334510</v>
      </c>
      <c r="AP111" s="48">
        <f>VLOOKUP(B111,'Player Data'!$A1:$AE734,31,FALSE)*$AJ111*(_xlfn.IFERROR(1-(VLOOKUP(P111,'Settings'!$E$28:$F$33,2,FALSE)/4),1))</f>
        <v>152.556938415488</v>
      </c>
      <c r="AQ111" s="51">
        <f>1-(AP111/(AO111+AP111))</f>
        <v>0.908272032472744</v>
      </c>
      <c r="AR111" s="52">
        <f>AP111/AJ111</f>
        <v>2.72423104313371</v>
      </c>
      <c r="AS111" s="46"/>
    </row>
    <row r="112" ht="21.25" customHeight="1">
      <c r="A112" s="53">
        <f>RANK(K112,K2:K730)</f>
        <v>112</v>
      </c>
      <c r="B112" t="s" s="8">
        <v>262</v>
      </c>
      <c r="C112" t="s" s="39">
        <v>106</v>
      </c>
      <c r="D112" t="s" s="40">
        <f>VLOOKUP(B112,'Player Data'!A1:D734,4,FALSE)</f>
        <v>129</v>
      </c>
      <c r="E112" s="56">
        <f>VLOOKUP(B112,'D'!A1:C228,3,FALSE)</f>
        <v>19</v>
      </c>
      <c r="F112" t="s" s="42">
        <f>VLOOKUP(B112,'Player Data'!A1:B734,2,FALSE)</f>
        <v>194</v>
      </c>
      <c r="G112" s="9">
        <f>VLOOKUP(B112,'Player Data'!A1:D734,3,FALSE)</f>
        <v>31</v>
      </c>
      <c r="H112" s="43">
        <f>_xlfn.IFERROR(VLOOKUP(B112,'ADP'!A1:G731,7,FALSE)/1000000,VLOOKUP(B112,'ADP'!A1:G731,7,FALSE))</f>
        <v>6.5</v>
      </c>
      <c r="I112" s="44">
        <f>IF('Settings'!$E$15="POINTS",((R112*Q112)*'Settings'!$B$12)+(S112*'Settings'!$B$2)+(T112*'Settings'!$B$3)+(U112*'Settings'!$B$4)+(V112*'Settings'!$B$5)+(X112*'Settings'!$B$9)+(AA112*'Settings'!$B$6)+(W112*'Settings'!$B$8)+(AB112*'Settings'!$B$7)+(AC112*'Settings'!$B$14)+(AD112*'Settings'!$B$15)+(AE112*'Settings'!$B$16)+(AF112*'Settings'!$B$17)+(AG112*'Settings'!$B$18)+(U112*'Settings'!$B$13)+(Y112*'Settings'!$B$10)+(Z112*'Settings'!$B$11),VLOOKUP(B112,'Standard Deviations'!A1:C731,3,FALSE))</f>
        <v>346.647286916966</v>
      </c>
      <c r="J112" s="45">
        <f>IF(D112="G",I112/AJ112,I112/Q112)</f>
        <v>4.26879240092317</v>
      </c>
      <c r="K112" s="44">
        <f>VLOOKUP(B112,'D'!A1:F228,6,FALSE)</f>
        <v>5.912148270443</v>
      </c>
      <c r="L112" s="44">
        <f>_xlfn.IFERROR(K112/H112,"N/A")</f>
        <v>0.9095612723758461</v>
      </c>
      <c r="M112" s="46">
        <f>IF('Settings'!$E$9="YAHOO",VLOOKUP(B112,'ADP'!A1:E731,2,FALSE),IF('Settings'!$E$9="ESPN",VLOOKUP(B112,'ADP'!A1:E731,3,FALSE),IF('Settings'!$E$9="FANTRAX",VLOOKUP(B112,'ADP'!A1:E731,4,FALSE),VLOOKUP(B112,'ADP'!A1:E731,5,FALSE))))</f>
        <v>134.17</v>
      </c>
      <c r="N112" s="46">
        <f>_xlfn.IFERROR(M112-A112,"N/A")</f>
        <v>22.17</v>
      </c>
      <c r="O112" s="46"/>
      <c r="P112" t="s" s="47">
        <f>IF('Settings'!$E$27="ON",VLOOKUP(B112,'ADP'!A1:H731,8,FALSE)," ")</f>
        <v>109</v>
      </c>
      <c r="Q112" s="48">
        <f>IF('Settings'!$E$12="YES",VLOOKUP(B112,'Player Data'!A1:E734,5,FALSE),82)</f>
        <v>81.205</v>
      </c>
      <c r="R112" s="46">
        <f>VLOOKUP(B112,'Player Data'!$A1:$AE734,6,FALSE)</f>
        <v>23.5112300495427</v>
      </c>
      <c r="S112" s="48">
        <f>VLOOKUP(B112,'Player Data'!$A1:$AE734,7,FALSE)*$Q112*_xlfn.IFERROR((VLOOKUP(P112,'Settings'!$E$28:$F$33,2,FALSE)+1),1)</f>
        <v>12.2260695639677</v>
      </c>
      <c r="T112" s="48">
        <f>VLOOKUP(B112,'Player Data'!$A1:$AE734,8,FALSE)*$Q112*_xlfn.IFERROR((VLOOKUP(P112,'Settings'!$E$28:$F$33,2,FALSE)+1),1)</f>
        <v>34.1261387533817</v>
      </c>
      <c r="U112" s="48">
        <f>SUM(S112:T112)</f>
        <v>46.3522083173494</v>
      </c>
      <c r="V112" s="48">
        <f>VLOOKUP(B112,'Player Data'!$A1:$AE734,10,FALSE)*$Q112*_xlfn.IFERROR(((VLOOKUP(P112,'Settings'!$E$28:$F$33,2,FALSE)/2)+1),1)</f>
        <v>185.706901141905</v>
      </c>
      <c r="W112" s="48">
        <f>VLOOKUP(B112,'Player Data'!$A1:$AE734,11,FALSE)*$Q112*_xlfn.IFERROR((VLOOKUP(P112,'Settings'!$E$28:$F$33,2,FALSE)+1),1)</f>
        <v>1.91242760579097</v>
      </c>
      <c r="X112" s="48">
        <f>VLOOKUP(B112,'Player Data'!$A1:$AE734,12,FALSE)*$Q112*_xlfn.IFERROR((VLOOKUP(P112,'Settings'!$E$28:$F$33,2,FALSE)+1),1)</f>
        <v>10.5085694827315</v>
      </c>
      <c r="Y112" s="48">
        <f>VLOOKUP(B112,'Player Data'!$A1:$AE734,13,FALSE)*$Q112</f>
        <v>0.0244964660205184</v>
      </c>
      <c r="Z112" s="48">
        <f>VLOOKUP(B112,'Player Data'!$A1:$AE734,14,FALSE)*$Q112</f>
        <v>0.300637002978145</v>
      </c>
      <c r="AA112" s="48">
        <f>VLOOKUP(B112,'Player Data'!$A1:$AE734,15,FALSE)*$Q112</f>
        <v>131.515633209070</v>
      </c>
      <c r="AB112" s="48">
        <f>VLOOKUP(B112,'Player Data'!$A1:$AE734,16,FALSE)*$Q112</f>
        <v>120.156065750090</v>
      </c>
      <c r="AC112" s="48">
        <f>VLOOKUP(B112,'Player Data'!$A1:$AE734,17,FALSE)*$Q112*_xlfn.IFERROR((VLOOKUP(P112,'Settings'!$E$28:$F$33,2,FALSE)+1),1)</f>
        <v>-4.16571460757705</v>
      </c>
      <c r="AD112" s="48">
        <f>VLOOKUP(B112,'Player Data'!$A1:$AE734,18,FALSE)*$Q112</f>
        <v>38.8250402474623</v>
      </c>
      <c r="AE112" s="48">
        <f>VLOOKUP(B112,'Player Data'!$A1:$AE734,19,FALSE)*$Q112*_xlfn.IFERROR((VLOOKUP(P112,'Settings'!$E$28:$F$33,2,FALSE)+1),1)</f>
        <v>1.40688722224063</v>
      </c>
      <c r="AF112" s="48">
        <f>VLOOKUP(B112,'Player Data'!$A1:$AE734,20,FALSE)*$Q112</f>
        <v>0</v>
      </c>
      <c r="AG112" s="48">
        <f>VLOOKUP(B112,'Player Data'!$A1:$AE734,21,FALSE)*$Q112</f>
        <v>0</v>
      </c>
      <c r="AH112" s="49">
        <f>VLOOKUP(B112,'Player Data'!$A1:$AE734,22,FALSE)</f>
        <v>0</v>
      </c>
      <c r="AI112" s="46"/>
      <c r="AJ112" s="50"/>
      <c r="AK112" s="48"/>
      <c r="AL112" s="48"/>
      <c r="AM112" s="48"/>
      <c r="AN112" s="48"/>
      <c r="AO112" s="48"/>
      <c r="AP112" s="48"/>
      <c r="AQ112" s="51"/>
      <c r="AR112" s="52"/>
      <c r="AS112" s="50"/>
    </row>
    <row r="113" ht="21.25" customHeight="1">
      <c r="A113" s="53">
        <f>RANK(K113,K2:K730)</f>
        <v>59</v>
      </c>
      <c r="B113" t="s" s="8">
        <v>263</v>
      </c>
      <c r="C113" t="s" s="39">
        <v>106</v>
      </c>
      <c r="D113" t="s" s="40">
        <f>VLOOKUP(B113,'Player Data'!A1:D734,4,FALSE)</f>
        <v>146</v>
      </c>
      <c r="E113" s="58">
        <f>VLOOKUP(B113,'G'!A1:D75,3,FALSE)</f>
        <v>15</v>
      </c>
      <c r="F113" t="s" s="42">
        <f>VLOOKUP(B113,'Player Data'!A1:B734,2,FALSE)</f>
        <v>234</v>
      </c>
      <c r="G113" s="9">
        <f>VLOOKUP(B113,'Player Data'!A1:D734,3,FALSE)</f>
        <v>30</v>
      </c>
      <c r="H113" s="43">
        <f>_xlfn.IFERROR(VLOOKUP(B113,'ADP'!A1:G731,7,FALSE)/1000000,VLOOKUP(B113,'ADP'!A1:G731,7,FALSE))</f>
        <v>6.4</v>
      </c>
      <c r="I113" s="44">
        <f>IF('Settings'!$E$15="POINTS",(AJ113*'Settings'!$B$29)+(AK113*'Settings'!$B$21)+(AL113*'Settings'!$B$22)+(AN113*'Settings'!$B$24)+(AO113*'Settings'!$B$25)+(AP113*'Settings'!$B$27)+(AM113*'Settings'!$B$23),VLOOKUP(B113,'Standard Deviations'!A1:C731,3,FALSE))</f>
        <v>316.603907565174</v>
      </c>
      <c r="J113" s="45">
        <f>IF(D113="G",I113/AJ113,I113/Q113)</f>
        <v>5.863035325281</v>
      </c>
      <c r="K113" s="44">
        <f>VLOOKUP(B113,'G'!A1:F75,6,FALSE)</f>
        <v>51.300686065486</v>
      </c>
      <c r="L113" s="44">
        <f>_xlfn.IFERROR(K113/H113,"N/A")</f>
        <v>8.01573219773219</v>
      </c>
      <c r="M113" s="46">
        <f>IF('Settings'!$E$9="YAHOO",VLOOKUP(B113,'ADP'!A1:E731,2,FALSE),IF('Settings'!$E$9="ESPN",VLOOKUP(B113,'ADP'!A1:E731,3,FALSE),IF('Settings'!$E$9="FANTRAX",VLOOKUP(B113,'ADP'!A1:E731,4,FALSE),VLOOKUP(B113,'ADP'!A1:E731,5,FALSE))))</f>
        <v>201.52</v>
      </c>
      <c r="N113" s="46">
        <f>_xlfn.IFERROR(M113-A113,"N/A")</f>
        <v>142.52</v>
      </c>
      <c r="O113" s="46"/>
      <c r="P113" t="s" s="47">
        <f>IF('Settings'!$E$27="ON",VLOOKUP(B113,'ADP'!A1:H731,8,FALSE)," ")</f>
        <v>109</v>
      </c>
      <c r="Q113" s="48"/>
      <c r="R113" s="59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9"/>
      <c r="AI113" s="46"/>
      <c r="AJ113" s="50">
        <f>VLOOKUP(B113,'Player Data'!$A1:$AE734,24,FALSE)</f>
        <v>54</v>
      </c>
      <c r="AK113" s="48">
        <f>VLOOKUP(B113,'Player Data'!$A1:$AE734,25,FALSE)*$AJ113*_xlfn.IFERROR((VLOOKUP(P113,'Settings'!$E$28:$F$33,2,FALSE)+1),1)</f>
        <v>21.0612587142524</v>
      </c>
      <c r="AL113" s="48">
        <f>AJ113-AK113-AM113</f>
        <v>26.1887412857476</v>
      </c>
      <c r="AM113" s="48">
        <f>VLOOKUP(B113,'Player Data'!$A1:$AE734,27,FALSE)*$AJ113</f>
        <v>6.75</v>
      </c>
      <c r="AN113" s="48">
        <f>VLOOKUP(B113,'Player Data'!$A1:$AE734,28,FALSE)*AJ113</f>
        <v>1.6796039851997</v>
      </c>
      <c r="AO113" s="48">
        <f>VLOOKUP(B113,'Player Data'!$A1:$AE734,29,FALSE)*$AJ113*_xlfn.IFERROR((VLOOKUP(P113,'Settings'!$E$28:$F$33,2,FALSE)/4)+1,1)</f>
        <v>1675.031711582260</v>
      </c>
      <c r="AP113" s="48">
        <f>VLOOKUP(B113,'Player Data'!$A1:$AE734,31,FALSE)*$AJ113*(_xlfn.IFERROR(1-(VLOOKUP(P113,'Settings'!$E$28:$F$33,2,FALSE)/4),1))</f>
        <v>169.418796005240</v>
      </c>
      <c r="AQ113" s="51">
        <f>1-(AP113/(AO113+AP113))</f>
        <v>0.9081467378450639</v>
      </c>
      <c r="AR113" s="52">
        <f>AP113/AJ113</f>
        <v>3.13738511120815</v>
      </c>
      <c r="AS113" s="46"/>
    </row>
    <row r="114" ht="21.25" customHeight="1">
      <c r="A114" s="53">
        <f>RANK(K114,K2:K730)</f>
        <v>159</v>
      </c>
      <c r="B114" t="s" s="8">
        <v>264</v>
      </c>
      <c r="C114" t="s" s="39">
        <v>106</v>
      </c>
      <c r="D114" t="s" s="40">
        <f>VLOOKUP(B114,'Player Data'!A1:D734,4,FALSE)</f>
        <v>129</v>
      </c>
      <c r="E114" s="56">
        <f>VLOOKUP(B114,'D'!A1:C228,3,FALSE)</f>
        <v>35</v>
      </c>
      <c r="F114" t="s" s="42">
        <f>VLOOKUP(B114,'Player Data'!A1:B734,2,FALSE)</f>
        <v>204</v>
      </c>
      <c r="G114" s="9">
        <f>VLOOKUP(B114,'Player Data'!A1:D734,3,FALSE)</f>
        <v>33</v>
      </c>
      <c r="H114" s="43">
        <f>_xlfn.IFERROR(VLOOKUP(B114,'ADP'!A1:G731,7,FALSE)/1000000,VLOOKUP(B114,'ADP'!A1:G731,7,FALSE))</f>
        <v>11</v>
      </c>
      <c r="I114" s="44">
        <f>IF('Settings'!$E$15="POINTS",((R114*Q114)*'Settings'!$B$12)+(S114*'Settings'!$B$2)+(T114*'Settings'!$B$3)+(U114*'Settings'!$B$4)+(V114*'Settings'!$B$5)+(X114*'Settings'!$B$9)+(AA114*'Settings'!$B$6)+(W114*'Settings'!$B$8)+(AB114*'Settings'!$B$7)+(AC114*'Settings'!$B$14)+(AD114*'Settings'!$B$15)+(AE114*'Settings'!$B$16)+(AF114*'Settings'!$B$17)+(AG114*'Settings'!$B$18)+(U114*'Settings'!$B$13)+(Y114*'Settings'!$B$10)+(Z114*'Settings'!$B$11),VLOOKUP(B114,'Standard Deviations'!A1:C731,3,FALSE))</f>
        <v>307.178700846393</v>
      </c>
      <c r="J114" s="45">
        <f>IF(D114="G",I114/AJ114,I114/Q114)</f>
        <v>4.04501844675261</v>
      </c>
      <c r="K114" s="44">
        <f>VLOOKUP(B114,'D'!A1:F228,6,FALSE)</f>
        <v>-33.556437800130</v>
      </c>
      <c r="L114" s="44">
        <f>_xlfn.IFERROR(K114/H114,"N/A")</f>
        <v>-3.05058525455727</v>
      </c>
      <c r="M114" s="46">
        <f>IF('Settings'!$E$9="YAHOO",VLOOKUP(B114,'ADP'!A1:E731,2,FALSE),IF('Settings'!$E$9="ESPN",VLOOKUP(B114,'ADP'!A1:E731,3,FALSE),IF('Settings'!$E$9="FANTRAX",VLOOKUP(B114,'ADP'!A1:E731,4,FALSE),VLOOKUP(B114,'ADP'!A1:E731,5,FALSE))))</f>
        <v>120.39</v>
      </c>
      <c r="N114" s="46">
        <f>_xlfn.IFERROR(M114-A114,"N/A")</f>
        <v>-38.61</v>
      </c>
      <c r="O114" s="46"/>
      <c r="P114" t="s" s="47">
        <f>IF('Settings'!$E$27="ON",VLOOKUP(B114,'ADP'!A1:H731,8,FALSE)," ")</f>
        <v>175</v>
      </c>
      <c r="Q114" s="48">
        <f>IF('Settings'!$E$12="YES",VLOOKUP(B114,'Player Data'!A1:E734,5,FALSE),82)</f>
        <v>75.94</v>
      </c>
      <c r="R114" s="46">
        <f>VLOOKUP(B114,'Player Data'!$A1:$AE734,6,FALSE)</f>
        <v>26.1678476420577</v>
      </c>
      <c r="S114" s="48">
        <f>VLOOKUP(B114,'Player Data'!$A1:$AE734,7,FALSE)*$Q114*_xlfn.IFERROR((VLOOKUP(P114,'Settings'!$E$28:$F$33,2,FALSE)+1),1)</f>
        <v>9.037897801199691</v>
      </c>
      <c r="T114" s="48">
        <f>VLOOKUP(B114,'Player Data'!$A1:$AE734,8,FALSE)*$Q114*_xlfn.IFERROR((VLOOKUP(P114,'Settings'!$E$28:$F$33,2,FALSE)+1),1)</f>
        <v>37.9331584939003</v>
      </c>
      <c r="U114" s="48">
        <f>SUM(S114:T114)</f>
        <v>46.9710562951</v>
      </c>
      <c r="V114" s="48">
        <f>VLOOKUP(B114,'Player Data'!$A1:$AE734,10,FALSE)*$Q114*_xlfn.IFERROR(((VLOOKUP(P114,'Settings'!$E$28:$F$33,2,FALSE)/2)+1),1)</f>
        <v>144.052227861751</v>
      </c>
      <c r="W114" s="48">
        <f>VLOOKUP(B114,'Player Data'!$A1:$AE734,11,FALSE)*$Q114*_xlfn.IFERROR((VLOOKUP(P114,'Settings'!$E$28:$F$33,2,FALSE)+1),1)</f>
        <v>4.50062165906322</v>
      </c>
      <c r="X114" s="48">
        <f>VLOOKUP(B114,'Player Data'!$A1:$AE734,12,FALSE)*$Q114*_xlfn.IFERROR((VLOOKUP(P114,'Settings'!$E$28:$F$33,2,FALSE)+1),1)</f>
        <v>21.9782252035563</v>
      </c>
      <c r="Y114" s="48">
        <f>VLOOKUP(B114,'Player Data'!$A1:$AE734,13,FALSE)*$Q114</f>
        <v>0.0241110906159661</v>
      </c>
      <c r="Z114" s="48">
        <f>VLOOKUP(B114,'Player Data'!$A1:$AE734,14,FALSE)*$Q114</f>
        <v>0.302472407652395</v>
      </c>
      <c r="AA114" s="48">
        <f>VLOOKUP(B114,'Player Data'!$A1:$AE734,15,FALSE)*$Q114</f>
        <v>105.577725565728</v>
      </c>
      <c r="AB114" s="48">
        <f>VLOOKUP(B114,'Player Data'!$A1:$AE734,16,FALSE)*$Q114</f>
        <v>109.155054920998</v>
      </c>
      <c r="AC114" s="48">
        <f>VLOOKUP(B114,'Player Data'!$A1:$AE734,17,FALSE)*$Q114*_xlfn.IFERROR((VLOOKUP(P114,'Settings'!$E$28:$F$33,2,FALSE)+1),1)</f>
        <v>0.1264866598792</v>
      </c>
      <c r="AD114" s="48">
        <f>VLOOKUP(B114,'Player Data'!$A1:$AE734,18,FALSE)*$Q114</f>
        <v>40.202150135532</v>
      </c>
      <c r="AE114" s="48">
        <f>VLOOKUP(B114,'Player Data'!$A1:$AE734,19,FALSE)*$Q114*_xlfn.IFERROR((VLOOKUP(P114,'Settings'!$E$28:$F$33,2,FALSE)+1),1)</f>
        <v>1.33816068982987</v>
      </c>
      <c r="AF114" s="48">
        <f>VLOOKUP(B114,'Player Data'!$A1:$AE734,20,FALSE)*$Q114</f>
        <v>0</v>
      </c>
      <c r="AG114" s="48">
        <f>VLOOKUP(B114,'Player Data'!$A1:$AE734,21,FALSE)*$Q114</f>
        <v>0</v>
      </c>
      <c r="AH114" s="49">
        <f>VLOOKUP(B114,'Player Data'!$A1:$AE734,22,FALSE)</f>
        <v>0</v>
      </c>
      <c r="AI114" s="46"/>
      <c r="AJ114" s="50"/>
      <c r="AK114" s="48"/>
      <c r="AL114" s="48"/>
      <c r="AM114" s="48"/>
      <c r="AN114" s="48"/>
      <c r="AO114" s="48"/>
      <c r="AP114" s="48"/>
      <c r="AQ114" s="51"/>
      <c r="AR114" s="52"/>
      <c r="AS114" s="46"/>
    </row>
    <row r="115" ht="21.25" customHeight="1">
      <c r="A115" s="53">
        <f>RANK(K115,K2:K730)</f>
        <v>150</v>
      </c>
      <c r="B115" t="s" s="8">
        <v>265</v>
      </c>
      <c r="C115" t="s" s="39">
        <v>106</v>
      </c>
      <c r="D115" t="s" s="40">
        <f>VLOOKUP(B115,'Player Data'!A1:D734,4,FALSE)</f>
        <v>129</v>
      </c>
      <c r="E115" s="56">
        <f>VLOOKUP(B115,'D'!A1:C228,3,FALSE)</f>
        <v>32</v>
      </c>
      <c r="F115" t="s" s="42">
        <f>VLOOKUP(B115,'Player Data'!A1:B734,2,FALSE)</f>
        <v>173</v>
      </c>
      <c r="G115" s="9">
        <f>VLOOKUP(B115,'Player Data'!A1:D734,3,FALSE)</f>
        <v>26</v>
      </c>
      <c r="H115" s="43">
        <f>_xlfn.IFERROR(VLOOKUP(B115,'ADP'!A1:G731,7,FALSE)/1000000,VLOOKUP(B115,'ADP'!A1:G731,7,FALSE))</f>
        <v>8</v>
      </c>
      <c r="I115" s="44">
        <f>IF('Settings'!$E$15="POINTS",((R115*Q115)*'Settings'!$B$12)+(S115*'Settings'!$B$2)+(T115*'Settings'!$B$3)+(U115*'Settings'!$B$4)+(V115*'Settings'!$B$5)+(X115*'Settings'!$B$9)+(AA115*'Settings'!$B$6)+(W115*'Settings'!$B$8)+(AB115*'Settings'!$B$7)+(AC115*'Settings'!$B$14)+(AD115*'Settings'!$B$15)+(AE115*'Settings'!$B$16)+(AF115*'Settings'!$B$17)+(AG115*'Settings'!$B$18)+(U115*'Settings'!$B$13)+(Y115*'Settings'!$B$10)+(Z115*'Settings'!$B$11),VLOOKUP(B115,'Standard Deviations'!A1:C731,3,FALSE))</f>
        <v>315.395188112933</v>
      </c>
      <c r="J115" s="45">
        <f>IF(D115="G",I115/AJ115,I115/Q115)</f>
        <v>4.18531915354056</v>
      </c>
      <c r="K115" s="44">
        <f>VLOOKUP(B115,'D'!A1:F228,6,FALSE)</f>
        <v>-25.339950533590</v>
      </c>
      <c r="L115" s="44">
        <f>_xlfn.IFERROR(K115/H115,"N/A")</f>
        <v>-3.16749381669875</v>
      </c>
      <c r="M115" s="46">
        <f>IF('Settings'!$E$9="YAHOO",VLOOKUP(B115,'ADP'!A1:E731,2,FALSE),IF('Settings'!$E$9="ESPN",VLOOKUP(B115,'ADP'!A1:E731,3,FALSE),IF('Settings'!$E$9="FANTRAX",VLOOKUP(B115,'ADP'!A1:E731,4,FALSE),VLOOKUP(B115,'ADP'!A1:E731,5,FALSE))))</f>
        <v>120.32</v>
      </c>
      <c r="N115" s="46">
        <f>_xlfn.IFERROR(M115-A115,"N/A")</f>
        <v>-29.68</v>
      </c>
      <c r="O115" s="46"/>
      <c r="P115" t="s" s="47">
        <f>IF('Settings'!$E$27="ON",VLOOKUP(B115,'ADP'!A1:H731,8,FALSE)," ")</f>
        <v>109</v>
      </c>
      <c r="Q115" s="48">
        <f>IF('Settings'!$E$12="YES",VLOOKUP(B115,'Player Data'!A1:E734,5,FALSE),82)</f>
        <v>75.3575</v>
      </c>
      <c r="R115" s="46">
        <f>VLOOKUP(B115,'Player Data'!$A1:$AE734,6,FALSE)</f>
        <v>23.1919910856819</v>
      </c>
      <c r="S115" s="48">
        <f>VLOOKUP(B115,'Player Data'!$A1:$AE734,7,FALSE)*$Q115*_xlfn.IFERROR((VLOOKUP(P115,'Settings'!$E$28:$F$33,2,FALSE)+1),1)</f>
        <v>9.94489421492742</v>
      </c>
      <c r="T115" s="48">
        <f>VLOOKUP(B115,'Player Data'!$A1:$AE734,8,FALSE)*$Q115*_xlfn.IFERROR((VLOOKUP(P115,'Settings'!$E$28:$F$33,2,FALSE)+1),1)</f>
        <v>35.0111735058006</v>
      </c>
      <c r="U115" s="48">
        <f>SUM(S115:T115)</f>
        <v>44.956067720728</v>
      </c>
      <c r="V115" s="48">
        <f>VLOOKUP(B115,'Player Data'!$A1:$AE734,10,FALSE)*$Q115*_xlfn.IFERROR(((VLOOKUP(P115,'Settings'!$E$28:$F$33,2,FALSE)/2)+1),1)</f>
        <v>172.771844443168</v>
      </c>
      <c r="W115" s="48">
        <f>VLOOKUP(B115,'Player Data'!$A1:$AE734,11,FALSE)*$Q115*_xlfn.IFERROR((VLOOKUP(P115,'Settings'!$E$28:$F$33,2,FALSE)+1),1)</f>
        <v>3.2276303518898</v>
      </c>
      <c r="X115" s="48">
        <f>VLOOKUP(B115,'Player Data'!$A1:$AE734,12,FALSE)*$Q115*_xlfn.IFERROR((VLOOKUP(P115,'Settings'!$E$28:$F$33,2,FALSE)+1),1)</f>
        <v>16.7362223739469</v>
      </c>
      <c r="Y115" s="48">
        <f>VLOOKUP(B115,'Player Data'!$A1:$AE734,13,FALSE)*$Q115</f>
        <v>0.00999331403820572</v>
      </c>
      <c r="Z115" s="48">
        <f>VLOOKUP(B115,'Player Data'!$A1:$AE734,14,FALSE)*$Q115</f>
        <v>0.0370738480480859</v>
      </c>
      <c r="AA115" s="48">
        <f>VLOOKUP(B115,'Player Data'!$A1:$AE734,15,FALSE)*$Q115</f>
        <v>116.339798785596</v>
      </c>
      <c r="AB115" s="48">
        <f>VLOOKUP(B115,'Player Data'!$A1:$AE734,16,FALSE)*$Q115</f>
        <v>83.91869727151879</v>
      </c>
      <c r="AC115" s="48">
        <f>VLOOKUP(B115,'Player Data'!$A1:$AE734,17,FALSE)*$Q115*_xlfn.IFERROR((VLOOKUP(P115,'Settings'!$E$28:$F$33,2,FALSE)+1),1)</f>
        <v>1.17830199033442</v>
      </c>
      <c r="AD115" s="48">
        <f>VLOOKUP(B115,'Player Data'!$A1:$AE734,18,FALSE)*$Q115</f>
        <v>44.8764593538833</v>
      </c>
      <c r="AE115" s="48">
        <f>VLOOKUP(B115,'Player Data'!$A1:$AE734,19,FALSE)*$Q115*_xlfn.IFERROR((VLOOKUP(P115,'Settings'!$E$28:$F$33,2,FALSE)+1),1)</f>
        <v>1.49557194784342</v>
      </c>
      <c r="AF115" s="48">
        <f>VLOOKUP(B115,'Player Data'!$A1:$AE734,20,FALSE)*$Q115</f>
        <v>0</v>
      </c>
      <c r="AG115" s="48">
        <f>VLOOKUP(B115,'Player Data'!$A1:$AE734,21,FALSE)*$Q115</f>
        <v>0</v>
      </c>
      <c r="AH115" s="49">
        <f>VLOOKUP(B115,'Player Data'!$A1:$AE734,22,FALSE)</f>
        <v>0</v>
      </c>
      <c r="AI115" s="46"/>
      <c r="AJ115" s="50"/>
      <c r="AK115" s="48"/>
      <c r="AL115" s="48"/>
      <c r="AM115" s="48"/>
      <c r="AN115" s="48"/>
      <c r="AO115" s="48"/>
      <c r="AP115" s="48"/>
      <c r="AQ115" s="51"/>
      <c r="AR115" s="52"/>
      <c r="AS115" s="46"/>
    </row>
    <row r="116" ht="21.25" customHeight="1">
      <c r="A116" s="53">
        <f>RANK(K116,K2:K730)</f>
        <v>109</v>
      </c>
      <c r="B116" t="s" s="8">
        <v>266</v>
      </c>
      <c r="C116" t="s" s="39">
        <v>106</v>
      </c>
      <c r="D116" t="s" s="40">
        <f>VLOOKUP(B116,'Player Data'!A1:D734,4,FALSE)</f>
        <v>111</v>
      </c>
      <c r="E116" s="54">
        <f>VLOOKUP(B116,'LW'!A1:C156,3,FALSE)</f>
        <v>33</v>
      </c>
      <c r="F116" t="s" s="42">
        <f>VLOOKUP(B116,'Player Data'!A1:B734,2,FALSE)</f>
        <v>204</v>
      </c>
      <c r="G116" s="9">
        <f>VLOOKUP(B116,'Player Data'!A1:D734,3,FALSE)</f>
        <v>25</v>
      </c>
      <c r="H116" s="43">
        <f>_xlfn.IFERROR(VLOOKUP(B116,'ADP'!A1:G731,7,FALSE)/1000000,VLOOKUP(B116,'ADP'!A1:G731,7,FALSE))</f>
        <v>8.5</v>
      </c>
      <c r="I116" s="44">
        <f>IF('Settings'!$E$15="POINTS",((R116*Q116)*'Settings'!$B$12)+(S116*'Settings'!$B$2)+(T116*'Settings'!$B$3)+(U116*'Settings'!$B$4)+(V116*'Settings'!$B$5)+(X116*'Settings'!$B$9)+(AA116*'Settings'!$B$6)+(W116*'Settings'!$B$8)+(AB116*'Settings'!$B$7)+(AC116*'Settings'!$B$14)+(AD116*'Settings'!$B$15)+(AE116*'Settings'!$B$16)+(AF116*'Settings'!$B$17)+(AG116*'Settings'!$B$18)+(Y116*'Settings'!$B$10)+(Z116*'Settings'!$B$11),VLOOKUP(B116,'Standard Deviations'!A1:C731,3,FALSE))</f>
        <v>388.528267213397</v>
      </c>
      <c r="J116" s="45">
        <f>IF(D116="G",I116/AJ116,I116/Q116)</f>
        <v>4.92864070475391</v>
      </c>
      <c r="K116" s="44">
        <f>IF('Settings'!$E$18="C/LW/RW",VLOOKUP(B116,'LW'!A1:F156,6,FALSE),VLOOKUP(B116,'F'!A1:F432,6,FALSE))</f>
        <v>6.899703507041</v>
      </c>
      <c r="L116" s="44">
        <f>_xlfn.IFERROR(K116/H116,"N/A")</f>
        <v>0.811729824357765</v>
      </c>
      <c r="M116" s="46">
        <f>IF('Settings'!$E$9="YAHOO",VLOOKUP(B116,'ADP'!A1:E731,2,FALSE),IF('Settings'!$E$9="ESPN",VLOOKUP(B116,'ADP'!A1:E731,3,FALSE),IF('Settings'!$E$9="FANTRAX",VLOOKUP(B116,'ADP'!A1:E731,4,FALSE),VLOOKUP(B116,'ADP'!A1:E731,5,FALSE))))</f>
        <v>102.1</v>
      </c>
      <c r="N116" s="46">
        <f>_xlfn.IFERROR(M116-A116,"N/A")</f>
        <v>-6.9</v>
      </c>
      <c r="O116" s="46"/>
      <c r="P116" t="s" s="47">
        <f>IF('Settings'!$E$27="ON",VLOOKUP(B116,'ADP'!A1:H731,8,FALSE)," ")</f>
        <v>109</v>
      </c>
      <c r="Q116" s="48">
        <f>IF('Settings'!$E$12="YES",VLOOKUP(B116,'Player Data'!A1:E734,5,FALSE),82)</f>
        <v>78.83071428571429</v>
      </c>
      <c r="R116" s="46">
        <f>VLOOKUP(B116,'Player Data'!$A1:$AE734,6,FALSE)</f>
        <v>18.5890841412554</v>
      </c>
      <c r="S116" s="48">
        <f>VLOOKUP(B116,'Player Data'!$A1:$AE734,7,FALSE)*$Q116*_xlfn.IFERROR((VLOOKUP(P116,'Settings'!$E$28:$F$33,2,FALSE)+1),1)</f>
        <v>27.7462061849726</v>
      </c>
      <c r="T116" s="48">
        <f>VLOOKUP(B116,'Player Data'!$A1:$AE734,8,FALSE)*$Q116*_xlfn.IFERROR((VLOOKUP(P116,'Settings'!$E$28:$F$33,2,FALSE)+1),1)</f>
        <v>36.7961592244442</v>
      </c>
      <c r="U116" s="48">
        <f>SUM(S116:T116)</f>
        <v>64.5423654094168</v>
      </c>
      <c r="V116" s="48">
        <f>VLOOKUP(B116,'Player Data'!$A1:$AE734,10,FALSE)*$Q116*_xlfn.IFERROR(((VLOOKUP(P116,'Settings'!$E$28:$F$33,2,FALSE)/2)+1),1)</f>
        <v>215.155173339151</v>
      </c>
      <c r="W116" s="48">
        <f>VLOOKUP(B116,'Player Data'!$A1:$AE734,11,FALSE)*$Q116*_xlfn.IFERROR((VLOOKUP(P116,'Settings'!$E$28:$F$33,2,FALSE)+1),1)</f>
        <v>10.8220496164355</v>
      </c>
      <c r="X116" s="48">
        <f>VLOOKUP(B116,'Player Data'!$A1:$AE734,12,FALSE)*$Q116*_xlfn.IFERROR((VLOOKUP(P116,'Settings'!$E$28:$F$33,2,FALSE)+1),1)</f>
        <v>20.5206798269517</v>
      </c>
      <c r="Y116" s="48">
        <f>VLOOKUP(B116,'Player Data'!$A1:$AE734,13,FALSE)*$Q116</f>
        <v>0.033499202911905</v>
      </c>
      <c r="Z116" s="48">
        <f>VLOOKUP(B116,'Player Data'!$A1:$AE734,14,FALSE)*$Q116</f>
        <v>0.0611247833537205</v>
      </c>
      <c r="AA116" s="48">
        <f>VLOOKUP(B116,'Player Data'!$A1:$AE734,15,FALSE)*$Q116</f>
        <v>47.3320538564187</v>
      </c>
      <c r="AB116" s="48">
        <f>VLOOKUP(B116,'Player Data'!$A1:$AE734,16,FALSE)*$Q116</f>
        <v>87.6639941727834</v>
      </c>
      <c r="AC116" s="48">
        <f>VLOOKUP(B116,'Player Data'!$A1:$AE734,17,FALSE)*$Q116*_xlfn.IFERROR((VLOOKUP(P116,'Settings'!$E$28:$F$33,2,FALSE)+1),1)</f>
        <v>1.07626867134899</v>
      </c>
      <c r="AD116" s="48">
        <f>VLOOKUP(B116,'Player Data'!$A1:$AE734,18,FALSE)*$Q116</f>
        <v>73.3776055023657</v>
      </c>
      <c r="AE116" s="48">
        <f>VLOOKUP(B116,'Player Data'!$A1:$AE734,19,FALSE)*$Q116*_xlfn.IFERROR((VLOOKUP(P116,'Settings'!$E$28:$F$33,2,FALSE)+1),1)</f>
        <v>4.1081325796488</v>
      </c>
      <c r="AF116" s="48">
        <f>VLOOKUP(B116,'Player Data'!$A1:$AE734,20,FALSE)*$Q116</f>
        <v>499.797391156085</v>
      </c>
      <c r="AG116" s="48">
        <f>VLOOKUP(B116,'Player Data'!$A1:$AE734,21,FALSE)*$Q116</f>
        <v>555.139899737713</v>
      </c>
      <c r="AH116" s="49">
        <f>VLOOKUP(B116,'Player Data'!$A1:$AE734,22,FALSE)</f>
        <v>0.47376976382419</v>
      </c>
      <c r="AI116" s="46"/>
      <c r="AJ116" s="50"/>
      <c r="AK116" s="48"/>
      <c r="AL116" s="48"/>
      <c r="AM116" s="48"/>
      <c r="AN116" s="48"/>
      <c r="AO116" s="48"/>
      <c r="AP116" s="48"/>
      <c r="AQ116" s="51"/>
      <c r="AR116" s="52"/>
      <c r="AS116" s="46"/>
    </row>
    <row r="117" ht="21.25" customHeight="1">
      <c r="A117" s="53">
        <f>RANK(K117,K2:K730)</f>
        <v>120</v>
      </c>
      <c r="B117" t="s" s="8">
        <v>267</v>
      </c>
      <c r="C117" t="s" s="39">
        <v>106</v>
      </c>
      <c r="D117" t="s" s="40">
        <f>VLOOKUP(B117,'Player Data'!A1:D734,4,FALSE)</f>
        <v>129</v>
      </c>
      <c r="E117" s="56">
        <f>VLOOKUP(B117,'D'!A1:C228,3,FALSE)</f>
        <v>23</v>
      </c>
      <c r="F117" t="s" s="42">
        <f>VLOOKUP(B117,'Player Data'!A1:B734,2,FALSE)</f>
        <v>113</v>
      </c>
      <c r="G117" s="9">
        <f>VLOOKUP(B117,'Player Data'!A1:D734,3,FALSE)</f>
        <v>29</v>
      </c>
      <c r="H117" s="43">
        <f>_xlfn.IFERROR(VLOOKUP(B117,'ADP'!A1:G731,7,FALSE)/1000000,VLOOKUP(B117,'ADP'!A1:G731,7,FALSE))</f>
        <v>4.1</v>
      </c>
      <c r="I117" s="44">
        <f>IF('Settings'!$E$15="POINTS",((R117*Q117)*'Settings'!$B$12)+(S117*'Settings'!$B$2)+(T117*'Settings'!$B$3)+(U117*'Settings'!$B$4)+(V117*'Settings'!$B$5)+(X117*'Settings'!$B$9)+(AA117*'Settings'!$B$6)+(W117*'Settings'!$B$8)+(AB117*'Settings'!$B$7)+(AC117*'Settings'!$B$14)+(AD117*'Settings'!$B$15)+(AE117*'Settings'!$B$16)+(AF117*'Settings'!$B$17)+(AG117*'Settings'!$B$18)+(U117*'Settings'!$B$13)+(Y117*'Settings'!$B$10)+(Z117*'Settings'!$B$11),VLOOKUP(B117,'Standard Deviations'!A1:C731,3,FALSE))</f>
        <v>336.594326600981</v>
      </c>
      <c r="J117" s="45">
        <f>IF(D117="G",I117/AJ117,I117/Q117)</f>
        <v>4.2587623790454</v>
      </c>
      <c r="K117" s="44">
        <f>VLOOKUP(B117,'D'!A1:F228,6,FALSE)</f>
        <v>-4.140812045542</v>
      </c>
      <c r="L117" s="44">
        <f>_xlfn.IFERROR(K117/H117,"N/A")</f>
        <v>-1.00995415744927</v>
      </c>
      <c r="M117" s="46">
        <f>IF('Settings'!$E$9="YAHOO",VLOOKUP(B117,'ADP'!A1:E731,2,FALSE),IF('Settings'!$E$9="ESPN",VLOOKUP(B117,'ADP'!A1:E731,3,FALSE),IF('Settings'!$E$9="FANTRAX",VLOOKUP(B117,'ADP'!A1:E731,4,FALSE),VLOOKUP(B117,'ADP'!A1:E731,5,FALSE))))</f>
        <v>130.36</v>
      </c>
      <c r="N117" s="46">
        <f>_xlfn.IFERROR(M117-A117,"N/A")</f>
        <v>10.36</v>
      </c>
      <c r="O117" s="46"/>
      <c r="P117" t="s" s="47">
        <f>IF('Settings'!$E$27="ON",VLOOKUP(B117,'ADP'!A1:H731,8,FALSE)," ")</f>
        <v>109</v>
      </c>
      <c r="Q117" s="48">
        <f>IF('Settings'!$E$12="YES",VLOOKUP(B117,'Player Data'!A1:E734,5,FALSE),82)</f>
        <v>79.03571428571431</v>
      </c>
      <c r="R117" s="46">
        <f>VLOOKUP(B117,'Player Data'!$A1:$AE734,6,FALSE)</f>
        <v>24.6380473098323</v>
      </c>
      <c r="S117" s="48">
        <f>VLOOKUP(B117,'Player Data'!$A1:$AE734,7,FALSE)*$Q117*_xlfn.IFERROR((VLOOKUP(P117,'Settings'!$E$28:$F$33,2,FALSE)+1),1)</f>
        <v>10.2650338100923</v>
      </c>
      <c r="T117" s="48">
        <f>VLOOKUP(B117,'Player Data'!$A1:$AE734,8,FALSE)*$Q117*_xlfn.IFERROR((VLOOKUP(P117,'Settings'!$E$28:$F$33,2,FALSE)+1),1)</f>
        <v>40.3624000833343</v>
      </c>
      <c r="U117" s="48">
        <f>SUM(S117:T117)</f>
        <v>50.6274338934266</v>
      </c>
      <c r="V117" s="48">
        <f>VLOOKUP(B117,'Player Data'!$A1:$AE734,10,FALSE)*$Q117*_xlfn.IFERROR(((VLOOKUP(P117,'Settings'!$E$28:$F$33,2,FALSE)/2)+1),1)</f>
        <v>164.681924067977</v>
      </c>
      <c r="W117" s="48">
        <f>VLOOKUP(B117,'Player Data'!$A1:$AE734,11,FALSE)*$Q117*_xlfn.IFERROR((VLOOKUP(P117,'Settings'!$E$28:$F$33,2,FALSE)+1),1)</f>
        <v>1.42439118709382</v>
      </c>
      <c r="X117" s="48">
        <f>VLOOKUP(B117,'Player Data'!$A1:$AE734,12,FALSE)*$Q117*_xlfn.IFERROR((VLOOKUP(P117,'Settings'!$E$28:$F$33,2,FALSE)+1),1)</f>
        <v>7.79281273603555</v>
      </c>
      <c r="Y117" s="48">
        <f>VLOOKUP(B117,'Player Data'!$A1:$AE734,13,FALSE)*$Q117</f>
        <v>0.0262098922813984</v>
      </c>
      <c r="Z117" s="48">
        <f>VLOOKUP(B117,'Player Data'!$A1:$AE734,14,FALSE)*$Q117</f>
        <v>0.139763576007748</v>
      </c>
      <c r="AA117" s="48">
        <f>VLOOKUP(B117,'Player Data'!$A1:$AE734,15,FALSE)*$Q117</f>
        <v>129.536320536377</v>
      </c>
      <c r="AB117" s="48">
        <f>VLOOKUP(B117,'Player Data'!$A1:$AE734,16,FALSE)*$Q117</f>
        <v>87.7032990054829</v>
      </c>
      <c r="AC117" s="48">
        <f>VLOOKUP(B117,'Player Data'!$A1:$AE734,17,FALSE)*$Q117*_xlfn.IFERROR((VLOOKUP(P117,'Settings'!$E$28:$F$33,2,FALSE)+1),1)</f>
        <v>9.197226121026819</v>
      </c>
      <c r="AD117" s="48">
        <f>VLOOKUP(B117,'Player Data'!$A1:$AE734,18,FALSE)*$Q117</f>
        <v>27.3790669237891</v>
      </c>
      <c r="AE117" s="48">
        <f>VLOOKUP(B117,'Player Data'!$A1:$AE734,19,FALSE)*$Q117*_xlfn.IFERROR((VLOOKUP(P117,'Settings'!$E$28:$F$33,2,FALSE)+1),1)</f>
        <v>1.62408300935092</v>
      </c>
      <c r="AF117" s="48">
        <f>VLOOKUP(B117,'Player Data'!$A1:$AE734,20,FALSE)*$Q117</f>
        <v>0</v>
      </c>
      <c r="AG117" s="48">
        <f>VLOOKUP(B117,'Player Data'!$A1:$AE734,21,FALSE)*$Q117</f>
        <v>0</v>
      </c>
      <c r="AH117" s="49">
        <f>VLOOKUP(B117,'Player Data'!$A1:$AE734,22,FALSE)</f>
        <v>0</v>
      </c>
      <c r="AI117" s="46"/>
      <c r="AJ117" s="50"/>
      <c r="AK117" s="48"/>
      <c r="AL117" s="48"/>
      <c r="AM117" s="48"/>
      <c r="AN117" s="48"/>
      <c r="AO117" s="48"/>
      <c r="AP117" s="48"/>
      <c r="AQ117" s="51"/>
      <c r="AR117" s="52"/>
      <c r="AS117" s="46"/>
    </row>
    <row r="118" ht="21.25" customHeight="1">
      <c r="A118" s="53">
        <f>RANK(K118,K2:K730)</f>
        <v>106</v>
      </c>
      <c r="B118" t="s" s="8">
        <v>268</v>
      </c>
      <c r="C118" t="s" s="39">
        <v>106</v>
      </c>
      <c r="D118" t="s" s="40">
        <f>VLOOKUP(B118,'Player Data'!A1:D734,4,FALSE)</f>
        <v>107</v>
      </c>
      <c r="E118" s="41">
        <f>VLOOKUP(B118,'C'!A1:C218,3,FALSE)</f>
        <v>32</v>
      </c>
      <c r="F118" t="s" s="42">
        <f>VLOOKUP(B118,'Player Data'!A1:B734,2,FALSE)</f>
        <v>248</v>
      </c>
      <c r="G118" s="9">
        <f>VLOOKUP(B118,'Player Data'!A1:D734,3,FALSE)</f>
        <v>20</v>
      </c>
      <c r="H118" s="43">
        <f>_xlfn.IFERROR(VLOOKUP(B118,'ADP'!A1:G731,7,FALSE)/1000000,VLOOKUP(B118,'ADP'!A1:G731,7,FALSE))</f>
        <v>0.8975</v>
      </c>
      <c r="I118" s="44">
        <f>IF('Settings'!$E$15="POINTS",((R118*Q118)*'Settings'!$B$12)+(S118*'Settings'!$B$2)+(T118*'Settings'!$B$3)+(U118*'Settings'!$B$4)+(V118*'Settings'!$B$5)+(X118*'Settings'!$B$9)+(AA118*'Settings'!$B$6)+(W118*'Settings'!$B$8)+(AB118*'Settings'!$B$7)+(AC118*'Settings'!$B$14)+(AD118*'Settings'!$B$15)+(AE118*'Settings'!$B$16)+(AF118*'Settings'!$B$17)+(AG118*'Settings'!$B$18)+(Y118*'Settings'!$B$10)+(Z118*'Settings'!$B$11),VLOOKUP(B118,'Standard Deviations'!A1:C731,3,FALSE))</f>
        <v>404.252312586028</v>
      </c>
      <c r="J118" s="45">
        <f>IF(D118="G",I118/AJ118,I118/Q118)</f>
        <v>4.97847675598557</v>
      </c>
      <c r="K118" s="44">
        <f>IF('Settings'!$E$18="C/LW/RW",VLOOKUP(B118,'C'!A1:F218,6,FALSE),VLOOKUP(B118,'F'!A1:F432,6,FALSE))</f>
        <v>8.478110950013001</v>
      </c>
      <c r="L118" s="44">
        <f>_xlfn.IFERROR(K118/H118,"N/A")</f>
        <v>9.446363175501951</v>
      </c>
      <c r="M118" s="46">
        <f>IF('Settings'!$E$9="YAHOO",VLOOKUP(B118,'ADP'!A1:E731,2,FALSE),IF('Settings'!$E$9="ESPN",VLOOKUP(B118,'ADP'!A1:E731,3,FALSE),IF('Settings'!$E$9="FANTRAX",VLOOKUP(B118,'ADP'!A1:E731,4,FALSE),VLOOKUP(B118,'ADP'!A1:E731,5,FALSE))))</f>
        <v>152.4</v>
      </c>
      <c r="N118" s="46">
        <f>_xlfn.IFERROR(M118-A118,"N/A")</f>
        <v>46.4</v>
      </c>
      <c r="O118" s="46"/>
      <c r="P118" t="s" s="47">
        <f>IF('Settings'!$E$27="ON",VLOOKUP(B118,'ADP'!A1:H731,8,FALSE)," ")</f>
        <v>116</v>
      </c>
      <c r="Q118" s="48">
        <f>IF('Settings'!$E$12="YES",VLOOKUP(B118,'Player Data'!A1:E734,5,FALSE),82)</f>
        <v>81.2</v>
      </c>
      <c r="R118" s="46">
        <f>VLOOKUP(B118,'Player Data'!$A1:$AE734,6,FALSE)</f>
        <v>18.6504598814529</v>
      </c>
      <c r="S118" s="48">
        <f>VLOOKUP(B118,'Player Data'!$A1:$AE734,7,FALSE)*$Q118*_xlfn.IFERROR((VLOOKUP(P118,'Settings'!$E$28:$F$33,2,FALSE)+1),1)</f>
        <v>30.7454756154444</v>
      </c>
      <c r="T118" s="48">
        <f>VLOOKUP(B118,'Player Data'!$A1:$AE734,8,FALSE)*$Q118*_xlfn.IFERROR((VLOOKUP(P118,'Settings'!$E$28:$F$33,2,FALSE)+1),1)</f>
        <v>43.1994459044752</v>
      </c>
      <c r="U118" s="48">
        <f>SUM(S118:T118)</f>
        <v>73.9449215199196</v>
      </c>
      <c r="V118" s="48">
        <f>VLOOKUP(B118,'Player Data'!$A1:$AE734,10,FALSE)*$Q118*_xlfn.IFERROR(((VLOOKUP(P118,'Settings'!$E$28:$F$33,2,FALSE)/2)+1),1)</f>
        <v>177.426068605614</v>
      </c>
      <c r="W118" s="48">
        <f>VLOOKUP(B118,'Player Data'!$A1:$AE734,11,FALSE)*$Q118*_xlfn.IFERROR((VLOOKUP(P118,'Settings'!$E$28:$F$33,2,FALSE)+1),1)</f>
        <v>7.07995391656417</v>
      </c>
      <c r="X118" s="48">
        <f>VLOOKUP(B118,'Player Data'!$A1:$AE734,12,FALSE)*$Q118*_xlfn.IFERROR((VLOOKUP(P118,'Settings'!$E$28:$F$33,2,FALSE)+1),1)</f>
        <v>17.1846104523799</v>
      </c>
      <c r="Y118" s="48">
        <f>VLOOKUP(B118,'Player Data'!$A1:$AE734,13,FALSE)*$Q118</f>
        <v>0.113256264911959</v>
      </c>
      <c r="Z118" s="48">
        <f>VLOOKUP(B118,'Player Data'!$A1:$AE734,14,FALSE)*$Q118</f>
        <v>0.738668197540309</v>
      </c>
      <c r="AA118" s="48">
        <f>VLOOKUP(B118,'Player Data'!$A1:$AE734,15,FALSE)*$Q118</f>
        <v>50.2071159726458</v>
      </c>
      <c r="AB118" s="48">
        <f>VLOOKUP(B118,'Player Data'!$A1:$AE734,16,FALSE)*$Q118</f>
        <v>84.02162367556789</v>
      </c>
      <c r="AC118" s="48">
        <f>VLOOKUP(B118,'Player Data'!$A1:$AE734,17,FALSE)*$Q118*_xlfn.IFERROR((VLOOKUP(P118,'Settings'!$E$28:$F$33,2,FALSE)+1),1)</f>
        <v>2.28392754111015</v>
      </c>
      <c r="AD118" s="48">
        <f>VLOOKUP(B118,'Player Data'!$A1:$AE734,18,FALSE)*$Q118</f>
        <v>11.8816654547472</v>
      </c>
      <c r="AE118" s="48">
        <f>VLOOKUP(B118,'Player Data'!$A1:$AE734,19,FALSE)*$Q118*_xlfn.IFERROR((VLOOKUP(P118,'Settings'!$E$28:$F$33,2,FALSE)+1),1)</f>
        <v>4.32161406522987</v>
      </c>
      <c r="AF118" s="48">
        <f>VLOOKUP(B118,'Player Data'!$A1:$AE734,20,FALSE)*$Q118</f>
        <v>450.545823885698</v>
      </c>
      <c r="AG118" s="48">
        <f>VLOOKUP(B118,'Player Data'!$A1:$AE734,21,FALSE)*$Q118</f>
        <v>616.453548015869</v>
      </c>
      <c r="AH118" s="49">
        <f>VLOOKUP(B118,'Player Data'!$A1:$AE734,22,FALSE)</f>
        <v>0.42225500384574</v>
      </c>
      <c r="AI118" s="46"/>
      <c r="AJ118" s="48"/>
      <c r="AK118" s="48"/>
      <c r="AL118" s="48"/>
      <c r="AM118" s="48"/>
      <c r="AN118" s="48"/>
      <c r="AO118" s="48"/>
      <c r="AP118" s="48"/>
      <c r="AQ118" s="51"/>
      <c r="AR118" s="52"/>
      <c r="AS118" s="46"/>
    </row>
    <row r="119" ht="21.25" customHeight="1">
      <c r="A119" s="53">
        <f>RANK(K119,K2:K730)</f>
        <v>55</v>
      </c>
      <c r="B119" t="s" s="8">
        <v>269</v>
      </c>
      <c r="C119" t="s" s="39">
        <v>106</v>
      </c>
      <c r="D119" t="s" s="40">
        <f>VLOOKUP(B119,'Player Data'!A1:D734,4,FALSE)</f>
        <v>146</v>
      </c>
      <c r="E119" s="58">
        <f>VLOOKUP(B119,'G'!A1:D75,3,FALSE)</f>
        <v>13</v>
      </c>
      <c r="F119" t="s" s="42">
        <f>VLOOKUP(B119,'Player Data'!A1:B734,2,FALSE)</f>
        <v>115</v>
      </c>
      <c r="G119" s="9">
        <f>VLOOKUP(B119,'Player Data'!A1:D734,3,FALSE)</f>
        <v>26</v>
      </c>
      <c r="H119" s="43">
        <f>_xlfn.IFERROR(VLOOKUP(B119,'ADP'!A1:G731,7,FALSE)/1000000,VLOOKUP(B119,'ADP'!A1:G731,7,FALSE))</f>
        <v>0</v>
      </c>
      <c r="I119" s="44">
        <f>IF('Settings'!$E$15="POINTS",(AJ119*'Settings'!$B$29)+(AK119*'Settings'!$B$21)+(AL119*'Settings'!$B$22)+(AN119*'Settings'!$B$24)+(AO119*'Settings'!$B$25)+(AP119*'Settings'!$B$27)+(AM119*'Settings'!$B$23),VLOOKUP(B119,'Standard Deviations'!A1:C731,3,FALSE))</f>
        <v>318.387124413970</v>
      </c>
      <c r="J119" s="45">
        <f>IF(D119="G",I119/AJ119,I119/Q119)</f>
        <v>6.3677424882794</v>
      </c>
      <c r="K119" s="44">
        <f>VLOOKUP(B119,'G'!A1:F75,6,FALSE)</f>
        <v>53.083902914282</v>
      </c>
      <c r="L119" t="s" s="60">
        <f>_xlfn.IFERROR(K119/H119,"N/A")</f>
        <v>158</v>
      </c>
      <c r="M119" s="46">
        <f>IF('Settings'!$E$9="YAHOO",VLOOKUP(B119,'ADP'!A1:E731,2,FALSE),IF('Settings'!$E$9="ESPN",VLOOKUP(B119,'ADP'!A1:E731,3,FALSE),IF('Settings'!$E$9="FANTRAX",VLOOKUP(B119,'ADP'!A1:E731,4,FALSE),VLOOKUP(B119,'ADP'!A1:E731,5,FALSE))))</f>
        <v>133.76</v>
      </c>
      <c r="N119" s="46">
        <f>_xlfn.IFERROR(M119-A119,"N/A")</f>
        <v>78.76000000000001</v>
      </c>
      <c r="O119" s="46"/>
      <c r="P119" t="s" s="47">
        <f>IF('Settings'!$E$27="ON",VLOOKUP(B119,'ADP'!A1:H731,8,FALSE)," ")</f>
        <v>109</v>
      </c>
      <c r="Q119" s="48"/>
      <c r="R119" s="59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9"/>
      <c r="AI119" s="46"/>
      <c r="AJ119" s="50">
        <f>VLOOKUP(B119,'Player Data'!$A1:$AE734,24,FALSE)</f>
        <v>50</v>
      </c>
      <c r="AK119" s="48">
        <f>VLOOKUP(B119,'Player Data'!$A1:$AE734,25,FALSE)*$AJ119*_xlfn.IFERROR((VLOOKUP(P119,'Settings'!$E$28:$F$33,2,FALSE)+1),1)</f>
        <v>30.2864809614304</v>
      </c>
      <c r="AL119" s="48">
        <f>AJ119-AK119-AM119</f>
        <v>13.4635190385696</v>
      </c>
      <c r="AM119" s="48">
        <f>VLOOKUP(B119,'Player Data'!$A1:$AE734,27,FALSE)*$AJ119</f>
        <v>6.25</v>
      </c>
      <c r="AN119" s="48">
        <f>VLOOKUP(B119,'Player Data'!$A1:$AE734,28,FALSE)*AJ119</f>
        <v>2.89886716191358</v>
      </c>
      <c r="AO119" s="48">
        <f>VLOOKUP(B119,'Player Data'!$A1:$AE734,29,FALSE)*$AJ119*_xlfn.IFERROR((VLOOKUP(P119,'Settings'!$E$28:$F$33,2,FALSE)/4)+1,1)</f>
        <v>1425.846150632050</v>
      </c>
      <c r="AP119" s="48">
        <f>VLOOKUP(B119,'Player Data'!$A1:$AE734,31,FALSE)*$AJ119*(_xlfn.IFERROR(1-(VLOOKUP(P119,'Settings'!$E$28:$F$33,2,FALSE)/4),1))</f>
        <v>139.281843430451</v>
      </c>
      <c r="AQ119" s="51">
        <f>1-(AP119/(AO119+AP119))</f>
        <v>0.911009295112711</v>
      </c>
      <c r="AR119" s="52">
        <f>AP119/AJ119</f>
        <v>2.78563686860902</v>
      </c>
      <c r="AS119" s="46"/>
    </row>
    <row r="120" ht="21.25" customHeight="1">
      <c r="A120" s="53">
        <f>RANK(K120,K2:K730)</f>
        <v>170</v>
      </c>
      <c r="B120" t="s" s="8">
        <v>270</v>
      </c>
      <c r="C120" t="s" s="39">
        <v>106</v>
      </c>
      <c r="D120" t="s" s="40">
        <f>VLOOKUP(B120,'Player Data'!A1:D734,4,FALSE)</f>
        <v>129</v>
      </c>
      <c r="E120" s="56">
        <f>VLOOKUP(B120,'D'!A1:C228,3,FALSE)</f>
        <v>41</v>
      </c>
      <c r="F120" t="s" s="42">
        <f>VLOOKUP(B120,'Player Data'!A1:B734,2,FALSE)</f>
        <v>234</v>
      </c>
      <c r="G120" s="9">
        <f>VLOOKUP(B120,'Player Data'!A1:D734,3,FALSE)</f>
        <v>31</v>
      </c>
      <c r="H120" s="43">
        <f>_xlfn.IFERROR(VLOOKUP(B120,'ADP'!A1:G731,7,FALSE)/1000000,VLOOKUP(B120,'ADP'!A1:G731,7,FALSE))</f>
        <v>6.5</v>
      </c>
      <c r="I120" s="44">
        <f>IF('Settings'!$E$15="POINTS",((R120*Q120)*'Settings'!$B$12)+(S120*'Settings'!$B$2)+(T120*'Settings'!$B$3)+(U120*'Settings'!$B$4)+(V120*'Settings'!$B$5)+(X120*'Settings'!$B$9)+(AA120*'Settings'!$B$6)+(W120*'Settings'!$B$8)+(AB120*'Settings'!$B$7)+(AC120*'Settings'!$B$14)+(AD120*'Settings'!$B$15)+(AE120*'Settings'!$B$16)+(AF120*'Settings'!$B$17)+(AG120*'Settings'!$B$18)+(U120*'Settings'!$B$13)+(Y120*'Settings'!$B$10)+(Z120*'Settings'!$B$11),VLOOKUP(B120,'Standard Deviations'!A1:C731,3,FALSE))</f>
        <v>295.279338712156</v>
      </c>
      <c r="J120" s="45">
        <f>IF(D120="G",I120/AJ120,I120/Q120)</f>
        <v>3.63622115278808</v>
      </c>
      <c r="K120" s="44">
        <f>VLOOKUP(B120,'D'!A1:F228,6,FALSE)</f>
        <v>-45.455799934367</v>
      </c>
      <c r="L120" s="44">
        <f>_xlfn.IFERROR(K120/H120,"N/A")</f>
        <v>-6.99319998990262</v>
      </c>
      <c r="M120" s="46">
        <f>IF('Settings'!$E$9="YAHOO",VLOOKUP(B120,'ADP'!A1:E731,2,FALSE),IF('Settings'!$E$9="ESPN",VLOOKUP(B120,'ADP'!A1:E731,3,FALSE),IF('Settings'!$E$9="FANTRAX",VLOOKUP(B120,'ADP'!A1:E731,4,FALSE),VLOOKUP(B120,'ADP'!A1:E731,5,FALSE))))</f>
        <v>208.79</v>
      </c>
      <c r="N120" s="46">
        <f>_xlfn.IFERROR(M120-A120,"N/A")</f>
        <v>38.79</v>
      </c>
      <c r="O120" s="46"/>
      <c r="P120" t="s" s="47">
        <f>IF('Settings'!$E$27="ON",VLOOKUP(B120,'ADP'!A1:H731,8,FALSE)," ")</f>
        <v>109</v>
      </c>
      <c r="Q120" s="48">
        <f>IF('Settings'!$E$12="YES",VLOOKUP(B120,'Player Data'!A1:E734,5,FALSE),82)</f>
        <v>81.205</v>
      </c>
      <c r="R120" s="46">
        <f>VLOOKUP(B120,'Player Data'!$A1:$AE734,6,FALSE)</f>
        <v>24.5274515752668</v>
      </c>
      <c r="S120" s="48">
        <f>VLOOKUP(B120,'Player Data'!$A1:$AE734,7,FALSE)*$Q120*_xlfn.IFERROR((VLOOKUP(P120,'Settings'!$E$28:$F$33,2,FALSE)+1),1)</f>
        <v>10.2901549007955</v>
      </c>
      <c r="T120" s="48">
        <f>VLOOKUP(B120,'Player Data'!$A1:$AE734,8,FALSE)*$Q120*_xlfn.IFERROR((VLOOKUP(P120,'Settings'!$E$28:$F$33,2,FALSE)+1),1)</f>
        <v>38.0268687811437</v>
      </c>
      <c r="U120" s="48">
        <f>SUM(S120:T120)</f>
        <v>48.3170236819392</v>
      </c>
      <c r="V120" s="48">
        <f>VLOOKUP(B120,'Player Data'!$A1:$AE734,10,FALSE)*$Q120*_xlfn.IFERROR(((VLOOKUP(P120,'Settings'!$E$28:$F$33,2,FALSE)/2)+1),1)</f>
        <v>140.439425043390</v>
      </c>
      <c r="W120" s="48">
        <f>VLOOKUP(B120,'Player Data'!$A1:$AE734,11,FALSE)*$Q120*_xlfn.IFERROR((VLOOKUP(P120,'Settings'!$E$28:$F$33,2,FALSE)+1),1)</f>
        <v>4.83978813135435</v>
      </c>
      <c r="X120" s="48">
        <f>VLOOKUP(B120,'Player Data'!$A1:$AE734,12,FALSE)*$Q120*_xlfn.IFERROR((VLOOKUP(P120,'Settings'!$E$28:$F$33,2,FALSE)+1),1)</f>
        <v>18.3112562501946</v>
      </c>
      <c r="Y120" s="48">
        <f>VLOOKUP(B120,'Player Data'!$A1:$AE734,13,FALSE)*$Q120</f>
        <v>0.0254317370311744</v>
      </c>
      <c r="Z120" s="48">
        <f>VLOOKUP(B120,'Player Data'!$A1:$AE734,14,FALSE)*$Q120</f>
        <v>0.0988121382954445</v>
      </c>
      <c r="AA120" s="48">
        <f>VLOOKUP(B120,'Player Data'!$A1:$AE734,15,FALSE)*$Q120</f>
        <v>109.467603733960</v>
      </c>
      <c r="AB120" s="48">
        <f>VLOOKUP(B120,'Player Data'!$A1:$AE734,16,FALSE)*$Q120</f>
        <v>38.9675865995164</v>
      </c>
      <c r="AC120" s="48">
        <f>VLOOKUP(B120,'Player Data'!$A1:$AE734,17,FALSE)*$Q120*_xlfn.IFERROR((VLOOKUP(P120,'Settings'!$E$28:$F$33,2,FALSE)+1),1)</f>
        <v>-8.50649678665591</v>
      </c>
      <c r="AD120" s="48">
        <f>VLOOKUP(B120,'Player Data'!$A1:$AE734,18,FALSE)*$Q120</f>
        <v>23.4807741281663</v>
      </c>
      <c r="AE120" s="48">
        <f>VLOOKUP(B120,'Player Data'!$A1:$AE734,19,FALSE)*$Q120*_xlfn.IFERROR((VLOOKUP(P120,'Settings'!$E$28:$F$33,2,FALSE)+1),1)</f>
        <v>0.9864453833831101</v>
      </c>
      <c r="AF120" s="48">
        <f>VLOOKUP(B120,'Player Data'!$A1:$AE734,20,FALSE)*$Q120</f>
        <v>0</v>
      </c>
      <c r="AG120" s="48">
        <f>VLOOKUP(B120,'Player Data'!$A1:$AE734,21,FALSE)*$Q120</f>
        <v>0</v>
      </c>
      <c r="AH120" s="49">
        <f>VLOOKUP(B120,'Player Data'!$A1:$AE734,22,FALSE)</f>
        <v>0</v>
      </c>
      <c r="AI120" s="46"/>
      <c r="AJ120" s="50"/>
      <c r="AK120" s="48"/>
      <c r="AL120" s="48"/>
      <c r="AM120" s="48"/>
      <c r="AN120" s="48"/>
      <c r="AO120" s="48"/>
      <c r="AP120" s="48"/>
      <c r="AQ120" s="51"/>
      <c r="AR120" s="52"/>
      <c r="AS120" s="46"/>
    </row>
    <row r="121" ht="21.25" customHeight="1">
      <c r="A121" s="53">
        <f>RANK(K121,K2:K730)</f>
        <v>51</v>
      </c>
      <c r="B121" t="s" s="8">
        <v>271</v>
      </c>
      <c r="C121" t="s" s="39">
        <v>106</v>
      </c>
      <c r="D121" t="s" s="40">
        <f>VLOOKUP(B121,'Player Data'!A1:D734,4,FALSE)</f>
        <v>146</v>
      </c>
      <c r="E121" s="58">
        <f>VLOOKUP(B121,'G'!A1:D75,3,FALSE)</f>
        <v>12</v>
      </c>
      <c r="F121" t="s" s="42">
        <f>VLOOKUP(B121,'Player Data'!A1:B734,2,FALSE)</f>
        <v>194</v>
      </c>
      <c r="G121" s="9">
        <f>VLOOKUP(B121,'Player Data'!A1:D734,3,FALSE)</f>
        <v>30</v>
      </c>
      <c r="H121" s="43">
        <f>_xlfn.IFERROR(VLOOKUP(B121,'ADP'!A1:G731,7,FALSE)/1000000,VLOOKUP(B121,'ADP'!A1:G731,7,FALSE))</f>
        <v>6</v>
      </c>
      <c r="I121" s="44">
        <f>IF('Settings'!$E$15="POINTS",(AJ121*'Settings'!$B$29)+(AK121*'Settings'!$B$21)+(AL121*'Settings'!$B$22)+(AN121*'Settings'!$B$24)+(AO121*'Settings'!$B$25)+(AP121*'Settings'!$B$27)+(AM121*'Settings'!$B$23),VLOOKUP(B121,'Standard Deviations'!A1:C731,3,FALSE))</f>
        <v>322.506677092769</v>
      </c>
      <c r="J121" s="45">
        <f>IF(D121="G",I121/AJ121,I121/Q121)</f>
        <v>5.37511128487948</v>
      </c>
      <c r="K121" s="44">
        <f>VLOOKUP(B121,'G'!A1:F75,6,FALSE)</f>
        <v>57.203455593081</v>
      </c>
      <c r="L121" s="44">
        <f>_xlfn.IFERROR(K121/H121,"N/A")</f>
        <v>9.5339092655135</v>
      </c>
      <c r="M121" s="46">
        <f>IF('Settings'!$E$9="YAHOO",VLOOKUP(B121,'ADP'!A1:E731,2,FALSE),IF('Settings'!$E$9="ESPN",VLOOKUP(B121,'ADP'!A1:E731,3,FALSE),IF('Settings'!$E$9="FANTRAX",VLOOKUP(B121,'ADP'!A1:E731,4,FALSE),VLOOKUP(B121,'ADP'!A1:E731,5,FALSE))))</f>
        <v>217.81</v>
      </c>
      <c r="N121" s="46">
        <f>_xlfn.IFERROR(M121-A121,"N/A")</f>
        <v>166.81</v>
      </c>
      <c r="O121" s="46"/>
      <c r="P121" t="s" s="47">
        <f>IF('Settings'!$E$27="ON",VLOOKUP(B121,'ADP'!A1:H731,8,FALSE)," ")</f>
        <v>175</v>
      </c>
      <c r="Q121" s="48"/>
      <c r="R121" s="59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9"/>
      <c r="AI121" s="46"/>
      <c r="AJ121" s="50">
        <f>VLOOKUP(B121,'Player Data'!$A1:$AE734,24,FALSE)</f>
        <v>60</v>
      </c>
      <c r="AK121" s="48">
        <f>VLOOKUP(B121,'Player Data'!$A1:$AE734,25,FALSE)*$AJ121*_xlfn.IFERROR((VLOOKUP(P121,'Settings'!$E$28:$F$33,2,FALSE)+1),1)</f>
        <v>24.7456312046828</v>
      </c>
      <c r="AL121" s="48">
        <f>AJ121-AK121-AM121</f>
        <v>27.7543687953172</v>
      </c>
      <c r="AM121" s="48">
        <f>VLOOKUP(B121,'Player Data'!$A1:$AE734,27,FALSE)*$AJ121</f>
        <v>7.5</v>
      </c>
      <c r="AN121" s="48">
        <f>VLOOKUP(B121,'Player Data'!$A1:$AE734,28,FALSE)*AJ121</f>
        <v>2.80802664786121</v>
      </c>
      <c r="AO121" s="48">
        <f>VLOOKUP(B121,'Player Data'!$A1:$AE734,29,FALSE)*$AJ121*_xlfn.IFERROR((VLOOKUP(P121,'Settings'!$E$28:$F$33,2,FALSE)/4)+1,1)</f>
        <v>1690.059828911220</v>
      </c>
      <c r="AP121" s="48">
        <f>VLOOKUP(B121,'Player Data'!$A1:$AE734,31,FALSE)*$AJ121*(_xlfn.IFERROR(1-(VLOOKUP(P121,'Settings'!$E$28:$F$33,2,FALSE)/4),1))</f>
        <v>178.114830092153</v>
      </c>
      <c r="AQ121" s="51">
        <f>1-(AP121/(AO121+AP121))</f>
        <v>0.904658363053071</v>
      </c>
      <c r="AR121" s="52">
        <f>AP121/AJ121</f>
        <v>2.96858050153588</v>
      </c>
      <c r="AS121" s="46"/>
    </row>
    <row r="122" ht="21.25" customHeight="1">
      <c r="A122" s="53">
        <f>RANK(K122,K2:K730)</f>
        <v>85</v>
      </c>
      <c r="B122" t="s" s="8">
        <v>272</v>
      </c>
      <c r="C122" t="s" s="39">
        <v>106</v>
      </c>
      <c r="D122" t="s" s="40">
        <f>VLOOKUP(B122,'Player Data'!A1:D734,4,FALSE)</f>
        <v>133</v>
      </c>
      <c r="E122" s="57">
        <f>VLOOKUP(B122,'LW'!A1:C156,3,FALSE)</f>
        <v>25</v>
      </c>
      <c r="F122" t="s" s="42">
        <f>VLOOKUP(B122,'Player Data'!A1:B734,2,FALSE)</f>
        <v>151</v>
      </c>
      <c r="G122" s="9">
        <f>VLOOKUP(B122,'Player Data'!A1:D734,3,FALSE)</f>
        <v>32</v>
      </c>
      <c r="H122" s="43">
        <f>_xlfn.IFERROR(VLOOKUP(B122,'ADP'!A1:G731,7,FALSE)/1000000,VLOOKUP(B122,'ADP'!A1:G731,7,FALSE))</f>
        <v>6.5</v>
      </c>
      <c r="I122" s="44">
        <f>IF('Settings'!$E$15="POINTS",((R122*Q122)*'Settings'!$B$12)+(S122*'Settings'!$B$2)+(T122*'Settings'!$B$3)+(U122*'Settings'!$B$4)+(V122*'Settings'!$B$5)+(X122*'Settings'!$B$9)+(AA122*'Settings'!$B$6)+(W122*'Settings'!$B$8)+(AB122*'Settings'!$B$7)+(AC122*'Settings'!$B$14)+(AD122*'Settings'!$B$15)+(AE122*'Settings'!$B$16)+(AF122*'Settings'!$B$17)+(AG122*'Settings'!$B$18)+(Y122*'Settings'!$B$10)+(Z122*'Settings'!$B$11),VLOOKUP(B122,'Standard Deviations'!A1:C731,3,FALSE))</f>
        <v>407.034072335718</v>
      </c>
      <c r="J122" s="45">
        <f>IF(D122="G",I122/AJ122,I122/Q122)</f>
        <v>5.05749064797562</v>
      </c>
      <c r="K122" s="44">
        <f>IF('Settings'!$E$18="C/LW/RW",VLOOKUP(B122,'LW'!A1:F156,6,FALSE),VLOOKUP(B122,'F'!A1:F432,6,FALSE))</f>
        <v>25.405508629362</v>
      </c>
      <c r="L122" s="44">
        <f>_xlfn.IFERROR(K122/H122,"N/A")</f>
        <v>3.90853978913262</v>
      </c>
      <c r="M122" s="46">
        <f>IF('Settings'!$E$9="YAHOO",VLOOKUP(B122,'ADP'!A1:E731,2,FALSE),IF('Settings'!$E$9="ESPN",VLOOKUP(B122,'ADP'!A1:E731,3,FALSE),IF('Settings'!$E$9="FANTRAX",VLOOKUP(B122,'ADP'!A1:E731,4,FALSE),VLOOKUP(B122,'ADP'!A1:E731,5,FALSE))))</f>
        <v>108.4</v>
      </c>
      <c r="N122" s="46">
        <f>_xlfn.IFERROR(M122-A122,"N/A")</f>
        <v>23.4</v>
      </c>
      <c r="O122" s="46"/>
      <c r="P122" t="s" s="47">
        <f>IF('Settings'!$E$27="ON",VLOOKUP(B122,'ADP'!A1:H731,8,FALSE)," ")</f>
        <v>109</v>
      </c>
      <c r="Q122" s="48">
        <f>IF('Settings'!$E$12="YES",VLOOKUP(B122,'Player Data'!A1:E734,5,FALSE),82)</f>
        <v>80.48142857142859</v>
      </c>
      <c r="R122" s="46">
        <f>VLOOKUP(B122,'Player Data'!$A1:$AE734,6,FALSE)</f>
        <v>18.5373016328704</v>
      </c>
      <c r="S122" s="48">
        <f>VLOOKUP(B122,'Player Data'!$A1:$AE734,7,FALSE)*$Q122*_xlfn.IFERROR((VLOOKUP(P122,'Settings'!$E$28:$F$33,2,FALSE)+1),1)</f>
        <v>38.2708543998294</v>
      </c>
      <c r="T122" s="48">
        <f>VLOOKUP(B122,'Player Data'!$A1:$AE734,8,FALSE)*$Q122*_xlfn.IFERROR((VLOOKUP(P122,'Settings'!$E$28:$F$33,2,FALSE)+1),1)</f>
        <v>21.526943802610</v>
      </c>
      <c r="U122" s="48">
        <f>SUM(S122:T122)</f>
        <v>59.7977982024394</v>
      </c>
      <c r="V122" s="48">
        <f>VLOOKUP(B122,'Player Data'!$A1:$AE734,10,FALSE)*$Q122*_xlfn.IFERROR(((VLOOKUP(P122,'Settings'!$E$28:$F$33,2,FALSE)/2)+1),1)</f>
        <v>230.242172613965</v>
      </c>
      <c r="W122" s="48">
        <f>VLOOKUP(B122,'Player Data'!$A1:$AE734,11,FALSE)*$Q122*_xlfn.IFERROR((VLOOKUP(P122,'Settings'!$E$28:$F$33,2,FALSE)+1),1)</f>
        <v>14.3146811885669</v>
      </c>
      <c r="X122" s="48">
        <f>VLOOKUP(B122,'Player Data'!$A1:$AE734,12,FALSE)*$Q122*_xlfn.IFERROR((VLOOKUP(P122,'Settings'!$E$28:$F$33,2,FALSE)+1),1)</f>
        <v>23.5068452205384</v>
      </c>
      <c r="Y122" s="48">
        <f>VLOOKUP(B122,'Player Data'!$A1:$AE734,13,FALSE)*$Q122</f>
        <v>3.33846743261736</v>
      </c>
      <c r="Z122" s="48">
        <f>VLOOKUP(B122,'Player Data'!$A1:$AE734,14,FALSE)*$Q122</f>
        <v>3.41842821985185</v>
      </c>
      <c r="AA122" s="48">
        <f>VLOOKUP(B122,'Player Data'!$A1:$AE734,15,FALSE)*$Q122</f>
        <v>31.7856341058998</v>
      </c>
      <c r="AB122" s="48">
        <f>VLOOKUP(B122,'Player Data'!$A1:$AE734,16,FALSE)*$Q122</f>
        <v>129.534545316078</v>
      </c>
      <c r="AC122" s="48">
        <f>VLOOKUP(B122,'Player Data'!$A1:$AE734,17,FALSE)*$Q122*_xlfn.IFERROR((VLOOKUP(P122,'Settings'!$E$28:$F$33,2,FALSE)+1),1)</f>
        <v>6.33156341542943</v>
      </c>
      <c r="AD122" s="48">
        <f>VLOOKUP(B122,'Player Data'!$A1:$AE734,18,FALSE)*$Q122</f>
        <v>31.8743514401805</v>
      </c>
      <c r="AE122" s="48">
        <f>VLOOKUP(B122,'Player Data'!$A1:$AE734,19,FALSE)*$Q122*_xlfn.IFERROR((VLOOKUP(P122,'Settings'!$E$28:$F$33,2,FALSE)+1),1)</f>
        <v>6.52128212375277</v>
      </c>
      <c r="AF122" s="48">
        <f>VLOOKUP(B122,'Player Data'!$A1:$AE734,20,FALSE)*$Q122</f>
        <v>44.856421696291</v>
      </c>
      <c r="AG122" s="48">
        <f>VLOOKUP(B122,'Player Data'!$A1:$AE734,21,FALSE)*$Q122</f>
        <v>53.002384256475</v>
      </c>
      <c r="AH122" s="49">
        <f>VLOOKUP(B122,'Player Data'!$A1:$AE734,22,FALSE)</f>
        <v>0.458379000842724</v>
      </c>
      <c r="AI122" s="46"/>
      <c r="AJ122" s="50"/>
      <c r="AK122" s="48"/>
      <c r="AL122" s="48"/>
      <c r="AM122" s="48"/>
      <c r="AN122" s="48"/>
      <c r="AO122" s="48"/>
      <c r="AP122" s="48"/>
      <c r="AQ122" s="51"/>
      <c r="AR122" s="52"/>
      <c r="AS122" s="46"/>
    </row>
    <row r="123" ht="21.25" customHeight="1">
      <c r="A123" s="53">
        <f>RANK(K123,K2:K730)</f>
        <v>133</v>
      </c>
      <c r="B123" t="s" s="8">
        <v>273</v>
      </c>
      <c r="C123" t="s" s="39">
        <v>106</v>
      </c>
      <c r="D123" t="s" s="40">
        <f>VLOOKUP(B123,'Player Data'!A1:D734,4,FALSE)</f>
        <v>133</v>
      </c>
      <c r="E123" s="57">
        <f>VLOOKUP(B123,'LW'!A1:C156,3,FALSE)</f>
        <v>36</v>
      </c>
      <c r="F123" t="s" s="42">
        <f>VLOOKUP(B123,'Player Data'!A1:B734,2,FALSE)</f>
        <v>164</v>
      </c>
      <c r="G123" s="9">
        <f>VLOOKUP(B123,'Player Data'!A1:D734,3,FALSE)</f>
        <v>27</v>
      </c>
      <c r="H123" s="43">
        <f>_xlfn.IFERROR(VLOOKUP(B123,'ADP'!A1:G731,7,FALSE)/1000000,VLOOKUP(B123,'ADP'!A1:G731,7,FALSE))</f>
        <v>6</v>
      </c>
      <c r="I123" s="44">
        <f>IF('Settings'!$E$15="POINTS",((R123*Q123)*'Settings'!$B$12)+(S123*'Settings'!$B$2)+(T123*'Settings'!$B$3)+(U123*'Settings'!$B$4)+(V123*'Settings'!$B$5)+(X123*'Settings'!$B$9)+(AA123*'Settings'!$B$6)+(W123*'Settings'!$B$8)+(AB123*'Settings'!$B$7)+(AC123*'Settings'!$B$14)+(AD123*'Settings'!$B$15)+(AE123*'Settings'!$B$16)+(AF123*'Settings'!$B$17)+(AG123*'Settings'!$B$18)+(Y123*'Settings'!$B$10)+(Z123*'Settings'!$B$11),VLOOKUP(B123,'Standard Deviations'!A1:C731,3,FALSE))</f>
        <v>366.991176402012</v>
      </c>
      <c r="J123" s="45">
        <f>IF(D123="G",I123/AJ123,I123/Q123)</f>
        <v>5.14031812073551</v>
      </c>
      <c r="K123" s="44">
        <f>IF('Settings'!$E$18="C/LW/RW",VLOOKUP(B123,'LW'!A1:F156,6,FALSE),VLOOKUP(B123,'F'!A1:F432,6,FALSE))</f>
        <v>-14.637387304344</v>
      </c>
      <c r="L123" s="44">
        <f>_xlfn.IFERROR(K123/H123,"N/A")</f>
        <v>-2.439564550724</v>
      </c>
      <c r="M123" s="46">
        <f>IF('Settings'!$E$9="YAHOO",VLOOKUP(B123,'ADP'!A1:E731,2,FALSE),IF('Settings'!$E$9="ESPN",VLOOKUP(B123,'ADP'!A1:E731,3,FALSE),IF('Settings'!$E$9="FANTRAX",VLOOKUP(B123,'ADP'!A1:E731,4,FALSE),VLOOKUP(B123,'ADP'!A1:E731,5,FALSE))))</f>
        <v>85.81</v>
      </c>
      <c r="N123" s="46">
        <f>_xlfn.IFERROR(M123-A123,"N/A")</f>
        <v>-47.19</v>
      </c>
      <c r="O123" s="46"/>
      <c r="P123" t="s" s="47">
        <f>IF('Settings'!$E$27="ON",VLOOKUP(B123,'ADP'!A1:H731,8,FALSE)," ")</f>
        <v>109</v>
      </c>
      <c r="Q123" s="48">
        <f>IF('Settings'!$E$12="YES",VLOOKUP(B123,'Player Data'!A1:E734,5,FALSE),82)</f>
        <v>71.3946428571429</v>
      </c>
      <c r="R123" s="46">
        <f>VLOOKUP(B123,'Player Data'!$A1:$AE734,6,FALSE)</f>
        <v>16.8098446099355</v>
      </c>
      <c r="S123" s="48">
        <f>VLOOKUP(B123,'Player Data'!$A1:$AE734,7,FALSE)*$Q123*_xlfn.IFERROR((VLOOKUP(P123,'Settings'!$E$28:$F$33,2,FALSE)+1),1)</f>
        <v>25.8399311893661</v>
      </c>
      <c r="T123" s="48">
        <f>VLOOKUP(B123,'Player Data'!$A1:$AE734,8,FALSE)*$Q123*_xlfn.IFERROR((VLOOKUP(P123,'Settings'!$E$28:$F$33,2,FALSE)+1),1)</f>
        <v>37.4461204903974</v>
      </c>
      <c r="U123" s="48">
        <f>SUM(S123:T123)</f>
        <v>63.2860516797635</v>
      </c>
      <c r="V123" s="48">
        <f>VLOOKUP(B123,'Player Data'!$A1:$AE734,10,FALSE)*$Q123*_xlfn.IFERROR(((VLOOKUP(P123,'Settings'!$E$28:$F$33,2,FALSE)/2)+1),1)</f>
        <v>228.645056956248</v>
      </c>
      <c r="W123" s="48">
        <f>VLOOKUP(B123,'Player Data'!$A1:$AE734,11,FALSE)*$Q123*_xlfn.IFERROR((VLOOKUP(P123,'Settings'!$E$28:$F$33,2,FALSE)+1),1)</f>
        <v>6.78047635366093</v>
      </c>
      <c r="X123" s="48">
        <f>VLOOKUP(B123,'Player Data'!$A1:$AE734,12,FALSE)*$Q123*_xlfn.IFERROR((VLOOKUP(P123,'Settings'!$E$28:$F$33,2,FALSE)+1),1)</f>
        <v>19.490374187367</v>
      </c>
      <c r="Y123" s="48">
        <f>VLOOKUP(B123,'Player Data'!$A1:$AE734,13,FALSE)*$Q123</f>
        <v>0</v>
      </c>
      <c r="Z123" s="48">
        <f>VLOOKUP(B123,'Player Data'!$A1:$AE734,14,FALSE)*$Q123</f>
        <v>0</v>
      </c>
      <c r="AA123" s="48">
        <f>VLOOKUP(B123,'Player Data'!$A1:$AE734,15,FALSE)*$Q123</f>
        <v>22.2709528384768</v>
      </c>
      <c r="AB123" s="48">
        <f>VLOOKUP(B123,'Player Data'!$A1:$AE734,16,FALSE)*$Q123</f>
        <v>51.6604787252416</v>
      </c>
      <c r="AC123" s="48">
        <f>VLOOKUP(B123,'Player Data'!$A1:$AE734,17,FALSE)*$Q123*_xlfn.IFERROR((VLOOKUP(P123,'Settings'!$E$28:$F$33,2,FALSE)+1),1)</f>
        <v>4.01187643568601</v>
      </c>
      <c r="AD123" s="48">
        <f>VLOOKUP(B123,'Player Data'!$A1:$AE734,18,FALSE)*$Q123</f>
        <v>22.8441423155025</v>
      </c>
      <c r="AE123" s="48">
        <f>VLOOKUP(B123,'Player Data'!$A1:$AE734,19,FALSE)*$Q123*_xlfn.IFERROR((VLOOKUP(P123,'Settings'!$E$28:$F$33,2,FALSE)+1),1)</f>
        <v>4.03111575649417</v>
      </c>
      <c r="AF123" s="48">
        <f>VLOOKUP(B123,'Player Data'!$A1:$AE734,20,FALSE)*$Q123</f>
        <v>2.11094200047275</v>
      </c>
      <c r="AG123" s="48">
        <f>VLOOKUP(B123,'Player Data'!$A1:$AE734,21,FALSE)*$Q123</f>
        <v>0.971008181745915</v>
      </c>
      <c r="AH123" s="49">
        <f>VLOOKUP(B123,'Player Data'!$A1:$AE734,22,FALSE)</f>
        <v>0.684937093614246</v>
      </c>
      <c r="AI123" s="46"/>
      <c r="AJ123" s="50"/>
      <c r="AK123" s="48"/>
      <c r="AL123" s="48"/>
      <c r="AM123" s="48"/>
      <c r="AN123" s="48"/>
      <c r="AO123" s="48"/>
      <c r="AP123" s="48"/>
      <c r="AQ123" s="51"/>
      <c r="AR123" s="52"/>
      <c r="AS123" s="46"/>
    </row>
    <row r="124" ht="21.25" customHeight="1">
      <c r="A124" s="53">
        <f>RANK(K124,K2:K730)</f>
        <v>144</v>
      </c>
      <c r="B124" t="s" s="8">
        <v>274</v>
      </c>
      <c r="C124" t="s" s="39">
        <v>106</v>
      </c>
      <c r="D124" t="s" s="40">
        <f>VLOOKUP(B124,'Player Data'!A1:D734,4,FALSE)</f>
        <v>107</v>
      </c>
      <c r="E124" s="41">
        <f>VLOOKUP(B124,'C'!A1:C218,3,FALSE)</f>
        <v>43</v>
      </c>
      <c r="F124" t="s" s="42">
        <f>VLOOKUP(B124,'Player Data'!A1:B734,2,FALSE)</f>
        <v>238</v>
      </c>
      <c r="G124" s="9">
        <f>VLOOKUP(B124,'Player Data'!A1:D734,3,FALSE)</f>
        <v>32</v>
      </c>
      <c r="H124" s="43">
        <f>_xlfn.IFERROR(VLOOKUP(B124,'ADP'!A1:G731,7,FALSE)/1000000,VLOOKUP(B124,'ADP'!A1:G731,7,FALSE))</f>
        <v>7</v>
      </c>
      <c r="I124" s="44">
        <f>IF('Settings'!$E$15="POINTS",((R124*Q124)*'Settings'!$B$12)+(S124*'Settings'!$B$2)+(T124*'Settings'!$B$3)+(U124*'Settings'!$B$4)+(V124*'Settings'!$B$5)+(X124*'Settings'!$B$9)+(AA124*'Settings'!$B$6)+(W124*'Settings'!$B$8)+(AB124*'Settings'!$B$7)+(AC124*'Settings'!$B$14)+(AD124*'Settings'!$B$15)+(AE124*'Settings'!$B$16)+(AF124*'Settings'!$B$17)+(AG124*'Settings'!$B$18)+(Y124*'Settings'!$B$10)+(Z124*'Settings'!$B$11),VLOOKUP(B124,'Standard Deviations'!A1:C731,3,FALSE))</f>
        <v>376.159464868079</v>
      </c>
      <c r="J124" s="45">
        <f>IF(D124="G",I124/AJ124,I124/Q124)</f>
        <v>4.67177278067599</v>
      </c>
      <c r="K124" s="44">
        <f>IF('Settings'!$E$18="C/LW/RW",VLOOKUP(B124,'C'!A1:F218,6,FALSE),VLOOKUP(B124,'F'!A1:F432,6,FALSE))</f>
        <v>-19.614736767936</v>
      </c>
      <c r="L124" s="44">
        <f>_xlfn.IFERROR(K124/H124,"N/A")</f>
        <v>-2.80210525256229</v>
      </c>
      <c r="M124" s="46">
        <f>IF('Settings'!$E$9="YAHOO",VLOOKUP(B124,'ADP'!A1:E731,2,FALSE),IF('Settings'!$E$9="ESPN",VLOOKUP(B124,'ADP'!A1:E731,3,FALSE),IF('Settings'!$E$9="FANTRAX",VLOOKUP(B124,'ADP'!A1:E731,4,FALSE),VLOOKUP(B124,'ADP'!A1:E731,5,FALSE))))</f>
        <v>144.61</v>
      </c>
      <c r="N124" s="46">
        <f>_xlfn.IFERROR(M124-A124,"N/A")</f>
        <v>0.61</v>
      </c>
      <c r="O124" s="46"/>
      <c r="P124" t="s" s="47">
        <f>IF('Settings'!$E$27="ON",VLOOKUP(B124,'ADP'!A1:H731,8,FALSE)," ")</f>
        <v>109</v>
      </c>
      <c r="Q124" s="48">
        <f>IF('Settings'!$E$12="YES",VLOOKUP(B124,'Player Data'!A1:E734,5,FALSE),82)</f>
        <v>80.5175</v>
      </c>
      <c r="R124" s="46">
        <f>VLOOKUP(B124,'Player Data'!$A1:$AE734,6,FALSE)</f>
        <v>16.9462491491204</v>
      </c>
      <c r="S124" s="48">
        <f>VLOOKUP(B124,'Player Data'!$A1:$AE734,7,FALSE)*$Q124*_xlfn.IFERROR((VLOOKUP(P124,'Settings'!$E$28:$F$33,2,FALSE)+1),1)</f>
        <v>22.3907015409015</v>
      </c>
      <c r="T124" s="48">
        <f>VLOOKUP(B124,'Player Data'!$A1:$AE734,8,FALSE)*$Q124*_xlfn.IFERROR((VLOOKUP(P124,'Settings'!$E$28:$F$33,2,FALSE)+1),1)</f>
        <v>38.798311894811</v>
      </c>
      <c r="U124" s="48">
        <f>SUM(S124:T124)</f>
        <v>61.1890134357125</v>
      </c>
      <c r="V124" s="48">
        <f>VLOOKUP(B124,'Player Data'!$A1:$AE734,10,FALSE)*$Q124*_xlfn.IFERROR(((VLOOKUP(P124,'Settings'!$E$28:$F$33,2,FALSE)/2)+1),1)</f>
        <v>248.799320644356</v>
      </c>
      <c r="W124" s="48">
        <f>VLOOKUP(B124,'Player Data'!$A1:$AE734,11,FALSE)*$Q124*_xlfn.IFERROR((VLOOKUP(P124,'Settings'!$E$28:$F$33,2,FALSE)+1),1)</f>
        <v>7.83118144135569</v>
      </c>
      <c r="X124" s="48">
        <f>VLOOKUP(B124,'Player Data'!$A1:$AE734,12,FALSE)*$Q124*_xlfn.IFERROR((VLOOKUP(P124,'Settings'!$E$28:$F$33,2,FALSE)+1),1)</f>
        <v>19.4696030308734</v>
      </c>
      <c r="Y124" s="48">
        <f>VLOOKUP(B124,'Player Data'!$A1:$AE734,13,FALSE)*$Q124</f>
        <v>0.0293862534034634</v>
      </c>
      <c r="Z124" s="48">
        <f>VLOOKUP(B124,'Player Data'!$A1:$AE734,14,FALSE)*$Q124</f>
        <v>0.0546261469965855</v>
      </c>
      <c r="AA124" s="48">
        <f>VLOOKUP(B124,'Player Data'!$A1:$AE734,15,FALSE)*$Q124</f>
        <v>28.1307803956071</v>
      </c>
      <c r="AB124" s="48">
        <f>VLOOKUP(B124,'Player Data'!$A1:$AE734,16,FALSE)*$Q124</f>
        <v>81.72827774245739</v>
      </c>
      <c r="AC124" s="48">
        <f>VLOOKUP(B124,'Player Data'!$A1:$AE734,17,FALSE)*$Q124*_xlfn.IFERROR((VLOOKUP(P124,'Settings'!$E$28:$F$33,2,FALSE)+1),1)</f>
        <v>2.67184297433945</v>
      </c>
      <c r="AD124" s="48">
        <f>VLOOKUP(B124,'Player Data'!$A1:$AE734,18,FALSE)*$Q124</f>
        <v>44.5314539640051</v>
      </c>
      <c r="AE124" s="48">
        <f>VLOOKUP(B124,'Player Data'!$A1:$AE734,19,FALSE)*$Q124*_xlfn.IFERROR((VLOOKUP(P124,'Settings'!$E$28:$F$33,2,FALSE)+1),1)</f>
        <v>3.74144704511449</v>
      </c>
      <c r="AF124" s="48">
        <f>VLOOKUP(B124,'Player Data'!$A1:$AE734,20,FALSE)*$Q124</f>
        <v>581.755035172470</v>
      </c>
      <c r="AG124" s="48">
        <f>VLOOKUP(B124,'Player Data'!$A1:$AE734,21,FALSE)*$Q124</f>
        <v>600.003253183622</v>
      </c>
      <c r="AH124" s="49">
        <f>VLOOKUP(B124,'Player Data'!$A1:$AE734,22,FALSE)</f>
        <v>0.492279208789584</v>
      </c>
      <c r="AI124" s="46"/>
      <c r="AJ124" s="50"/>
      <c r="AK124" s="48"/>
      <c r="AL124" s="48"/>
      <c r="AM124" s="48"/>
      <c r="AN124" s="48"/>
      <c r="AO124" s="48"/>
      <c r="AP124" s="48"/>
      <c r="AQ124" s="51"/>
      <c r="AR124" s="52"/>
      <c r="AS124" s="46"/>
    </row>
    <row r="125" ht="21.25" customHeight="1">
      <c r="A125" s="53">
        <f>RANK(K125,K2:K730)</f>
        <v>127</v>
      </c>
      <c r="B125" t="s" s="8">
        <v>275</v>
      </c>
      <c r="C125" t="s" s="39">
        <v>106</v>
      </c>
      <c r="D125" t="s" s="40">
        <f>VLOOKUP(B125,'Player Data'!A1:D734,4,FALSE)</f>
        <v>107</v>
      </c>
      <c r="E125" s="41">
        <f>VLOOKUP(B125,'C'!A1:C218,3,FALSE)</f>
        <v>38</v>
      </c>
      <c r="F125" t="s" s="42">
        <f>VLOOKUP(B125,'Player Data'!A1:B734,2,FALSE)</f>
        <v>258</v>
      </c>
      <c r="G125" s="9">
        <f>VLOOKUP(B125,'Player Data'!A1:D734,3,FALSE)</f>
        <v>24</v>
      </c>
      <c r="H125" s="43">
        <f>_xlfn.IFERROR(VLOOKUP(B125,'ADP'!A1:G731,7,FALSE)/1000000,VLOOKUP(B125,'ADP'!A1:G731,7,FALSE))</f>
        <v>7.875</v>
      </c>
      <c r="I125" s="44">
        <f>IF('Settings'!$E$15="POINTS",((R125*Q125)*'Settings'!$B$12)+(S125*'Settings'!$B$2)+(T125*'Settings'!$B$3)+(U125*'Settings'!$B$4)+(V125*'Settings'!$B$5)+(X125*'Settings'!$B$9)+(AA125*'Settings'!$B$6)+(W125*'Settings'!$B$8)+(AB125*'Settings'!$B$7)+(AC125*'Settings'!$B$14)+(AD125*'Settings'!$B$15)+(AE125*'Settings'!$B$16)+(AF125*'Settings'!$B$17)+(AG125*'Settings'!$B$18)+(Y125*'Settings'!$B$10)+(Z125*'Settings'!$B$11),VLOOKUP(B125,'Standard Deviations'!A1:C731,3,FALSE))</f>
        <v>387.391391386555</v>
      </c>
      <c r="J125" s="45">
        <f>IF(D125="G",I125/AJ125,I125/Q125)</f>
        <v>4.72255749587413</v>
      </c>
      <c r="K125" s="44">
        <f>IF('Settings'!$E$18="C/LW/RW",VLOOKUP(B125,'C'!A1:F218,6,FALSE),VLOOKUP(B125,'F'!A1:F432,6,FALSE))</f>
        <v>-8.382810249460</v>
      </c>
      <c r="L125" s="44">
        <f>_xlfn.IFERROR(K125/H125,"N/A")</f>
        <v>-1.06448384120127</v>
      </c>
      <c r="M125" s="46">
        <f>IF('Settings'!$E$9="YAHOO",VLOOKUP(B125,'ADP'!A1:E731,2,FALSE),IF('Settings'!$E$9="ESPN",VLOOKUP(B125,'ADP'!A1:E731,3,FALSE),IF('Settings'!$E$9="FANTRAX",VLOOKUP(B125,'ADP'!A1:E731,4,FALSE),VLOOKUP(B125,'ADP'!A1:E731,5,FALSE))))</f>
        <v>136.04</v>
      </c>
      <c r="N125" s="46">
        <f>_xlfn.IFERROR(M125-A125,"N/A")</f>
        <v>9.039999999999999</v>
      </c>
      <c r="O125" s="46"/>
      <c r="P125" t="s" s="47">
        <f>IF('Settings'!$E$27="ON",VLOOKUP(B125,'ADP'!A1:H731,8,FALSE)," ")</f>
        <v>109</v>
      </c>
      <c r="Q125" s="48">
        <f>IF('Settings'!$E$12="YES",VLOOKUP(B125,'Player Data'!A1:E734,5,FALSE),82)</f>
        <v>82.03</v>
      </c>
      <c r="R125" s="46">
        <f>VLOOKUP(B125,'Player Data'!$A1:$AE734,6,FALSE)</f>
        <v>20.9974186128049</v>
      </c>
      <c r="S125" s="48">
        <f>VLOOKUP(B125,'Player Data'!$A1:$AE734,7,FALSE)*$Q125*_xlfn.IFERROR((VLOOKUP(P125,'Settings'!$E$28:$F$33,2,FALSE)+1),1)</f>
        <v>26.6794814945605</v>
      </c>
      <c r="T125" s="48">
        <f>VLOOKUP(B125,'Player Data'!$A1:$AE734,8,FALSE)*$Q125*_xlfn.IFERROR((VLOOKUP(P125,'Settings'!$E$28:$F$33,2,FALSE)+1),1)</f>
        <v>43.1905326380273</v>
      </c>
      <c r="U125" s="48">
        <f>SUM(S125:T125)</f>
        <v>69.8700141325878</v>
      </c>
      <c r="V125" s="48">
        <f>VLOOKUP(B125,'Player Data'!$A1:$AE734,10,FALSE)*$Q125*_xlfn.IFERROR(((VLOOKUP(P125,'Settings'!$E$28:$F$33,2,FALSE)/2)+1),1)</f>
        <v>177.134778656664</v>
      </c>
      <c r="W125" s="48">
        <f>VLOOKUP(B125,'Player Data'!$A1:$AE734,11,FALSE)*$Q125*_xlfn.IFERROR((VLOOKUP(P125,'Settings'!$E$28:$F$33,2,FALSE)+1),1)</f>
        <v>8.23109442677379</v>
      </c>
      <c r="X125" s="48">
        <f>VLOOKUP(B125,'Player Data'!$A1:$AE734,12,FALSE)*$Q125*_xlfn.IFERROR((VLOOKUP(P125,'Settings'!$E$28:$F$33,2,FALSE)+1),1)</f>
        <v>20.7300695070084</v>
      </c>
      <c r="Y125" s="48">
        <f>VLOOKUP(B125,'Player Data'!$A1:$AE734,13,FALSE)*$Q125</f>
        <v>1.66957417589748</v>
      </c>
      <c r="Z125" s="48">
        <f>VLOOKUP(B125,'Player Data'!$A1:$AE734,14,FALSE)*$Q125</f>
        <v>2.54732645180058</v>
      </c>
      <c r="AA125" s="48">
        <f>VLOOKUP(B125,'Player Data'!$A1:$AE734,15,FALSE)*$Q125</f>
        <v>56.6102464335533</v>
      </c>
      <c r="AB125" s="48">
        <f>VLOOKUP(B125,'Player Data'!$A1:$AE734,16,FALSE)*$Q125</f>
        <v>63.1798451929627</v>
      </c>
      <c r="AC125" s="48">
        <f>VLOOKUP(B125,'Player Data'!$A1:$AE734,17,FALSE)*$Q125*_xlfn.IFERROR((VLOOKUP(P125,'Settings'!$E$28:$F$33,2,FALSE)+1),1)</f>
        <v>-9.005116132746551</v>
      </c>
      <c r="AD125" s="48">
        <f>VLOOKUP(B125,'Player Data'!$A1:$AE734,18,FALSE)*$Q125</f>
        <v>31.0782568668117</v>
      </c>
      <c r="AE125" s="48">
        <f>VLOOKUP(B125,'Player Data'!$A1:$AE734,19,FALSE)*$Q125*_xlfn.IFERROR((VLOOKUP(P125,'Settings'!$E$28:$F$33,2,FALSE)+1),1)</f>
        <v>2.73310250029021</v>
      </c>
      <c r="AF125" s="48">
        <f>VLOOKUP(B125,'Player Data'!$A1:$AE734,20,FALSE)*$Q125</f>
        <v>665.8286872726929</v>
      </c>
      <c r="AG125" s="48">
        <f>VLOOKUP(B125,'Player Data'!$A1:$AE734,21,FALSE)*$Q125</f>
        <v>732.168363003397</v>
      </c>
      <c r="AH125" s="49">
        <f>VLOOKUP(B125,'Player Data'!$A1:$AE734,22,FALSE)</f>
        <v>0.47627331341021</v>
      </c>
      <c r="AI125" s="46"/>
      <c r="AJ125" s="50"/>
      <c r="AK125" s="48"/>
      <c r="AL125" s="48"/>
      <c r="AM125" s="48"/>
      <c r="AN125" s="48"/>
      <c r="AO125" s="48"/>
      <c r="AP125" s="48"/>
      <c r="AQ125" s="51"/>
      <c r="AR125" s="52"/>
      <c r="AS125" s="46"/>
    </row>
    <row r="126" ht="21.25" customHeight="1">
      <c r="A126" s="53">
        <f>RANK(K126,K2:K730)</f>
        <v>156</v>
      </c>
      <c r="B126" t="s" s="8">
        <v>276</v>
      </c>
      <c r="C126" t="s" s="39">
        <v>106</v>
      </c>
      <c r="D126" t="s" s="40">
        <f>VLOOKUP(B126,'Player Data'!A1:D734,4,FALSE)</f>
        <v>129</v>
      </c>
      <c r="E126" s="56">
        <f>VLOOKUP(B126,'D'!A1:C228,3,FALSE)</f>
        <v>34</v>
      </c>
      <c r="F126" t="s" s="42">
        <f>VLOOKUP(B126,'Player Data'!A1:B734,2,FALSE)</f>
        <v>196</v>
      </c>
      <c r="G126" s="9">
        <f>VLOOKUP(B126,'Player Data'!A1:D734,3,FALSE)</f>
        <v>24</v>
      </c>
      <c r="H126" s="43">
        <f>_xlfn.IFERROR(VLOOKUP(B126,'ADP'!A1:G731,7,FALSE)/1000000,VLOOKUP(B126,'ADP'!A1:G731,7,FALSE))</f>
        <v>1.7</v>
      </c>
      <c r="I126" s="44">
        <f>IF('Settings'!$E$15="POINTS",((R126*Q126)*'Settings'!$B$12)+(S126*'Settings'!$B$2)+(T126*'Settings'!$B$3)+(U126*'Settings'!$B$4)+(V126*'Settings'!$B$5)+(X126*'Settings'!$B$9)+(AA126*'Settings'!$B$6)+(W126*'Settings'!$B$8)+(AB126*'Settings'!$B$7)+(AC126*'Settings'!$B$14)+(AD126*'Settings'!$B$15)+(AE126*'Settings'!$B$16)+(AF126*'Settings'!$B$17)+(AG126*'Settings'!$B$18)+(U126*'Settings'!$B$13)+(Y126*'Settings'!$B$10)+(Z126*'Settings'!$B$11),VLOOKUP(B126,'Standard Deviations'!A1:C731,3,FALSE))</f>
        <v>309.462556813665</v>
      </c>
      <c r="J126" s="45">
        <f>IF(D126="G",I126/AJ126,I126/Q126)</f>
        <v>4.05161765925196</v>
      </c>
      <c r="K126" s="44">
        <f>VLOOKUP(B126,'D'!A1:F228,6,FALSE)</f>
        <v>-31.272581832858</v>
      </c>
      <c r="L126" s="44">
        <f>_xlfn.IFERROR(K126/H126,"N/A")</f>
        <v>-18.3956363722694</v>
      </c>
      <c r="M126" s="46">
        <f>IF('Settings'!$E$9="YAHOO",VLOOKUP(B126,'ADP'!A1:E731,2,FALSE),IF('Settings'!$E$9="ESPN",VLOOKUP(B126,'ADP'!A1:E731,3,FALSE),IF('Settings'!$E$9="FANTRAX",VLOOKUP(B126,'ADP'!A1:E731,4,FALSE),VLOOKUP(B126,'ADP'!A1:E731,5,FALSE))))</f>
        <v>164.8</v>
      </c>
      <c r="N126" s="46">
        <f>_xlfn.IFERROR(M126-A126,"N/A")</f>
        <v>8.800000000000001</v>
      </c>
      <c r="O126" s="46"/>
      <c r="P126" t="s" s="47">
        <f>IF('Settings'!$E$27="ON",VLOOKUP(B126,'ADP'!A1:H731,8,FALSE)," ")</f>
        <v>109</v>
      </c>
      <c r="Q126" s="48">
        <f>IF('Settings'!$E$12="YES",VLOOKUP(B126,'Player Data'!A1:E734,5,FALSE),82)</f>
        <v>76.38</v>
      </c>
      <c r="R126" s="46">
        <f>VLOOKUP(B126,'Player Data'!$A1:$AE734,6,FALSE)</f>
        <v>21.4795534043356</v>
      </c>
      <c r="S126" s="48">
        <f>VLOOKUP(B126,'Player Data'!$A1:$AE734,7,FALSE)*$Q126*_xlfn.IFERROR((VLOOKUP(P126,'Settings'!$E$28:$F$33,2,FALSE)+1),1)</f>
        <v>8.23407124971026</v>
      </c>
      <c r="T126" s="48">
        <f>VLOOKUP(B126,'Player Data'!$A1:$AE734,8,FALSE)*$Q126*_xlfn.IFERROR((VLOOKUP(P126,'Settings'!$E$28:$F$33,2,FALSE)+1),1)</f>
        <v>35.1489432643365</v>
      </c>
      <c r="U126" s="48">
        <f>SUM(S126:T126)</f>
        <v>43.3830145140468</v>
      </c>
      <c r="V126" s="48">
        <f>VLOOKUP(B126,'Player Data'!$A1:$AE734,10,FALSE)*$Q126*_xlfn.IFERROR(((VLOOKUP(P126,'Settings'!$E$28:$F$33,2,FALSE)/2)+1),1)</f>
        <v>136.531691469276</v>
      </c>
      <c r="W126" s="48">
        <f>VLOOKUP(B126,'Player Data'!$A1:$AE734,11,FALSE)*$Q126*_xlfn.IFERROR((VLOOKUP(P126,'Settings'!$E$28:$F$33,2,FALSE)+1),1)</f>
        <v>2.07108585804838</v>
      </c>
      <c r="X126" s="48">
        <f>VLOOKUP(B126,'Player Data'!$A1:$AE734,12,FALSE)*$Q126*_xlfn.IFERROR((VLOOKUP(P126,'Settings'!$E$28:$F$33,2,FALSE)+1),1)</f>
        <v>20.7896124255725</v>
      </c>
      <c r="Y126" s="48">
        <f>VLOOKUP(B126,'Player Data'!$A1:$AE734,13,FALSE)*$Q126</f>
        <v>0.0380855044503418</v>
      </c>
      <c r="Z126" s="48">
        <f>VLOOKUP(B126,'Player Data'!$A1:$AE734,14,FALSE)*$Q126</f>
        <v>0.474240522107234</v>
      </c>
      <c r="AA126" s="48">
        <f>VLOOKUP(B126,'Player Data'!$A1:$AE734,15,FALSE)*$Q126</f>
        <v>149.987396261105</v>
      </c>
      <c r="AB126" s="48">
        <f>VLOOKUP(B126,'Player Data'!$A1:$AE734,16,FALSE)*$Q126</f>
        <v>91.0175259502174</v>
      </c>
      <c r="AC126" s="48">
        <f>VLOOKUP(B126,'Player Data'!$A1:$AE734,17,FALSE)*$Q126*_xlfn.IFERROR((VLOOKUP(P126,'Settings'!$E$28:$F$33,2,FALSE)+1),1)</f>
        <v>-3.61354897706162</v>
      </c>
      <c r="AD126" s="48">
        <f>VLOOKUP(B126,'Player Data'!$A1:$AE734,18,FALSE)*$Q126</f>
        <v>58.9697355865273</v>
      </c>
      <c r="AE126" s="48">
        <f>VLOOKUP(B126,'Player Data'!$A1:$AE734,19,FALSE)*$Q126*_xlfn.IFERROR((VLOOKUP(P126,'Settings'!$E$28:$F$33,2,FALSE)+1),1)</f>
        <v>1.03911177853678</v>
      </c>
      <c r="AF126" s="48">
        <f>VLOOKUP(B126,'Player Data'!$A1:$AE734,20,FALSE)*$Q126</f>
        <v>0</v>
      </c>
      <c r="AG126" s="48">
        <f>VLOOKUP(B126,'Player Data'!$A1:$AE734,21,FALSE)*$Q126</f>
        <v>0</v>
      </c>
      <c r="AH126" s="49">
        <f>VLOOKUP(B126,'Player Data'!$A1:$AE734,22,FALSE)</f>
        <v>0</v>
      </c>
      <c r="AI126" s="46"/>
      <c r="AJ126" s="50"/>
      <c r="AK126" s="48"/>
      <c r="AL126" s="48"/>
      <c r="AM126" s="48"/>
      <c r="AN126" s="48"/>
      <c r="AO126" s="48"/>
      <c r="AP126" s="48"/>
      <c r="AQ126" s="51"/>
      <c r="AR126" s="52"/>
      <c r="AS126" s="46"/>
    </row>
    <row r="127" ht="21.25" customHeight="1">
      <c r="A127" s="53">
        <f>RANK(K127,K2:K730)</f>
        <v>65</v>
      </c>
      <c r="B127" t="s" s="8">
        <v>277</v>
      </c>
      <c r="C127" t="s" s="39">
        <v>106</v>
      </c>
      <c r="D127" t="s" s="40">
        <f>VLOOKUP(B127,'Player Data'!A1:D734,4,FALSE)</f>
        <v>146</v>
      </c>
      <c r="E127" s="58">
        <f>VLOOKUP(B127,'G'!A1:D75,3,FALSE)</f>
        <v>16</v>
      </c>
      <c r="F127" t="s" s="42">
        <f>VLOOKUP(B127,'Player Data'!A1:B734,2,FALSE)</f>
        <v>218</v>
      </c>
      <c r="G127" s="9">
        <f>VLOOKUP(B127,'Player Data'!A1:D734,3,FALSE)</f>
        <v>27</v>
      </c>
      <c r="H127" s="43">
        <f>_xlfn.IFERROR(VLOOKUP(B127,'ADP'!A1:G731,7,FALSE)/1000000,VLOOKUP(B127,'ADP'!A1:G731,7,FALSE))</f>
        <v>0</v>
      </c>
      <c r="I127" s="44">
        <f>IF('Settings'!$E$15="POINTS",(AJ127*'Settings'!$B$29)+(AK127*'Settings'!$B$21)+(AL127*'Settings'!$B$22)+(AN127*'Settings'!$B$24)+(AO127*'Settings'!$B$25)+(AP127*'Settings'!$B$27)+(AM127*'Settings'!$B$23),VLOOKUP(B127,'Standard Deviations'!A1:C731,3,FALSE))</f>
        <v>310.908216161166</v>
      </c>
      <c r="J127" s="45">
        <f>IF(D127="G",I127/AJ127,I127/Q127)</f>
        <v>6.47725450335763</v>
      </c>
      <c r="K127" s="44">
        <f>VLOOKUP(B127,'G'!A1:F75,6,FALSE)</f>
        <v>45.604994661478</v>
      </c>
      <c r="L127" t="s" s="60">
        <f>_xlfn.IFERROR(K127/H127,"N/A")</f>
        <v>158</v>
      </c>
      <c r="M127" s="46">
        <f>IF('Settings'!$E$9="YAHOO",VLOOKUP(B127,'ADP'!A1:E731,2,FALSE),IF('Settings'!$E$9="ESPN",VLOOKUP(B127,'ADP'!A1:E731,3,FALSE),IF('Settings'!$E$9="FANTRAX",VLOOKUP(B127,'ADP'!A1:E731,4,FALSE),VLOOKUP(B127,'ADP'!A1:E731,5,FALSE))))</f>
        <v>196.77</v>
      </c>
      <c r="N127" s="46">
        <f>_xlfn.IFERROR(M127-A127,"N/A")</f>
        <v>131.77</v>
      </c>
      <c r="O127" s="46"/>
      <c r="P127" t="s" s="47">
        <f>IF('Settings'!$E$27="ON",VLOOKUP(B127,'ADP'!A1:H731,8,FALSE)," ")</f>
        <v>116</v>
      </c>
      <c r="Q127" s="48"/>
      <c r="R127" s="59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9"/>
      <c r="AI127" s="46"/>
      <c r="AJ127" s="50">
        <f>VLOOKUP(B127,'Player Data'!$A1:$AE734,24,FALSE)</f>
        <v>48</v>
      </c>
      <c r="AK127" s="48">
        <f>VLOOKUP(B127,'Player Data'!$A1:$AE734,25,FALSE)*$AJ127*_xlfn.IFERROR((VLOOKUP(P127,'Settings'!$E$28:$F$33,2,FALSE)+1),1)</f>
        <v>29.3683336316961</v>
      </c>
      <c r="AL127" s="48">
        <f>AJ127-AK127-AM127</f>
        <v>12.6316663683039</v>
      </c>
      <c r="AM127" s="48">
        <f>VLOOKUP(B127,'Player Data'!$A1:$AE734,27,FALSE)*$AJ127</f>
        <v>6</v>
      </c>
      <c r="AN127" s="48">
        <f>VLOOKUP(B127,'Player Data'!$A1:$AE734,28,FALSE)*AJ127</f>
        <v>2.88386782496854</v>
      </c>
      <c r="AO127" s="48">
        <f>VLOOKUP(B127,'Player Data'!$A1:$AE734,29,FALSE)*$AJ127*_xlfn.IFERROR((VLOOKUP(P127,'Settings'!$E$28:$F$33,2,FALSE)/4)+1,1)</f>
        <v>1367.510206156670</v>
      </c>
      <c r="AP127" s="48">
        <f>VLOOKUP(B127,'Player Data'!$A1:$AE734,31,FALSE)*$AJ127*(_xlfn.IFERROR(1-(VLOOKUP(P127,'Settings'!$E$28:$F$33,2,FALSE)/4),1))</f>
        <v>130.734300037219</v>
      </c>
      <c r="AQ127" s="51">
        <f>1-(AP127/(AO127+AP127))</f>
        <v>0.912741679013839</v>
      </c>
      <c r="AR127" s="52">
        <f>AP127/AJ127</f>
        <v>2.7236312507754</v>
      </c>
      <c r="AS127" s="46"/>
    </row>
    <row r="128" ht="21.25" customHeight="1">
      <c r="A128" s="53">
        <f>RANK(K128,K2:K730)</f>
        <v>108</v>
      </c>
      <c r="B128" t="s" s="8">
        <v>278</v>
      </c>
      <c r="C128" t="s" s="39">
        <v>106</v>
      </c>
      <c r="D128" t="s" s="40">
        <f>VLOOKUP(B128,'Player Data'!A1:D734,4,FALSE)</f>
        <v>133</v>
      </c>
      <c r="E128" s="57">
        <f>VLOOKUP(B128,'LW'!A1:C156,3,FALSE)</f>
        <v>32</v>
      </c>
      <c r="F128" t="s" s="42">
        <f>VLOOKUP(B128,'Player Data'!A1:B734,2,FALSE)</f>
        <v>248</v>
      </c>
      <c r="G128" s="9">
        <f>VLOOKUP(B128,'Player Data'!A1:D734,3,FALSE)</f>
        <v>27</v>
      </c>
      <c r="H128" s="43">
        <f>_xlfn.IFERROR(VLOOKUP(B128,'ADP'!A1:G731,7,FALSE)/1000000,VLOOKUP(B128,'ADP'!A1:G731,7,FALSE))</f>
        <v>5</v>
      </c>
      <c r="I128" s="44">
        <f>IF('Settings'!$E$15="POINTS",((R128*Q128)*'Settings'!$B$12)+(S128*'Settings'!$B$2)+(T128*'Settings'!$B$3)+(U128*'Settings'!$B$4)+(V128*'Settings'!$B$5)+(X128*'Settings'!$B$9)+(AA128*'Settings'!$B$6)+(W128*'Settings'!$B$8)+(AB128*'Settings'!$B$7)+(AC128*'Settings'!$B$14)+(AD128*'Settings'!$B$15)+(AE128*'Settings'!$B$16)+(AF128*'Settings'!$B$17)+(AG128*'Settings'!$B$18)+(Y128*'Settings'!$B$10)+(Z128*'Settings'!$B$11),VLOOKUP(B128,'Standard Deviations'!A1:C731,3,FALSE))</f>
        <v>388.748545245847</v>
      </c>
      <c r="J128" s="45">
        <f>IF(D128="G",I128/AJ128,I128/Q128)</f>
        <v>5.00319878051283</v>
      </c>
      <c r="K128" s="44">
        <f>IF('Settings'!$E$18="C/LW/RW",VLOOKUP(B128,'LW'!A1:F156,6,FALSE),VLOOKUP(B128,'F'!A1:F432,6,FALSE))</f>
        <v>7.119981539491</v>
      </c>
      <c r="L128" s="44">
        <f>_xlfn.IFERROR(K128/H128,"N/A")</f>
        <v>1.4239963078982</v>
      </c>
      <c r="M128" s="46">
        <f>IF('Settings'!$E$9="YAHOO",VLOOKUP(B128,'ADP'!A1:E731,2,FALSE),IF('Settings'!$E$9="ESPN",VLOOKUP(B128,'ADP'!A1:E731,3,FALSE),IF('Settings'!$E$9="FANTRAX",VLOOKUP(B128,'ADP'!A1:E731,4,FALSE),VLOOKUP(B128,'ADP'!A1:E731,5,FALSE))))</f>
        <v>107.61</v>
      </c>
      <c r="N128" s="46">
        <f>_xlfn.IFERROR(M128-A128,"N/A")</f>
        <v>-0.39</v>
      </c>
      <c r="O128" s="46"/>
      <c r="P128" t="s" s="47">
        <f>IF('Settings'!$E$27="ON",VLOOKUP(B128,'ADP'!A1:H731,8,FALSE)," ")</f>
        <v>109</v>
      </c>
      <c r="Q128" s="48">
        <f>IF('Settings'!$E$12="YES",VLOOKUP(B128,'Player Data'!A1:E734,5,FALSE),82)</f>
        <v>77.7</v>
      </c>
      <c r="R128" s="46">
        <f>VLOOKUP(B128,'Player Data'!$A1:$AE734,6,FALSE)</f>
        <v>17.1326661405331</v>
      </c>
      <c r="S128" s="48">
        <f>VLOOKUP(B128,'Player Data'!$A1:$AE734,7,FALSE)*$Q128*_xlfn.IFERROR((VLOOKUP(P128,'Settings'!$E$28:$F$33,2,FALSE)+1),1)</f>
        <v>34.1207851254978</v>
      </c>
      <c r="T128" s="48">
        <f>VLOOKUP(B128,'Player Data'!$A1:$AE734,8,FALSE)*$Q128*_xlfn.IFERROR((VLOOKUP(P128,'Settings'!$E$28:$F$33,2,FALSE)+1),1)</f>
        <v>30.6829945957164</v>
      </c>
      <c r="U128" s="48">
        <f>SUM(S128:T128)</f>
        <v>64.8037797212142</v>
      </c>
      <c r="V128" s="48">
        <f>VLOOKUP(B128,'Player Data'!$A1:$AE734,10,FALSE)*$Q128*_xlfn.IFERROR(((VLOOKUP(P128,'Settings'!$E$28:$F$33,2,FALSE)/2)+1),1)</f>
        <v>212.667097406708</v>
      </c>
      <c r="W128" s="48">
        <f>VLOOKUP(B128,'Player Data'!$A1:$AE734,11,FALSE)*$Q128*_xlfn.IFERROR((VLOOKUP(P128,'Settings'!$E$28:$F$33,2,FALSE)+1),1)</f>
        <v>8.36471916687503</v>
      </c>
      <c r="X128" s="48">
        <f>VLOOKUP(B128,'Player Data'!$A1:$AE734,12,FALSE)*$Q128*_xlfn.IFERROR((VLOOKUP(P128,'Settings'!$E$28:$F$33,2,FALSE)+1),1)</f>
        <v>17.7117183303909</v>
      </c>
      <c r="Y128" s="48">
        <f>VLOOKUP(B128,'Player Data'!$A1:$AE734,13,FALSE)*$Q128</f>
        <v>1.89838381194742</v>
      </c>
      <c r="Z128" s="48">
        <f>VLOOKUP(B128,'Player Data'!$A1:$AE734,14,FALSE)*$Q128</f>
        <v>1.99666001107258</v>
      </c>
      <c r="AA128" s="48">
        <f>VLOOKUP(B128,'Player Data'!$A1:$AE734,15,FALSE)*$Q128</f>
        <v>30.6829103647809</v>
      </c>
      <c r="AB128" s="48">
        <f>VLOOKUP(B128,'Player Data'!$A1:$AE734,16,FALSE)*$Q128</f>
        <v>69.9508179442709</v>
      </c>
      <c r="AC128" s="48">
        <f>VLOOKUP(B128,'Player Data'!$A1:$AE734,17,FALSE)*$Q128*_xlfn.IFERROR((VLOOKUP(P128,'Settings'!$E$28:$F$33,2,FALSE)+1),1)</f>
        <v>2.3092263255842</v>
      </c>
      <c r="AD128" s="48">
        <f>VLOOKUP(B128,'Player Data'!$A1:$AE734,18,FALSE)*$Q128</f>
        <v>21.4367096030725</v>
      </c>
      <c r="AE128" s="48">
        <f>VLOOKUP(B128,'Player Data'!$A1:$AE734,19,FALSE)*$Q128*_xlfn.IFERROR((VLOOKUP(P128,'Settings'!$E$28:$F$33,2,FALSE)+1),1)</f>
        <v>4.79605086482922</v>
      </c>
      <c r="AF128" s="48">
        <f>VLOOKUP(B128,'Player Data'!$A1:$AE734,20,FALSE)*$Q128</f>
        <v>64.7968592830709</v>
      </c>
      <c r="AG128" s="48">
        <f>VLOOKUP(B128,'Player Data'!$A1:$AE734,21,FALSE)*$Q128</f>
        <v>100.179339447379</v>
      </c>
      <c r="AH128" s="49">
        <f>VLOOKUP(B128,'Player Data'!$A1:$AE734,22,FALSE)</f>
        <v>0.392764894461779</v>
      </c>
      <c r="AI128" s="46"/>
      <c r="AJ128" s="50"/>
      <c r="AK128" s="48"/>
      <c r="AL128" s="48"/>
      <c r="AM128" s="48"/>
      <c r="AN128" s="48"/>
      <c r="AO128" s="48"/>
      <c r="AP128" s="48"/>
      <c r="AQ128" s="51"/>
      <c r="AR128" s="52"/>
      <c r="AS128" s="46"/>
    </row>
    <row r="129" ht="21.25" customHeight="1">
      <c r="A129" s="53">
        <f>RANK(K129,K2:K730)</f>
        <v>147</v>
      </c>
      <c r="B129" t="s" s="8">
        <v>279</v>
      </c>
      <c r="C129" t="s" s="39">
        <v>106</v>
      </c>
      <c r="D129" t="s" s="40">
        <f>VLOOKUP(B129,'Player Data'!A1:D734,4,FALSE)</f>
        <v>129</v>
      </c>
      <c r="E129" s="56">
        <f>VLOOKUP(B129,'D'!A1:C228,3,FALSE)</f>
        <v>31</v>
      </c>
      <c r="F129" t="s" s="42">
        <f>VLOOKUP(B129,'Player Data'!A1:B734,2,FALSE)</f>
        <v>258</v>
      </c>
      <c r="G129" s="9">
        <f>VLOOKUP(B129,'Player Data'!A1:D734,3,FALSE)</f>
        <v>29</v>
      </c>
      <c r="H129" s="43">
        <f>_xlfn.IFERROR(VLOOKUP(B129,'ADP'!A1:G731,7,FALSE)/1000000,VLOOKUP(B129,'ADP'!A1:G731,7,FALSE))</f>
        <v>4.875</v>
      </c>
      <c r="I129" s="44">
        <f>IF('Settings'!$E$15="POINTS",((R129*Q129)*'Settings'!$B$12)+(S129*'Settings'!$B$2)+(T129*'Settings'!$B$3)+(U129*'Settings'!$B$4)+(V129*'Settings'!$B$5)+(X129*'Settings'!$B$9)+(AA129*'Settings'!$B$6)+(W129*'Settings'!$B$8)+(AB129*'Settings'!$B$7)+(AC129*'Settings'!$B$14)+(AD129*'Settings'!$B$15)+(AE129*'Settings'!$B$16)+(AF129*'Settings'!$B$17)+(AG129*'Settings'!$B$18)+(U129*'Settings'!$B$13)+(Y129*'Settings'!$B$10)+(Z129*'Settings'!$B$11),VLOOKUP(B129,'Standard Deviations'!A1:C731,3,FALSE))</f>
        <v>319.960969221804</v>
      </c>
      <c r="J129" s="45">
        <f>IF(D129="G",I129/AJ129,I129/Q129)</f>
        <v>4.37476543231008</v>
      </c>
      <c r="K129" s="44">
        <f>VLOOKUP(B129,'D'!A1:F228,6,FALSE)</f>
        <v>-20.774169424719</v>
      </c>
      <c r="L129" s="44">
        <f>_xlfn.IFERROR(K129/H129,"N/A")</f>
        <v>-4.26136808712185</v>
      </c>
      <c r="M129" s="46">
        <f>IF('Settings'!$E$9="YAHOO",VLOOKUP(B129,'ADP'!A1:E731,2,FALSE),IF('Settings'!$E$9="ESPN",VLOOKUP(B129,'ADP'!A1:E731,3,FALSE),IF('Settings'!$E$9="FANTRAX",VLOOKUP(B129,'ADP'!A1:E731,4,FALSE),VLOOKUP(B129,'ADP'!A1:E731,5,FALSE))))</f>
        <v>118.67</v>
      </c>
      <c r="N129" s="46">
        <f>_xlfn.IFERROR(M129-A129,"N/A")</f>
        <v>-28.33</v>
      </c>
      <c r="O129" s="46"/>
      <c r="P129" t="s" s="47">
        <f>IF('Settings'!$E$27="ON",VLOOKUP(B129,'ADP'!A1:H731,8,FALSE)," ")</f>
        <v>175</v>
      </c>
      <c r="Q129" s="48">
        <f>IF('Settings'!$E$12="YES",VLOOKUP(B129,'Player Data'!A1:E734,5,FALSE),82)</f>
        <v>73.1378571428571</v>
      </c>
      <c r="R129" s="46">
        <f>VLOOKUP(B129,'Player Data'!$A1:$AE734,6,FALSE)</f>
        <v>24.5721241044207</v>
      </c>
      <c r="S129" s="48">
        <f>VLOOKUP(B129,'Player Data'!$A1:$AE734,7,FALSE)*$Q129*_xlfn.IFERROR((VLOOKUP(P129,'Settings'!$E$28:$F$33,2,FALSE)+1),1)</f>
        <v>10.224033977316</v>
      </c>
      <c r="T129" s="48">
        <f>VLOOKUP(B129,'Player Data'!$A1:$AE734,8,FALSE)*$Q129*_xlfn.IFERROR((VLOOKUP(P129,'Settings'!$E$28:$F$33,2,FALSE)+1),1)</f>
        <v>32.7858388310675</v>
      </c>
      <c r="U129" s="48">
        <f>SUM(S129:T129)</f>
        <v>43.0098728083835</v>
      </c>
      <c r="V129" s="48">
        <f>VLOOKUP(B129,'Player Data'!$A1:$AE734,10,FALSE)*$Q129*_xlfn.IFERROR(((VLOOKUP(P129,'Settings'!$E$28:$F$33,2,FALSE)/2)+1),1)</f>
        <v>180.626315769499</v>
      </c>
      <c r="W129" s="48">
        <f>VLOOKUP(B129,'Player Data'!$A1:$AE734,11,FALSE)*$Q129*_xlfn.IFERROR((VLOOKUP(P129,'Settings'!$E$28:$F$33,2,FALSE)+1),1)</f>
        <v>0.462370187803634</v>
      </c>
      <c r="X129" s="48">
        <f>VLOOKUP(B129,'Player Data'!$A1:$AE734,12,FALSE)*$Q129*_xlfn.IFERROR((VLOOKUP(P129,'Settings'!$E$28:$F$33,2,FALSE)+1),1)</f>
        <v>11.9214588499928</v>
      </c>
      <c r="Y129" s="48">
        <f>VLOOKUP(B129,'Player Data'!$A1:$AE734,13,FALSE)*$Q129</f>
        <v>0.0459606500650107</v>
      </c>
      <c r="Z129" s="48">
        <f>VLOOKUP(B129,'Player Data'!$A1:$AE734,14,FALSE)*$Q129</f>
        <v>2.09198573708432</v>
      </c>
      <c r="AA129" s="48">
        <f>VLOOKUP(B129,'Player Data'!$A1:$AE734,15,FALSE)*$Q129</f>
        <v>116.802663979931</v>
      </c>
      <c r="AB129" s="48">
        <f>VLOOKUP(B129,'Player Data'!$A1:$AE734,16,FALSE)*$Q129</f>
        <v>90.7873539271836</v>
      </c>
      <c r="AC129" s="48">
        <f>VLOOKUP(B129,'Player Data'!$A1:$AE734,17,FALSE)*$Q129*_xlfn.IFERROR((VLOOKUP(P129,'Settings'!$E$28:$F$33,2,FALSE)+1),1)</f>
        <v>-5.19866540595864</v>
      </c>
      <c r="AD129" s="48">
        <f>VLOOKUP(B129,'Player Data'!$A1:$AE734,18,FALSE)*$Q129</f>
        <v>49.4320246568621</v>
      </c>
      <c r="AE129" s="48">
        <f>VLOOKUP(B129,'Player Data'!$A1:$AE734,19,FALSE)*$Q129*_xlfn.IFERROR((VLOOKUP(P129,'Settings'!$E$28:$F$33,2,FALSE)+1),1)</f>
        <v>1.0473716602083</v>
      </c>
      <c r="AF129" s="48">
        <f>VLOOKUP(B129,'Player Data'!$A1:$AE734,20,FALSE)*$Q129</f>
        <v>0</v>
      </c>
      <c r="AG129" s="48">
        <f>VLOOKUP(B129,'Player Data'!$A1:$AE734,21,FALSE)*$Q129</f>
        <v>0</v>
      </c>
      <c r="AH129" s="49">
        <f>VLOOKUP(B129,'Player Data'!$A1:$AE734,22,FALSE)</f>
        <v>0</v>
      </c>
      <c r="AI129" s="46"/>
      <c r="AJ129" s="50"/>
      <c r="AK129" s="48"/>
      <c r="AL129" s="48"/>
      <c r="AM129" s="48"/>
      <c r="AN129" s="48"/>
      <c r="AO129" s="48"/>
      <c r="AP129" s="48"/>
      <c r="AQ129" s="51"/>
      <c r="AR129" s="52"/>
      <c r="AS129" s="46"/>
    </row>
    <row r="130" ht="21.25" customHeight="1">
      <c r="A130" s="53">
        <f>RANK(K130,K2:K730)</f>
        <v>58</v>
      </c>
      <c r="B130" t="s" s="8">
        <v>280</v>
      </c>
      <c r="C130" t="s" s="39">
        <v>106</v>
      </c>
      <c r="D130" t="s" s="40">
        <f>VLOOKUP(B130,'Player Data'!A1:D734,4,FALSE)</f>
        <v>146</v>
      </c>
      <c r="E130" s="58">
        <f>VLOOKUP(B130,'G'!A1:D75,3,FALSE)</f>
        <v>14</v>
      </c>
      <c r="F130" t="s" s="42">
        <f>VLOOKUP(B130,'Player Data'!A1:B734,2,FALSE)</f>
        <v>119</v>
      </c>
      <c r="G130" s="9">
        <f>VLOOKUP(B130,'Player Data'!A1:D734,3,FALSE)</f>
        <v>34</v>
      </c>
      <c r="H130" s="43">
        <f>_xlfn.IFERROR(VLOOKUP(B130,'ADP'!A1:G731,7,FALSE)/1000000,VLOOKUP(B130,'ADP'!A1:G731,7,FALSE))</f>
        <v>10</v>
      </c>
      <c r="I130" s="44">
        <f>IF('Settings'!$E$15="POINTS",(AJ130*'Settings'!$B$29)+(AK130*'Settings'!$B$21)+(AL130*'Settings'!$B$22)+(AN130*'Settings'!$B$24)+(AO130*'Settings'!$B$25)+(AP130*'Settings'!$B$27)+(AM130*'Settings'!$B$23),VLOOKUP(B130,'Standard Deviations'!A1:C731,3,FALSE))</f>
        <v>316.877248742888</v>
      </c>
      <c r="J130" s="45">
        <f>IF(D130="G",I130/AJ130,I130/Q130)</f>
        <v>6.09379324505554</v>
      </c>
      <c r="K130" s="44">
        <f>VLOOKUP(B130,'G'!A1:F75,6,FALSE)</f>
        <v>51.5740272432</v>
      </c>
      <c r="L130" s="44">
        <f>_xlfn.IFERROR(K130/H130,"N/A")</f>
        <v>5.157402724320</v>
      </c>
      <c r="M130" s="46">
        <f>IF('Settings'!$E$9="YAHOO",VLOOKUP(B130,'ADP'!A1:E731,2,FALSE),IF('Settings'!$E$9="ESPN",VLOOKUP(B130,'ADP'!A1:E731,3,FALSE),IF('Settings'!$E$9="FANTRAX",VLOOKUP(B130,'ADP'!A1:E731,4,FALSE),VLOOKUP(B130,'ADP'!A1:E731,5,FALSE))))</f>
        <v>167.92</v>
      </c>
      <c r="N130" s="46">
        <f>_xlfn.IFERROR(M130-A130,"N/A")</f>
        <v>109.92</v>
      </c>
      <c r="O130" s="46"/>
      <c r="P130" t="s" s="47">
        <f>IF('Settings'!$E$27="ON",VLOOKUP(B130,'ADP'!A1:H731,8,FALSE)," ")</f>
        <v>109</v>
      </c>
      <c r="Q130" s="48"/>
      <c r="R130" s="59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9"/>
      <c r="AI130" s="46"/>
      <c r="AJ130" s="50">
        <f>VLOOKUP(B130,'Player Data'!$A1:$AE734,24,FALSE)</f>
        <v>52</v>
      </c>
      <c r="AK130" s="48">
        <f>VLOOKUP(B130,'Player Data'!$A1:$AE734,25,FALSE)*$AJ130*_xlfn.IFERROR((VLOOKUP(P130,'Settings'!$E$28:$F$33,2,FALSE)+1),1)</f>
        <v>30.2848365648715</v>
      </c>
      <c r="AL130" s="48">
        <f>AJ130-AK130-AM130</f>
        <v>15.2151634351285</v>
      </c>
      <c r="AM130" s="48">
        <f>VLOOKUP(B130,'Player Data'!$A1:$AE734,27,FALSE)*$AJ130</f>
        <v>6.5</v>
      </c>
      <c r="AN130" s="48">
        <f>VLOOKUP(B130,'Player Data'!$A1:$AE734,28,FALSE)*AJ130</f>
        <v>2.44241555972551</v>
      </c>
      <c r="AO130" s="48">
        <f>VLOOKUP(B130,'Player Data'!$A1:$AE734,29,FALSE)*$AJ130*_xlfn.IFERROR((VLOOKUP(P130,'Settings'!$E$28:$F$33,2,FALSE)/4)+1,1)</f>
        <v>1490.711704948110</v>
      </c>
      <c r="AP130" s="48">
        <f>VLOOKUP(B130,'Player Data'!$A1:$AE734,31,FALSE)*$AJ130*(_xlfn.IFERROR(1-(VLOOKUP(P130,'Settings'!$E$28:$F$33,2,FALSE)/4),1))</f>
        <v>152.345346076891</v>
      </c>
      <c r="AQ130" s="51">
        <f>1-(AP130/(AO130+AP130))</f>
        <v>0.9072793327645849</v>
      </c>
      <c r="AR130" s="52">
        <f>AP130/AJ130</f>
        <v>2.92971819378637</v>
      </c>
      <c r="AS130" s="46"/>
    </row>
    <row r="131" ht="21.25" customHeight="1">
      <c r="A131" s="53">
        <f>RANK(K131,K2:K730)</f>
        <v>145</v>
      </c>
      <c r="B131" t="s" s="8">
        <v>281</v>
      </c>
      <c r="C131" t="s" s="39">
        <v>106</v>
      </c>
      <c r="D131" t="s" s="40">
        <f>VLOOKUP(B131,'Player Data'!A1:D734,4,FALSE)</f>
        <v>187</v>
      </c>
      <c r="E131" s="54">
        <f>VLOOKUP(B131,'RW'!A1:F132,3,FALSE)</f>
        <v>33</v>
      </c>
      <c r="F131" t="s" s="42">
        <f>VLOOKUP(B131,'Player Data'!A1:B734,2,FALSE)</f>
        <v>196</v>
      </c>
      <c r="G131" s="9">
        <f>VLOOKUP(B131,'Player Data'!A1:D734,3,FALSE)</f>
        <v>27</v>
      </c>
      <c r="H131" s="43">
        <f>_xlfn.IFERROR(VLOOKUP(B131,'ADP'!A1:G731,7,FALSE)/1000000,VLOOKUP(B131,'ADP'!A1:G731,7,FALSE))</f>
        <v>5.85</v>
      </c>
      <c r="I131" s="44">
        <f>IF('Settings'!$E$15="POINTS",((R131*Q131)*'Settings'!$B$12)+(S131*'Settings'!$B$2)+(T131*'Settings'!$B$3)+(U131*'Settings'!$B$4)+(V131*'Settings'!$B$5)+(X131*'Settings'!$B$9)+(AA131*'Settings'!$B$6)+(W131*'Settings'!$B$8)+(AB131*'Settings'!$B$7)+(AC131*'Settings'!$B$14)+(AD131*'Settings'!$B$15)+(AE131*'Settings'!$B$16)+(AF131*'Settings'!$B$17)+(AG131*'Settings'!$B$18)+(Y131*'Settings'!$B$10)+(Z131*'Settings'!$B$11),VLOOKUP(B131,'Standard Deviations'!A1:C731,3,FALSE))</f>
        <v>362.001897235797</v>
      </c>
      <c r="J131" s="45">
        <f>IF(D131="G",I131/AJ131,I131/Q131)</f>
        <v>4.79731412521526</v>
      </c>
      <c r="K131" s="44">
        <f>IF('Settings'!$E$18="C/LW/RW",VLOOKUP(B131,'RW'!A1:F132,6,FALSE),VLOOKUP(B131,'F'!A1:F432,6,FALSE))</f>
        <v>-19.626666470559</v>
      </c>
      <c r="L131" s="44">
        <f>_xlfn.IFERROR(K131/H131,"N/A")</f>
        <v>-3.35498572146308</v>
      </c>
      <c r="M131" s="46">
        <f>IF('Settings'!$E$9="YAHOO",VLOOKUP(B131,'ADP'!A1:E731,2,FALSE),IF('Settings'!$E$9="ESPN",VLOOKUP(B131,'ADP'!A1:E731,3,FALSE),IF('Settings'!$E$9="FANTRAX",VLOOKUP(B131,'ADP'!A1:E731,4,FALSE),VLOOKUP(B131,'ADP'!A1:E731,5,FALSE))))</f>
        <v>133.25</v>
      </c>
      <c r="N131" s="46">
        <f>_xlfn.IFERROR(M131-A131,"N/A")</f>
        <v>-11.75</v>
      </c>
      <c r="O131" s="46"/>
      <c r="P131" t="s" s="47">
        <f>IF('Settings'!$E$27="ON",VLOOKUP(B131,'ADP'!A1:H731,8,FALSE)," ")</f>
        <v>109</v>
      </c>
      <c r="Q131" s="48">
        <f>IF('Settings'!$E$12="YES",VLOOKUP(B131,'Player Data'!A1:E734,5,FALSE),82)</f>
        <v>75.4592857142857</v>
      </c>
      <c r="R131" s="46">
        <f>VLOOKUP(B131,'Player Data'!$A1:$AE734,6,FALSE)</f>
        <v>19.7934467182691</v>
      </c>
      <c r="S131" s="48">
        <f>VLOOKUP(B131,'Player Data'!$A1:$AE734,7,FALSE)*$Q131*_xlfn.IFERROR((VLOOKUP(P131,'Settings'!$E$28:$F$33,2,FALSE)+1),1)</f>
        <v>27.1544063752677</v>
      </c>
      <c r="T131" s="48">
        <f>VLOOKUP(B131,'Player Data'!$A1:$AE734,8,FALSE)*$Q131*_xlfn.IFERROR((VLOOKUP(P131,'Settings'!$E$28:$F$33,2,FALSE)+1),1)</f>
        <v>43.7809387332175</v>
      </c>
      <c r="U131" s="48">
        <f>SUM(S131:T131)</f>
        <v>70.93534510848519</v>
      </c>
      <c r="V131" s="48">
        <f>VLOOKUP(B131,'Player Data'!$A1:$AE734,10,FALSE)*$Q131*_xlfn.IFERROR(((VLOOKUP(P131,'Settings'!$E$28:$F$33,2,FALSE)/2)+1),1)</f>
        <v>168.928213631085</v>
      </c>
      <c r="W131" s="48">
        <f>VLOOKUP(B131,'Player Data'!$A1:$AE734,11,FALSE)*$Q131*_xlfn.IFERROR((VLOOKUP(P131,'Settings'!$E$28:$F$33,2,FALSE)+1),1)</f>
        <v>7.0132551659484</v>
      </c>
      <c r="X131" s="48">
        <f>VLOOKUP(B131,'Player Data'!$A1:$AE734,12,FALSE)*$Q131*_xlfn.IFERROR((VLOOKUP(P131,'Settings'!$E$28:$F$33,2,FALSE)+1),1)</f>
        <v>15.0289047721843</v>
      </c>
      <c r="Y131" s="48">
        <f>VLOOKUP(B131,'Player Data'!$A1:$AE734,13,FALSE)*$Q131</f>
        <v>0.107007835073014</v>
      </c>
      <c r="Z131" s="48">
        <f>VLOOKUP(B131,'Player Data'!$A1:$AE734,14,FALSE)*$Q131</f>
        <v>0.703871209900473</v>
      </c>
      <c r="AA131" s="48">
        <f>VLOOKUP(B131,'Player Data'!$A1:$AE734,15,FALSE)*$Q131</f>
        <v>34.6418322659814</v>
      </c>
      <c r="AB131" s="48">
        <f>VLOOKUP(B131,'Player Data'!$A1:$AE734,16,FALSE)*$Q131</f>
        <v>21.0859479164237</v>
      </c>
      <c r="AC131" s="48">
        <f>VLOOKUP(B131,'Player Data'!$A1:$AE734,17,FALSE)*$Q131*_xlfn.IFERROR((VLOOKUP(P131,'Settings'!$E$28:$F$33,2,FALSE)+1),1)</f>
        <v>-1.09640036496174</v>
      </c>
      <c r="AD131" s="48">
        <f>VLOOKUP(B131,'Player Data'!$A1:$AE734,18,FALSE)*$Q131</f>
        <v>25.4052853572684</v>
      </c>
      <c r="AE131" s="48">
        <f>VLOOKUP(B131,'Player Data'!$A1:$AE734,19,FALSE)*$Q131*_xlfn.IFERROR((VLOOKUP(P131,'Settings'!$E$28:$F$33,2,FALSE)+1),1)</f>
        <v>3.42679370241154</v>
      </c>
      <c r="AF131" s="48">
        <f>VLOOKUP(B131,'Player Data'!$A1:$AE734,20,FALSE)*$Q131</f>
        <v>102.115896399887</v>
      </c>
      <c r="AG131" s="48">
        <f>VLOOKUP(B131,'Player Data'!$A1:$AE734,21,FALSE)*$Q131</f>
        <v>131.543309905384</v>
      </c>
      <c r="AH131" s="49">
        <f>VLOOKUP(B131,'Player Data'!$A1:$AE734,22,FALSE)</f>
        <v>0.437029201693318</v>
      </c>
      <c r="AI131" s="46"/>
      <c r="AJ131" s="50"/>
      <c r="AK131" s="48"/>
      <c r="AL131" s="48"/>
      <c r="AM131" s="48"/>
      <c r="AN131" s="48"/>
      <c r="AO131" s="48"/>
      <c r="AP131" s="48"/>
      <c r="AQ131" s="51"/>
      <c r="AR131" s="52"/>
      <c r="AS131" s="46"/>
    </row>
    <row r="132" ht="21.25" customHeight="1">
      <c r="A132" s="53">
        <f>RANK(K132,K2:K730)</f>
        <v>72</v>
      </c>
      <c r="B132" t="s" s="8">
        <v>282</v>
      </c>
      <c r="C132" t="s" s="39">
        <v>106</v>
      </c>
      <c r="D132" t="s" s="40">
        <f>VLOOKUP(B132,'Player Data'!A1:D734,4,FALSE)</f>
        <v>146</v>
      </c>
      <c r="E132" s="58">
        <f>VLOOKUP(B132,'G'!A1:D75,3,FALSE)</f>
        <v>18</v>
      </c>
      <c r="F132" t="s" s="42">
        <f>VLOOKUP(B132,'Player Data'!A1:B734,2,FALSE)</f>
        <v>166</v>
      </c>
      <c r="G132" s="9">
        <f>VLOOKUP(B132,'Player Data'!A1:D734,3,FALSE)</f>
        <v>33</v>
      </c>
      <c r="H132" s="43">
        <f>_xlfn.IFERROR(VLOOKUP(B132,'ADP'!A1:G731,7,FALSE)/1000000,VLOOKUP(B132,'ADP'!A1:G731,7,FALSE))</f>
        <v>5.25</v>
      </c>
      <c r="I132" s="44">
        <f>IF('Settings'!$E$15="POINTS",(AJ132*'Settings'!$B$29)+(AK132*'Settings'!$B$21)+(AL132*'Settings'!$B$22)+(AN132*'Settings'!$B$24)+(AO132*'Settings'!$B$25)+(AP132*'Settings'!$B$27)+(AM132*'Settings'!$B$23),VLOOKUP(B132,'Standard Deviations'!A1:C731,3,FALSE))</f>
        <v>306.667076441350</v>
      </c>
      <c r="J132" s="45">
        <f>IF(D132="G",I132/AJ132,I132/Q132)</f>
        <v>5.89744377771827</v>
      </c>
      <c r="K132" s="44">
        <f>VLOOKUP(B132,'G'!A1:F75,6,FALSE)</f>
        <v>41.363854941662</v>
      </c>
      <c r="L132" s="44">
        <f>_xlfn.IFERROR(K132/H132,"N/A")</f>
        <v>7.87882951269752</v>
      </c>
      <c r="M132" s="46">
        <f>IF('Settings'!$E$9="YAHOO",VLOOKUP(B132,'ADP'!A1:E731,2,FALSE),IF('Settings'!$E$9="ESPN",VLOOKUP(B132,'ADP'!A1:E731,3,FALSE),IF('Settings'!$E$9="FANTRAX",VLOOKUP(B132,'ADP'!A1:E731,4,FALSE),VLOOKUP(B132,'ADP'!A1:E731,5,FALSE))))</f>
        <v>137.25</v>
      </c>
      <c r="N132" s="46">
        <f>_xlfn.IFERROR(M132-A132,"N/A")</f>
        <v>65.25</v>
      </c>
      <c r="O132" s="46"/>
      <c r="P132" t="s" s="47">
        <f>IF('Settings'!$E$27="ON",VLOOKUP(B132,'ADP'!A1:H731,8,FALSE)," ")</f>
        <v>175</v>
      </c>
      <c r="Q132" s="48"/>
      <c r="R132" s="59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9"/>
      <c r="AI132" s="46"/>
      <c r="AJ132" s="50">
        <f>VLOOKUP(B132,'Player Data'!$A1:$AE734,24,FALSE)</f>
        <v>52</v>
      </c>
      <c r="AK132" s="48">
        <f>VLOOKUP(B132,'Player Data'!$A1:$AE734,25,FALSE)*$AJ132*_xlfn.IFERROR((VLOOKUP(P132,'Settings'!$E$28:$F$33,2,FALSE)+1),1)</f>
        <v>22.6312865648527</v>
      </c>
      <c r="AL132" s="48">
        <f>AJ132-AK132-AM132</f>
        <v>22.8687134351473</v>
      </c>
      <c r="AM132" s="48">
        <f>VLOOKUP(B132,'Player Data'!$A1:$AE734,27,FALSE)*$AJ132</f>
        <v>6.5</v>
      </c>
      <c r="AN132" s="48">
        <f>VLOOKUP(B132,'Player Data'!$A1:$AE734,28,FALSE)*AJ132</f>
        <v>2.88011922590222</v>
      </c>
      <c r="AO132" s="48">
        <f>VLOOKUP(B132,'Player Data'!$A1:$AE734,29,FALSE)*$AJ132*_xlfn.IFERROR((VLOOKUP(P132,'Settings'!$E$28:$F$33,2,FALSE)/4)+1,1)</f>
        <v>1509.354247754760</v>
      </c>
      <c r="AP132" s="48">
        <f>VLOOKUP(B132,'Player Data'!$A1:$AE734,31,FALSE)*$AJ132*(_xlfn.IFERROR(1-(VLOOKUP(P132,'Settings'!$E$28:$F$33,2,FALSE)/4),1))</f>
        <v>148.448943504895</v>
      </c>
      <c r="AQ132" s="51">
        <f>1-(AP132/(AO132+AP132))</f>
        <v>0.910454422884722</v>
      </c>
      <c r="AR132" s="52">
        <f>AP132/AJ132</f>
        <v>2.85478737509413</v>
      </c>
      <c r="AS132" s="46"/>
    </row>
    <row r="133" ht="21.25" customHeight="1">
      <c r="A133" s="53">
        <f>RANK(K133,K2:K730)</f>
        <v>142</v>
      </c>
      <c r="B133" t="s" s="8">
        <v>283</v>
      </c>
      <c r="C133" t="s" s="39">
        <v>106</v>
      </c>
      <c r="D133" t="s" s="40">
        <f>VLOOKUP(B133,'Player Data'!A1:D734,4,FALSE)</f>
        <v>129</v>
      </c>
      <c r="E133" s="56">
        <f>VLOOKUP(B133,'D'!A1:C228,3,FALSE)</f>
        <v>30</v>
      </c>
      <c r="F133" t="s" s="42">
        <f>VLOOKUP(B133,'Player Data'!A1:B734,2,FALSE)</f>
        <v>173</v>
      </c>
      <c r="G133" s="9">
        <f>VLOOKUP(B133,'Player Data'!A1:D734,3,FALSE)</f>
        <v>25</v>
      </c>
      <c r="H133" s="43">
        <f>_xlfn.IFERROR(VLOOKUP(B133,'ADP'!A1:G731,7,FALSE)/1000000,VLOOKUP(B133,'ADP'!A1:G731,7,FALSE))</f>
        <v>4.6</v>
      </c>
      <c r="I133" s="44">
        <f>IF('Settings'!$E$15="POINTS",((R133*Q133)*'Settings'!$B$12)+(S133*'Settings'!$B$2)+(T133*'Settings'!$B$3)+(U133*'Settings'!$B$4)+(V133*'Settings'!$B$5)+(X133*'Settings'!$B$9)+(AA133*'Settings'!$B$6)+(W133*'Settings'!$B$8)+(AB133*'Settings'!$B$7)+(AC133*'Settings'!$B$14)+(AD133*'Settings'!$B$15)+(AE133*'Settings'!$B$16)+(AF133*'Settings'!$B$17)+(AG133*'Settings'!$B$18)+(U133*'Settings'!$B$13)+(Y133*'Settings'!$B$10)+(Z133*'Settings'!$B$11),VLOOKUP(B133,'Standard Deviations'!A1:C731,3,FALSE))</f>
        <v>321.214230750392</v>
      </c>
      <c r="J133" s="45">
        <f>IF(D133="G",I133/AJ133,I133/Q133)</f>
        <v>4.51254494785083</v>
      </c>
      <c r="K133" s="44">
        <f>VLOOKUP(B133,'D'!A1:F228,6,FALSE)</f>
        <v>-19.520907896131</v>
      </c>
      <c r="L133" s="44">
        <f>_xlfn.IFERROR(K133/H133,"N/A")</f>
        <v>-4.2436756295937</v>
      </c>
      <c r="M133" s="46">
        <f>IF('Settings'!$E$9="YAHOO",VLOOKUP(B133,'ADP'!A1:E731,2,FALSE),IF('Settings'!$E$9="ESPN",VLOOKUP(B133,'ADP'!A1:E731,3,FALSE),IF('Settings'!$E$9="FANTRAX",VLOOKUP(B133,'ADP'!A1:E731,4,FALSE),VLOOKUP(B133,'ADP'!A1:E731,5,FALSE))))</f>
        <v>103.76</v>
      </c>
      <c r="N133" s="46">
        <f>_xlfn.IFERROR(M133-A133,"N/A")</f>
        <v>-38.24</v>
      </c>
      <c r="O133" s="46"/>
      <c r="P133" t="s" s="47">
        <f>IF('Settings'!$E$27="ON",VLOOKUP(B133,'ADP'!A1:H731,8,FALSE)," ")</f>
        <v>109</v>
      </c>
      <c r="Q133" s="48">
        <f>IF('Settings'!$E$12="YES",VLOOKUP(B133,'Player Data'!A1:E734,5,FALSE),82)</f>
        <v>71.1825</v>
      </c>
      <c r="R133" s="46">
        <f>VLOOKUP(B133,'Player Data'!$A1:$AE734,6,FALSE)</f>
        <v>22.2429457520326</v>
      </c>
      <c r="S133" s="48">
        <f>VLOOKUP(B133,'Player Data'!$A1:$AE734,7,FALSE)*$Q133*_xlfn.IFERROR((VLOOKUP(P133,'Settings'!$E$28:$F$33,2,FALSE)+1),1)</f>
        <v>13.2279484245264</v>
      </c>
      <c r="T133" s="48">
        <f>VLOOKUP(B133,'Player Data'!$A1:$AE734,8,FALSE)*$Q133*_xlfn.IFERROR((VLOOKUP(P133,'Settings'!$E$28:$F$33,2,FALSE)+1),1)</f>
        <v>29.3088785760787</v>
      </c>
      <c r="U133" s="48">
        <f>SUM(S133:T133)</f>
        <v>42.5368270006051</v>
      </c>
      <c r="V133" s="48">
        <f>VLOOKUP(B133,'Player Data'!$A1:$AE734,10,FALSE)*$Q133*_xlfn.IFERROR(((VLOOKUP(P133,'Settings'!$E$28:$F$33,2,FALSE)/2)+1),1)</f>
        <v>195.725942317632</v>
      </c>
      <c r="W133" s="48">
        <f>VLOOKUP(B133,'Player Data'!$A1:$AE734,11,FALSE)*$Q133*_xlfn.IFERROR((VLOOKUP(P133,'Settings'!$E$28:$F$33,2,FALSE)+1),1)</f>
        <v>3.51306766331618</v>
      </c>
      <c r="X133" s="48">
        <f>VLOOKUP(B133,'Player Data'!$A1:$AE734,12,FALSE)*$Q133*_xlfn.IFERROR((VLOOKUP(P133,'Settings'!$E$28:$F$33,2,FALSE)+1),1)</f>
        <v>8.67349335436807</v>
      </c>
      <c r="Y133" s="48">
        <f>VLOOKUP(B133,'Player Data'!$A1:$AE734,13,FALSE)*$Q133</f>
        <v>0.0308459790029159</v>
      </c>
      <c r="Z133" s="48">
        <f>VLOOKUP(B133,'Player Data'!$A1:$AE734,14,FALSE)*$Q133</f>
        <v>0.114777784810336</v>
      </c>
      <c r="AA133" s="48">
        <f>VLOOKUP(B133,'Player Data'!$A1:$AE734,15,FALSE)*$Q133</f>
        <v>111.891416817719</v>
      </c>
      <c r="AB133" s="48">
        <f>VLOOKUP(B133,'Player Data'!$A1:$AE734,16,FALSE)*$Q133</f>
        <v>78.8943678979653</v>
      </c>
      <c r="AC133" s="48">
        <f>VLOOKUP(B133,'Player Data'!$A1:$AE734,17,FALSE)*$Q133*_xlfn.IFERROR((VLOOKUP(P133,'Settings'!$E$28:$F$33,2,FALSE)+1),1)</f>
        <v>1.41381814702887</v>
      </c>
      <c r="AD133" s="48">
        <f>VLOOKUP(B133,'Player Data'!$A1:$AE734,18,FALSE)*$Q133</f>
        <v>47.2743257067651</v>
      </c>
      <c r="AE133" s="48">
        <f>VLOOKUP(B133,'Player Data'!$A1:$AE734,19,FALSE)*$Q133*_xlfn.IFERROR((VLOOKUP(P133,'Settings'!$E$28:$F$33,2,FALSE)+1),1)</f>
        <v>1.98929703661866</v>
      </c>
      <c r="AF133" s="48">
        <f>VLOOKUP(B133,'Player Data'!$A1:$AE734,20,FALSE)*$Q133</f>
        <v>0</v>
      </c>
      <c r="AG133" s="48">
        <f>VLOOKUP(B133,'Player Data'!$A1:$AE734,21,FALSE)*$Q133</f>
        <v>0</v>
      </c>
      <c r="AH133" s="49">
        <f>VLOOKUP(B133,'Player Data'!$A1:$AE734,22,FALSE)</f>
        <v>0</v>
      </c>
      <c r="AI133" s="46"/>
      <c r="AJ133" s="50"/>
      <c r="AK133" s="48"/>
      <c r="AL133" s="48"/>
      <c r="AM133" s="48"/>
      <c r="AN133" s="48"/>
      <c r="AO133" s="48"/>
      <c r="AP133" s="48"/>
      <c r="AQ133" s="51"/>
      <c r="AR133" s="52"/>
      <c r="AS133" s="46"/>
    </row>
    <row r="134" ht="21.25" customHeight="1">
      <c r="A134" s="53">
        <f>RANK(K134,K2:K730)</f>
        <v>134</v>
      </c>
      <c r="B134" t="s" s="8">
        <v>284</v>
      </c>
      <c r="C134" t="s" s="39">
        <v>106</v>
      </c>
      <c r="D134" t="s" s="40">
        <f>VLOOKUP(B134,'Player Data'!A1:D734,4,FALSE)</f>
        <v>107</v>
      </c>
      <c r="E134" s="41">
        <f>VLOOKUP(B134,'C'!A1:C218,3,FALSE)</f>
        <v>40</v>
      </c>
      <c r="F134" t="s" s="42">
        <f>VLOOKUP(B134,'Player Data'!A1:B734,2,FALSE)</f>
        <v>204</v>
      </c>
      <c r="G134" s="9">
        <f>VLOOKUP(B134,'Player Data'!A1:D734,3,FALSE)</f>
        <v>35</v>
      </c>
      <c r="H134" s="43">
        <f>_xlfn.IFERROR(VLOOKUP(B134,'ADP'!A1:G731,7,FALSE)/1000000,VLOOKUP(B134,'ADP'!A1:G731,7,FALSE))</f>
        <v>8</v>
      </c>
      <c r="I134" s="44">
        <f>IF('Settings'!$E$15="POINTS",((R134*Q134)*'Settings'!$B$12)+(S134*'Settings'!$B$2)+(T134*'Settings'!$B$3)+(U134*'Settings'!$B$4)+(V134*'Settings'!$B$5)+(X134*'Settings'!$B$9)+(AA134*'Settings'!$B$6)+(W134*'Settings'!$B$8)+(AB134*'Settings'!$B$7)+(AC134*'Settings'!$B$14)+(AD134*'Settings'!$B$15)+(AE134*'Settings'!$B$16)+(AF134*'Settings'!$B$17)+(AG134*'Settings'!$B$18)+(Y134*'Settings'!$B$10)+(Z134*'Settings'!$B$11),VLOOKUP(B134,'Standard Deviations'!A1:C731,3,FALSE))</f>
        <v>379.245532040092</v>
      </c>
      <c r="J134" s="45">
        <f>IF(D134="G",I134/AJ134,I134/Q134)</f>
        <v>4.63101666257706</v>
      </c>
      <c r="K134" s="44">
        <f>IF('Settings'!$E$18="C/LW/RW",VLOOKUP(B134,'C'!A1:F218,6,FALSE),VLOOKUP(B134,'F'!A1:F432,6,FALSE))</f>
        <v>-16.528669595923</v>
      </c>
      <c r="L134" s="44">
        <f>_xlfn.IFERROR(K134/H134,"N/A")</f>
        <v>-2.06608369949038</v>
      </c>
      <c r="M134" s="46">
        <f>IF('Settings'!$E$9="YAHOO",VLOOKUP(B134,'ADP'!A1:E731,2,FALSE),IF('Settings'!$E$9="ESPN",VLOOKUP(B134,'ADP'!A1:E731,3,FALSE),IF('Settings'!$E$9="FANTRAX",VLOOKUP(B134,'ADP'!A1:E731,4,FALSE),VLOOKUP(B134,'ADP'!A1:E731,5,FALSE))))</f>
        <v>108.98</v>
      </c>
      <c r="N134" s="46">
        <f>_xlfn.IFERROR(M134-A134,"N/A")</f>
        <v>-25.02</v>
      </c>
      <c r="O134" s="46"/>
      <c r="P134" t="s" s="47">
        <f>IF('Settings'!$E$27="ON",VLOOKUP(B134,'ADP'!A1:H731,8,FALSE)," ")</f>
        <v>109</v>
      </c>
      <c r="Q134" s="48">
        <f>IF('Settings'!$E$12="YES",VLOOKUP(B134,'Player Data'!A1:E734,5,FALSE),82)</f>
        <v>81.8925</v>
      </c>
      <c r="R134" s="46">
        <f>VLOOKUP(B134,'Player Data'!$A1:$AE734,6,FALSE)</f>
        <v>20.2419070903201</v>
      </c>
      <c r="S134" s="48">
        <f>VLOOKUP(B134,'Player Data'!$A1:$AE734,7,FALSE)*$Q134*_xlfn.IFERROR((VLOOKUP(P134,'Settings'!$E$28:$F$33,2,FALSE)+1),1)</f>
        <v>21.7372107178571</v>
      </c>
      <c r="T134" s="48">
        <f>VLOOKUP(B134,'Player Data'!$A1:$AE734,8,FALSE)*$Q134*_xlfn.IFERROR((VLOOKUP(P134,'Settings'!$E$28:$F$33,2,FALSE)+1),1)</f>
        <v>44.3071850715325</v>
      </c>
      <c r="U134" s="48">
        <f>SUM(S134:T134)</f>
        <v>66.0443957893896</v>
      </c>
      <c r="V134" s="48">
        <f>VLOOKUP(B134,'Player Data'!$A1:$AE734,10,FALSE)*$Q134*_xlfn.IFERROR(((VLOOKUP(P134,'Settings'!$E$28:$F$33,2,FALSE)/2)+1),1)</f>
        <v>180.686229085576</v>
      </c>
      <c r="W134" s="48">
        <f>VLOOKUP(B134,'Player Data'!$A1:$AE734,11,FALSE)*$Q134*_xlfn.IFERROR((VLOOKUP(P134,'Settings'!$E$28:$F$33,2,FALSE)+1),1)</f>
        <v>5.60017427042063</v>
      </c>
      <c r="X134" s="48">
        <f>VLOOKUP(B134,'Player Data'!$A1:$AE734,12,FALSE)*$Q134*_xlfn.IFERROR((VLOOKUP(P134,'Settings'!$E$28:$F$33,2,FALSE)+1),1)</f>
        <v>19.5459660475408</v>
      </c>
      <c r="Y134" s="48">
        <f>VLOOKUP(B134,'Player Data'!$A1:$AE734,13,FALSE)*$Q134</f>
        <v>0.113023722759928</v>
      </c>
      <c r="Z134" s="48">
        <f>VLOOKUP(B134,'Player Data'!$A1:$AE734,14,FALSE)*$Q134</f>
        <v>0.928312045346934</v>
      </c>
      <c r="AA134" s="48">
        <f>VLOOKUP(B134,'Player Data'!$A1:$AE734,15,FALSE)*$Q134</f>
        <v>77.489513339957</v>
      </c>
      <c r="AB134" s="48">
        <f>VLOOKUP(B134,'Player Data'!$A1:$AE734,16,FALSE)*$Q134</f>
        <v>70.2481331667091</v>
      </c>
      <c r="AC134" s="48">
        <f>VLOOKUP(B134,'Player Data'!$A1:$AE734,17,FALSE)*$Q134*_xlfn.IFERROR((VLOOKUP(P134,'Settings'!$E$28:$F$33,2,FALSE)+1),1)</f>
        <v>0.775363197398217</v>
      </c>
      <c r="AD134" s="48">
        <f>VLOOKUP(B134,'Player Data'!$A1:$AE734,18,FALSE)*$Q134</f>
        <v>13.6537619550345</v>
      </c>
      <c r="AE134" s="48">
        <f>VLOOKUP(B134,'Player Data'!$A1:$AE734,19,FALSE)*$Q134*_xlfn.IFERROR((VLOOKUP(P134,'Settings'!$E$28:$F$33,2,FALSE)+1),1)</f>
        <v>3.21843436704094</v>
      </c>
      <c r="AF134" s="48">
        <f>VLOOKUP(B134,'Player Data'!$A1:$AE734,20,FALSE)*$Q134</f>
        <v>896.106552934959</v>
      </c>
      <c r="AG134" s="48">
        <f>VLOOKUP(B134,'Player Data'!$A1:$AE734,21,FALSE)*$Q134</f>
        <v>689.913228878519</v>
      </c>
      <c r="AH134" s="49">
        <f>VLOOKUP(B134,'Player Data'!$A1:$AE734,22,FALSE)</f>
        <v>0.565003389749867</v>
      </c>
      <c r="AI134" s="46"/>
      <c r="AJ134" s="48"/>
      <c r="AK134" s="48"/>
      <c r="AL134" s="48"/>
      <c r="AM134" s="48"/>
      <c r="AN134" s="48"/>
      <c r="AO134" s="48"/>
      <c r="AP134" s="48"/>
      <c r="AQ134" s="51"/>
      <c r="AR134" s="52"/>
      <c r="AS134" s="46"/>
    </row>
    <row r="135" ht="21.25" customHeight="1">
      <c r="A135" s="53">
        <f>RANK(K135,K2:K730)</f>
        <v>138</v>
      </c>
      <c r="B135" t="s" s="8">
        <v>285</v>
      </c>
      <c r="C135" t="s" s="39">
        <v>106</v>
      </c>
      <c r="D135" t="s" s="40">
        <f>VLOOKUP(B135,'Player Data'!A1:D734,4,FALSE)</f>
        <v>107</v>
      </c>
      <c r="E135" s="41">
        <f>VLOOKUP(B135,'C'!A1:C218,3,FALSE)</f>
        <v>42</v>
      </c>
      <c r="F135" t="s" s="42">
        <f>VLOOKUP(B135,'Player Data'!A1:B734,2,FALSE)</f>
        <v>141</v>
      </c>
      <c r="G135" s="9">
        <f>VLOOKUP(B135,'Player Data'!A1:D734,3,FALSE)</f>
        <v>29</v>
      </c>
      <c r="H135" s="43">
        <f>_xlfn.IFERROR(VLOOKUP(B135,'ADP'!A1:G731,7,FALSE)/1000000,VLOOKUP(B135,'ADP'!A1:G731,7,FALSE))</f>
        <v>8.137499999999999</v>
      </c>
      <c r="I135" s="44">
        <f>IF('Settings'!$E$15="POINTS",((R135*Q135)*'Settings'!$B$12)+(S135*'Settings'!$B$2)+(T135*'Settings'!$B$3)+(U135*'Settings'!$B$4)+(V135*'Settings'!$B$5)+(X135*'Settings'!$B$9)+(AA135*'Settings'!$B$6)+(W135*'Settings'!$B$8)+(AB135*'Settings'!$B$7)+(AC135*'Settings'!$B$14)+(AD135*'Settings'!$B$15)+(AE135*'Settings'!$B$16)+(AF135*'Settings'!$B$17)+(AG135*'Settings'!$B$18)+(Y135*'Settings'!$B$10)+(Z135*'Settings'!$B$11),VLOOKUP(B135,'Standard Deviations'!A1:C731,3,FALSE))</f>
        <v>378.161877422354</v>
      </c>
      <c r="J135" s="45">
        <f>IF(D135="G",I135/AJ135,I135/Q135)</f>
        <v>4.72702346777943</v>
      </c>
      <c r="K135" s="44">
        <f>IF('Settings'!$E$18="C/LW/RW",VLOOKUP(B135,'C'!A1:F218,6,FALSE),VLOOKUP(B135,'F'!A1:F432,6,FALSE))</f>
        <v>-17.612324213661</v>
      </c>
      <c r="L135" s="44">
        <f>_xlfn.IFERROR(K135/H135,"N/A")</f>
        <v>-2.16434091719336</v>
      </c>
      <c r="M135" s="46">
        <f>IF('Settings'!$E$9="YAHOO",VLOOKUP(B135,'ADP'!A1:E731,2,FALSE),IF('Settings'!$E$9="ESPN",VLOOKUP(B135,'ADP'!A1:E731,3,FALSE),IF('Settings'!$E$9="FANTRAX",VLOOKUP(B135,'ADP'!A1:E731,4,FALSE),VLOOKUP(B135,'ADP'!A1:E731,5,FALSE))))</f>
        <v>160.39</v>
      </c>
      <c r="N135" s="46">
        <f>_xlfn.IFERROR(M135-A135,"N/A")</f>
        <v>22.39</v>
      </c>
      <c r="O135" s="46"/>
      <c r="P135" t="s" s="47">
        <f>IF('Settings'!$E$27="ON",VLOOKUP(B135,'ADP'!A1:H731,8,FALSE)," ")</f>
        <v>175</v>
      </c>
      <c r="Q135" s="48">
        <f>IF('Settings'!$E$12="YES",VLOOKUP(B135,'Player Data'!A1:E734,5,FALSE),82)</f>
        <v>80</v>
      </c>
      <c r="R135" s="46">
        <f>VLOOKUP(B135,'Player Data'!$A1:$AE734,6,FALSE)</f>
        <v>19.5370014793725</v>
      </c>
      <c r="S135" s="48">
        <f>VLOOKUP(B135,'Player Data'!$A1:$AE734,7,FALSE)*$Q135*_xlfn.IFERROR((VLOOKUP(P135,'Settings'!$E$28:$F$33,2,FALSE)+1),1)</f>
        <v>25.6356189995259</v>
      </c>
      <c r="T135" s="48">
        <f>VLOOKUP(B135,'Player Data'!$A1:$AE734,8,FALSE)*$Q135*_xlfn.IFERROR((VLOOKUP(P135,'Settings'!$E$28:$F$33,2,FALSE)+1),1)</f>
        <v>39.1282431441865</v>
      </c>
      <c r="U135" s="48">
        <f>SUM(S135:T135)</f>
        <v>64.7638621437124</v>
      </c>
      <c r="V135" s="48">
        <f>VLOOKUP(B135,'Player Data'!$A1:$AE734,10,FALSE)*$Q135*_xlfn.IFERROR(((VLOOKUP(P135,'Settings'!$E$28:$F$33,2,FALSE)/2)+1),1)</f>
        <v>191.481844249766</v>
      </c>
      <c r="W135" s="48">
        <f>VLOOKUP(B135,'Player Data'!$A1:$AE734,11,FALSE)*$Q135*_xlfn.IFERROR((VLOOKUP(P135,'Settings'!$E$28:$F$33,2,FALSE)+1),1)</f>
        <v>6.59434020802524</v>
      </c>
      <c r="X135" s="48">
        <f>VLOOKUP(B135,'Player Data'!$A1:$AE734,12,FALSE)*$Q135*_xlfn.IFERROR((VLOOKUP(P135,'Settings'!$E$28:$F$33,2,FALSE)+1),1)</f>
        <v>21.0578821365626</v>
      </c>
      <c r="Y135" s="48">
        <f>VLOOKUP(B135,'Player Data'!$A1:$AE734,13,FALSE)*$Q135</f>
        <v>0.0616396996892943</v>
      </c>
      <c r="Z135" s="48">
        <f>VLOOKUP(B135,'Player Data'!$A1:$AE734,14,FALSE)*$Q135</f>
        <v>0.145651442894359</v>
      </c>
      <c r="AA135" s="48">
        <f>VLOOKUP(B135,'Player Data'!$A1:$AE734,15,FALSE)*$Q135</f>
        <v>53.8241637955542</v>
      </c>
      <c r="AB135" s="48">
        <f>VLOOKUP(B135,'Player Data'!$A1:$AE734,16,FALSE)*$Q135</f>
        <v>89.890222333916</v>
      </c>
      <c r="AC135" s="48">
        <f>VLOOKUP(B135,'Player Data'!$A1:$AE734,17,FALSE)*$Q135*_xlfn.IFERROR((VLOOKUP(P135,'Settings'!$E$28:$F$33,2,FALSE)+1),1)</f>
        <v>0.495792420885245</v>
      </c>
      <c r="AD135" s="48">
        <f>VLOOKUP(B135,'Player Data'!$A1:$AE734,18,FALSE)*$Q135</f>
        <v>38.2653274916888</v>
      </c>
      <c r="AE135" s="48">
        <f>VLOOKUP(B135,'Player Data'!$A1:$AE734,19,FALSE)*$Q135*_xlfn.IFERROR((VLOOKUP(P135,'Settings'!$E$28:$F$33,2,FALSE)+1),1)</f>
        <v>3.18280961699605</v>
      </c>
      <c r="AF135" s="48">
        <f>VLOOKUP(B135,'Player Data'!$A1:$AE734,20,FALSE)*$Q135</f>
        <v>790.374435833697</v>
      </c>
      <c r="AG135" s="48">
        <f>VLOOKUP(B135,'Player Data'!$A1:$AE734,21,FALSE)*$Q135</f>
        <v>674.1793731731281</v>
      </c>
      <c r="AH135" s="49">
        <f>VLOOKUP(B135,'Player Data'!$A1:$AE734,22,FALSE)</f>
        <v>0.539669099880791</v>
      </c>
      <c r="AI135" s="46"/>
      <c r="AJ135" s="50"/>
      <c r="AK135" s="48"/>
      <c r="AL135" s="48"/>
      <c r="AM135" s="48"/>
      <c r="AN135" s="48"/>
      <c r="AO135" s="48"/>
      <c r="AP135" s="48"/>
      <c r="AQ135" s="51"/>
      <c r="AR135" s="52"/>
      <c r="AS135" s="46"/>
    </row>
    <row r="136" ht="21.25" customHeight="1">
      <c r="A136" s="53">
        <f>RANK(K136,K2:K730)</f>
        <v>176</v>
      </c>
      <c r="B136" t="s" s="8">
        <v>286</v>
      </c>
      <c r="C136" t="s" s="39">
        <v>106</v>
      </c>
      <c r="D136" t="s" s="40">
        <f>VLOOKUP(B136,'Player Data'!A1:D734,4,FALSE)</f>
        <v>107</v>
      </c>
      <c r="E136" s="41">
        <f>VLOOKUP(B136,'C'!A1:C218,3,FALSE)</f>
        <v>52</v>
      </c>
      <c r="F136" t="s" s="42">
        <f>VLOOKUP(B136,'Player Data'!A1:B734,2,FALSE)</f>
        <v>194</v>
      </c>
      <c r="G136" s="9">
        <f>VLOOKUP(B136,'Player Data'!A1:D734,3,FALSE)</f>
        <v>24</v>
      </c>
      <c r="H136" s="43">
        <f>_xlfn.IFERROR(VLOOKUP(B136,'ADP'!A1:G731,7,FALSE)/1000000,VLOOKUP(B136,'ADP'!A1:G731,7,FALSE))</f>
        <v>8.125</v>
      </c>
      <c r="I136" s="44">
        <f>IF('Settings'!$E$15="POINTS",((R136*Q136)*'Settings'!$B$12)+(S136*'Settings'!$B$2)+(T136*'Settings'!$B$3)+(U136*'Settings'!$B$4)+(V136*'Settings'!$B$5)+(X136*'Settings'!$B$9)+(AA136*'Settings'!$B$6)+(W136*'Settings'!$B$8)+(AB136*'Settings'!$B$7)+(AC136*'Settings'!$B$14)+(AD136*'Settings'!$B$15)+(AE136*'Settings'!$B$16)+(AF136*'Settings'!$B$17)+(AG136*'Settings'!$B$18)+(Y136*'Settings'!$B$10)+(Z136*'Settings'!$B$11),VLOOKUP(B136,'Standard Deviations'!A1:C731,3,FALSE))</f>
        <v>347.827043003708</v>
      </c>
      <c r="J136" s="45">
        <f>IF(D136="G",I136/AJ136,I136/Q136)</f>
        <v>4.55270998695953</v>
      </c>
      <c r="K136" s="44">
        <f>IF('Settings'!$E$18="C/LW/RW",VLOOKUP(B136,'C'!A1:F218,6,FALSE),VLOOKUP(B136,'F'!A1:F432,6,FALSE))</f>
        <v>-47.947158632307</v>
      </c>
      <c r="L136" s="44">
        <f>_xlfn.IFERROR(K136/H136,"N/A")</f>
        <v>-5.90118875474548</v>
      </c>
      <c r="M136" s="46">
        <f>IF('Settings'!$E$9="YAHOO",VLOOKUP(B136,'ADP'!A1:E731,2,FALSE),IF('Settings'!$E$9="ESPN",VLOOKUP(B136,'ADP'!A1:E731,3,FALSE),IF('Settings'!$E$9="FANTRAX",VLOOKUP(B136,'ADP'!A1:E731,4,FALSE),VLOOKUP(B136,'ADP'!A1:E731,5,FALSE))))</f>
        <v>161.27</v>
      </c>
      <c r="N136" s="46">
        <f>_xlfn.IFERROR(M136-A136,"N/A")</f>
        <v>-14.73</v>
      </c>
      <c r="O136" s="46"/>
      <c r="P136" t="s" s="47">
        <f>IF('Settings'!$E$27="ON",VLOOKUP(B136,'ADP'!A1:H731,8,FALSE)," ")</f>
        <v>109</v>
      </c>
      <c r="Q136" s="48">
        <f>IF('Settings'!$E$12="YES",VLOOKUP(B136,'Player Data'!A1:E734,5,FALSE),82)</f>
        <v>76.40000000000001</v>
      </c>
      <c r="R136" s="46">
        <f>VLOOKUP(B136,'Player Data'!$A1:$AE734,6,FALSE)</f>
        <v>19.4251711680901</v>
      </c>
      <c r="S136" s="48">
        <f>VLOOKUP(B136,'Player Data'!$A1:$AE734,7,FALSE)*$Q136*_xlfn.IFERROR((VLOOKUP(P136,'Settings'!$E$28:$F$33,2,FALSE)+1),1)</f>
        <v>22.0566637022216</v>
      </c>
      <c r="T136" s="48">
        <f>VLOOKUP(B136,'Player Data'!$A1:$AE734,8,FALSE)*$Q136*_xlfn.IFERROR((VLOOKUP(P136,'Settings'!$E$28:$F$33,2,FALSE)+1),1)</f>
        <v>54.4122105842091</v>
      </c>
      <c r="U136" s="48">
        <f>SUM(S136:T136)</f>
        <v>76.4688742864307</v>
      </c>
      <c r="V136" s="48">
        <f>VLOOKUP(B136,'Player Data'!$A1:$AE734,10,FALSE)*$Q136*_xlfn.IFERROR(((VLOOKUP(P136,'Settings'!$E$28:$F$33,2,FALSE)/2)+1),1)</f>
        <v>123.879803421841</v>
      </c>
      <c r="W136" s="48">
        <f>VLOOKUP(B136,'Player Data'!$A1:$AE734,11,FALSE)*$Q136*_xlfn.IFERROR((VLOOKUP(P136,'Settings'!$E$28:$F$33,2,FALSE)+1),1)</f>
        <v>5.69280983030501</v>
      </c>
      <c r="X136" s="48">
        <f>VLOOKUP(B136,'Player Data'!$A1:$AE734,12,FALSE)*$Q136*_xlfn.IFERROR((VLOOKUP(P136,'Settings'!$E$28:$F$33,2,FALSE)+1),1)</f>
        <v>22.6757538009351</v>
      </c>
      <c r="Y136" s="48">
        <f>VLOOKUP(B136,'Player Data'!$A1:$AE734,13,FALSE)*$Q136</f>
        <v>1.19221910937688</v>
      </c>
      <c r="Z136" s="48">
        <f>VLOOKUP(B136,'Player Data'!$A1:$AE734,14,FALSE)*$Q136</f>
        <v>1.27035666845228</v>
      </c>
      <c r="AA136" s="48">
        <f>VLOOKUP(B136,'Player Data'!$A1:$AE734,15,FALSE)*$Q136</f>
        <v>30.399171279409</v>
      </c>
      <c r="AB136" s="48">
        <f>VLOOKUP(B136,'Player Data'!$A1:$AE734,16,FALSE)*$Q136</f>
        <v>22.6208956142171</v>
      </c>
      <c r="AC136" s="48">
        <f>VLOOKUP(B136,'Player Data'!$A1:$AE734,17,FALSE)*$Q136*_xlfn.IFERROR((VLOOKUP(P136,'Settings'!$E$28:$F$33,2,FALSE)+1),1)</f>
        <v>-2.6861381070467</v>
      </c>
      <c r="AD136" s="48">
        <f>VLOOKUP(B136,'Player Data'!$A1:$AE734,18,FALSE)*$Q136</f>
        <v>24.733327939879</v>
      </c>
      <c r="AE136" s="48">
        <f>VLOOKUP(B136,'Player Data'!$A1:$AE734,19,FALSE)*$Q136*_xlfn.IFERROR((VLOOKUP(P136,'Settings'!$E$28:$F$33,2,FALSE)+1),1)</f>
        <v>2.53812054361024</v>
      </c>
      <c r="AF136" s="48">
        <f>VLOOKUP(B136,'Player Data'!$A1:$AE734,20,FALSE)*$Q136</f>
        <v>634.959030922790</v>
      </c>
      <c r="AG136" s="48">
        <f>VLOOKUP(B136,'Player Data'!$A1:$AE734,21,FALSE)*$Q136</f>
        <v>618.032895377156</v>
      </c>
      <c r="AH136" s="49">
        <f>VLOOKUP(B136,'Player Data'!$A1:$AE734,22,FALSE)</f>
        <v>0.506754287553798</v>
      </c>
      <c r="AI136" s="46"/>
      <c r="AJ136" s="48"/>
      <c r="AK136" s="48"/>
      <c r="AL136" s="48"/>
      <c r="AM136" s="48"/>
      <c r="AN136" s="48"/>
      <c r="AO136" s="48"/>
      <c r="AP136" s="48"/>
      <c r="AQ136" s="51"/>
      <c r="AR136" s="52"/>
      <c r="AS136" s="46"/>
    </row>
    <row r="137" ht="21.25" customHeight="1">
      <c r="A137" s="53">
        <f>RANK(K137,K2:K730)</f>
        <v>69</v>
      </c>
      <c r="B137" t="s" s="8">
        <v>287</v>
      </c>
      <c r="C137" t="s" s="39">
        <v>106</v>
      </c>
      <c r="D137" t="s" s="40">
        <f>VLOOKUP(B137,'Player Data'!A1:D734,4,FALSE)</f>
        <v>146</v>
      </c>
      <c r="E137" s="58">
        <f>VLOOKUP(B137,'G'!A1:D75,3,FALSE)</f>
        <v>17</v>
      </c>
      <c r="F137" t="s" s="42">
        <f>VLOOKUP(B137,'Player Data'!A1:B734,2,FALSE)</f>
        <v>108</v>
      </c>
      <c r="G137" s="9">
        <f>VLOOKUP(B137,'Player Data'!A1:D734,3,FALSE)</f>
        <v>24</v>
      </c>
      <c r="H137" s="43">
        <f>_xlfn.IFERROR(VLOOKUP(B137,'ADP'!A1:G731,7,FALSE)/1000000,VLOOKUP(B137,'ADP'!A1:G731,7,FALSE))</f>
        <v>0</v>
      </c>
      <c r="I137" s="44">
        <f>IF('Settings'!$E$15="POINTS",(AJ137*'Settings'!$B$29)+(AK137*'Settings'!$B$21)+(AL137*'Settings'!$B$22)+(AN137*'Settings'!$B$24)+(AO137*'Settings'!$B$25)+(AP137*'Settings'!$B$27)+(AM137*'Settings'!$B$23),VLOOKUP(B137,'Standard Deviations'!A1:C731,3,FALSE))</f>
        <v>308.000449518277</v>
      </c>
      <c r="J137" s="45">
        <f>IF(D137="G",I137/AJ137,I137/Q137)</f>
        <v>6.41667603163077</v>
      </c>
      <c r="K137" s="44">
        <f>VLOOKUP(B137,'G'!A1:F75,6,FALSE)</f>
        <v>42.697228018589</v>
      </c>
      <c r="L137" t="s" s="60">
        <f>_xlfn.IFERROR(K137/H137,"N/A")</f>
        <v>158</v>
      </c>
      <c r="M137" s="46">
        <f>IF('Settings'!$E$9="YAHOO",VLOOKUP(B137,'ADP'!A1:E731,2,FALSE),IF('Settings'!$E$9="ESPN",VLOOKUP(B137,'ADP'!A1:E731,3,FALSE),IF('Settings'!$E$9="FANTRAX",VLOOKUP(B137,'ADP'!A1:E731,4,FALSE),VLOOKUP(B137,'ADP'!A1:E731,5,FALSE))))</f>
        <v>119.5</v>
      </c>
      <c r="N137" s="46">
        <f>_xlfn.IFERROR(M137-A137,"N/A")</f>
        <v>50.5</v>
      </c>
      <c r="O137" s="46"/>
      <c r="P137" t="s" s="47">
        <f>IF('Settings'!$E$27="ON",VLOOKUP(B137,'ADP'!A1:H731,8,FALSE)," ")</f>
        <v>109</v>
      </c>
      <c r="Q137" s="48"/>
      <c r="R137" s="59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9"/>
      <c r="AI137" s="46"/>
      <c r="AJ137" s="50">
        <f>VLOOKUP(B137,'Player Data'!$A1:$AE734,24,FALSE)</f>
        <v>48</v>
      </c>
      <c r="AK137" s="48">
        <f>VLOOKUP(B137,'Player Data'!$A1:$AE734,25,FALSE)*$AJ137*_xlfn.IFERROR((VLOOKUP(P137,'Settings'!$E$28:$F$33,2,FALSE)+1),1)</f>
        <v>29.7862883372628</v>
      </c>
      <c r="AL137" s="48">
        <f>AJ137-AK137-AM137</f>
        <v>12.2137116627372</v>
      </c>
      <c r="AM137" s="48">
        <f>VLOOKUP(B137,'Player Data'!$A1:$AE734,27,FALSE)*$AJ137</f>
        <v>6</v>
      </c>
      <c r="AN137" s="48">
        <f>VLOOKUP(B137,'Player Data'!$A1:$AE734,28,FALSE)*AJ137</f>
        <v>3.12009691306708</v>
      </c>
      <c r="AO137" s="48">
        <f>VLOOKUP(B137,'Player Data'!$A1:$AE734,29,FALSE)*$AJ137*_xlfn.IFERROR((VLOOKUP(P137,'Settings'!$E$28:$F$33,2,FALSE)/4)+1,1)</f>
        <v>1344.090116676270</v>
      </c>
      <c r="AP137" s="48">
        <f>VLOOKUP(B137,'Player Data'!$A1:$AE734,31,FALSE)*$AJ137*(_xlfn.IFERROR(1-(VLOOKUP(P137,'Settings'!$E$28:$F$33,2,FALSE)/4),1))</f>
        <v>129.297160823729</v>
      </c>
      <c r="AQ137" s="51">
        <f>1-(AP137/(AO137+AP137))</f>
        <v>0.912244959082912</v>
      </c>
      <c r="AR137" s="52">
        <f>AP137/AJ137</f>
        <v>2.69369085049435</v>
      </c>
      <c r="AS137" s="46"/>
    </row>
    <row r="138" ht="21.25" customHeight="1">
      <c r="A138" s="53">
        <f>RANK(K138,K2:K730)</f>
        <v>103</v>
      </c>
      <c r="B138" t="s" s="8">
        <v>288</v>
      </c>
      <c r="C138" t="s" s="39">
        <v>106</v>
      </c>
      <c r="D138" t="s" s="40">
        <f>VLOOKUP(B138,'Player Data'!A1:D734,4,FALSE)</f>
        <v>133</v>
      </c>
      <c r="E138" s="57">
        <f>VLOOKUP(B138,'LW'!A1:C156,3,FALSE)</f>
        <v>31</v>
      </c>
      <c r="F138" t="s" s="42">
        <f>VLOOKUP(B138,'Player Data'!A1:B734,2,FALSE)</f>
        <v>124</v>
      </c>
      <c r="G138" s="9">
        <f>VLOOKUP(B138,'Player Data'!A1:D734,3,FALSE)</f>
        <v>24</v>
      </c>
      <c r="H138" s="43">
        <f>_xlfn.IFERROR(VLOOKUP(B138,'ADP'!A1:G731,7,FALSE)/1000000,VLOOKUP(B138,'ADP'!A1:G731,7,FALSE))</f>
        <v>1.5</v>
      </c>
      <c r="I138" s="44">
        <f>IF('Settings'!$E$15="POINTS",((R138*Q138)*'Settings'!$B$12)+(S138*'Settings'!$B$2)+(T138*'Settings'!$B$3)+(U138*'Settings'!$B$4)+(V138*'Settings'!$B$5)+(X138*'Settings'!$B$9)+(AA138*'Settings'!$B$6)+(W138*'Settings'!$B$8)+(AB138*'Settings'!$B$7)+(AC138*'Settings'!$B$14)+(AD138*'Settings'!$B$15)+(AE138*'Settings'!$B$16)+(AF138*'Settings'!$B$17)+(AG138*'Settings'!$B$18)+(Y138*'Settings'!$B$10)+(Z138*'Settings'!$B$11),VLOOKUP(B138,'Standard Deviations'!A1:C731,3,FALSE))</f>
        <v>391.009231973882</v>
      </c>
      <c r="J138" s="45">
        <f>IF(D138="G",I138/AJ138,I138/Q138)</f>
        <v>4.81538463022022</v>
      </c>
      <c r="K138" s="44">
        <f>IF('Settings'!$E$18="C/LW/RW",VLOOKUP(B138,'LW'!A1:F156,6,FALSE),VLOOKUP(B138,'F'!A1:F432,6,FALSE))</f>
        <v>9.380668267526</v>
      </c>
      <c r="L138" s="44">
        <f>_xlfn.IFERROR(K138/H138,"N/A")</f>
        <v>6.25377884501733</v>
      </c>
      <c r="M138" s="46">
        <f>IF('Settings'!$E$9="YAHOO",VLOOKUP(B138,'ADP'!A1:E731,2,FALSE),IF('Settings'!$E$9="ESPN",VLOOKUP(B138,'ADP'!A1:E731,3,FALSE),IF('Settings'!$E$9="FANTRAX",VLOOKUP(B138,'ADP'!A1:E731,4,FALSE),VLOOKUP(B138,'ADP'!A1:E731,5,FALSE))))</f>
        <v>147.96</v>
      </c>
      <c r="N138" s="46">
        <f>_xlfn.IFERROR(M138-A138,"N/A")</f>
        <v>44.96</v>
      </c>
      <c r="O138" s="46"/>
      <c r="P138" t="s" s="47">
        <f>IF('Settings'!$E$27="ON",VLOOKUP(B138,'ADP'!A1:H731,8,FALSE)," ")</f>
        <v>109</v>
      </c>
      <c r="Q138" s="48">
        <f>IF('Settings'!$E$12="YES",VLOOKUP(B138,'Player Data'!A1:E734,5,FALSE),82)</f>
        <v>81.2</v>
      </c>
      <c r="R138" s="46">
        <f>VLOOKUP(B138,'Player Data'!$A1:$AE734,6,FALSE)</f>
        <v>19.4630187895212</v>
      </c>
      <c r="S138" s="48">
        <f>VLOOKUP(B138,'Player Data'!$A1:$AE734,7,FALSE)*$Q138*_xlfn.IFERROR((VLOOKUP(P138,'Settings'!$E$28:$F$33,2,FALSE)+1),1)</f>
        <v>31.5109677324924</v>
      </c>
      <c r="T138" s="48">
        <f>VLOOKUP(B138,'Player Data'!$A1:$AE734,8,FALSE)*$Q138*_xlfn.IFERROR((VLOOKUP(P138,'Settings'!$E$28:$F$33,2,FALSE)+1),1)</f>
        <v>34.7880580515055</v>
      </c>
      <c r="U138" s="48">
        <f>SUM(S138:T138)</f>
        <v>66.29902578399791</v>
      </c>
      <c r="V138" s="48">
        <f>VLOOKUP(B138,'Player Data'!$A1:$AE734,10,FALSE)*$Q138*_xlfn.IFERROR(((VLOOKUP(P138,'Settings'!$E$28:$F$33,2,FALSE)/2)+1),1)</f>
        <v>185.274426449746</v>
      </c>
      <c r="W138" s="48">
        <f>VLOOKUP(B138,'Player Data'!$A1:$AE734,11,FALSE)*$Q138*_xlfn.IFERROR((VLOOKUP(P138,'Settings'!$E$28:$F$33,2,FALSE)+1),1)</f>
        <v>8.275572437306799</v>
      </c>
      <c r="X138" s="48">
        <f>VLOOKUP(B138,'Player Data'!$A1:$AE734,12,FALSE)*$Q138*_xlfn.IFERROR((VLOOKUP(P138,'Settings'!$E$28:$F$33,2,FALSE)+1),1)</f>
        <v>17.4481294503187</v>
      </c>
      <c r="Y138" s="48">
        <f>VLOOKUP(B138,'Player Data'!$A1:$AE734,13,FALSE)*$Q138</f>
        <v>1.10289555560456</v>
      </c>
      <c r="Z138" s="48">
        <f>VLOOKUP(B138,'Player Data'!$A1:$AE734,14,FALSE)*$Q138</f>
        <v>3.46066768184181</v>
      </c>
      <c r="AA138" s="48">
        <f>VLOOKUP(B138,'Player Data'!$A1:$AE734,15,FALSE)*$Q138</f>
        <v>52.717250361751</v>
      </c>
      <c r="AB138" s="48">
        <f>VLOOKUP(B138,'Player Data'!$A1:$AE734,16,FALSE)*$Q138</f>
        <v>75.714117014872</v>
      </c>
      <c r="AC138" s="48">
        <f>VLOOKUP(B138,'Player Data'!$A1:$AE734,17,FALSE)*$Q138*_xlfn.IFERROR((VLOOKUP(P138,'Settings'!$E$28:$F$33,2,FALSE)+1),1)</f>
        <v>0.362310068985023</v>
      </c>
      <c r="AD138" s="48">
        <f>VLOOKUP(B138,'Player Data'!$A1:$AE734,18,FALSE)*$Q138</f>
        <v>40.3645343075154</v>
      </c>
      <c r="AE138" s="48">
        <f>VLOOKUP(B138,'Player Data'!$A1:$AE734,19,FALSE)*$Q138*_xlfn.IFERROR((VLOOKUP(P138,'Settings'!$E$28:$F$33,2,FALSE)+1),1)</f>
        <v>4.93147789651379</v>
      </c>
      <c r="AF138" s="48">
        <f>VLOOKUP(B138,'Player Data'!$A1:$AE734,20,FALSE)*$Q138</f>
        <v>27.879286911450</v>
      </c>
      <c r="AG138" s="48">
        <f>VLOOKUP(B138,'Player Data'!$A1:$AE734,21,FALSE)*$Q138</f>
        <v>52.3794878171317</v>
      </c>
      <c r="AH138" s="49">
        <f>VLOOKUP(B138,'Player Data'!$A1:$AE734,22,FALSE)</f>
        <v>0.347367462383171</v>
      </c>
      <c r="AI138" s="46"/>
      <c r="AJ138" s="50"/>
      <c r="AK138" s="48"/>
      <c r="AL138" s="48"/>
      <c r="AM138" s="48"/>
      <c r="AN138" s="48"/>
      <c r="AO138" s="48"/>
      <c r="AP138" s="48"/>
      <c r="AQ138" s="51"/>
      <c r="AR138" s="52"/>
      <c r="AS138" s="46"/>
    </row>
    <row r="139" ht="21.25" customHeight="1">
      <c r="A139" s="53">
        <f>RANK(K139,K2:K730)</f>
        <v>143</v>
      </c>
      <c r="B139" t="s" s="8">
        <v>289</v>
      </c>
      <c r="C139" t="s" s="39">
        <v>106</v>
      </c>
      <c r="D139" t="s" s="40">
        <f>VLOOKUP(B139,'Player Data'!A1:D734,4,FALSE)</f>
        <v>187</v>
      </c>
      <c r="E139" s="54">
        <f>VLOOKUP(B139,'RW'!A1:F132,3,FALSE)</f>
        <v>32</v>
      </c>
      <c r="F139" t="s" s="42">
        <f>VLOOKUP(B139,'Player Data'!A1:B734,2,FALSE)</f>
        <v>173</v>
      </c>
      <c r="G139" s="9">
        <f>VLOOKUP(B139,'Player Data'!A1:D734,3,FALSE)</f>
        <v>35</v>
      </c>
      <c r="H139" s="43">
        <f>_xlfn.IFERROR(VLOOKUP(B139,'ADP'!A1:G731,7,FALSE)/1000000,VLOOKUP(B139,'ADP'!A1:G731,7,FALSE))</f>
        <v>6.5</v>
      </c>
      <c r="I139" s="44">
        <f>IF('Settings'!$E$15="POINTS",((R139*Q139)*'Settings'!$B$12)+(S139*'Settings'!$B$2)+(T139*'Settings'!$B$3)+(U139*'Settings'!$B$4)+(V139*'Settings'!$B$5)+(X139*'Settings'!$B$9)+(AA139*'Settings'!$B$6)+(W139*'Settings'!$B$8)+(AB139*'Settings'!$B$7)+(AC139*'Settings'!$B$14)+(AD139*'Settings'!$B$15)+(AE139*'Settings'!$B$16)+(AF139*'Settings'!$B$17)+(AG139*'Settings'!$B$18)+(Y139*'Settings'!$B$10)+(Z139*'Settings'!$B$11),VLOOKUP(B139,'Standard Deviations'!A1:C731,3,FALSE))</f>
        <v>362.056336886222</v>
      </c>
      <c r="J139" s="45">
        <f>IF(D139="G",I139/AJ139,I139/Q139)</f>
        <v>4.48230192148978</v>
      </c>
      <c r="K139" s="44">
        <f>IF('Settings'!$E$18="C/LW/RW",VLOOKUP(B139,'RW'!A1:F132,6,FALSE),VLOOKUP(B139,'F'!A1:F432,6,FALSE))</f>
        <v>-19.572226820134</v>
      </c>
      <c r="L139" s="44">
        <f>_xlfn.IFERROR(K139/H139,"N/A")</f>
        <v>-3.01111181848215</v>
      </c>
      <c r="M139" s="46">
        <f>IF('Settings'!$E$9="YAHOO",VLOOKUP(B139,'ADP'!A1:E731,2,FALSE),IF('Settings'!$E$9="ESPN",VLOOKUP(B139,'ADP'!A1:E731,3,FALSE),IF('Settings'!$E$9="FANTRAX",VLOOKUP(B139,'ADP'!A1:E731,4,FALSE),VLOOKUP(B139,'ADP'!A1:E731,5,FALSE))))</f>
        <v>80.63</v>
      </c>
      <c r="N139" s="46">
        <f>_xlfn.IFERROR(M139-A139,"N/A")</f>
        <v>-62.37</v>
      </c>
      <c r="O139" s="46"/>
      <c r="P139" t="s" s="47">
        <f>IF('Settings'!$E$27="ON",VLOOKUP(B139,'ADP'!A1:H731,8,FALSE)," ")</f>
        <v>109</v>
      </c>
      <c r="Q139" s="48">
        <f>IF('Settings'!$E$12="YES",VLOOKUP(B139,'Player Data'!A1:E734,5,FALSE),82)</f>
        <v>80.77464285714289</v>
      </c>
      <c r="R139" s="46">
        <f>VLOOKUP(B139,'Player Data'!$A1:$AE734,6,FALSE)</f>
        <v>18.1683663300304</v>
      </c>
      <c r="S139" s="48">
        <f>VLOOKUP(B139,'Player Data'!$A1:$AE734,7,FALSE)*$Q139*_xlfn.IFERROR((VLOOKUP(P139,'Settings'!$E$28:$F$33,2,FALSE)+1),1)</f>
        <v>25.6082256990726</v>
      </c>
      <c r="T139" s="48">
        <f>VLOOKUP(B139,'Player Data'!$A1:$AE734,8,FALSE)*$Q139*_xlfn.IFERROR((VLOOKUP(P139,'Settings'!$E$28:$F$33,2,FALSE)+1),1)</f>
        <v>38.0930781565382</v>
      </c>
      <c r="U139" s="48">
        <f>SUM(S139:T139)</f>
        <v>63.7013038556108</v>
      </c>
      <c r="V139" s="48">
        <f>VLOOKUP(B139,'Player Data'!$A1:$AE734,10,FALSE)*$Q139*_xlfn.IFERROR(((VLOOKUP(P139,'Settings'!$E$28:$F$33,2,FALSE)/2)+1),1)</f>
        <v>201.193660571834</v>
      </c>
      <c r="W139" s="48">
        <f>VLOOKUP(B139,'Player Data'!$A1:$AE734,11,FALSE)*$Q139*_xlfn.IFERROR((VLOOKUP(P139,'Settings'!$E$28:$F$33,2,FALSE)+1),1)</f>
        <v>3.71794462083303</v>
      </c>
      <c r="X139" s="48">
        <f>VLOOKUP(B139,'Player Data'!$A1:$AE734,12,FALSE)*$Q139*_xlfn.IFERROR((VLOOKUP(P139,'Settings'!$E$28:$F$33,2,FALSE)+1),1)</f>
        <v>14.9833203189027</v>
      </c>
      <c r="Y139" s="48">
        <f>VLOOKUP(B139,'Player Data'!$A1:$AE734,13,FALSE)*$Q139</f>
        <v>0.08204455885006839</v>
      </c>
      <c r="Z139" s="48">
        <f>VLOOKUP(B139,'Player Data'!$A1:$AE734,14,FALSE)*$Q139</f>
        <v>0.152189607442261</v>
      </c>
      <c r="AA139" s="48">
        <f>VLOOKUP(B139,'Player Data'!$A1:$AE734,15,FALSE)*$Q139</f>
        <v>26.933225632116</v>
      </c>
      <c r="AB139" s="48">
        <f>VLOOKUP(B139,'Player Data'!$A1:$AE734,16,FALSE)*$Q139</f>
        <v>72.68905781568461</v>
      </c>
      <c r="AC139" s="48">
        <f>VLOOKUP(B139,'Player Data'!$A1:$AE734,17,FALSE)*$Q139*_xlfn.IFERROR((VLOOKUP(P139,'Settings'!$E$28:$F$33,2,FALSE)+1),1)</f>
        <v>3.75565128731079</v>
      </c>
      <c r="AD139" s="48">
        <f>VLOOKUP(B139,'Player Data'!$A1:$AE734,18,FALSE)*$Q139</f>
        <v>29.2747287282773</v>
      </c>
      <c r="AE139" s="48">
        <f>VLOOKUP(B139,'Player Data'!$A1:$AE734,19,FALSE)*$Q139*_xlfn.IFERROR((VLOOKUP(P139,'Settings'!$E$28:$F$33,2,FALSE)+1),1)</f>
        <v>3.85111627754557</v>
      </c>
      <c r="AF139" s="48">
        <f>VLOOKUP(B139,'Player Data'!$A1:$AE734,20,FALSE)*$Q139</f>
        <v>699.804528112360</v>
      </c>
      <c r="AG139" s="48">
        <f>VLOOKUP(B139,'Player Data'!$A1:$AE734,21,FALSE)*$Q139</f>
        <v>480.648799174758</v>
      </c>
      <c r="AH139" s="49">
        <f>VLOOKUP(B139,'Player Data'!$A1:$AE734,22,FALSE)</f>
        <v>0.592826935157724</v>
      </c>
      <c r="AI139" s="46"/>
      <c r="AJ139" s="50"/>
      <c r="AK139" s="48"/>
      <c r="AL139" s="48"/>
      <c r="AM139" s="48"/>
      <c r="AN139" s="48"/>
      <c r="AO139" s="48"/>
      <c r="AP139" s="48"/>
      <c r="AQ139" s="51"/>
      <c r="AR139" s="52"/>
      <c r="AS139" s="50"/>
    </row>
    <row r="140" ht="21.25" customHeight="1">
      <c r="A140" s="53">
        <f>RANK(K140,K2:K730)</f>
        <v>148</v>
      </c>
      <c r="B140" t="s" s="8">
        <v>290</v>
      </c>
      <c r="C140" t="s" s="39">
        <v>106</v>
      </c>
      <c r="D140" t="s" s="40">
        <f>VLOOKUP(B140,'Player Data'!A1:D734,4,FALSE)</f>
        <v>133</v>
      </c>
      <c r="E140" s="57">
        <f>VLOOKUP(B140,'LW'!A1:C156,3,FALSE)</f>
        <v>39</v>
      </c>
      <c r="F140" t="s" s="42">
        <f>VLOOKUP(B140,'Player Data'!A1:B734,2,FALSE)</f>
        <v>225</v>
      </c>
      <c r="G140" s="9">
        <f>VLOOKUP(B140,'Player Data'!A1:D734,3,FALSE)</f>
        <v>31</v>
      </c>
      <c r="H140" s="43">
        <f>_xlfn.IFERROR(VLOOKUP(B140,'ADP'!A1:G731,7,FALSE)/1000000,VLOOKUP(B140,'ADP'!A1:G731,7,FALSE))</f>
        <v>6</v>
      </c>
      <c r="I140" s="44">
        <f>IF('Settings'!$E$15="POINTS",((R140*Q140)*'Settings'!$B$12)+(S140*'Settings'!$B$2)+(T140*'Settings'!$B$3)+(U140*'Settings'!$B$4)+(V140*'Settings'!$B$5)+(X140*'Settings'!$B$9)+(AA140*'Settings'!$B$6)+(W140*'Settings'!$B$8)+(AB140*'Settings'!$B$7)+(AC140*'Settings'!$B$14)+(AD140*'Settings'!$B$15)+(AE140*'Settings'!$B$16)+(AF140*'Settings'!$B$17)+(AG140*'Settings'!$B$18)+(Y140*'Settings'!$B$10)+(Z140*'Settings'!$B$11),VLOOKUP(B140,'Standard Deviations'!A1:C731,3,FALSE))</f>
        <v>360.319622607085</v>
      </c>
      <c r="J140" s="45">
        <f>IF(D140="G",I140/AJ140,I140/Q140)</f>
        <v>4.63578399913541</v>
      </c>
      <c r="K140" s="44">
        <f>IF('Settings'!$E$18="C/LW/RW",VLOOKUP(B140,'LW'!A1:F156,6,FALSE),VLOOKUP(B140,'F'!A1:F432,6,FALSE))</f>
        <v>-21.308941099271</v>
      </c>
      <c r="L140" s="44">
        <f>_xlfn.IFERROR(K140/H140,"N/A")</f>
        <v>-3.55149018321183</v>
      </c>
      <c r="M140" s="46">
        <f>IF('Settings'!$E$9="YAHOO",VLOOKUP(B140,'ADP'!A1:E731,2,FALSE),IF('Settings'!$E$9="ESPN",VLOOKUP(B140,'ADP'!A1:E731,3,FALSE),IF('Settings'!$E$9="FANTRAX",VLOOKUP(B140,'ADP'!A1:E731,4,FALSE),VLOOKUP(B140,'ADP'!A1:E731,5,FALSE))))</f>
        <v>155.44</v>
      </c>
      <c r="N140" s="46">
        <f>_xlfn.IFERROR(M140-A140,"N/A")</f>
        <v>7.44</v>
      </c>
      <c r="O140" s="46"/>
      <c r="P140" t="s" s="47">
        <f>IF('Settings'!$E$27="ON",VLOOKUP(B140,'ADP'!A1:H731,8,FALSE)," ")</f>
        <v>116</v>
      </c>
      <c r="Q140" s="48">
        <f>IF('Settings'!$E$12="YES",VLOOKUP(B140,'Player Data'!A1:E734,5,FALSE),82)</f>
        <v>77.7257142857143</v>
      </c>
      <c r="R140" s="46">
        <f>VLOOKUP(B140,'Player Data'!$A1:$AE734,6,FALSE)</f>
        <v>18.178314869835</v>
      </c>
      <c r="S140" s="48">
        <f>VLOOKUP(B140,'Player Data'!$A1:$AE734,7,FALSE)*$Q140*_xlfn.IFERROR((VLOOKUP(P140,'Settings'!$E$28:$F$33,2,FALSE)+1),1)</f>
        <v>22.3847371995543</v>
      </c>
      <c r="T140" s="48">
        <f>VLOOKUP(B140,'Player Data'!$A1:$AE734,8,FALSE)*$Q140*_xlfn.IFERROR((VLOOKUP(P140,'Settings'!$E$28:$F$33,2,FALSE)+1),1)</f>
        <v>37.3254814121371</v>
      </c>
      <c r="U140" s="48">
        <f>SUM(S140:T140)</f>
        <v>59.7102186116914</v>
      </c>
      <c r="V140" s="48">
        <f>VLOOKUP(B140,'Player Data'!$A1:$AE734,10,FALSE)*$Q140*_xlfn.IFERROR(((VLOOKUP(P140,'Settings'!$E$28:$F$33,2,FALSE)/2)+1),1)</f>
        <v>225.643905791635</v>
      </c>
      <c r="W140" s="48">
        <f>VLOOKUP(B140,'Player Data'!$A1:$AE734,11,FALSE)*$Q140*_xlfn.IFERROR((VLOOKUP(P140,'Settings'!$E$28:$F$33,2,FALSE)+1),1)</f>
        <v>6.83783229533794</v>
      </c>
      <c r="X140" s="48">
        <f>VLOOKUP(B140,'Player Data'!$A1:$AE734,12,FALSE)*$Q140*_xlfn.IFERROR((VLOOKUP(P140,'Settings'!$E$28:$F$33,2,FALSE)+1),1)</f>
        <v>15.9685630312788</v>
      </c>
      <c r="Y140" s="48">
        <f>VLOOKUP(B140,'Player Data'!$A1:$AE734,13,FALSE)*$Q140</f>
        <v>0.008117302732850841</v>
      </c>
      <c r="Z140" s="48">
        <f>VLOOKUP(B140,'Player Data'!$A1:$AE734,14,FALSE)*$Q140</f>
        <v>0.0150718998205613</v>
      </c>
      <c r="AA140" s="48">
        <f>VLOOKUP(B140,'Player Data'!$A1:$AE734,15,FALSE)*$Q140</f>
        <v>41.4724294035043</v>
      </c>
      <c r="AB140" s="48">
        <f>VLOOKUP(B140,'Player Data'!$A1:$AE734,16,FALSE)*$Q140</f>
        <v>56.094198301874</v>
      </c>
      <c r="AC140" s="48">
        <f>VLOOKUP(B140,'Player Data'!$A1:$AE734,17,FALSE)*$Q140*_xlfn.IFERROR((VLOOKUP(P140,'Settings'!$E$28:$F$33,2,FALSE)+1),1)</f>
        <v>-4.29715647735142</v>
      </c>
      <c r="AD140" s="48">
        <f>VLOOKUP(B140,'Player Data'!$A1:$AE734,18,FALSE)*$Q140</f>
        <v>36.1163212565708</v>
      </c>
      <c r="AE140" s="48">
        <f>VLOOKUP(B140,'Player Data'!$A1:$AE734,19,FALSE)*$Q140*_xlfn.IFERROR((VLOOKUP(P140,'Settings'!$E$28:$F$33,2,FALSE)+1),1)</f>
        <v>2.62307824508118</v>
      </c>
      <c r="AF140" s="48">
        <f>VLOOKUP(B140,'Player Data'!$A1:$AE734,20,FALSE)*$Q140</f>
        <v>8.956743878155709</v>
      </c>
      <c r="AG140" s="48">
        <f>VLOOKUP(B140,'Player Data'!$A1:$AE734,21,FALSE)*$Q140</f>
        <v>11.1846783073941</v>
      </c>
      <c r="AH140" s="49">
        <f>VLOOKUP(B140,'Player Data'!$A1:$AE734,22,FALSE)</f>
        <v>0.444692723068066</v>
      </c>
      <c r="AI140" s="46"/>
      <c r="AJ140" s="50"/>
      <c r="AK140" s="48"/>
      <c r="AL140" s="48"/>
      <c r="AM140" s="48"/>
      <c r="AN140" s="48"/>
      <c r="AO140" s="48"/>
      <c r="AP140" s="48"/>
      <c r="AQ140" s="51"/>
      <c r="AR140" s="52"/>
      <c r="AS140" s="46"/>
    </row>
    <row r="141" ht="21.25" customHeight="1">
      <c r="A141" s="53">
        <f>RANK(K141,K2:K730)</f>
        <v>188</v>
      </c>
      <c r="B141" t="s" s="8">
        <v>291</v>
      </c>
      <c r="C141" t="s" s="39">
        <v>106</v>
      </c>
      <c r="D141" t="s" s="40">
        <f>VLOOKUP(B141,'Player Data'!A1:D734,4,FALSE)</f>
        <v>121</v>
      </c>
      <c r="E141" s="55">
        <f>VLOOKUP(B141,'RW'!A1:F132,3,FALSE)</f>
        <v>45</v>
      </c>
      <c r="F141" t="s" s="42">
        <f>VLOOKUP(B141,'Player Data'!A1:B734,2,FALSE)</f>
        <v>292</v>
      </c>
      <c r="G141" s="9">
        <f>VLOOKUP(B141,'Player Data'!A1:D734,3,FALSE)</f>
        <v>34</v>
      </c>
      <c r="H141" s="43">
        <f>_xlfn.IFERROR(VLOOKUP(B141,'ADP'!A1:G731,7,FALSE)/1000000,VLOOKUP(B141,'ADP'!A1:G731,7,FALSE))</f>
        <v>6.654</v>
      </c>
      <c r="I141" s="44">
        <f>IF('Settings'!$E$15="POINTS",((R141*Q141)*'Settings'!$B$12)+(S141*'Settings'!$B$2)+(T141*'Settings'!$B$3)+(U141*'Settings'!$B$4)+(V141*'Settings'!$B$5)+(X141*'Settings'!$B$9)+(AA141*'Settings'!$B$6)+(W141*'Settings'!$B$8)+(AB141*'Settings'!$B$7)+(AC141*'Settings'!$B$14)+(AD141*'Settings'!$B$15)+(AE141*'Settings'!$B$16)+(AF141*'Settings'!$B$17)+(AG141*'Settings'!$B$18)+(Y141*'Settings'!$B$10)+(Z141*'Settings'!$B$11),VLOOKUP(B141,'Standard Deviations'!A1:C731,3,FALSE))</f>
        <v>322.589205019801</v>
      </c>
      <c r="J141" s="45">
        <f>IF(D141="G",I141/AJ141,I141/Q141)</f>
        <v>4.03829631045349</v>
      </c>
      <c r="K141" s="44">
        <f>IF('Settings'!$E$18="C/LW/RW",VLOOKUP(B141,'RW'!A1:F132,6,FALSE),VLOOKUP(B141,'F'!A1:F432,6,FALSE))</f>
        <v>-59.039358686555</v>
      </c>
      <c r="L141" s="44">
        <f>_xlfn.IFERROR(K141/H141,"N/A")</f>
        <v>-8.872762050879921</v>
      </c>
      <c r="M141" s="46">
        <f>IF('Settings'!$E$9="YAHOO",VLOOKUP(B141,'ADP'!A1:E731,2,FALSE),IF('Settings'!$E$9="ESPN",VLOOKUP(B141,'ADP'!A1:E731,3,FALSE),IF('Settings'!$E$9="FANTRAX",VLOOKUP(B141,'ADP'!A1:E731,4,FALSE),VLOOKUP(B141,'ADP'!A1:E731,5,FALSE))))</f>
        <v>150.21</v>
      </c>
      <c r="N141" s="46">
        <f>_xlfn.IFERROR(M141-A141,"N/A")</f>
        <v>-37.79</v>
      </c>
      <c r="O141" s="46"/>
      <c r="P141" t="s" s="47">
        <f>IF('Settings'!$E$27="ON",VLOOKUP(B141,'ADP'!A1:H731,8,FALSE)," ")</f>
        <v>109</v>
      </c>
      <c r="Q141" s="48">
        <f>IF('Settings'!$E$12="YES",VLOOKUP(B141,'Player Data'!A1:E734,5,FALSE),82)</f>
        <v>79.88249999999999</v>
      </c>
      <c r="R141" s="46">
        <f>VLOOKUP(B141,'Player Data'!$A1:$AE734,6,FALSE)</f>
        <v>16.5818151001963</v>
      </c>
      <c r="S141" s="48">
        <f>VLOOKUP(B141,'Player Data'!$A1:$AE734,7,FALSE)*$Q141*_xlfn.IFERROR((VLOOKUP(P141,'Settings'!$E$28:$F$33,2,FALSE)+1),1)</f>
        <v>17.9344682469034</v>
      </c>
      <c r="T141" s="48">
        <f>VLOOKUP(B141,'Player Data'!$A1:$AE734,8,FALSE)*$Q141*_xlfn.IFERROR((VLOOKUP(P141,'Settings'!$E$28:$F$33,2,FALSE)+1),1)</f>
        <v>40.4541721706854</v>
      </c>
      <c r="U141" s="48">
        <f>SUM(S141:T141)</f>
        <v>58.3886404175888</v>
      </c>
      <c r="V141" s="48">
        <f>VLOOKUP(B141,'Player Data'!$A1:$AE734,10,FALSE)*$Q141*_xlfn.IFERROR(((VLOOKUP(P141,'Settings'!$E$28:$F$33,2,FALSE)/2)+1),1)</f>
        <v>212.085454092011</v>
      </c>
      <c r="W141" s="48">
        <f>VLOOKUP(B141,'Player Data'!$A1:$AE734,11,FALSE)*$Q141*_xlfn.IFERROR((VLOOKUP(P141,'Settings'!$E$28:$F$33,2,FALSE)+1),1)</f>
        <v>4.63813216704189</v>
      </c>
      <c r="X141" s="48">
        <f>VLOOKUP(B141,'Player Data'!$A1:$AE734,12,FALSE)*$Q141*_xlfn.IFERROR((VLOOKUP(P141,'Settings'!$E$28:$F$33,2,FALSE)+1),1)</f>
        <v>19.8856992135901</v>
      </c>
      <c r="Y141" s="48">
        <f>VLOOKUP(B141,'Player Data'!$A1:$AE734,13,FALSE)*$Q141</f>
        <v>0</v>
      </c>
      <c r="Z141" s="48">
        <f>VLOOKUP(B141,'Player Data'!$A1:$AE734,14,FALSE)*$Q141</f>
        <v>0</v>
      </c>
      <c r="AA141" s="48">
        <f>VLOOKUP(B141,'Player Data'!$A1:$AE734,15,FALSE)*$Q141</f>
        <v>20.0495666072871</v>
      </c>
      <c r="AB141" s="48">
        <f>VLOOKUP(B141,'Player Data'!$A1:$AE734,16,FALSE)*$Q141</f>
        <v>17.8162841881234</v>
      </c>
      <c r="AC141" s="48">
        <f>VLOOKUP(B141,'Player Data'!$A1:$AE734,17,FALSE)*$Q141*_xlfn.IFERROR((VLOOKUP(P141,'Settings'!$E$28:$F$33,2,FALSE)+1),1)</f>
        <v>-1.0227098953255</v>
      </c>
      <c r="AD141" s="48">
        <f>VLOOKUP(B141,'Player Data'!$A1:$AE734,18,FALSE)*$Q141</f>
        <v>17.2996319843813</v>
      </c>
      <c r="AE141" s="48">
        <f>VLOOKUP(B141,'Player Data'!$A1:$AE734,19,FALSE)*$Q141*_xlfn.IFERROR((VLOOKUP(P141,'Settings'!$E$28:$F$33,2,FALSE)+1),1)</f>
        <v>0</v>
      </c>
      <c r="AF141" s="48">
        <f>VLOOKUP(B141,'Player Data'!$A1:$AE734,20,FALSE)*$Q141</f>
        <v>1.52367713678487</v>
      </c>
      <c r="AG141" s="48">
        <f>VLOOKUP(B141,'Player Data'!$A1:$AE734,21,FALSE)*$Q141</f>
        <v>1.8188459600386</v>
      </c>
      <c r="AH141" s="49">
        <f>VLOOKUP(B141,'Player Data'!$A1:$AE734,22,FALSE)</f>
        <v>0.455846404840965</v>
      </c>
      <c r="AI141" s="46"/>
      <c r="AJ141" s="48"/>
      <c r="AK141" s="48"/>
      <c r="AL141" s="48"/>
      <c r="AM141" s="48"/>
      <c r="AN141" s="48"/>
      <c r="AO141" s="48"/>
      <c r="AP141" s="48"/>
      <c r="AQ141" s="51"/>
      <c r="AR141" s="52"/>
      <c r="AS141" s="46"/>
    </row>
    <row r="142" ht="21.25" customHeight="1">
      <c r="A142" s="53">
        <f>RANK(K142,K2:K730)</f>
        <v>161</v>
      </c>
      <c r="B142" t="s" s="8">
        <v>293</v>
      </c>
      <c r="C142" t="s" s="39">
        <v>106</v>
      </c>
      <c r="D142" t="s" s="40">
        <f>VLOOKUP(B142,'Player Data'!A1:D734,4,FALSE)</f>
        <v>129</v>
      </c>
      <c r="E142" s="56">
        <f>VLOOKUP(B142,'D'!A1:C228,3,FALSE)</f>
        <v>36</v>
      </c>
      <c r="F142" t="s" s="42">
        <f>VLOOKUP(B142,'Player Data'!A1:B734,2,FALSE)</f>
        <v>238</v>
      </c>
      <c r="G142" s="9">
        <f>VLOOKUP(B142,'Player Data'!A1:D734,3,FALSE)</f>
        <v>26</v>
      </c>
      <c r="H142" s="43">
        <f>_xlfn.IFERROR(VLOOKUP(B142,'ADP'!A1:G731,7,FALSE)/1000000,VLOOKUP(B142,'ADP'!A1:G731,7,FALSE))</f>
        <v>4.95</v>
      </c>
      <c r="I142" s="44">
        <f>IF('Settings'!$E$15="POINTS",((R142*Q142)*'Settings'!$B$12)+(S142*'Settings'!$B$2)+(T142*'Settings'!$B$3)+(U142*'Settings'!$B$4)+(V142*'Settings'!$B$5)+(X142*'Settings'!$B$9)+(AA142*'Settings'!$B$6)+(W142*'Settings'!$B$8)+(AB142*'Settings'!$B$7)+(AC142*'Settings'!$B$14)+(AD142*'Settings'!$B$15)+(AE142*'Settings'!$B$16)+(AF142*'Settings'!$B$17)+(AG142*'Settings'!$B$18)+(U142*'Settings'!$B$13)+(Y142*'Settings'!$B$10)+(Z142*'Settings'!$B$11),VLOOKUP(B142,'Standard Deviations'!A1:C731,3,FALSE))</f>
        <v>304.103213571027</v>
      </c>
      <c r="J142" s="45">
        <f>IF(D142="G",I142/AJ142,I142/Q142)</f>
        <v>3.81081721266951</v>
      </c>
      <c r="K142" s="44">
        <f>VLOOKUP(B142,'D'!A1:F228,6,FALSE)</f>
        <v>-36.631925075496</v>
      </c>
      <c r="L142" s="44">
        <f>_xlfn.IFERROR(K142/H142,"N/A")</f>
        <v>-7.40038890414061</v>
      </c>
      <c r="M142" s="46">
        <f>IF('Settings'!$E$9="YAHOO",VLOOKUP(B142,'ADP'!A1:E731,2,FALSE),IF('Settings'!$E$9="ESPN",VLOOKUP(B142,'ADP'!A1:E731,3,FALSE),IF('Settings'!$E$9="FANTRAX",VLOOKUP(B142,'ADP'!A1:E731,4,FALSE),VLOOKUP(B142,'ADP'!A1:E731,5,FALSE))))</f>
        <v>214.17</v>
      </c>
      <c r="N142" s="46">
        <f>_xlfn.IFERROR(M142-A142,"N/A")</f>
        <v>53.17</v>
      </c>
      <c r="O142" s="46"/>
      <c r="P142" t="s" s="47">
        <f>IF('Settings'!$E$27="ON",VLOOKUP(B142,'ADP'!A1:H731,8,FALSE)," ")</f>
        <v>109</v>
      </c>
      <c r="Q142" s="48">
        <f>IF('Settings'!$E$12="YES",VLOOKUP(B142,'Player Data'!A1:E734,5,FALSE),82)</f>
        <v>79.8</v>
      </c>
      <c r="R142" s="46">
        <f>VLOOKUP(B142,'Player Data'!$A1:$AE734,6,FALSE)</f>
        <v>22.3839581771304</v>
      </c>
      <c r="S142" s="48">
        <f>VLOOKUP(B142,'Player Data'!$A1:$AE734,7,FALSE)*$Q142*_xlfn.IFERROR((VLOOKUP(P142,'Settings'!$E$28:$F$33,2,FALSE)+1),1)</f>
        <v>8.306295813199821</v>
      </c>
      <c r="T142" s="48">
        <f>VLOOKUP(B142,'Player Data'!$A1:$AE734,8,FALSE)*$Q142*_xlfn.IFERROR((VLOOKUP(P142,'Settings'!$E$28:$F$33,2,FALSE)+1),1)</f>
        <v>32.6700349871802</v>
      </c>
      <c r="U142" s="48">
        <f>SUM(S142:T142)</f>
        <v>40.976330800380</v>
      </c>
      <c r="V142" s="48">
        <f>VLOOKUP(B142,'Player Data'!$A1:$AE734,10,FALSE)*$Q142*_xlfn.IFERROR(((VLOOKUP(P142,'Settings'!$E$28:$F$33,2,FALSE)/2)+1),1)</f>
        <v>175.151578911491</v>
      </c>
      <c r="W142" s="48">
        <f>VLOOKUP(B142,'Player Data'!$A1:$AE734,11,FALSE)*$Q142*_xlfn.IFERROR((VLOOKUP(P142,'Settings'!$E$28:$F$33,2,FALSE)+1),1)</f>
        <v>1.11861245173739</v>
      </c>
      <c r="X142" s="48">
        <f>VLOOKUP(B142,'Player Data'!$A1:$AE734,12,FALSE)*$Q142*_xlfn.IFERROR((VLOOKUP(P142,'Settings'!$E$28:$F$33,2,FALSE)+1),1)</f>
        <v>10.7481137222979</v>
      </c>
      <c r="Y142" s="48">
        <f>VLOOKUP(B142,'Player Data'!$A1:$AE734,13,FALSE)*$Q142</f>
        <v>0.0248681728977028</v>
      </c>
      <c r="Z142" s="48">
        <f>VLOOKUP(B142,'Player Data'!$A1:$AE734,14,FALSE)*$Q142</f>
        <v>0.62527779638512</v>
      </c>
      <c r="AA142" s="48">
        <f>VLOOKUP(B142,'Player Data'!$A1:$AE734,15,FALSE)*$Q142</f>
        <v>118.674528325085</v>
      </c>
      <c r="AB142" s="48">
        <f>VLOOKUP(B142,'Player Data'!$A1:$AE734,16,FALSE)*$Q142</f>
        <v>82.204672956115</v>
      </c>
      <c r="AC142" s="48">
        <f>VLOOKUP(B142,'Player Data'!$A1:$AE734,17,FALSE)*$Q142*_xlfn.IFERROR((VLOOKUP(P142,'Settings'!$E$28:$F$33,2,FALSE)+1),1)</f>
        <v>3.3108963494319</v>
      </c>
      <c r="AD142" s="48">
        <f>VLOOKUP(B142,'Player Data'!$A1:$AE734,18,FALSE)*$Q142</f>
        <v>30.4295899997646</v>
      </c>
      <c r="AE142" s="48">
        <f>VLOOKUP(B142,'Player Data'!$A1:$AE734,19,FALSE)*$Q142*_xlfn.IFERROR((VLOOKUP(P142,'Settings'!$E$28:$F$33,2,FALSE)+1),1)</f>
        <v>1.38796749487162</v>
      </c>
      <c r="AF142" s="48">
        <f>VLOOKUP(B142,'Player Data'!$A1:$AE734,20,FALSE)*$Q142</f>
        <v>0</v>
      </c>
      <c r="AG142" s="48">
        <f>VLOOKUP(B142,'Player Data'!$A1:$AE734,21,FALSE)*$Q142</f>
        <v>0</v>
      </c>
      <c r="AH142" s="49">
        <f>VLOOKUP(B142,'Player Data'!$A1:$AE734,22,FALSE)</f>
        <v>0</v>
      </c>
      <c r="AI142" s="46"/>
      <c r="AJ142" s="50"/>
      <c r="AK142" s="48"/>
      <c r="AL142" s="48"/>
      <c r="AM142" s="48"/>
      <c r="AN142" s="48"/>
      <c r="AO142" s="48"/>
      <c r="AP142" s="48"/>
      <c r="AQ142" s="51"/>
      <c r="AR142" s="52"/>
      <c r="AS142" s="46"/>
    </row>
    <row r="143" ht="21.25" customHeight="1">
      <c r="A143" s="53">
        <f>RANK(K143,K2:K730)</f>
        <v>81</v>
      </c>
      <c r="B143" t="s" s="8">
        <v>294</v>
      </c>
      <c r="C143" t="s" s="39">
        <v>106</v>
      </c>
      <c r="D143" t="s" s="40">
        <f>VLOOKUP(B143,'Player Data'!A1:D734,4,FALSE)</f>
        <v>146</v>
      </c>
      <c r="E143" s="58">
        <f>VLOOKUP(B143,'G'!A1:D75,3,FALSE)</f>
        <v>19</v>
      </c>
      <c r="F143" t="s" s="42">
        <f>VLOOKUP(B143,'Player Data'!A1:B734,2,FALSE)</f>
        <v>122</v>
      </c>
      <c r="G143" s="9">
        <f>VLOOKUP(B143,'Player Data'!A1:D734,3,FALSE)</f>
        <v>30</v>
      </c>
      <c r="H143" s="43">
        <f>_xlfn.IFERROR(VLOOKUP(B143,'ADP'!A1:G731,7,FALSE)/1000000,VLOOKUP(B143,'ADP'!A1:G731,7,FALSE))</f>
        <v>5</v>
      </c>
      <c r="I143" s="44">
        <f>IF('Settings'!$E$15="POINTS",(AJ143*'Settings'!$B$29)+(AK143*'Settings'!$B$21)+(AL143*'Settings'!$B$22)+(AN143*'Settings'!$B$24)+(AO143*'Settings'!$B$25)+(AP143*'Settings'!$B$27)+(AM143*'Settings'!$B$23),VLOOKUP(B143,'Standard Deviations'!A1:C731,3,FALSE))</f>
        <v>294.911937454118</v>
      </c>
      <c r="J143" s="45">
        <f>IF(D143="G",I143/AJ143,I143/Q143)</f>
        <v>6.70254403304814</v>
      </c>
      <c r="K143" s="44">
        <f>VLOOKUP(B143,'G'!A1:F75,6,FALSE)</f>
        <v>29.608715954430</v>
      </c>
      <c r="L143" s="44">
        <f>_xlfn.IFERROR(K143/H143,"N/A")</f>
        <v>5.921743190886</v>
      </c>
      <c r="M143" s="46">
        <f>IF('Settings'!$E$9="YAHOO",VLOOKUP(B143,'ADP'!A1:E731,2,FALSE),IF('Settings'!$E$9="ESPN",VLOOKUP(B143,'ADP'!A1:E731,3,FALSE),IF('Settings'!$E$9="FANTRAX",VLOOKUP(B143,'ADP'!A1:E731,4,FALSE),VLOOKUP(B143,'ADP'!A1:E731,5,FALSE))))</f>
        <v>109.23</v>
      </c>
      <c r="N143" s="46">
        <f>_xlfn.IFERROR(M143-A143,"N/A")</f>
        <v>28.23</v>
      </c>
      <c r="O143" s="46"/>
      <c r="P143" t="s" s="47">
        <f>IF('Settings'!$E$27="ON",VLOOKUP(B143,'ADP'!A1:H731,8,FALSE)," ")</f>
        <v>109</v>
      </c>
      <c r="Q143" s="48"/>
      <c r="R143" s="59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9"/>
      <c r="AI143" s="46"/>
      <c r="AJ143" s="50">
        <f>VLOOKUP(B143,'Player Data'!$A1:$AE734,24,FALSE)</f>
        <v>44</v>
      </c>
      <c r="AK143" s="48">
        <f>VLOOKUP(B143,'Player Data'!$A1:$AE734,25,FALSE)*$AJ143*_xlfn.IFERROR((VLOOKUP(P143,'Settings'!$E$28:$F$33,2,FALSE)+1),1)</f>
        <v>25.9597636046608</v>
      </c>
      <c r="AL143" s="48">
        <f>AJ143-AK143-AM143</f>
        <v>12.5402363953392</v>
      </c>
      <c r="AM143" s="48">
        <f>VLOOKUP(B143,'Player Data'!$A1:$AE734,27,FALSE)*$AJ143</f>
        <v>5.5</v>
      </c>
      <c r="AN143" s="48">
        <f>VLOOKUP(B143,'Player Data'!$A1:$AE734,28,FALSE)*AJ143</f>
        <v>3.23738251625043</v>
      </c>
      <c r="AO143" s="48">
        <f>VLOOKUP(B143,'Player Data'!$A1:$AE734,29,FALSE)*$AJ143*_xlfn.IFERROR((VLOOKUP(P143,'Settings'!$E$28:$F$33,2,FALSE)/4)+1,1)</f>
        <v>1258.9883226966</v>
      </c>
      <c r="AP143" s="48">
        <f>VLOOKUP(B143,'Player Data'!$A1:$AE734,31,FALSE)*$AJ143*(_xlfn.IFERROR(1-(VLOOKUP(P143,'Settings'!$E$28:$F$33,2,FALSE)/4),1))</f>
        <v>113.583998478397</v>
      </c>
      <c r="AQ143" s="51">
        <f>1-(AP143/(AO143+AP143))</f>
        <v>0.917247348845587</v>
      </c>
      <c r="AR143" s="52">
        <f>AP143/AJ143</f>
        <v>2.58145451087266</v>
      </c>
      <c r="AS143" s="46"/>
    </row>
    <row r="144" ht="21.25" customHeight="1">
      <c r="A144" s="53">
        <f>RANK(K144,K2:K730)</f>
        <v>175</v>
      </c>
      <c r="B144" t="s" s="8">
        <v>295</v>
      </c>
      <c r="C144" t="s" s="39">
        <v>106</v>
      </c>
      <c r="D144" t="s" s="40">
        <f>VLOOKUP(B144,'Player Data'!A1:D734,4,FALSE)</f>
        <v>118</v>
      </c>
      <c r="E144" s="54">
        <f>VLOOKUP(B144,'LW'!A1:C156,3,FALSE)</f>
        <v>45</v>
      </c>
      <c r="F144" t="s" s="42">
        <f>VLOOKUP(B144,'Player Data'!A1:B734,2,FALSE)</f>
        <v>184</v>
      </c>
      <c r="G144" s="9">
        <f>VLOOKUP(B144,'Player Data'!A1:D734,3,FALSE)</f>
        <v>21</v>
      </c>
      <c r="H144" s="43">
        <f>_xlfn.IFERROR(VLOOKUP(B144,'ADP'!A1:G731,7,FALSE)/1000000,VLOOKUP(B144,'ADP'!A1:G731,7,FALSE))</f>
        <v>0.925</v>
      </c>
      <c r="I144" s="44">
        <f>IF('Settings'!$E$15="POINTS",((R144*Q144)*'Settings'!$B$12)+(S144*'Settings'!$B$2)+(T144*'Settings'!$B$3)+(U144*'Settings'!$B$4)+(V144*'Settings'!$B$5)+(X144*'Settings'!$B$9)+(AA144*'Settings'!$B$6)+(W144*'Settings'!$B$8)+(AB144*'Settings'!$B$7)+(AC144*'Settings'!$B$14)+(AD144*'Settings'!$B$15)+(AE144*'Settings'!$B$16)+(AF144*'Settings'!$B$17)+(AG144*'Settings'!$B$18)+(Y144*'Settings'!$B$10)+(Z144*'Settings'!$B$11),VLOOKUP(B144,'Standard Deviations'!A1:C731,3,FALSE))</f>
        <v>334.221458455621</v>
      </c>
      <c r="J144" s="45">
        <f>IF(D144="G",I144/AJ144,I144/Q144)</f>
        <v>4.16683030115473</v>
      </c>
      <c r="K144" s="44">
        <f>IF('Settings'!$E$18="C/LW/RW",VLOOKUP(B144,'RW'!A1:F132,6,FALSE),VLOOKUP(B144,'F'!A1:F432,6,FALSE))</f>
        <v>-47.407105250735</v>
      </c>
      <c r="L144" s="44">
        <f>_xlfn.IFERROR(K144/H144,"N/A")</f>
        <v>-51.2509245953892</v>
      </c>
      <c r="M144" s="46">
        <f>IF('Settings'!$E$9="YAHOO",VLOOKUP(B144,'ADP'!A1:E731,2,FALSE),IF('Settings'!$E$9="ESPN",VLOOKUP(B144,'ADP'!A1:E731,3,FALSE),IF('Settings'!$E$9="FANTRAX",VLOOKUP(B144,'ADP'!A1:E731,4,FALSE),VLOOKUP(B144,'ADP'!A1:E731,5,FALSE))))</f>
        <v>179.46</v>
      </c>
      <c r="N144" s="46">
        <f>_xlfn.IFERROR(M144-A144,"N/A")</f>
        <v>4.46</v>
      </c>
      <c r="O144" s="46"/>
      <c r="P144" t="s" s="47">
        <f>IF('Settings'!$E$27="ON",VLOOKUP(B144,'ADP'!A1:H731,8,FALSE)," ")</f>
        <v>116</v>
      </c>
      <c r="Q144" s="48">
        <f>IF('Settings'!$E$12="YES",VLOOKUP(B144,'Player Data'!A1:E734,5,FALSE),82)</f>
        <v>80.20999999999999</v>
      </c>
      <c r="R144" s="46">
        <f>VLOOKUP(B144,'Player Data'!$A1:$AE734,6,FALSE)</f>
        <v>17.9453802520324</v>
      </c>
      <c r="S144" s="48">
        <f>VLOOKUP(B144,'Player Data'!$A1:$AE734,7,FALSE)*$Q144*_xlfn.IFERROR((VLOOKUP(P144,'Settings'!$E$28:$F$33,2,FALSE)+1),1)</f>
        <v>24.6714758145992</v>
      </c>
      <c r="T144" s="48">
        <f>VLOOKUP(B144,'Player Data'!$A1:$AE734,8,FALSE)*$Q144*_xlfn.IFERROR((VLOOKUP(P144,'Settings'!$E$28:$F$33,2,FALSE)+1),1)</f>
        <v>37.8688123343231</v>
      </c>
      <c r="U144" s="48">
        <f>SUM(S144:T144)</f>
        <v>62.5402881489223</v>
      </c>
      <c r="V144" s="48">
        <f>VLOOKUP(B144,'Player Data'!$A1:$AE734,10,FALSE)*$Q144*_xlfn.IFERROR(((VLOOKUP(P144,'Settings'!$E$28:$F$33,2,FALSE)/2)+1),1)</f>
        <v>167.595832784690</v>
      </c>
      <c r="W144" s="48">
        <f>VLOOKUP(B144,'Player Data'!$A1:$AE734,11,FALSE)*$Q144*_xlfn.IFERROR((VLOOKUP(P144,'Settings'!$E$28:$F$33,2,FALSE)+1),1)</f>
        <v>6.79293208018835</v>
      </c>
      <c r="X144" s="48">
        <f>VLOOKUP(B144,'Player Data'!$A1:$AE734,12,FALSE)*$Q144*_xlfn.IFERROR((VLOOKUP(P144,'Settings'!$E$28:$F$33,2,FALSE)+1),1)</f>
        <v>22.8632219304977</v>
      </c>
      <c r="Y144" s="48">
        <f>VLOOKUP(B144,'Player Data'!$A1:$AE734,13,FALSE)*$Q144</f>
        <v>0.0184121789226566</v>
      </c>
      <c r="Z144" s="48">
        <f>VLOOKUP(B144,'Player Data'!$A1:$AE734,14,FALSE)*$Q144</f>
        <v>0.0333016286219896</v>
      </c>
      <c r="AA144" s="48">
        <f>VLOOKUP(B144,'Player Data'!$A1:$AE734,15,FALSE)*$Q144</f>
        <v>24.2188494469634</v>
      </c>
      <c r="AB144" s="48">
        <f>VLOOKUP(B144,'Player Data'!$A1:$AE734,16,FALSE)*$Q144</f>
        <v>54.4777436555387</v>
      </c>
      <c r="AC144" s="48">
        <f>VLOOKUP(B144,'Player Data'!$A1:$AE734,17,FALSE)*$Q144*_xlfn.IFERROR((VLOOKUP(P144,'Settings'!$E$28:$F$33,2,FALSE)+1),1)</f>
        <v>-4.97556540857039</v>
      </c>
      <c r="AD144" s="48">
        <f>VLOOKUP(B144,'Player Data'!$A1:$AE734,18,FALSE)*$Q144</f>
        <v>24.4739841667604</v>
      </c>
      <c r="AE144" s="48">
        <f>VLOOKUP(B144,'Player Data'!$A1:$AE734,19,FALSE)*$Q144*_xlfn.IFERROR((VLOOKUP(P144,'Settings'!$E$28:$F$33,2,FALSE)+1),1)</f>
        <v>3.26492096415343</v>
      </c>
      <c r="AF144" s="48">
        <f>VLOOKUP(B144,'Player Data'!$A1:$AE734,20,FALSE)*$Q144</f>
        <v>7.17958166085431</v>
      </c>
      <c r="AG144" s="48">
        <f>VLOOKUP(B144,'Player Data'!$A1:$AE734,21,FALSE)*$Q144</f>
        <v>13.9574131530287</v>
      </c>
      <c r="AH144" s="49">
        <f>VLOOKUP(B144,'Player Data'!$A1:$AE734,22,FALSE)</f>
        <v>0.339668989091045</v>
      </c>
      <c r="AI144" s="46"/>
      <c r="AJ144" s="50"/>
      <c r="AK144" s="48"/>
      <c r="AL144" s="48"/>
      <c r="AM144" s="48"/>
      <c r="AN144" s="48"/>
      <c r="AO144" s="48"/>
      <c r="AP144" s="48"/>
      <c r="AQ144" s="51"/>
      <c r="AR144" s="52"/>
      <c r="AS144" s="46"/>
    </row>
    <row r="145" ht="21.25" customHeight="1">
      <c r="A145" s="53">
        <f>RANK(K145,K2:K730)</f>
        <v>197</v>
      </c>
      <c r="B145" t="s" s="8">
        <v>296</v>
      </c>
      <c r="C145" t="s" s="39">
        <v>106</v>
      </c>
      <c r="D145" t="s" s="40">
        <f>VLOOKUP(B145,'Player Data'!A1:D734,4,FALSE)</f>
        <v>129</v>
      </c>
      <c r="E145" s="56">
        <f>VLOOKUP(B145,'D'!A1:C228,3,FALSE)</f>
        <v>48</v>
      </c>
      <c r="F145" t="s" s="42">
        <f>VLOOKUP(B145,'Player Data'!A1:B734,2,FALSE)</f>
        <v>194</v>
      </c>
      <c r="G145" s="9">
        <f>VLOOKUP(B145,'Player Data'!A1:D734,3,FALSE)</f>
        <v>32</v>
      </c>
      <c r="H145" s="43">
        <f>_xlfn.IFERROR(VLOOKUP(B145,'ADP'!A1:G731,7,FALSE)/1000000,VLOOKUP(B145,'ADP'!A1:G731,7,FALSE))</f>
        <v>6.5</v>
      </c>
      <c r="I145" s="44">
        <f>IF('Settings'!$E$15="POINTS",((R145*Q145)*'Settings'!$B$12)+(S145*'Settings'!$B$2)+(T145*'Settings'!$B$3)+(U145*'Settings'!$B$4)+(V145*'Settings'!$B$5)+(X145*'Settings'!$B$9)+(AA145*'Settings'!$B$6)+(W145*'Settings'!$B$8)+(AB145*'Settings'!$B$7)+(AC145*'Settings'!$B$14)+(AD145*'Settings'!$B$15)+(AE145*'Settings'!$B$16)+(AF145*'Settings'!$B$17)+(AG145*'Settings'!$B$18)+(U145*'Settings'!$B$13)+(Y145*'Settings'!$B$10)+(Z145*'Settings'!$B$11),VLOOKUP(B145,'Standard Deviations'!A1:C731,3,FALSE))</f>
        <v>275.204374417936</v>
      </c>
      <c r="J145" s="45">
        <f>IF(D145="G",I145/AJ145,I145/Q145)</f>
        <v>3.6101846309581</v>
      </c>
      <c r="K145" s="44">
        <f>VLOOKUP(B145,'D'!A1:F228,6,FALSE)</f>
        <v>-65.530764228587</v>
      </c>
      <c r="L145" s="44">
        <f>_xlfn.IFERROR(K145/H145,"N/A")</f>
        <v>-10.0816560351672</v>
      </c>
      <c r="M145" s="46">
        <f>IF('Settings'!$E$9="YAHOO",VLOOKUP(B145,'ADP'!A1:E731,2,FALSE),IF('Settings'!$E$9="ESPN",VLOOKUP(B145,'ADP'!A1:E731,3,FALSE),IF('Settings'!$E$9="FANTRAX",VLOOKUP(B145,'ADP'!A1:E731,4,FALSE),VLOOKUP(B145,'ADP'!A1:E731,5,FALSE))))</f>
        <v>214.3</v>
      </c>
      <c r="N145" s="46">
        <f>_xlfn.IFERROR(M145-A145,"N/A")</f>
        <v>17.3</v>
      </c>
      <c r="O145" s="46"/>
      <c r="P145" t="s" s="47">
        <f>IF('Settings'!$E$27="ON",VLOOKUP(B145,'ADP'!A1:H731,8,FALSE)," ")</f>
        <v>109</v>
      </c>
      <c r="Q145" s="48">
        <f>IF('Settings'!$E$12="YES",VLOOKUP(B145,'Player Data'!A1:E734,5,FALSE),82)</f>
        <v>76.23</v>
      </c>
      <c r="R145" s="46">
        <f>VLOOKUP(B145,'Player Data'!$A1:$AE734,6,FALSE)</f>
        <v>19.4676564384976</v>
      </c>
      <c r="S145" s="48">
        <f>VLOOKUP(B145,'Player Data'!$A1:$AE734,7,FALSE)*$Q145*_xlfn.IFERROR((VLOOKUP(P145,'Settings'!$E$28:$F$33,2,FALSE)+1),1)</f>
        <v>7.5308967922622</v>
      </c>
      <c r="T145" s="48">
        <f>VLOOKUP(B145,'Player Data'!$A1:$AE734,8,FALSE)*$Q145*_xlfn.IFERROR((VLOOKUP(P145,'Settings'!$E$28:$F$33,2,FALSE)+1),1)</f>
        <v>34.004381647267</v>
      </c>
      <c r="U145" s="48">
        <f>SUM(S145:T145)</f>
        <v>41.5352784395292</v>
      </c>
      <c r="V145" s="48">
        <f>VLOOKUP(B145,'Player Data'!$A1:$AE734,10,FALSE)*$Q145*_xlfn.IFERROR(((VLOOKUP(P145,'Settings'!$E$28:$F$33,2,FALSE)/2)+1),1)</f>
        <v>146.427926246567</v>
      </c>
      <c r="W145" s="48">
        <f>VLOOKUP(B145,'Player Data'!$A1:$AE734,11,FALSE)*$Q145*_xlfn.IFERROR((VLOOKUP(P145,'Settings'!$E$28:$F$33,2,FALSE)+1),1)</f>
        <v>3.40248025373288</v>
      </c>
      <c r="X145" s="48">
        <f>VLOOKUP(B145,'Player Data'!$A1:$AE734,12,FALSE)*$Q145*_xlfn.IFERROR((VLOOKUP(P145,'Settings'!$E$28:$F$33,2,FALSE)+1),1)</f>
        <v>18.108311862572</v>
      </c>
      <c r="Y145" s="48">
        <f>VLOOKUP(B145,'Player Data'!$A1:$AE734,13,FALSE)*$Q145</f>
        <v>0.00325786784013331</v>
      </c>
      <c r="Z145" s="48">
        <f>VLOOKUP(B145,'Player Data'!$A1:$AE734,14,FALSE)*$Q145</f>
        <v>0.0123786846698399</v>
      </c>
      <c r="AA145" s="48">
        <f>VLOOKUP(B145,'Player Data'!$A1:$AE734,15,FALSE)*$Q145</f>
        <v>98.1100497185207</v>
      </c>
      <c r="AB145" s="48">
        <f>VLOOKUP(B145,'Player Data'!$A1:$AE734,16,FALSE)*$Q145</f>
        <v>68.03379423628741</v>
      </c>
      <c r="AC145" s="48">
        <f>VLOOKUP(B145,'Player Data'!$A1:$AE734,17,FALSE)*$Q145*_xlfn.IFERROR((VLOOKUP(P145,'Settings'!$E$28:$F$33,2,FALSE)+1),1)</f>
        <v>-4.00601451924674</v>
      </c>
      <c r="AD145" s="48">
        <f>VLOOKUP(B145,'Player Data'!$A1:$AE734,18,FALSE)*$Q145</f>
        <v>40.9173099565801</v>
      </c>
      <c r="AE145" s="48">
        <f>VLOOKUP(B145,'Player Data'!$A1:$AE734,19,FALSE)*$Q145*_xlfn.IFERROR((VLOOKUP(P145,'Settings'!$E$28:$F$33,2,FALSE)+1),1)</f>
        <v>0.866600865765744</v>
      </c>
      <c r="AF145" s="48">
        <f>VLOOKUP(B145,'Player Data'!$A1:$AE734,20,FALSE)*$Q145</f>
        <v>0</v>
      </c>
      <c r="AG145" s="48">
        <f>VLOOKUP(B145,'Player Data'!$A1:$AE734,21,FALSE)*$Q145</f>
        <v>0</v>
      </c>
      <c r="AH145" s="49">
        <f>VLOOKUP(B145,'Player Data'!$A1:$AE734,22,FALSE)</f>
        <v>0</v>
      </c>
      <c r="AI145" s="46"/>
      <c r="AJ145" s="50"/>
      <c r="AK145" s="48"/>
      <c r="AL145" s="48"/>
      <c r="AM145" s="48"/>
      <c r="AN145" s="48"/>
      <c r="AO145" s="48"/>
      <c r="AP145" s="48"/>
      <c r="AQ145" s="51"/>
      <c r="AR145" s="52"/>
      <c r="AS145" s="46"/>
    </row>
    <row r="146" ht="21.25" customHeight="1">
      <c r="A146" s="53">
        <f>RANK(K146,K2:K730)</f>
        <v>141</v>
      </c>
      <c r="B146" t="s" s="8">
        <v>297</v>
      </c>
      <c r="C146" t="s" s="39">
        <v>106</v>
      </c>
      <c r="D146" t="s" s="40">
        <f>VLOOKUP(B146,'Player Data'!A1:D734,4,FALSE)</f>
        <v>118</v>
      </c>
      <c r="E146" s="54">
        <f>VLOOKUP(B146,'LW'!A1:C156,3,FALSE)</f>
        <v>38</v>
      </c>
      <c r="F146" t="s" s="42">
        <f>VLOOKUP(B146,'Player Data'!A1:B734,2,FALSE)</f>
        <v>122</v>
      </c>
      <c r="G146" s="9">
        <f>VLOOKUP(B146,'Player Data'!A1:D734,3,FALSE)</f>
        <v>26</v>
      </c>
      <c r="H146" s="43">
        <f>_xlfn.IFERROR(VLOOKUP(B146,'ADP'!A1:G731,7,FALSE)/1000000,VLOOKUP(B146,'ADP'!A1:G731,7,FALSE))</f>
        <v>4</v>
      </c>
      <c r="I146" s="44">
        <f>IF('Settings'!$E$15="POINTS",((R146*Q146)*'Settings'!$B$12)+(S146*'Settings'!$B$2)+(T146*'Settings'!$B$3)+(U146*'Settings'!$B$4)+(V146*'Settings'!$B$5)+(X146*'Settings'!$B$9)+(AA146*'Settings'!$B$6)+(W146*'Settings'!$B$8)+(AB146*'Settings'!$B$7)+(AC146*'Settings'!$B$14)+(AD146*'Settings'!$B$15)+(AE146*'Settings'!$B$16)+(AF146*'Settings'!$B$17)+(AG146*'Settings'!$B$18)+(Y146*'Settings'!$B$10)+(Z146*'Settings'!$B$11),VLOOKUP(B146,'Standard Deviations'!A1:C731,3,FALSE))</f>
        <v>362.697105030608</v>
      </c>
      <c r="J146" s="45">
        <f>IF(D146="G",I146/AJ146,I146/Q146)</f>
        <v>4.77540472054708</v>
      </c>
      <c r="K146" s="44">
        <f>IF('Settings'!$E$18="C/LW/RW",VLOOKUP(B146,'RW'!A1:F132,6,FALSE),VLOOKUP(B146,'F'!A1:F432,6,FALSE))</f>
        <v>-18.931458675748</v>
      </c>
      <c r="L146" s="44">
        <f>_xlfn.IFERROR(K146/H146,"N/A")</f>
        <v>-4.732864668937</v>
      </c>
      <c r="M146" s="46">
        <f>IF('Settings'!$E$9="YAHOO",VLOOKUP(B146,'ADP'!A1:E731,2,FALSE),IF('Settings'!$E$9="ESPN",VLOOKUP(B146,'ADP'!A1:E731,3,FALSE),IF('Settings'!$E$9="FANTRAX",VLOOKUP(B146,'ADP'!A1:E731,4,FALSE),VLOOKUP(B146,'ADP'!A1:E731,5,FALSE))))</f>
        <v>131.3</v>
      </c>
      <c r="N146" s="46">
        <f>_xlfn.IFERROR(M146-A146,"N/A")</f>
        <v>-9.699999999999999</v>
      </c>
      <c r="O146" s="46"/>
      <c r="P146" t="s" s="47">
        <f>IF('Settings'!$E$27="ON",VLOOKUP(B146,'ADP'!A1:H731,8,FALSE)," ")</f>
        <v>109</v>
      </c>
      <c r="Q146" s="48">
        <f>IF('Settings'!$E$12="YES",VLOOKUP(B146,'Player Data'!A1:E734,5,FALSE),82)</f>
        <v>75.9510714285714</v>
      </c>
      <c r="R146" s="46">
        <f>VLOOKUP(B146,'Player Data'!$A1:$AE734,6,FALSE)</f>
        <v>17.7522317185192</v>
      </c>
      <c r="S146" s="48">
        <f>VLOOKUP(B146,'Player Data'!$A1:$AE734,7,FALSE)*$Q146*_xlfn.IFERROR((VLOOKUP(P146,'Settings'!$E$28:$F$33,2,FALSE)+1),1)</f>
        <v>28.6023814434571</v>
      </c>
      <c r="T146" s="48">
        <f>VLOOKUP(B146,'Player Data'!$A1:$AE734,8,FALSE)*$Q146*_xlfn.IFERROR((VLOOKUP(P146,'Settings'!$E$28:$F$33,2,FALSE)+1),1)</f>
        <v>26.9904467145833</v>
      </c>
      <c r="U146" s="48">
        <f>SUM(S146:T146)</f>
        <v>55.5928281580404</v>
      </c>
      <c r="V146" s="48">
        <f>VLOOKUP(B146,'Player Data'!$A1:$AE734,10,FALSE)*$Q146*_xlfn.IFERROR(((VLOOKUP(P146,'Settings'!$E$28:$F$33,2,FALSE)/2)+1),1)</f>
        <v>226.5928235044</v>
      </c>
      <c r="W146" s="48">
        <f>VLOOKUP(B146,'Player Data'!$A1:$AE734,11,FALSE)*$Q146*_xlfn.IFERROR((VLOOKUP(P146,'Settings'!$E$28:$F$33,2,FALSE)+1),1)</f>
        <v>7.58933124705387</v>
      </c>
      <c r="X146" s="48">
        <f>VLOOKUP(B146,'Player Data'!$A1:$AE734,12,FALSE)*$Q146*_xlfn.IFERROR((VLOOKUP(P146,'Settings'!$E$28:$F$33,2,FALSE)+1),1)</f>
        <v>16.4704977812143</v>
      </c>
      <c r="Y146" s="48">
        <f>VLOOKUP(B146,'Player Data'!$A1:$AE734,13,FALSE)*$Q146</f>
        <v>0.128622658747824</v>
      </c>
      <c r="Z146" s="48">
        <f>VLOOKUP(B146,'Player Data'!$A1:$AE734,14,FALSE)*$Q146</f>
        <v>0.846231656346067</v>
      </c>
      <c r="AA146" s="48">
        <f>VLOOKUP(B146,'Player Data'!$A1:$AE734,15,FALSE)*$Q146</f>
        <v>29.7104022062802</v>
      </c>
      <c r="AB146" s="48">
        <f>VLOOKUP(B146,'Player Data'!$A1:$AE734,16,FALSE)*$Q146</f>
        <v>92.6838888930742</v>
      </c>
      <c r="AC146" s="48">
        <f>VLOOKUP(B146,'Player Data'!$A1:$AE734,17,FALSE)*$Q146*_xlfn.IFERROR((VLOOKUP(P146,'Settings'!$E$28:$F$33,2,FALSE)+1),1)</f>
        <v>5.74967873582831</v>
      </c>
      <c r="AD146" s="48">
        <f>VLOOKUP(B146,'Player Data'!$A1:$AE734,18,FALSE)*$Q146</f>
        <v>19.4663494537409</v>
      </c>
      <c r="AE146" s="48">
        <f>VLOOKUP(B146,'Player Data'!$A1:$AE734,19,FALSE)*$Q146*_xlfn.IFERROR((VLOOKUP(P146,'Settings'!$E$28:$F$33,2,FALSE)+1),1)</f>
        <v>4.8017769672116</v>
      </c>
      <c r="AF146" s="48">
        <f>VLOOKUP(B146,'Player Data'!$A1:$AE734,20,FALSE)*$Q146</f>
        <v>7.6701657677966</v>
      </c>
      <c r="AG146" s="48">
        <f>VLOOKUP(B146,'Player Data'!$A1:$AE734,21,FALSE)*$Q146</f>
        <v>13.5173942969888</v>
      </c>
      <c r="AH146" s="49">
        <f>VLOOKUP(B146,'Player Data'!$A1:$AE734,22,FALSE)</f>
        <v>0.362012697278188</v>
      </c>
      <c r="AI146" s="46"/>
      <c r="AJ146" s="50"/>
      <c r="AK146" s="48"/>
      <c r="AL146" s="48"/>
      <c r="AM146" s="48"/>
      <c r="AN146" s="48"/>
      <c r="AO146" s="48"/>
      <c r="AP146" s="48"/>
      <c r="AQ146" s="51"/>
      <c r="AR146" s="52"/>
      <c r="AS146" s="46"/>
    </row>
    <row r="147" ht="21.25" customHeight="1">
      <c r="A147" s="53">
        <f>RANK(K147,K2:K730)</f>
        <v>166</v>
      </c>
      <c r="B147" t="s" s="8">
        <v>298</v>
      </c>
      <c r="C147" t="s" s="39">
        <v>106</v>
      </c>
      <c r="D147" t="s" s="40">
        <f>VLOOKUP(B147,'Player Data'!A1:D734,4,FALSE)</f>
        <v>129</v>
      </c>
      <c r="E147" s="56">
        <f>VLOOKUP(B147,'D'!A1:C228,3,FALSE)</f>
        <v>39</v>
      </c>
      <c r="F147" t="s" s="42">
        <f>VLOOKUP(B147,'Player Data'!A1:B734,2,FALSE)</f>
        <v>204</v>
      </c>
      <c r="G147" s="9">
        <f>VLOOKUP(B147,'Player Data'!A1:D734,3,FALSE)</f>
        <v>20</v>
      </c>
      <c r="H147" s="43">
        <f>_xlfn.IFERROR(VLOOKUP(B147,'ADP'!A1:G731,7,FALSE)/1000000,VLOOKUP(B147,'ADP'!A1:G731,7,FALSE))</f>
        <v>0.863</v>
      </c>
      <c r="I147" s="44">
        <f>IF('Settings'!$E$15="POINTS",((R147*Q147)*'Settings'!$B$12)+(S147*'Settings'!$B$2)+(T147*'Settings'!$B$3)+(U147*'Settings'!$B$4)+(V147*'Settings'!$B$5)+(X147*'Settings'!$B$9)+(AA147*'Settings'!$B$6)+(W147*'Settings'!$B$8)+(AB147*'Settings'!$B$7)+(AC147*'Settings'!$B$14)+(AD147*'Settings'!$B$15)+(AE147*'Settings'!$B$16)+(AF147*'Settings'!$B$17)+(AG147*'Settings'!$B$18)+(U147*'Settings'!$B$13)+(Y147*'Settings'!$B$10)+(Z147*'Settings'!$B$11),VLOOKUP(B147,'Standard Deviations'!A1:C731,3,FALSE))</f>
        <v>301.412646306103</v>
      </c>
      <c r="J147" s="45">
        <f>IF(D147="G",I147/AJ147,I147/Q147)</f>
        <v>4.07314386900139</v>
      </c>
      <c r="K147" s="44">
        <f>VLOOKUP(B147,'D'!A1:F228,6,FALSE)</f>
        <v>-39.322492340420</v>
      </c>
      <c r="L147" s="44">
        <f>_xlfn.IFERROR(K147/H147,"N/A")</f>
        <v>-45.5648810433604</v>
      </c>
      <c r="M147" s="46">
        <f>IF('Settings'!$E$9="YAHOO",VLOOKUP(B147,'ADP'!A1:E731,2,FALSE),IF('Settings'!$E$9="ESPN",VLOOKUP(B147,'ADP'!A1:E731,3,FALSE),IF('Settings'!$E$9="FANTRAX",VLOOKUP(B147,'ADP'!A1:E731,4,FALSE),VLOOKUP(B147,'ADP'!A1:E731,5,FALSE))))</f>
        <v>243.34</v>
      </c>
      <c r="N147" s="46">
        <f>_xlfn.IFERROR(M147-A147,"N/A")</f>
        <v>77.34</v>
      </c>
      <c r="O147" s="46"/>
      <c r="P147" t="s" s="47">
        <f>IF('Settings'!$E$27="ON",VLOOKUP(B147,'ADP'!A1:H731,8,FALSE)," ")</f>
        <v>109</v>
      </c>
      <c r="Q147" s="48">
        <f>IF('Settings'!$E$12="YES",VLOOKUP(B147,'Player Data'!A1:E734,5,FALSE),82)</f>
        <v>74</v>
      </c>
      <c r="R147" s="46">
        <f>VLOOKUP(B147,'Player Data'!$A1:$AE734,6,FALSE)</f>
        <v>19</v>
      </c>
      <c r="S147" s="48">
        <f>VLOOKUP(B147,'Player Data'!$A1:$AE734,7,FALSE)*$Q147*_xlfn.IFERROR((VLOOKUP(P147,'Settings'!$E$28:$F$33,2,FALSE)+1),1)</f>
        <v>11.9378751869133</v>
      </c>
      <c r="T147" s="48">
        <f>VLOOKUP(B147,'Player Data'!$A1:$AE734,8,FALSE)*$Q147*_xlfn.IFERROR((VLOOKUP(P147,'Settings'!$E$28:$F$33,2,FALSE)+1),1)</f>
        <v>28.9281165328535</v>
      </c>
      <c r="U147" s="48">
        <f>SUM(S147:T147)</f>
        <v>40.8659917197668</v>
      </c>
      <c r="V147" s="48">
        <f>VLOOKUP(B147,'Player Data'!$A1:$AE734,10,FALSE)*$Q147*_xlfn.IFERROR(((VLOOKUP(P147,'Settings'!$E$28:$F$33,2,FALSE)/2)+1),1)</f>
        <v>176.260803947206</v>
      </c>
      <c r="W147" s="48">
        <f>VLOOKUP(B147,'Player Data'!$A1:$AE734,11,FALSE)*$Q147*_xlfn.IFERROR((VLOOKUP(P147,'Settings'!$E$28:$F$33,2,FALSE)+1),1)</f>
        <v>2.92979094152992</v>
      </c>
      <c r="X147" s="48">
        <f>VLOOKUP(B147,'Player Data'!$A1:$AE734,12,FALSE)*$Q147*_xlfn.IFERROR((VLOOKUP(P147,'Settings'!$E$28:$F$33,2,FALSE)+1),1)</f>
        <v>10.029323517175</v>
      </c>
      <c r="Y147" s="48">
        <f>VLOOKUP(B147,'Player Data'!$A1:$AE734,13,FALSE)*$Q147</f>
        <v>0</v>
      </c>
      <c r="Z147" s="48">
        <f>VLOOKUP(B147,'Player Data'!$A1:$AE734,14,FALSE)*$Q147</f>
        <v>0</v>
      </c>
      <c r="AA147" s="48">
        <f>VLOOKUP(B147,'Player Data'!$A1:$AE734,15,FALSE)*$Q147</f>
        <v>92.1390243902437</v>
      </c>
      <c r="AB147" s="48">
        <f>VLOOKUP(B147,'Player Data'!$A1:$AE734,16,FALSE)*$Q147</f>
        <v>106.831776790831</v>
      </c>
      <c r="AC147" s="48">
        <f>VLOOKUP(B147,'Player Data'!$A1:$AE734,17,FALSE)*$Q147*_xlfn.IFERROR((VLOOKUP(P147,'Settings'!$E$28:$F$33,2,FALSE)+1),1)</f>
        <v>0.5865853658536579</v>
      </c>
      <c r="AD147" s="48">
        <f>VLOOKUP(B147,'Player Data'!$A1:$AE734,18,FALSE)*$Q147</f>
        <v>41.5000496241124</v>
      </c>
      <c r="AE147" s="48">
        <f>VLOOKUP(B147,'Player Data'!$A1:$AE734,19,FALSE)*$Q147*_xlfn.IFERROR((VLOOKUP(P147,'Settings'!$E$28:$F$33,2,FALSE)+1),1)</f>
        <v>1.767534403089</v>
      </c>
      <c r="AF147" s="48">
        <f>VLOOKUP(B147,'Player Data'!$A1:$AE734,20,FALSE)*$Q147</f>
        <v>0</v>
      </c>
      <c r="AG147" s="48">
        <f>VLOOKUP(B147,'Player Data'!$A1:$AE734,21,FALSE)*$Q147</f>
        <v>0</v>
      </c>
      <c r="AH147" s="49">
        <f>VLOOKUP(B147,'Player Data'!$A1:$AE734,22,FALSE)</f>
        <v>0</v>
      </c>
      <c r="AI147" s="46"/>
      <c r="AJ147" s="50"/>
      <c r="AK147" s="48"/>
      <c r="AL147" s="48"/>
      <c r="AM147" s="48"/>
      <c r="AN147" s="48"/>
      <c r="AO147" s="48"/>
      <c r="AP147" s="48"/>
      <c r="AQ147" s="51"/>
      <c r="AR147" s="52"/>
      <c r="AS147" s="46"/>
    </row>
    <row r="148" ht="21.25" customHeight="1">
      <c r="A148" s="53">
        <f>RANK(K148,K2:K730)</f>
        <v>136</v>
      </c>
      <c r="B148" t="s" s="8">
        <v>299</v>
      </c>
      <c r="C148" t="s" s="39">
        <v>106</v>
      </c>
      <c r="D148" t="s" s="40">
        <f>VLOOKUP(B148,'Player Data'!A1:D734,4,FALSE)</f>
        <v>121</v>
      </c>
      <c r="E148" s="55">
        <f>VLOOKUP(B148,'RW'!A1:F132,3,FALSE)</f>
        <v>30</v>
      </c>
      <c r="F148" t="s" s="42">
        <f>VLOOKUP(B148,'Player Data'!A1:B734,2,FALSE)</f>
        <v>170</v>
      </c>
      <c r="G148" s="9">
        <f>VLOOKUP(B148,'Player Data'!A1:D734,3,FALSE)</f>
        <v>30</v>
      </c>
      <c r="H148" s="43">
        <f>_xlfn.IFERROR(VLOOKUP(B148,'ADP'!A1:G731,7,FALSE)/1000000,VLOOKUP(B148,'ADP'!A1:G731,7,FALSE))</f>
        <v>5</v>
      </c>
      <c r="I148" s="44">
        <f>IF('Settings'!$E$15="POINTS",((R148*Q148)*'Settings'!$B$12)+(S148*'Settings'!$B$2)+(T148*'Settings'!$B$3)+(U148*'Settings'!$B$4)+(V148*'Settings'!$B$5)+(X148*'Settings'!$B$9)+(AA148*'Settings'!$B$6)+(W148*'Settings'!$B$8)+(AB148*'Settings'!$B$7)+(AC148*'Settings'!$B$14)+(AD148*'Settings'!$B$15)+(AE148*'Settings'!$B$16)+(AF148*'Settings'!$B$17)+(AG148*'Settings'!$B$18)+(Y148*'Settings'!$B$10)+(Z148*'Settings'!$B$11),VLOOKUP(B148,'Standard Deviations'!A1:C731,3,FALSE))</f>
        <v>364.712722252221</v>
      </c>
      <c r="J148" s="45">
        <f>IF(D148="G",I148/AJ148,I148/Q148)</f>
        <v>4.57066215941984</v>
      </c>
      <c r="K148" s="44">
        <f>IF('Settings'!$E$18="C/LW/RW",VLOOKUP(B148,'RW'!A1:F132,6,FALSE),VLOOKUP(B148,'F'!A1:F432,6,FALSE))</f>
        <v>-16.915841454135</v>
      </c>
      <c r="L148" s="44">
        <f>_xlfn.IFERROR(K148/H148,"N/A")</f>
        <v>-3.383168290827</v>
      </c>
      <c r="M148" s="46">
        <f>IF('Settings'!$E$9="YAHOO",VLOOKUP(B148,'ADP'!A1:E731,2,FALSE),IF('Settings'!$E$9="ESPN",VLOOKUP(B148,'ADP'!A1:E731,3,FALSE),IF('Settings'!$E$9="FANTRAX",VLOOKUP(B148,'ADP'!A1:E731,4,FALSE),VLOOKUP(B148,'ADP'!A1:E731,5,FALSE))))</f>
        <v>110.19</v>
      </c>
      <c r="N148" s="46">
        <f>_xlfn.IFERROR(M148-A148,"N/A")</f>
        <v>-25.81</v>
      </c>
      <c r="O148" s="46"/>
      <c r="P148" t="s" s="47">
        <f>IF('Settings'!$E$27="ON",VLOOKUP(B148,'ADP'!A1:H731,8,FALSE)," ")</f>
        <v>109</v>
      </c>
      <c r="Q148" s="48">
        <f>IF('Settings'!$E$12="YES",VLOOKUP(B148,'Player Data'!A1:E734,5,FALSE),82)</f>
        <v>79.79428571428571</v>
      </c>
      <c r="R148" s="46">
        <f>VLOOKUP(B148,'Player Data'!$A1:$AE734,6,FALSE)</f>
        <v>18.099242398247</v>
      </c>
      <c r="S148" s="48">
        <f>VLOOKUP(B148,'Player Data'!$A1:$AE734,7,FALSE)*$Q148*_xlfn.IFERROR((VLOOKUP(P148,'Settings'!$E$28:$F$33,2,FALSE)+1),1)</f>
        <v>23.8324688082342</v>
      </c>
      <c r="T148" s="48">
        <f>VLOOKUP(B148,'Player Data'!$A1:$AE734,8,FALSE)*$Q148*_xlfn.IFERROR((VLOOKUP(P148,'Settings'!$E$28:$F$33,2,FALSE)+1),1)</f>
        <v>29.6224307136989</v>
      </c>
      <c r="U148" s="48">
        <f>SUM(S148:T148)</f>
        <v>53.4548995219331</v>
      </c>
      <c r="V148" s="48">
        <f>VLOOKUP(B148,'Player Data'!$A1:$AE734,10,FALSE)*$Q148*_xlfn.IFERROR(((VLOOKUP(P148,'Settings'!$E$28:$F$33,2,FALSE)/2)+1),1)</f>
        <v>227.568412714045</v>
      </c>
      <c r="W148" s="48">
        <f>VLOOKUP(B148,'Player Data'!$A1:$AE734,11,FALSE)*$Q148*_xlfn.IFERROR((VLOOKUP(P148,'Settings'!$E$28:$F$33,2,FALSE)+1),1)</f>
        <v>7.7767964010957</v>
      </c>
      <c r="X148" s="48">
        <f>VLOOKUP(B148,'Player Data'!$A1:$AE734,12,FALSE)*$Q148*_xlfn.IFERROR((VLOOKUP(P148,'Settings'!$E$28:$F$33,2,FALSE)+1),1)</f>
        <v>16.482184704939</v>
      </c>
      <c r="Y148" s="48">
        <f>VLOOKUP(B148,'Player Data'!$A1:$AE734,13,FALSE)*$Q148</f>
        <v>0.00367709251309796</v>
      </c>
      <c r="Z148" s="48">
        <f>VLOOKUP(B148,'Player Data'!$A1:$AE734,14,FALSE)*$Q148</f>
        <v>0.00676033001879832</v>
      </c>
      <c r="AA148" s="48">
        <f>VLOOKUP(B148,'Player Data'!$A1:$AE734,15,FALSE)*$Q148</f>
        <v>48.1936760480829</v>
      </c>
      <c r="AB148" s="48">
        <f>VLOOKUP(B148,'Player Data'!$A1:$AE734,16,FALSE)*$Q148</f>
        <v>122.819021731874</v>
      </c>
      <c r="AC148" s="48">
        <f>VLOOKUP(B148,'Player Data'!$A1:$AE734,17,FALSE)*$Q148*_xlfn.IFERROR((VLOOKUP(P148,'Settings'!$E$28:$F$33,2,FALSE)+1),1)</f>
        <v>3.88684080166103</v>
      </c>
      <c r="AD148" s="48">
        <f>VLOOKUP(B148,'Player Data'!$A1:$AE734,18,FALSE)*$Q148</f>
        <v>18.766822345291</v>
      </c>
      <c r="AE148" s="48">
        <f>VLOOKUP(B148,'Player Data'!$A1:$AE734,19,FALSE)*$Q148*_xlfn.IFERROR((VLOOKUP(P148,'Settings'!$E$28:$F$33,2,FALSE)+1),1)</f>
        <v>3.82558845147632</v>
      </c>
      <c r="AF148" s="48">
        <f>VLOOKUP(B148,'Player Data'!$A1:$AE734,20,FALSE)*$Q148</f>
        <v>13.1947004022935</v>
      </c>
      <c r="AG148" s="48">
        <f>VLOOKUP(B148,'Player Data'!$A1:$AE734,21,FALSE)*$Q148</f>
        <v>16.5114484912972</v>
      </c>
      <c r="AH148" s="49">
        <f>VLOOKUP(B148,'Player Data'!$A1:$AE734,22,FALSE)</f>
        <v>0.444174047923808</v>
      </c>
      <c r="AI148" s="46"/>
      <c r="AJ148" s="48"/>
      <c r="AK148" s="48"/>
      <c r="AL148" s="48"/>
      <c r="AM148" s="48"/>
      <c r="AN148" s="48"/>
      <c r="AO148" s="48"/>
      <c r="AP148" s="48"/>
      <c r="AQ148" s="51"/>
      <c r="AR148" s="52"/>
      <c r="AS148" s="46"/>
    </row>
    <row r="149" ht="21.25" customHeight="1">
      <c r="A149" s="53">
        <f>RANK(K149,K2:K730)</f>
        <v>139</v>
      </c>
      <c r="B149" t="s" s="8">
        <v>300</v>
      </c>
      <c r="C149" t="s" s="39">
        <v>106</v>
      </c>
      <c r="D149" t="s" s="40">
        <f>VLOOKUP(B149,'Player Data'!A1:D734,4,FALSE)</f>
        <v>133</v>
      </c>
      <c r="E149" s="57">
        <f>VLOOKUP(B149,'LW'!A1:C156,3,FALSE)</f>
        <v>37</v>
      </c>
      <c r="F149" t="s" s="42">
        <f>VLOOKUP(B149,'Player Data'!A1:B734,2,FALSE)</f>
        <v>113</v>
      </c>
      <c r="G149" s="9">
        <f>VLOOKUP(B149,'Player Data'!A1:D734,3,FALSE)</f>
        <v>28</v>
      </c>
      <c r="H149" s="43">
        <f>_xlfn.IFERROR(VLOOKUP(B149,'ADP'!A1:G731,7,FALSE)/1000000,VLOOKUP(B149,'ADP'!A1:G731,7,FALSE))</f>
        <v>4.5</v>
      </c>
      <c r="I149" s="44">
        <f>IF('Settings'!$E$15="POINTS",((R149*Q149)*'Settings'!$B$12)+(S149*'Settings'!$B$2)+(T149*'Settings'!$B$3)+(U149*'Settings'!$B$4)+(V149*'Settings'!$B$5)+(X149*'Settings'!$B$9)+(AA149*'Settings'!$B$6)+(W149*'Settings'!$B$8)+(AB149*'Settings'!$B$7)+(AC149*'Settings'!$B$14)+(AD149*'Settings'!$B$15)+(AE149*'Settings'!$B$16)+(AF149*'Settings'!$B$17)+(AG149*'Settings'!$B$18)+(Y149*'Settings'!$B$10)+(Z149*'Settings'!$B$11),VLOOKUP(B149,'Standard Deviations'!A1:C731,3,FALSE))</f>
        <v>363.943015492360</v>
      </c>
      <c r="J149" s="45">
        <f>IF(D149="G",I149/AJ149,I149/Q149)</f>
        <v>4.76258339274381</v>
      </c>
      <c r="K149" s="44">
        <f>IF('Settings'!$E$18="C/LW/RW",VLOOKUP(B149,'LW'!A1:F156,6,FALSE),VLOOKUP(B149,'F'!A1:F432,6,FALSE))</f>
        <v>-17.685548213996</v>
      </c>
      <c r="L149" s="44">
        <f>_xlfn.IFERROR(K149/H149,"N/A")</f>
        <v>-3.93012182533244</v>
      </c>
      <c r="M149" s="46">
        <f>IF('Settings'!$E$9="YAHOO",VLOOKUP(B149,'ADP'!A1:E731,2,FALSE),IF('Settings'!$E$9="ESPN",VLOOKUP(B149,'ADP'!A1:E731,3,FALSE),IF('Settings'!$E$9="FANTRAX",VLOOKUP(B149,'ADP'!A1:E731,4,FALSE),VLOOKUP(B149,'ADP'!A1:E731,5,FALSE))))</f>
        <v>145.67</v>
      </c>
      <c r="N149" s="46">
        <f>_xlfn.IFERROR(M149-A149,"N/A")</f>
        <v>6.67</v>
      </c>
      <c r="O149" s="46"/>
      <c r="P149" t="s" s="47">
        <f>IF('Settings'!$E$27="ON",VLOOKUP(B149,'ADP'!A1:H731,8,FALSE)," ")</f>
        <v>109</v>
      </c>
      <c r="Q149" s="48">
        <f>IF('Settings'!$E$12="YES",VLOOKUP(B149,'Player Data'!A1:E734,5,FALSE),82)</f>
        <v>76.41714285714291</v>
      </c>
      <c r="R149" s="46">
        <f>VLOOKUP(B149,'Player Data'!$A1:$AE734,6,FALSE)</f>
        <v>19.6684192243607</v>
      </c>
      <c r="S149" s="48">
        <f>VLOOKUP(B149,'Player Data'!$A1:$AE734,7,FALSE)*$Q149*_xlfn.IFERROR((VLOOKUP(P149,'Settings'!$E$28:$F$33,2,FALSE)+1),1)</f>
        <v>25.6138618794186</v>
      </c>
      <c r="T149" s="48">
        <f>VLOOKUP(B149,'Player Data'!$A1:$AE734,8,FALSE)*$Q149*_xlfn.IFERROR((VLOOKUP(P149,'Settings'!$E$28:$F$33,2,FALSE)+1),1)</f>
        <v>33.7194257021393</v>
      </c>
      <c r="U149" s="48">
        <f>SUM(S149:T149)</f>
        <v>59.3332875815579</v>
      </c>
      <c r="V149" s="48">
        <f>VLOOKUP(B149,'Player Data'!$A1:$AE734,10,FALSE)*$Q149*_xlfn.IFERROR(((VLOOKUP(P149,'Settings'!$E$28:$F$33,2,FALSE)/2)+1),1)</f>
        <v>188.640998470030</v>
      </c>
      <c r="W149" s="48">
        <f>VLOOKUP(B149,'Player Data'!$A1:$AE734,11,FALSE)*$Q149*_xlfn.IFERROR((VLOOKUP(P149,'Settings'!$E$28:$F$33,2,FALSE)+1),1)</f>
        <v>8.663722090371589</v>
      </c>
      <c r="X149" s="48">
        <f>VLOOKUP(B149,'Player Data'!$A1:$AE734,12,FALSE)*$Q149*_xlfn.IFERROR((VLOOKUP(P149,'Settings'!$E$28:$F$33,2,FALSE)+1),1)</f>
        <v>21.0380986151893</v>
      </c>
      <c r="Y149" s="48">
        <f>VLOOKUP(B149,'Player Data'!$A1:$AE734,13,FALSE)*$Q149</f>
        <v>1.42090552521382</v>
      </c>
      <c r="Z149" s="48">
        <f>VLOOKUP(B149,'Player Data'!$A1:$AE734,14,FALSE)*$Q149</f>
        <v>1.68109232112507</v>
      </c>
      <c r="AA149" s="48">
        <f>VLOOKUP(B149,'Player Data'!$A1:$AE734,15,FALSE)*$Q149</f>
        <v>47.2908878511113</v>
      </c>
      <c r="AB149" s="48">
        <f>VLOOKUP(B149,'Player Data'!$A1:$AE734,16,FALSE)*$Q149</f>
        <v>104.776928502952</v>
      </c>
      <c r="AC149" s="48">
        <f>VLOOKUP(B149,'Player Data'!$A1:$AE734,17,FALSE)*$Q149*_xlfn.IFERROR((VLOOKUP(P149,'Settings'!$E$28:$F$33,2,FALSE)+1),1)</f>
        <v>4.77340985559348</v>
      </c>
      <c r="AD149" s="48">
        <f>VLOOKUP(B149,'Player Data'!$A1:$AE734,18,FALSE)*$Q149</f>
        <v>30.3747405670906</v>
      </c>
      <c r="AE149" s="48">
        <f>VLOOKUP(B149,'Player Data'!$A1:$AE734,19,FALSE)*$Q149*_xlfn.IFERROR((VLOOKUP(P149,'Settings'!$E$28:$F$33,2,FALSE)+1),1)</f>
        <v>4.0524988667184</v>
      </c>
      <c r="AF149" s="48">
        <f>VLOOKUP(B149,'Player Data'!$A1:$AE734,20,FALSE)*$Q149</f>
        <v>6.84549890507765</v>
      </c>
      <c r="AG149" s="48">
        <f>VLOOKUP(B149,'Player Data'!$A1:$AE734,21,FALSE)*$Q149</f>
        <v>21.6589799621421</v>
      </c>
      <c r="AH149" s="49">
        <f>VLOOKUP(B149,'Player Data'!$A1:$AE734,22,FALSE)</f>
        <v>0.240155202870592</v>
      </c>
      <c r="AI149" s="46"/>
      <c r="AJ149" s="50"/>
      <c r="AK149" s="48"/>
      <c r="AL149" s="48"/>
      <c r="AM149" s="48"/>
      <c r="AN149" s="48"/>
      <c r="AO149" s="48"/>
      <c r="AP149" s="48"/>
      <c r="AQ149" s="51"/>
      <c r="AR149" s="52"/>
      <c r="AS149" s="46"/>
    </row>
    <row r="150" ht="21.25" customHeight="1">
      <c r="A150" s="53">
        <f>RANK(K150,K2:K730)</f>
        <v>146</v>
      </c>
      <c r="B150" t="s" s="8">
        <v>301</v>
      </c>
      <c r="C150" t="s" s="39">
        <v>106</v>
      </c>
      <c r="D150" t="s" s="40">
        <f>VLOOKUP(B150,'Player Data'!A1:D734,4,FALSE)</f>
        <v>107</v>
      </c>
      <c r="E150" s="41">
        <f>VLOOKUP(B150,'C'!A1:C218,3,FALSE)</f>
        <v>44</v>
      </c>
      <c r="F150" t="s" s="42">
        <f>VLOOKUP(B150,'Player Data'!A1:B734,2,FALSE)</f>
        <v>141</v>
      </c>
      <c r="G150" s="9">
        <f>VLOOKUP(B150,'Player Data'!A1:D734,3,FALSE)</f>
        <v>34</v>
      </c>
      <c r="H150" s="43">
        <f>_xlfn.IFERROR(VLOOKUP(B150,'ADP'!A1:G731,7,FALSE)/1000000,VLOOKUP(B150,'ADP'!A1:G731,7,FALSE))</f>
        <v>8</v>
      </c>
      <c r="I150" s="44">
        <f>IF('Settings'!$E$15="POINTS",((R150*Q150)*'Settings'!$B$12)+(S150*'Settings'!$B$2)+(T150*'Settings'!$B$3)+(U150*'Settings'!$B$4)+(V150*'Settings'!$B$5)+(X150*'Settings'!$B$9)+(AA150*'Settings'!$B$6)+(W150*'Settings'!$B$8)+(AB150*'Settings'!$B$7)+(AC150*'Settings'!$B$14)+(AD150*'Settings'!$B$15)+(AE150*'Settings'!$B$16)+(AF150*'Settings'!$B$17)+(AG150*'Settings'!$B$18)+(Y150*'Settings'!$B$10)+(Z150*'Settings'!$B$11),VLOOKUP(B150,'Standard Deviations'!A1:C731,3,FALSE))</f>
        <v>375.145434324828</v>
      </c>
      <c r="J150" s="45">
        <f>IF(D150="G",I150/AJ150,I150/Q150)</f>
        <v>4.65440985514675</v>
      </c>
      <c r="K150" s="44">
        <f>IF('Settings'!$E$18="C/LW/RW",VLOOKUP(B150,'C'!A1:F218,6,FALSE),VLOOKUP(B150,'F'!A1:F432,6,FALSE))</f>
        <v>-20.628767311187</v>
      </c>
      <c r="L150" s="44">
        <f>_xlfn.IFERROR(K150/H150,"N/A")</f>
        <v>-2.57859591389838</v>
      </c>
      <c r="M150" s="46">
        <f>IF('Settings'!$E$9="YAHOO",VLOOKUP(B150,'ADP'!A1:E731,2,FALSE),IF('Settings'!$E$9="ESPN",VLOOKUP(B150,'ADP'!A1:E731,3,FALSE),IF('Settings'!$E$9="FANTRAX",VLOOKUP(B150,'ADP'!A1:E731,4,FALSE),VLOOKUP(B150,'ADP'!A1:E731,5,FALSE))))</f>
        <v>163.29</v>
      </c>
      <c r="N150" s="46">
        <f>_xlfn.IFERROR(M150-A150,"N/A")</f>
        <v>17.29</v>
      </c>
      <c r="O150" s="46"/>
      <c r="P150" t="s" s="47">
        <f>IF('Settings'!$E$27="ON",VLOOKUP(B150,'ADP'!A1:H731,8,FALSE)," ")</f>
        <v>109</v>
      </c>
      <c r="Q150" s="48">
        <f>IF('Settings'!$E$12="YES",VLOOKUP(B150,'Player Data'!A1:E734,5,FALSE),82)</f>
        <v>80.59999999999999</v>
      </c>
      <c r="R150" s="46">
        <f>VLOOKUP(B150,'Player Data'!$A1:$AE734,6,FALSE)</f>
        <v>19.2386906000381</v>
      </c>
      <c r="S150" s="48">
        <f>VLOOKUP(B150,'Player Data'!$A1:$AE734,7,FALSE)*$Q150*_xlfn.IFERROR((VLOOKUP(P150,'Settings'!$E$28:$F$33,2,FALSE)+1),1)</f>
        <v>23.571635389533</v>
      </c>
      <c r="T150" s="48">
        <f>VLOOKUP(B150,'Player Data'!$A1:$AE734,8,FALSE)*$Q150*_xlfn.IFERROR((VLOOKUP(P150,'Settings'!$E$28:$F$33,2,FALSE)+1),1)</f>
        <v>35.3805578325196</v>
      </c>
      <c r="U150" s="48">
        <f>SUM(S150:T150)</f>
        <v>58.9521932220526</v>
      </c>
      <c r="V150" s="48">
        <f>VLOOKUP(B150,'Player Data'!$A1:$AE734,10,FALSE)*$Q150*_xlfn.IFERROR(((VLOOKUP(P150,'Settings'!$E$28:$F$33,2,FALSE)/2)+1),1)</f>
        <v>200.265308545290</v>
      </c>
      <c r="W150" s="48">
        <f>VLOOKUP(B150,'Player Data'!$A1:$AE734,11,FALSE)*$Q150*_xlfn.IFERROR((VLOOKUP(P150,'Settings'!$E$28:$F$33,2,FALSE)+1),1)</f>
        <v>5.44385974845247</v>
      </c>
      <c r="X150" s="48">
        <f>VLOOKUP(B150,'Player Data'!$A1:$AE734,12,FALSE)*$Q150*_xlfn.IFERROR((VLOOKUP(P150,'Settings'!$E$28:$F$33,2,FALSE)+1),1)</f>
        <v>19.4473265559339</v>
      </c>
      <c r="Y150" s="48">
        <f>VLOOKUP(B150,'Player Data'!$A1:$AE734,13,FALSE)*$Q150</f>
        <v>1.26893292962766</v>
      </c>
      <c r="Z150" s="48">
        <f>VLOOKUP(B150,'Player Data'!$A1:$AE734,14,FALSE)*$Q150</f>
        <v>1.65832778508641</v>
      </c>
      <c r="AA150" s="48">
        <f>VLOOKUP(B150,'Player Data'!$A1:$AE734,15,FALSE)*$Q150</f>
        <v>63.5142949003607</v>
      </c>
      <c r="AB150" s="48">
        <f>VLOOKUP(B150,'Player Data'!$A1:$AE734,16,FALSE)*$Q150</f>
        <v>110.899777125489</v>
      </c>
      <c r="AC150" s="48">
        <f>VLOOKUP(B150,'Player Data'!$A1:$AE734,17,FALSE)*$Q150*_xlfn.IFERROR((VLOOKUP(P150,'Settings'!$E$28:$F$33,2,FALSE)+1),1)</f>
        <v>0.377215844749093</v>
      </c>
      <c r="AD150" s="48">
        <f>VLOOKUP(B150,'Player Data'!$A1:$AE734,18,FALSE)*$Q150</f>
        <v>24.9156488054675</v>
      </c>
      <c r="AE150" s="48">
        <f>VLOOKUP(B150,'Player Data'!$A1:$AE734,19,FALSE)*$Q150*_xlfn.IFERROR((VLOOKUP(P150,'Settings'!$E$28:$F$33,2,FALSE)+1),1)</f>
        <v>2.92655417477992</v>
      </c>
      <c r="AF150" s="48">
        <f>VLOOKUP(B150,'Player Data'!$A1:$AE734,20,FALSE)*$Q150</f>
        <v>646.332850670052</v>
      </c>
      <c r="AG150" s="48">
        <f>VLOOKUP(B150,'Player Data'!$A1:$AE734,21,FALSE)*$Q150</f>
        <v>693.750492445463</v>
      </c>
      <c r="AH150" s="49">
        <f>VLOOKUP(B150,'Player Data'!$A1:$AE734,22,FALSE)</f>
        <v>0.482307950464793</v>
      </c>
      <c r="AI150" s="46"/>
      <c r="AJ150" s="50"/>
      <c r="AK150" s="48"/>
      <c r="AL150" s="48"/>
      <c r="AM150" s="48"/>
      <c r="AN150" s="48"/>
      <c r="AO150" s="48"/>
      <c r="AP150" s="48"/>
      <c r="AQ150" s="51"/>
      <c r="AR150" s="52"/>
      <c r="AS150" s="46"/>
    </row>
    <row r="151" ht="21.25" customHeight="1">
      <c r="A151" s="53">
        <f>RANK(K151,K2:K730)</f>
        <v>174</v>
      </c>
      <c r="B151" t="s" s="8">
        <v>302</v>
      </c>
      <c r="C151" t="s" s="39">
        <v>106</v>
      </c>
      <c r="D151" t="s" s="40">
        <f>VLOOKUP(B151,'Player Data'!A1:D734,4,FALSE)</f>
        <v>118</v>
      </c>
      <c r="E151" s="54">
        <f>VLOOKUP(B151,'LW'!A1:C156,3,FALSE)</f>
        <v>44</v>
      </c>
      <c r="F151" t="s" s="42">
        <f>VLOOKUP(B151,'Player Data'!A1:B734,2,FALSE)</f>
        <v>184</v>
      </c>
      <c r="G151" s="9">
        <f>VLOOKUP(B151,'Player Data'!A1:D734,3,FALSE)</f>
        <v>35</v>
      </c>
      <c r="H151" s="43">
        <f>_xlfn.IFERROR(VLOOKUP(B151,'ADP'!A1:G731,7,FALSE)/1000000,VLOOKUP(B151,'ADP'!A1:G731,7,FALSE))</f>
        <v>4.75</v>
      </c>
      <c r="I151" s="44">
        <f>IF('Settings'!$E$15="POINTS",((R151*Q151)*'Settings'!$B$12)+(S151*'Settings'!$B$2)+(T151*'Settings'!$B$3)+(U151*'Settings'!$B$4)+(V151*'Settings'!$B$5)+(X151*'Settings'!$B$9)+(AA151*'Settings'!$B$6)+(W151*'Settings'!$B$8)+(AB151*'Settings'!$B$7)+(AC151*'Settings'!$B$14)+(AD151*'Settings'!$B$15)+(AE151*'Settings'!$B$16)+(AF151*'Settings'!$B$17)+(AG151*'Settings'!$B$18)+(Y151*'Settings'!$B$10)+(Z151*'Settings'!$B$11),VLOOKUP(B151,'Standard Deviations'!A1:C731,3,FALSE))</f>
        <v>334.313298958391</v>
      </c>
      <c r="J151" s="45">
        <f>IF(D151="G",I151/AJ151,I151/Q151)</f>
        <v>4.18061461166588</v>
      </c>
      <c r="K151" s="44">
        <f>IF('Settings'!$E$18="C/LW/RW",VLOOKUP(B151,'RW'!A1:F132,6,FALSE),VLOOKUP(B151,'F'!A1:F432,6,FALSE))</f>
        <v>-47.315264747965</v>
      </c>
      <c r="L151" s="44">
        <f>_xlfn.IFERROR(K151/H151,"N/A")</f>
        <v>-9.96110836799263</v>
      </c>
      <c r="M151" s="46">
        <f>IF('Settings'!$E$9="YAHOO",VLOOKUP(B151,'ADP'!A1:E731,2,FALSE),IF('Settings'!$E$9="ESPN",VLOOKUP(B151,'ADP'!A1:E731,3,FALSE),IF('Settings'!$E$9="FANTRAX",VLOOKUP(B151,'ADP'!A1:E731,4,FALSE),VLOOKUP(B151,'ADP'!A1:E731,5,FALSE))))</f>
        <v>177.75</v>
      </c>
      <c r="N151" s="46">
        <f>_xlfn.IFERROR(M151-A151,"N/A")</f>
        <v>3.75</v>
      </c>
      <c r="O151" s="46"/>
      <c r="P151" t="s" s="47">
        <f>IF('Settings'!$E$27="ON",VLOOKUP(B151,'ADP'!A1:H731,8,FALSE)," ")</f>
        <v>109</v>
      </c>
      <c r="Q151" s="48">
        <f>IF('Settings'!$E$12="YES",VLOOKUP(B151,'Player Data'!A1:E734,5,FALSE),82)</f>
        <v>79.9675</v>
      </c>
      <c r="R151" s="46">
        <f>VLOOKUP(B151,'Player Data'!$A1:$AE734,6,FALSE)</f>
        <v>16.6222934178735</v>
      </c>
      <c r="S151" s="48">
        <f>VLOOKUP(B151,'Player Data'!$A1:$AE734,7,FALSE)*$Q151*_xlfn.IFERROR((VLOOKUP(P151,'Settings'!$E$28:$F$33,2,FALSE)+1),1)</f>
        <v>23.4577192414147</v>
      </c>
      <c r="T151" s="48">
        <f>VLOOKUP(B151,'Player Data'!$A1:$AE734,8,FALSE)*$Q151*_xlfn.IFERROR((VLOOKUP(P151,'Settings'!$E$28:$F$33,2,FALSE)+1),1)</f>
        <v>32.6970199211116</v>
      </c>
      <c r="U151" s="48">
        <f>SUM(S151:T151)</f>
        <v>56.1547391625263</v>
      </c>
      <c r="V151" s="48">
        <f>VLOOKUP(B151,'Player Data'!$A1:$AE734,10,FALSE)*$Q151*_xlfn.IFERROR(((VLOOKUP(P151,'Settings'!$E$28:$F$33,2,FALSE)/2)+1),1)</f>
        <v>191.102074236555</v>
      </c>
      <c r="W151" s="48">
        <f>VLOOKUP(B151,'Player Data'!$A1:$AE734,11,FALSE)*$Q151*_xlfn.IFERROR((VLOOKUP(P151,'Settings'!$E$28:$F$33,2,FALSE)+1),1)</f>
        <v>7.57446190126755</v>
      </c>
      <c r="X151" s="48">
        <f>VLOOKUP(B151,'Player Data'!$A1:$AE734,12,FALSE)*$Q151*_xlfn.IFERROR((VLOOKUP(P151,'Settings'!$E$28:$F$33,2,FALSE)+1),1)</f>
        <v>23.0191861928877</v>
      </c>
      <c r="Y151" s="48">
        <f>VLOOKUP(B151,'Player Data'!$A1:$AE734,13,FALSE)*$Q151</f>
        <v>0.001795961249108</v>
      </c>
      <c r="Z151" s="48">
        <f>VLOOKUP(B151,'Player Data'!$A1:$AE734,14,FALSE)*$Q151</f>
        <v>0.00332080575729947</v>
      </c>
      <c r="AA151" s="48">
        <f>VLOOKUP(B151,'Player Data'!$A1:$AE734,15,FALSE)*$Q151</f>
        <v>22.5623606314342</v>
      </c>
      <c r="AB151" s="48">
        <f>VLOOKUP(B151,'Player Data'!$A1:$AE734,16,FALSE)*$Q151</f>
        <v>95.2945742527228</v>
      </c>
      <c r="AC151" s="48">
        <f>VLOOKUP(B151,'Player Data'!$A1:$AE734,17,FALSE)*$Q151*_xlfn.IFERROR((VLOOKUP(P151,'Settings'!$E$28:$F$33,2,FALSE)+1),1)</f>
        <v>-1.61993637429645</v>
      </c>
      <c r="AD151" s="48">
        <f>VLOOKUP(B151,'Player Data'!$A1:$AE734,18,FALSE)*$Q151</f>
        <v>41.9179346195726</v>
      </c>
      <c r="AE151" s="48">
        <f>VLOOKUP(B151,'Player Data'!$A1:$AE734,19,FALSE)*$Q151*_xlfn.IFERROR((VLOOKUP(P151,'Settings'!$E$28:$F$33,2,FALSE)+1),1)</f>
        <v>3.10429744446823</v>
      </c>
      <c r="AF151" s="48">
        <f>VLOOKUP(B151,'Player Data'!$A1:$AE734,20,FALSE)*$Q151</f>
        <v>1.56923168071076</v>
      </c>
      <c r="AG151" s="48">
        <f>VLOOKUP(B151,'Player Data'!$A1:$AE734,21,FALSE)*$Q151</f>
        <v>7.88770048233628</v>
      </c>
      <c r="AH151" s="49">
        <f>VLOOKUP(B151,'Player Data'!$A1:$AE734,22,FALSE)</f>
        <v>0.165934539198931</v>
      </c>
      <c r="AI151" s="46"/>
      <c r="AJ151" s="50"/>
      <c r="AK151" s="48"/>
      <c r="AL151" s="48"/>
      <c r="AM151" s="48"/>
      <c r="AN151" s="48"/>
      <c r="AO151" s="48"/>
      <c r="AP151" s="48"/>
      <c r="AQ151" s="51"/>
      <c r="AR151" s="52"/>
      <c r="AS151" s="46"/>
    </row>
    <row r="152" ht="21.25" customHeight="1">
      <c r="A152" s="53">
        <f>RANK(K152,K2:K730)</f>
        <v>162</v>
      </c>
      <c r="B152" t="s" s="8">
        <v>303</v>
      </c>
      <c r="C152" t="s" s="39">
        <v>106</v>
      </c>
      <c r="D152" t="s" s="40">
        <f>VLOOKUP(B152,'Player Data'!A1:D734,4,FALSE)</f>
        <v>129</v>
      </c>
      <c r="E152" s="56">
        <f>VLOOKUP(B152,'D'!A1:C228,3,FALSE)</f>
        <v>37</v>
      </c>
      <c r="F152" t="s" s="42">
        <f>VLOOKUP(B152,'Player Data'!A1:B734,2,FALSE)</f>
        <v>119</v>
      </c>
      <c r="G152" s="9">
        <f>VLOOKUP(B152,'Player Data'!A1:D734,3,FALSE)</f>
        <v>27</v>
      </c>
      <c r="H152" s="43">
        <f>_xlfn.IFERROR(VLOOKUP(B152,'ADP'!A1:G731,7,FALSE)/1000000,VLOOKUP(B152,'ADP'!A1:G731,7,FALSE))</f>
        <v>2.667</v>
      </c>
      <c r="I152" s="44">
        <f>IF('Settings'!$E$15="POINTS",((R152*Q152)*'Settings'!$B$12)+(S152*'Settings'!$B$2)+(T152*'Settings'!$B$3)+(U152*'Settings'!$B$4)+(V152*'Settings'!$B$5)+(X152*'Settings'!$B$9)+(AA152*'Settings'!$B$6)+(W152*'Settings'!$B$8)+(AB152*'Settings'!$B$7)+(AC152*'Settings'!$B$14)+(AD152*'Settings'!$B$15)+(AE152*'Settings'!$B$16)+(AF152*'Settings'!$B$17)+(AG152*'Settings'!$B$18)+(U152*'Settings'!$B$13)+(Y152*'Settings'!$B$10)+(Z152*'Settings'!$B$11),VLOOKUP(B152,'Standard Deviations'!A1:C731,3,FALSE))</f>
        <v>303.528200407784</v>
      </c>
      <c r="J152" s="45">
        <f>IF(D152="G",I152/AJ152,I152/Q152)</f>
        <v>3.86099773823157</v>
      </c>
      <c r="K152" s="44">
        <f>VLOOKUP(B152,'D'!A1:F228,6,FALSE)</f>
        <v>-37.206938238739</v>
      </c>
      <c r="L152" s="44">
        <f>_xlfn.IFERROR(K152/H152,"N/A")</f>
        <v>-13.9508579822793</v>
      </c>
      <c r="M152" s="46">
        <f>IF('Settings'!$E$9="YAHOO",VLOOKUP(B152,'ADP'!A1:E731,2,FALSE),IF('Settings'!$E$9="ESPN",VLOOKUP(B152,'ADP'!A1:E731,3,FALSE),IF('Settings'!$E$9="FANTRAX",VLOOKUP(B152,'ADP'!A1:E731,4,FALSE),VLOOKUP(B152,'ADP'!A1:E731,5,FALSE))))</f>
        <v>171.45</v>
      </c>
      <c r="N152" s="46">
        <f>_xlfn.IFERROR(M152-A152,"N/A")</f>
        <v>9.449999999999999</v>
      </c>
      <c r="O152" s="46"/>
      <c r="P152" t="s" s="47">
        <f>IF('Settings'!$E$27="ON",VLOOKUP(B152,'ADP'!A1:H731,8,FALSE)," ")</f>
        <v>109</v>
      </c>
      <c r="Q152" s="48">
        <f>IF('Settings'!$E$12="YES",VLOOKUP(B152,'Player Data'!A1:E734,5,FALSE),82)</f>
        <v>78.6139285714286</v>
      </c>
      <c r="R152" s="46">
        <f>VLOOKUP(B152,'Player Data'!$A1:$AE734,6,FALSE)</f>
        <v>22.8852388338415</v>
      </c>
      <c r="S152" s="48">
        <f>VLOOKUP(B152,'Player Data'!$A1:$AE734,7,FALSE)*$Q152*_xlfn.IFERROR((VLOOKUP(P152,'Settings'!$E$28:$F$33,2,FALSE)+1),1)</f>
        <v>11.300345738916</v>
      </c>
      <c r="T152" s="48">
        <f>VLOOKUP(B152,'Player Data'!$A1:$AE734,8,FALSE)*$Q152*_xlfn.IFERROR((VLOOKUP(P152,'Settings'!$E$28:$F$33,2,FALSE)+1),1)</f>
        <v>29.136461678047</v>
      </c>
      <c r="U152" s="48">
        <f>SUM(S152:T152)</f>
        <v>40.436807416963</v>
      </c>
      <c r="V152" s="48">
        <f>VLOOKUP(B152,'Player Data'!$A1:$AE734,10,FALSE)*$Q152*_xlfn.IFERROR(((VLOOKUP(P152,'Settings'!$E$28:$F$33,2,FALSE)/2)+1),1)</f>
        <v>187.837503893866</v>
      </c>
      <c r="W152" s="48">
        <f>VLOOKUP(B152,'Player Data'!$A1:$AE734,11,FALSE)*$Q152*_xlfn.IFERROR((VLOOKUP(P152,'Settings'!$E$28:$F$33,2,FALSE)+1),1)</f>
        <v>0.884626485845376</v>
      </c>
      <c r="X152" s="48">
        <f>VLOOKUP(B152,'Player Data'!$A1:$AE734,12,FALSE)*$Q152*_xlfn.IFERROR((VLOOKUP(P152,'Settings'!$E$28:$F$33,2,FALSE)+1),1)</f>
        <v>4.4789465018446</v>
      </c>
      <c r="Y152" s="48">
        <f>VLOOKUP(B152,'Player Data'!$A1:$AE734,13,FALSE)*$Q152</f>
        <v>0.0240001673441288</v>
      </c>
      <c r="Z152" s="48">
        <f>VLOOKUP(B152,'Player Data'!$A1:$AE734,14,FALSE)*$Q152</f>
        <v>1.08606703856305</v>
      </c>
      <c r="AA152" s="48">
        <f>VLOOKUP(B152,'Player Data'!$A1:$AE734,15,FALSE)*$Q152</f>
        <v>104.370356226829</v>
      </c>
      <c r="AB152" s="48">
        <f>VLOOKUP(B152,'Player Data'!$A1:$AE734,16,FALSE)*$Q152</f>
        <v>67.9647816441897</v>
      </c>
      <c r="AC152" s="48">
        <f>VLOOKUP(B152,'Player Data'!$A1:$AE734,17,FALSE)*$Q152*_xlfn.IFERROR((VLOOKUP(P152,'Settings'!$E$28:$F$33,2,FALSE)+1),1)</f>
        <v>4.56308238173358</v>
      </c>
      <c r="AD152" s="48">
        <f>VLOOKUP(B152,'Player Data'!$A1:$AE734,18,FALSE)*$Q152</f>
        <v>33.4969764364766</v>
      </c>
      <c r="AE152" s="48">
        <f>VLOOKUP(B152,'Player Data'!$A1:$AE734,19,FALSE)*$Q152*_xlfn.IFERROR((VLOOKUP(P152,'Settings'!$E$28:$F$33,2,FALSE)+1),1)</f>
        <v>1.62106037214132</v>
      </c>
      <c r="AF152" s="48">
        <f>VLOOKUP(B152,'Player Data'!$A1:$AE734,20,FALSE)*$Q152</f>
        <v>0</v>
      </c>
      <c r="AG152" s="48">
        <f>VLOOKUP(B152,'Player Data'!$A1:$AE734,21,FALSE)*$Q152</f>
        <v>0</v>
      </c>
      <c r="AH152" s="49">
        <f>VLOOKUP(B152,'Player Data'!$A1:$AE734,22,FALSE)</f>
        <v>0</v>
      </c>
      <c r="AI152" s="46"/>
      <c r="AJ152" s="50"/>
      <c r="AK152" s="48"/>
      <c r="AL152" s="48"/>
      <c r="AM152" s="48"/>
      <c r="AN152" s="48"/>
      <c r="AO152" s="48"/>
      <c r="AP152" s="48"/>
      <c r="AQ152" s="51"/>
      <c r="AR152" s="52"/>
      <c r="AS152" s="46"/>
    </row>
    <row r="153" ht="21.25" customHeight="1">
      <c r="A153" s="53">
        <f>RANK(K153,K2:K730)</f>
        <v>160</v>
      </c>
      <c r="B153" t="s" s="8">
        <v>304</v>
      </c>
      <c r="C153" t="s" s="39">
        <v>106</v>
      </c>
      <c r="D153" t="s" s="40">
        <f>VLOOKUP(B153,'Player Data'!A1:D734,4,FALSE)</f>
        <v>121</v>
      </c>
      <c r="E153" s="55">
        <f>VLOOKUP(B153,'RW'!A1:F132,3,FALSE)</f>
        <v>36</v>
      </c>
      <c r="F153" t="s" s="42">
        <f>VLOOKUP(B153,'Player Data'!A1:B734,2,FALSE)</f>
        <v>218</v>
      </c>
      <c r="G153" s="9">
        <f>VLOOKUP(B153,'Player Data'!A1:D734,3,FALSE)</f>
        <v>31</v>
      </c>
      <c r="H153" s="43">
        <f>_xlfn.IFERROR(VLOOKUP(B153,'ADP'!A1:G731,7,FALSE)/1000000,VLOOKUP(B153,'ADP'!A1:G731,7,FALSE))</f>
        <v>9.5</v>
      </c>
      <c r="I153" s="44">
        <f>IF('Settings'!$E$15="POINTS",((R153*Q153)*'Settings'!$B$12)+(S153*'Settings'!$B$2)+(T153*'Settings'!$B$3)+(U153*'Settings'!$B$4)+(V153*'Settings'!$B$5)+(X153*'Settings'!$B$9)+(AA153*'Settings'!$B$6)+(W153*'Settings'!$B$8)+(AB153*'Settings'!$B$7)+(AC153*'Settings'!$B$14)+(AD153*'Settings'!$B$15)+(AE153*'Settings'!$B$16)+(AF153*'Settings'!$B$17)+(AG153*'Settings'!$B$18)+(Y153*'Settings'!$B$10)+(Z153*'Settings'!$B$11),VLOOKUP(B153,'Standard Deviations'!A1:C731,3,FALSE))</f>
        <v>346.305315760219</v>
      </c>
      <c r="J153" s="45">
        <f>IF(D153="G",I153/AJ153,I153/Q153)</f>
        <v>5.0354417920537</v>
      </c>
      <c r="K153" s="44">
        <f>IF('Settings'!$E$18="C/LW/RW",VLOOKUP(B153,'RW'!A1:F132,6,FALSE),VLOOKUP(B153,'F'!A1:F432,6,FALSE))</f>
        <v>-35.323247946137</v>
      </c>
      <c r="L153" s="44">
        <f>_xlfn.IFERROR(K153/H153,"N/A")</f>
        <v>-3.71823662590916</v>
      </c>
      <c r="M153" s="46">
        <f>IF('Settings'!$E$9="YAHOO",VLOOKUP(B153,'ADP'!A1:E731,2,FALSE),IF('Settings'!$E$9="ESPN",VLOOKUP(B153,'ADP'!A1:E731,3,FALSE),IF('Settings'!$E$9="FANTRAX",VLOOKUP(B153,'ADP'!A1:E731,4,FALSE),VLOOKUP(B153,'ADP'!A1:E731,5,FALSE))))</f>
        <v>111</v>
      </c>
      <c r="N153" s="46">
        <f>_xlfn.IFERROR(M153-A153,"N/A")</f>
        <v>-49</v>
      </c>
      <c r="O153" s="46"/>
      <c r="P153" t="s" s="47">
        <f>IF('Settings'!$E$27="ON",VLOOKUP(B153,'ADP'!A1:H731,8,FALSE)," ")</f>
        <v>109</v>
      </c>
      <c r="Q153" s="48">
        <f>IF('Settings'!$E$12="YES",VLOOKUP(B153,'Player Data'!A1:E734,5,FALSE),82)</f>
        <v>68.7735714285714</v>
      </c>
      <c r="R153" s="46">
        <f>VLOOKUP(B153,'Player Data'!$A1:$AE734,6,FALSE)</f>
        <v>19.6999410709727</v>
      </c>
      <c r="S153" s="48">
        <f>VLOOKUP(B153,'Player Data'!$A1:$AE734,7,FALSE)*$Q153*_xlfn.IFERROR((VLOOKUP(P153,'Settings'!$E$28:$F$33,2,FALSE)+1),1)</f>
        <v>24.1127011530405</v>
      </c>
      <c r="T153" s="48">
        <f>VLOOKUP(B153,'Player Data'!$A1:$AE734,8,FALSE)*$Q153*_xlfn.IFERROR((VLOOKUP(P153,'Settings'!$E$28:$F$33,2,FALSE)+1),1)</f>
        <v>38.5500958904981</v>
      </c>
      <c r="U153" s="48">
        <f>SUM(S153:T153)</f>
        <v>62.6627970435386</v>
      </c>
      <c r="V153" s="48">
        <f>VLOOKUP(B153,'Player Data'!$A1:$AE734,10,FALSE)*$Q153*_xlfn.IFERROR(((VLOOKUP(P153,'Settings'!$E$28:$F$33,2,FALSE)/2)+1),1)</f>
        <v>170.106591238512</v>
      </c>
      <c r="W153" s="48">
        <f>VLOOKUP(B153,'Player Data'!$A1:$AE734,11,FALSE)*$Q153*_xlfn.IFERROR((VLOOKUP(P153,'Settings'!$E$28:$F$33,2,FALSE)+1),1)</f>
        <v>5.90153745648812</v>
      </c>
      <c r="X153" s="48">
        <f>VLOOKUP(B153,'Player Data'!$A1:$AE734,12,FALSE)*$Q153*_xlfn.IFERROR((VLOOKUP(P153,'Settings'!$E$28:$F$33,2,FALSE)+1),1)</f>
        <v>15.9742339920153</v>
      </c>
      <c r="Y153" s="48">
        <f>VLOOKUP(B153,'Player Data'!$A1:$AE734,13,FALSE)*$Q153</f>
        <v>1.7602291891211</v>
      </c>
      <c r="Z153" s="48">
        <f>VLOOKUP(B153,'Player Data'!$A1:$AE734,14,FALSE)*$Q153</f>
        <v>2.31500622158129</v>
      </c>
      <c r="AA153" s="48">
        <f>VLOOKUP(B153,'Player Data'!$A1:$AE734,15,FALSE)*$Q153</f>
        <v>39.5791508446981</v>
      </c>
      <c r="AB153" s="48">
        <f>VLOOKUP(B153,'Player Data'!$A1:$AE734,16,FALSE)*$Q153</f>
        <v>50.6999576610982</v>
      </c>
      <c r="AC153" s="48">
        <f>VLOOKUP(B153,'Player Data'!$A1:$AE734,17,FALSE)*$Q153*_xlfn.IFERROR((VLOOKUP(P153,'Settings'!$E$28:$F$33,2,FALSE)+1),1)</f>
        <v>7.18472581489705</v>
      </c>
      <c r="AD153" s="48">
        <f>VLOOKUP(B153,'Player Data'!$A1:$AE734,18,FALSE)*$Q153</f>
        <v>25.1035210354686</v>
      </c>
      <c r="AE153" s="48">
        <f>VLOOKUP(B153,'Player Data'!$A1:$AE734,19,FALSE)*$Q153*_xlfn.IFERROR((VLOOKUP(P153,'Settings'!$E$28:$F$33,2,FALSE)+1),1)</f>
        <v>3.94067327762046</v>
      </c>
      <c r="AF153" s="48">
        <f>VLOOKUP(B153,'Player Data'!$A1:$AE734,20,FALSE)*$Q153</f>
        <v>4.28015601272904</v>
      </c>
      <c r="AG153" s="48">
        <f>VLOOKUP(B153,'Player Data'!$A1:$AE734,21,FALSE)*$Q153</f>
        <v>12.9839083101653</v>
      </c>
      <c r="AH153" s="49">
        <f>VLOOKUP(B153,'Player Data'!$A1:$AE734,22,FALSE)</f>
        <v>0.247922849027676</v>
      </c>
      <c r="AI153" s="46"/>
      <c r="AJ153" s="48"/>
      <c r="AK153" s="48"/>
      <c r="AL153" s="48"/>
      <c r="AM153" s="48"/>
      <c r="AN153" s="48"/>
      <c r="AO153" s="48"/>
      <c r="AP153" s="48"/>
      <c r="AQ153" s="51"/>
      <c r="AR153" s="52"/>
      <c r="AS153" s="46"/>
    </row>
    <row r="154" ht="21.25" customHeight="1">
      <c r="A154" s="53">
        <f>RANK(K154,K2:K730)</f>
        <v>158</v>
      </c>
      <c r="B154" t="s" s="8">
        <v>305</v>
      </c>
      <c r="C154" t="s" s="39">
        <v>106</v>
      </c>
      <c r="D154" t="s" s="40">
        <f>VLOOKUP(B154,'Player Data'!A1:D734,4,FALSE)</f>
        <v>133</v>
      </c>
      <c r="E154" s="57">
        <f>VLOOKUP(B154,'LW'!A1:C156,3,FALSE)</f>
        <v>41</v>
      </c>
      <c r="F154" t="s" s="42">
        <f>VLOOKUP(B154,'Player Data'!A1:B734,2,FALSE)</f>
        <v>156</v>
      </c>
      <c r="G154" s="9">
        <f>VLOOKUP(B154,'Player Data'!A1:D734,3,FALSE)</f>
        <v>27</v>
      </c>
      <c r="H154" s="43">
        <f>_xlfn.IFERROR(VLOOKUP(B154,'ADP'!A1:G731,7,FALSE)/1000000,VLOOKUP(B154,'ADP'!A1:G731,7,FALSE))</f>
        <v>5.5</v>
      </c>
      <c r="I154" s="44">
        <f>IF('Settings'!$E$15="POINTS",((R154*Q154)*'Settings'!$B$12)+(S154*'Settings'!$B$2)+(T154*'Settings'!$B$3)+(U154*'Settings'!$B$4)+(V154*'Settings'!$B$5)+(X154*'Settings'!$B$9)+(AA154*'Settings'!$B$6)+(W154*'Settings'!$B$8)+(AB154*'Settings'!$B$7)+(AC154*'Settings'!$B$14)+(AD154*'Settings'!$B$15)+(AE154*'Settings'!$B$16)+(AF154*'Settings'!$B$17)+(AG154*'Settings'!$B$18)+(Y154*'Settings'!$B$10)+(Z154*'Settings'!$B$11),VLOOKUP(B154,'Standard Deviations'!A1:C731,3,FALSE))</f>
        <v>348.758348390877</v>
      </c>
      <c r="J154" s="45">
        <f>IF(D154="G",I154/AJ154,I154/Q154)</f>
        <v>4.27321385028337</v>
      </c>
      <c r="K154" s="44">
        <f>IF('Settings'!$E$18="C/LW/RW",VLOOKUP(B154,'LW'!A1:F156,6,FALSE),VLOOKUP(B154,'F'!A1:F432,6,FALSE))</f>
        <v>-32.870215315479</v>
      </c>
      <c r="L154" s="44">
        <f>_xlfn.IFERROR(K154/H154,"N/A")</f>
        <v>-5.97640278463255</v>
      </c>
      <c r="M154" s="46">
        <f>IF('Settings'!$E$9="YAHOO",VLOOKUP(B154,'ADP'!A1:E731,2,FALSE),IF('Settings'!$E$9="ESPN",VLOOKUP(B154,'ADP'!A1:E731,3,FALSE),IF('Settings'!$E$9="FANTRAX",VLOOKUP(B154,'ADP'!A1:E731,4,FALSE),VLOOKUP(B154,'ADP'!A1:E731,5,FALSE))))</f>
        <v>111</v>
      </c>
      <c r="N154" s="46">
        <f>_xlfn.IFERROR(M154-A154,"N/A")</f>
        <v>-47</v>
      </c>
      <c r="O154" s="46"/>
      <c r="P154" t="s" s="47">
        <f>IF('Settings'!$E$27="ON",VLOOKUP(B154,'ADP'!A1:H731,8,FALSE)," ")</f>
        <v>175</v>
      </c>
      <c r="Q154" s="48">
        <f>IF('Settings'!$E$12="YES",VLOOKUP(B154,'Player Data'!A1:E734,5,FALSE),82)</f>
        <v>81.61499999999999</v>
      </c>
      <c r="R154" s="46">
        <f>VLOOKUP(B154,'Player Data'!$A1:$AE734,6,FALSE)</f>
        <v>16.791718638704</v>
      </c>
      <c r="S154" s="48">
        <f>VLOOKUP(B154,'Player Data'!$A1:$AE734,7,FALSE)*$Q154*_xlfn.IFERROR((VLOOKUP(P154,'Settings'!$E$28:$F$33,2,FALSE)+1),1)</f>
        <v>34.2139002638376</v>
      </c>
      <c r="T154" s="48">
        <f>VLOOKUP(B154,'Player Data'!$A1:$AE734,8,FALSE)*$Q154*_xlfn.IFERROR((VLOOKUP(P154,'Settings'!$E$28:$F$33,2,FALSE)+1),1)</f>
        <v>34.4080617305625</v>
      </c>
      <c r="U154" s="48">
        <f>SUM(S154:T154)</f>
        <v>68.6219619944001</v>
      </c>
      <c r="V154" s="48">
        <f>VLOOKUP(B154,'Player Data'!$A1:$AE734,10,FALSE)*$Q154*_xlfn.IFERROR(((VLOOKUP(P154,'Settings'!$E$28:$F$33,2,FALSE)/2)+1),1)</f>
        <v>149.735708461678</v>
      </c>
      <c r="W154" s="48">
        <f>VLOOKUP(B154,'Player Data'!$A1:$AE734,11,FALSE)*$Q154*_xlfn.IFERROR((VLOOKUP(P154,'Settings'!$E$28:$F$33,2,FALSE)+1),1)</f>
        <v>10.1761097954606</v>
      </c>
      <c r="X154" s="48">
        <f>VLOOKUP(B154,'Player Data'!$A1:$AE734,12,FALSE)*$Q154*_xlfn.IFERROR((VLOOKUP(P154,'Settings'!$E$28:$F$33,2,FALSE)+1),1)</f>
        <v>16.6055405808102</v>
      </c>
      <c r="Y154" s="48">
        <f>VLOOKUP(B154,'Player Data'!$A1:$AE734,13,FALSE)*$Q154</f>
        <v>0.00112424280513383</v>
      </c>
      <c r="Z154" s="48">
        <f>VLOOKUP(B154,'Player Data'!$A1:$AE734,14,FALSE)*$Q154</f>
        <v>0.0020514602377548</v>
      </c>
      <c r="AA154" s="48">
        <f>VLOOKUP(B154,'Player Data'!$A1:$AE734,15,FALSE)*$Q154</f>
        <v>21.3854360716991</v>
      </c>
      <c r="AB154" s="48">
        <f>VLOOKUP(B154,'Player Data'!$A1:$AE734,16,FALSE)*$Q154</f>
        <v>24.0277472990253</v>
      </c>
      <c r="AC154" s="48">
        <f>VLOOKUP(B154,'Player Data'!$A1:$AE734,17,FALSE)*$Q154*_xlfn.IFERROR((VLOOKUP(P154,'Settings'!$E$28:$F$33,2,FALSE)+1),1)</f>
        <v>2.84903435902857</v>
      </c>
      <c r="AD154" s="48">
        <f>VLOOKUP(B154,'Player Data'!$A1:$AE734,18,FALSE)*$Q154</f>
        <v>16.1438885556307</v>
      </c>
      <c r="AE154" s="48">
        <f>VLOOKUP(B154,'Player Data'!$A1:$AE734,19,FALSE)*$Q154*_xlfn.IFERROR((VLOOKUP(P154,'Settings'!$E$28:$F$33,2,FALSE)+1),1)</f>
        <v>4.84330771069571</v>
      </c>
      <c r="AF154" s="48">
        <f>VLOOKUP(B154,'Player Data'!$A1:$AE734,20,FALSE)*$Q154</f>
        <v>0</v>
      </c>
      <c r="AG154" s="48">
        <f>VLOOKUP(B154,'Player Data'!$A1:$AE734,21,FALSE)*$Q154</f>
        <v>1.04171248931865</v>
      </c>
      <c r="AH154" s="49">
        <f>VLOOKUP(B154,'Player Data'!$A1:$AE734,22,FALSE)</f>
        <v>0</v>
      </c>
      <c r="AI154" s="46"/>
      <c r="AJ154" s="50"/>
      <c r="AK154" s="48"/>
      <c r="AL154" s="48"/>
      <c r="AM154" s="48"/>
      <c r="AN154" s="48"/>
      <c r="AO154" s="48"/>
      <c r="AP154" s="48"/>
      <c r="AQ154" s="51"/>
      <c r="AR154" s="52"/>
      <c r="AS154" s="50"/>
    </row>
    <row r="155" ht="21.25" customHeight="1">
      <c r="A155" s="53">
        <f>RANK(K155,K2:K730)</f>
        <v>195</v>
      </c>
      <c r="B155" t="s" s="8">
        <v>306</v>
      </c>
      <c r="C155" t="s" s="39">
        <v>106</v>
      </c>
      <c r="D155" t="s" s="40">
        <f>VLOOKUP(B155,'Player Data'!A1:D734,4,FALSE)</f>
        <v>129</v>
      </c>
      <c r="E155" s="56">
        <f>VLOOKUP(B155,'D'!A1:C228,3,FALSE)</f>
        <v>47</v>
      </c>
      <c r="F155" t="s" s="42">
        <f>VLOOKUP(B155,'Player Data'!A1:B734,2,FALSE)</f>
        <v>122</v>
      </c>
      <c r="G155" s="9">
        <f>VLOOKUP(B155,'Player Data'!A1:D734,3,FALSE)</f>
        <v>29</v>
      </c>
      <c r="H155" s="43">
        <f>_xlfn.IFERROR(VLOOKUP(B155,'ADP'!A1:G731,7,FALSE)/1000000,VLOOKUP(B155,'ADP'!A1:G731,7,FALSE))</f>
        <v>6.5</v>
      </c>
      <c r="I155" s="44">
        <f>IF('Settings'!$E$15="POINTS",((R155*Q155)*'Settings'!$B$12)+(S155*'Settings'!$B$2)+(T155*'Settings'!$B$3)+(U155*'Settings'!$B$4)+(V155*'Settings'!$B$5)+(X155*'Settings'!$B$9)+(AA155*'Settings'!$B$6)+(W155*'Settings'!$B$8)+(AB155*'Settings'!$B$7)+(AC155*'Settings'!$B$14)+(AD155*'Settings'!$B$15)+(AE155*'Settings'!$B$16)+(AF155*'Settings'!$B$17)+(AG155*'Settings'!$B$18)+(U155*'Settings'!$B$13)+(Y155*'Settings'!$B$10)+(Z155*'Settings'!$B$11),VLOOKUP(B155,'Standard Deviations'!A1:C731,3,FALSE))</f>
        <v>275.686804761654</v>
      </c>
      <c r="J155" s="45">
        <f>IF(D155="G",I155/AJ155,I155/Q155)</f>
        <v>3.58675302991256</v>
      </c>
      <c r="K155" s="44">
        <f>VLOOKUP(B155,'D'!A1:F228,6,FALSE)</f>
        <v>-65.048333884869</v>
      </c>
      <c r="L155" s="44">
        <f>_xlfn.IFERROR(K155/H155,"N/A")</f>
        <v>-10.0074359822875</v>
      </c>
      <c r="M155" s="46">
        <f>IF('Settings'!$E$9="YAHOO",VLOOKUP(B155,'ADP'!A1:E731,2,FALSE),IF('Settings'!$E$9="ESPN",VLOOKUP(B155,'ADP'!A1:E731,3,FALSE),IF('Settings'!$E$9="FANTRAX",VLOOKUP(B155,'ADP'!A1:E731,4,FALSE),VLOOKUP(B155,'ADP'!A1:E731,5,FALSE))))</f>
        <v>156.89</v>
      </c>
      <c r="N155" s="46">
        <f>_xlfn.IFERROR(M155-A155,"N/A")</f>
        <v>-38.11</v>
      </c>
      <c r="O155" s="46"/>
      <c r="P155" t="s" s="47">
        <f>IF('Settings'!$E$27="ON",VLOOKUP(B155,'ADP'!A1:H731,8,FALSE)," ")</f>
        <v>116</v>
      </c>
      <c r="Q155" s="48">
        <f>IF('Settings'!$E$12="YES",VLOOKUP(B155,'Player Data'!A1:E734,5,FALSE),82)</f>
        <v>76.8625</v>
      </c>
      <c r="R155" s="46">
        <f>VLOOKUP(B155,'Player Data'!$A1:$AE734,6,FALSE)</f>
        <v>21.5572984632042</v>
      </c>
      <c r="S155" s="48">
        <f>VLOOKUP(B155,'Player Data'!$A1:$AE734,7,FALSE)*$Q155*_xlfn.IFERROR((VLOOKUP(P155,'Settings'!$E$28:$F$33,2,FALSE)+1),1)</f>
        <v>7.54697495647316</v>
      </c>
      <c r="T155" s="48">
        <f>VLOOKUP(B155,'Player Data'!$A1:$AE734,8,FALSE)*$Q155*_xlfn.IFERROR((VLOOKUP(P155,'Settings'!$E$28:$F$33,2,FALSE)+1),1)</f>
        <v>33.2301200822981</v>
      </c>
      <c r="U155" s="48">
        <f>SUM(S155:T155)</f>
        <v>40.7770950387713</v>
      </c>
      <c r="V155" s="48">
        <f>VLOOKUP(B155,'Player Data'!$A1:$AE734,10,FALSE)*$Q155*_xlfn.IFERROR(((VLOOKUP(P155,'Settings'!$E$28:$F$33,2,FALSE)/2)+1),1)</f>
        <v>145.002881270611</v>
      </c>
      <c r="W155" s="48">
        <f>VLOOKUP(B155,'Player Data'!$A1:$AE734,11,FALSE)*$Q155*_xlfn.IFERROR((VLOOKUP(P155,'Settings'!$E$28:$F$33,2,FALSE)+1),1)</f>
        <v>1.25036405349374</v>
      </c>
      <c r="X155" s="48">
        <f>VLOOKUP(B155,'Player Data'!$A1:$AE734,12,FALSE)*$Q155*_xlfn.IFERROR((VLOOKUP(P155,'Settings'!$E$28:$F$33,2,FALSE)+1),1)</f>
        <v>13.5469668557613</v>
      </c>
      <c r="Y155" s="48">
        <f>VLOOKUP(B155,'Player Data'!$A1:$AE734,13,FALSE)*$Q155</f>
        <v>0.0292957556012286</v>
      </c>
      <c r="Z155" s="48">
        <f>VLOOKUP(B155,'Player Data'!$A1:$AE734,14,FALSE)*$Q155</f>
        <v>0.371749441377634</v>
      </c>
      <c r="AA155" s="48">
        <f>VLOOKUP(B155,'Player Data'!$A1:$AE734,15,FALSE)*$Q155</f>
        <v>97.52757342119919</v>
      </c>
      <c r="AB155" s="48">
        <f>VLOOKUP(B155,'Player Data'!$A1:$AE734,16,FALSE)*$Q155</f>
        <v>80.1053239278789</v>
      </c>
      <c r="AC155" s="48">
        <f>VLOOKUP(B155,'Player Data'!$A1:$AE734,17,FALSE)*$Q155*_xlfn.IFERROR((VLOOKUP(P155,'Settings'!$E$28:$F$33,2,FALSE)+1),1)</f>
        <v>6.41189248349048</v>
      </c>
      <c r="AD155" s="48">
        <f>VLOOKUP(B155,'Player Data'!$A1:$AE734,18,FALSE)*$Q155</f>
        <v>50.2867199456975</v>
      </c>
      <c r="AE155" s="48">
        <f>VLOOKUP(B155,'Player Data'!$A1:$AE734,19,FALSE)*$Q155*_xlfn.IFERROR((VLOOKUP(P155,'Settings'!$E$28:$F$33,2,FALSE)+1),1)</f>
        <v>1.26698857540078</v>
      </c>
      <c r="AF155" s="48">
        <f>VLOOKUP(B155,'Player Data'!$A1:$AE734,20,FALSE)*$Q155</f>
        <v>0</v>
      </c>
      <c r="AG155" s="48">
        <f>VLOOKUP(B155,'Player Data'!$A1:$AE734,21,FALSE)*$Q155</f>
        <v>0</v>
      </c>
      <c r="AH155" s="49">
        <f>VLOOKUP(B155,'Player Data'!$A1:$AE734,22,FALSE)</f>
        <v>0</v>
      </c>
      <c r="AI155" s="46"/>
      <c r="AJ155" s="50"/>
      <c r="AK155" s="48"/>
      <c r="AL155" s="48"/>
      <c r="AM155" s="48"/>
      <c r="AN155" s="48"/>
      <c r="AO155" s="48"/>
      <c r="AP155" s="48"/>
      <c r="AQ155" s="51"/>
      <c r="AR155" s="52"/>
      <c r="AS155" s="46"/>
    </row>
    <row r="156" ht="21.25" customHeight="1">
      <c r="A156" s="53">
        <f>RANK(K156,K2:K730)</f>
        <v>178</v>
      </c>
      <c r="B156" t="s" s="8">
        <v>307</v>
      </c>
      <c r="C156" t="s" s="39">
        <v>106</v>
      </c>
      <c r="D156" t="s" s="40">
        <f>VLOOKUP(B156,'Player Data'!A1:D734,4,FALSE)</f>
        <v>118</v>
      </c>
      <c r="E156" s="54">
        <f>VLOOKUP(B156,'LW'!A1:C156,3,FALSE)</f>
        <v>47</v>
      </c>
      <c r="F156" t="s" s="42">
        <f>VLOOKUP(B156,'Player Data'!A1:B734,2,FALSE)</f>
        <v>204</v>
      </c>
      <c r="G156" s="9">
        <f>VLOOKUP(B156,'Player Data'!A1:D734,3,FALSE)</f>
        <v>30</v>
      </c>
      <c r="H156" s="43">
        <f>_xlfn.IFERROR(VLOOKUP(B156,'ADP'!A1:G731,7,FALSE)/1000000,VLOOKUP(B156,'ADP'!A1:G731,7,FALSE))</f>
        <v>4.25</v>
      </c>
      <c r="I156" s="44">
        <f>IF('Settings'!$E$15="POINTS",((R156*Q156)*'Settings'!$B$12)+(S156*'Settings'!$B$2)+(T156*'Settings'!$B$3)+(U156*'Settings'!$B$4)+(V156*'Settings'!$B$5)+(X156*'Settings'!$B$9)+(AA156*'Settings'!$B$6)+(W156*'Settings'!$B$8)+(AB156*'Settings'!$B$7)+(AC156*'Settings'!$B$14)+(AD156*'Settings'!$B$15)+(AE156*'Settings'!$B$16)+(AF156*'Settings'!$B$17)+(AG156*'Settings'!$B$18)+(Y156*'Settings'!$B$10)+(Z156*'Settings'!$B$11),VLOOKUP(B156,'Standard Deviations'!A1:C731,3,FALSE))</f>
        <v>331.115612179120</v>
      </c>
      <c r="J156" s="45">
        <f>IF(D156="G",I156/AJ156,I156/Q156)</f>
        <v>4.24159555172974</v>
      </c>
      <c r="K156" s="44">
        <f>IF('Settings'!$E$18="C/LW/RW",VLOOKUP(B156,'RW'!A1:F132,6,FALSE),VLOOKUP(B156,'F'!A1:F432,6,FALSE))</f>
        <v>-50.512951527236</v>
      </c>
      <c r="L156" s="44">
        <f>_xlfn.IFERROR(K156/H156,"N/A")</f>
        <v>-11.8854003593496</v>
      </c>
      <c r="M156" s="46">
        <f>IF('Settings'!$E$9="YAHOO",VLOOKUP(B156,'ADP'!A1:E731,2,FALSE),IF('Settings'!$E$9="ESPN",VLOOKUP(B156,'ADP'!A1:E731,3,FALSE),IF('Settings'!$E$9="FANTRAX",VLOOKUP(B156,'ADP'!A1:E731,4,FALSE),VLOOKUP(B156,'ADP'!A1:E731,5,FALSE))))</f>
        <v>131.39</v>
      </c>
      <c r="N156" s="46">
        <f>_xlfn.IFERROR(M156-A156,"N/A")</f>
        <v>-46.61</v>
      </c>
      <c r="O156" s="46"/>
      <c r="P156" t="s" s="47">
        <f>IF('Settings'!$E$27="ON",VLOOKUP(B156,'ADP'!A1:H731,8,FALSE)," ")</f>
        <v>109</v>
      </c>
      <c r="Q156" s="48">
        <f>IF('Settings'!$E$12="YES",VLOOKUP(B156,'Player Data'!A1:E734,5,FALSE),82)</f>
        <v>78.0639285714286</v>
      </c>
      <c r="R156" s="46">
        <f>VLOOKUP(B156,'Player Data'!$A1:$AE734,6,FALSE)</f>
        <v>16.4601035480486</v>
      </c>
      <c r="S156" s="48">
        <f>VLOOKUP(B156,'Player Data'!$A1:$AE734,7,FALSE)*$Q156*_xlfn.IFERROR((VLOOKUP(P156,'Settings'!$E$28:$F$33,2,FALSE)+1),1)</f>
        <v>21.5015294560977</v>
      </c>
      <c r="T156" s="48">
        <f>VLOOKUP(B156,'Player Data'!$A1:$AE734,8,FALSE)*$Q156*_xlfn.IFERROR((VLOOKUP(P156,'Settings'!$E$28:$F$33,2,FALSE)+1),1)</f>
        <v>30.327811113427</v>
      </c>
      <c r="U156" s="48">
        <f>SUM(S156:T156)</f>
        <v>51.8293405695247</v>
      </c>
      <c r="V156" s="48">
        <f>VLOOKUP(B156,'Player Data'!$A1:$AE734,10,FALSE)*$Q156*_xlfn.IFERROR(((VLOOKUP(P156,'Settings'!$E$28:$F$33,2,FALSE)/2)+1),1)</f>
        <v>224.042803825888</v>
      </c>
      <c r="W156" s="48">
        <f>VLOOKUP(B156,'Player Data'!$A1:$AE734,11,FALSE)*$Q156*_xlfn.IFERROR((VLOOKUP(P156,'Settings'!$E$28:$F$33,2,FALSE)+1),1)</f>
        <v>6.40300012095453</v>
      </c>
      <c r="X156" s="48">
        <f>VLOOKUP(B156,'Player Data'!$A1:$AE734,12,FALSE)*$Q156*_xlfn.IFERROR((VLOOKUP(P156,'Settings'!$E$28:$F$33,2,FALSE)+1),1)</f>
        <v>15.3937813432733</v>
      </c>
      <c r="Y156" s="48">
        <f>VLOOKUP(B156,'Player Data'!$A1:$AE734,13,FALSE)*$Q156</f>
        <v>0.104908678514966</v>
      </c>
      <c r="Z156" s="48">
        <f>VLOOKUP(B156,'Player Data'!$A1:$AE734,14,FALSE)*$Q156</f>
        <v>0.121648660507786</v>
      </c>
      <c r="AA156" s="48">
        <f>VLOOKUP(B156,'Player Data'!$A1:$AE734,15,FALSE)*$Q156</f>
        <v>46.7255372824069</v>
      </c>
      <c r="AB156" s="48">
        <f>VLOOKUP(B156,'Player Data'!$A1:$AE734,16,FALSE)*$Q156</f>
        <v>30.9913136449448</v>
      </c>
      <c r="AC156" s="48">
        <f>VLOOKUP(B156,'Player Data'!$A1:$AE734,17,FALSE)*$Q156*_xlfn.IFERROR((VLOOKUP(P156,'Settings'!$E$28:$F$33,2,FALSE)+1),1)</f>
        <v>0.962405029718329</v>
      </c>
      <c r="AD156" s="48">
        <f>VLOOKUP(B156,'Player Data'!$A1:$AE734,18,FALSE)*$Q156</f>
        <v>26.8645098318856</v>
      </c>
      <c r="AE156" s="48">
        <f>VLOOKUP(B156,'Player Data'!$A1:$AE734,19,FALSE)*$Q156*_xlfn.IFERROR((VLOOKUP(P156,'Settings'!$E$28:$F$33,2,FALSE)+1),1)</f>
        <v>3.18353915061416</v>
      </c>
      <c r="AF156" s="48">
        <f>VLOOKUP(B156,'Player Data'!$A1:$AE734,20,FALSE)*$Q156</f>
        <v>21.8466347977373</v>
      </c>
      <c r="AG156" s="48">
        <f>VLOOKUP(B156,'Player Data'!$A1:$AE734,21,FALSE)*$Q156</f>
        <v>36.7494706571358</v>
      </c>
      <c r="AH156" s="49">
        <f>VLOOKUP(B156,'Player Data'!$A1:$AE734,22,FALSE)</f>
        <v>0.372834246032992</v>
      </c>
      <c r="AI156" s="46"/>
      <c r="AJ156" s="50"/>
      <c r="AK156" s="48"/>
      <c r="AL156" s="48"/>
      <c r="AM156" s="48"/>
      <c r="AN156" s="48"/>
      <c r="AO156" s="48"/>
      <c r="AP156" s="48"/>
      <c r="AQ156" s="51"/>
      <c r="AR156" s="52"/>
      <c r="AS156" s="50"/>
    </row>
    <row r="157" ht="21.25" customHeight="1">
      <c r="A157" s="53">
        <f>RANK(K157,K2:K730)</f>
        <v>135</v>
      </c>
      <c r="B157" t="s" s="8">
        <v>308</v>
      </c>
      <c r="C157" t="s" s="39">
        <v>106</v>
      </c>
      <c r="D157" t="s" s="40">
        <f>VLOOKUP(B157,'Player Data'!A1:D734,4,FALSE)</f>
        <v>121</v>
      </c>
      <c r="E157" s="55">
        <f>VLOOKUP(B157,'RW'!A1:F132,3,FALSE)</f>
        <v>29</v>
      </c>
      <c r="F157" t="s" s="42">
        <f>VLOOKUP(B157,'Player Data'!A1:B734,2,FALSE)</f>
        <v>236</v>
      </c>
      <c r="G157" s="9">
        <f>VLOOKUP(B157,'Player Data'!A1:D734,3,FALSE)</f>
        <v>24</v>
      </c>
      <c r="H157" s="43">
        <f>_xlfn.IFERROR(VLOOKUP(B157,'ADP'!A1:G731,7,FALSE)/1000000,VLOOKUP(B157,'ADP'!A1:G731,7,FALSE))</f>
        <v>1.5</v>
      </c>
      <c r="I157" s="44">
        <f>IF('Settings'!$E$15="POINTS",((R157*Q157)*'Settings'!$B$12)+(S157*'Settings'!$B$2)+(T157*'Settings'!$B$3)+(U157*'Settings'!$B$4)+(V157*'Settings'!$B$5)+(X157*'Settings'!$B$9)+(AA157*'Settings'!$B$6)+(W157*'Settings'!$B$8)+(AB157*'Settings'!$B$7)+(AC157*'Settings'!$B$14)+(AD157*'Settings'!$B$15)+(AE157*'Settings'!$B$16)+(AF157*'Settings'!$B$17)+(AG157*'Settings'!$B$18)+(Y157*'Settings'!$B$10)+(Z157*'Settings'!$B$11),VLOOKUP(B157,'Standard Deviations'!A1:C731,3,FALSE))</f>
        <v>364.761632112287</v>
      </c>
      <c r="J157" s="45">
        <f>IF(D157="G",I157/AJ157,I157/Q157)</f>
        <v>4.74213493696734</v>
      </c>
      <c r="K157" s="44">
        <f>IF('Settings'!$E$18="C/LW/RW",VLOOKUP(B157,'RW'!A1:F132,6,FALSE),VLOOKUP(B157,'F'!A1:F432,6,FALSE))</f>
        <v>-16.866931594069</v>
      </c>
      <c r="L157" s="44">
        <f>_xlfn.IFERROR(K157/H157,"N/A")</f>
        <v>-11.2446210627127</v>
      </c>
      <c r="M157" s="46">
        <f>IF('Settings'!$E$9="YAHOO",VLOOKUP(B157,'ADP'!A1:E731,2,FALSE),IF('Settings'!$E$9="ESPN",VLOOKUP(B157,'ADP'!A1:E731,3,FALSE),IF('Settings'!$E$9="FANTRAX",VLOOKUP(B157,'ADP'!A1:E731,4,FALSE),VLOOKUP(B157,'ADP'!A1:E731,5,FALSE))))</f>
        <v>132.78</v>
      </c>
      <c r="N157" s="46">
        <f>_xlfn.IFERROR(M157-A157,"N/A")</f>
        <v>-2.22</v>
      </c>
      <c r="O157" s="46"/>
      <c r="P157" t="s" s="47">
        <f>IF('Settings'!$E$27="ON",VLOOKUP(B157,'ADP'!A1:H731,8,FALSE)," ")</f>
        <v>109</v>
      </c>
      <c r="Q157" s="48">
        <f>IF('Settings'!$E$12="YES",VLOOKUP(B157,'Player Data'!A1:E734,5,FALSE),82)</f>
        <v>76.91928571428571</v>
      </c>
      <c r="R157" s="46">
        <f>VLOOKUP(B157,'Player Data'!$A1:$AE734,6,FALSE)</f>
        <v>17.7712156318796</v>
      </c>
      <c r="S157" s="48">
        <f>VLOOKUP(B157,'Player Data'!$A1:$AE734,7,FALSE)*$Q157*_xlfn.IFERROR((VLOOKUP(P157,'Settings'!$E$28:$F$33,2,FALSE)+1),1)</f>
        <v>25.5622291242834</v>
      </c>
      <c r="T157" s="48">
        <f>VLOOKUP(B157,'Player Data'!$A1:$AE734,8,FALSE)*$Q157*_xlfn.IFERROR((VLOOKUP(P157,'Settings'!$E$28:$F$33,2,FALSE)+1),1)</f>
        <v>25.2387965846175</v>
      </c>
      <c r="U157" s="48">
        <f>SUM(S157:T157)</f>
        <v>50.8010257089009</v>
      </c>
      <c r="V157" s="48">
        <f>VLOOKUP(B157,'Player Data'!$A1:$AE734,10,FALSE)*$Q157*_xlfn.IFERROR(((VLOOKUP(P157,'Settings'!$E$28:$F$33,2,FALSE)/2)+1),1)</f>
        <v>229.822033138370</v>
      </c>
      <c r="W157" s="48">
        <f>VLOOKUP(B157,'Player Data'!$A1:$AE734,11,FALSE)*$Q157*_xlfn.IFERROR((VLOOKUP(P157,'Settings'!$E$28:$F$33,2,FALSE)+1),1)</f>
        <v>8.126845073809831</v>
      </c>
      <c r="X157" s="48">
        <f>VLOOKUP(B157,'Player Data'!$A1:$AE734,12,FALSE)*$Q157*_xlfn.IFERROR((VLOOKUP(P157,'Settings'!$E$28:$F$33,2,FALSE)+1),1)</f>
        <v>14.447118279177</v>
      </c>
      <c r="Y157" s="48">
        <f>VLOOKUP(B157,'Player Data'!$A1:$AE734,13,FALSE)*$Q157</f>
        <v>0.0684866167024664</v>
      </c>
      <c r="Z157" s="48">
        <f>VLOOKUP(B157,'Player Data'!$A1:$AE734,14,FALSE)*$Q157</f>
        <v>0.125421631377218</v>
      </c>
      <c r="AA157" s="48">
        <f>VLOOKUP(B157,'Player Data'!$A1:$AE734,15,FALSE)*$Q157</f>
        <v>55.4624805370576</v>
      </c>
      <c r="AB157" s="48">
        <f>VLOOKUP(B157,'Player Data'!$A1:$AE734,16,FALSE)*$Q157</f>
        <v>124.488444794764</v>
      </c>
      <c r="AC157" s="48">
        <f>VLOOKUP(B157,'Player Data'!$A1:$AE734,17,FALSE)*$Q157*_xlfn.IFERROR((VLOOKUP(P157,'Settings'!$E$28:$F$33,2,FALSE)+1),1)</f>
        <v>-5.75428797222481</v>
      </c>
      <c r="AD157" s="48">
        <f>VLOOKUP(B157,'Player Data'!$A1:$AE734,18,FALSE)*$Q157</f>
        <v>20.5341059341896</v>
      </c>
      <c r="AE157" s="48">
        <f>VLOOKUP(B157,'Player Data'!$A1:$AE734,19,FALSE)*$Q157*_xlfn.IFERROR((VLOOKUP(P157,'Settings'!$E$28:$F$33,2,FALSE)+1),1)</f>
        <v>3.00472864366027</v>
      </c>
      <c r="AF157" s="48">
        <f>VLOOKUP(B157,'Player Data'!$A1:$AE734,20,FALSE)*$Q157</f>
        <v>19.8780541782616</v>
      </c>
      <c r="AG157" s="48">
        <f>VLOOKUP(B157,'Player Data'!$A1:$AE734,21,FALSE)*$Q157</f>
        <v>15.4612811110603</v>
      </c>
      <c r="AH157" s="49">
        <f>VLOOKUP(B157,'Player Data'!$A1:$AE734,22,FALSE)</f>
        <v>0.562490890547903</v>
      </c>
      <c r="AI157" s="46"/>
      <c r="AJ157" s="48"/>
      <c r="AK157" s="48"/>
      <c r="AL157" s="48"/>
      <c r="AM157" s="48"/>
      <c r="AN157" s="48"/>
      <c r="AO157" s="48"/>
      <c r="AP157" s="48"/>
      <c r="AQ157" s="51"/>
      <c r="AR157" s="52"/>
      <c r="AS157" s="46"/>
    </row>
    <row r="158" ht="21.25" customHeight="1">
      <c r="A158" s="53">
        <f>RANK(K158,K2:K730)</f>
        <v>167</v>
      </c>
      <c r="B158" t="s" s="8">
        <v>309</v>
      </c>
      <c r="C158" t="s" s="39">
        <v>106</v>
      </c>
      <c r="D158" t="s" s="40">
        <f>VLOOKUP(B158,'Player Data'!A1:D734,4,FALSE)</f>
        <v>107</v>
      </c>
      <c r="E158" s="41">
        <f>VLOOKUP(B158,'C'!A1:C218,3,FALSE)</f>
        <v>49</v>
      </c>
      <c r="F158" t="s" s="42">
        <f>VLOOKUP(B158,'Player Data'!A1:B734,2,FALSE)</f>
        <v>122</v>
      </c>
      <c r="G158" s="9">
        <f>VLOOKUP(B158,'Player Data'!A1:D734,3,FALSE)</f>
        <v>26</v>
      </c>
      <c r="H158" s="43">
        <f>_xlfn.IFERROR(VLOOKUP(B158,'ADP'!A1:G731,7,FALSE)/1000000,VLOOKUP(B158,'ADP'!A1:G731,7,FALSE))</f>
        <v>4.75</v>
      </c>
      <c r="I158" s="44">
        <f>IF('Settings'!$E$15="POINTS",((R158*Q158)*'Settings'!$B$12)+(S158*'Settings'!$B$2)+(T158*'Settings'!$B$3)+(U158*'Settings'!$B$4)+(V158*'Settings'!$B$5)+(X158*'Settings'!$B$9)+(AA158*'Settings'!$B$6)+(W158*'Settings'!$B$8)+(AB158*'Settings'!$B$7)+(AC158*'Settings'!$B$14)+(AD158*'Settings'!$B$15)+(AE158*'Settings'!$B$16)+(AF158*'Settings'!$B$17)+(AG158*'Settings'!$B$18)+(Y158*'Settings'!$B$10)+(Z158*'Settings'!$B$11),VLOOKUP(B158,'Standard Deviations'!A1:C731,3,FALSE))</f>
        <v>356.089745401664</v>
      </c>
      <c r="J158" s="45">
        <f>IF(D158="G",I158/AJ158,I158/Q158)</f>
        <v>4.47903580854189</v>
      </c>
      <c r="K158" s="44">
        <f>IF('Settings'!$E$18="C/LW/RW",VLOOKUP(B158,'C'!A1:F218,6,FALSE),VLOOKUP(B158,'F'!A1:F432,6,FALSE))</f>
        <v>-39.684456234351</v>
      </c>
      <c r="L158" s="44">
        <f>_xlfn.IFERROR(K158/H158,"N/A")</f>
        <v>-8.354622365126531</v>
      </c>
      <c r="M158" s="46">
        <f>IF('Settings'!$E$9="YAHOO",VLOOKUP(B158,'ADP'!A1:E731,2,FALSE),IF('Settings'!$E$9="ESPN",VLOOKUP(B158,'ADP'!A1:E731,3,FALSE),IF('Settings'!$E$9="FANTRAX",VLOOKUP(B158,'ADP'!A1:E731,4,FALSE),VLOOKUP(B158,'ADP'!A1:E731,5,FALSE))))</f>
        <v>174.92</v>
      </c>
      <c r="N158" s="46">
        <f>_xlfn.IFERROR(M158-A158,"N/A")</f>
        <v>7.92</v>
      </c>
      <c r="O158" s="46"/>
      <c r="P158" t="s" s="47">
        <f>IF('Settings'!$E$27="ON",VLOOKUP(B158,'ADP'!A1:H731,8,FALSE)," ")</f>
        <v>109</v>
      </c>
      <c r="Q158" s="48">
        <f>IF('Settings'!$E$12="YES",VLOOKUP(B158,'Player Data'!A1:E734,5,FALSE),82)</f>
        <v>79.5014285714286</v>
      </c>
      <c r="R158" s="46">
        <f>VLOOKUP(B158,'Player Data'!$A1:$AE734,6,FALSE)</f>
        <v>20.0239784051194</v>
      </c>
      <c r="S158" s="48">
        <f>VLOOKUP(B158,'Player Data'!$A1:$AE734,7,FALSE)*$Q158*_xlfn.IFERROR((VLOOKUP(P158,'Settings'!$E$28:$F$33,2,FALSE)+1),1)</f>
        <v>25.8214476021097</v>
      </c>
      <c r="T158" s="48">
        <f>VLOOKUP(B158,'Player Data'!$A1:$AE734,8,FALSE)*$Q158*_xlfn.IFERROR((VLOOKUP(P158,'Settings'!$E$28:$F$33,2,FALSE)+1),1)</f>
        <v>38.967223845323</v>
      </c>
      <c r="U158" s="48">
        <f>SUM(S158:T158)</f>
        <v>64.78867144743271</v>
      </c>
      <c r="V158" s="48">
        <f>VLOOKUP(B158,'Player Data'!$A1:$AE734,10,FALSE)*$Q158*_xlfn.IFERROR(((VLOOKUP(P158,'Settings'!$E$28:$F$33,2,FALSE)/2)+1),1)</f>
        <v>173.887084467509</v>
      </c>
      <c r="W158" s="48">
        <f>VLOOKUP(B158,'Player Data'!$A1:$AE734,11,FALSE)*$Q158*_xlfn.IFERROR((VLOOKUP(P158,'Settings'!$E$28:$F$33,2,FALSE)+1),1)</f>
        <v>6.68306101984754</v>
      </c>
      <c r="X158" s="48">
        <f>VLOOKUP(B158,'Player Data'!$A1:$AE734,12,FALSE)*$Q158*_xlfn.IFERROR((VLOOKUP(P158,'Settings'!$E$28:$F$33,2,FALSE)+1),1)</f>
        <v>16.2886823584244</v>
      </c>
      <c r="Y158" s="48">
        <f>VLOOKUP(B158,'Player Data'!$A1:$AE734,13,FALSE)*$Q158</f>
        <v>0.200090469355413</v>
      </c>
      <c r="Z158" s="48">
        <f>VLOOKUP(B158,'Player Data'!$A1:$AE734,14,FALSE)*$Q158</f>
        <v>1.12702523868459</v>
      </c>
      <c r="AA158" s="48">
        <f>VLOOKUP(B158,'Player Data'!$A1:$AE734,15,FALSE)*$Q158</f>
        <v>26.5535676954635</v>
      </c>
      <c r="AB158" s="48">
        <f>VLOOKUP(B158,'Player Data'!$A1:$AE734,16,FALSE)*$Q158</f>
        <v>82.0687323893851</v>
      </c>
      <c r="AC158" s="48">
        <f>VLOOKUP(B158,'Player Data'!$A1:$AE734,17,FALSE)*$Q158*_xlfn.IFERROR((VLOOKUP(P158,'Settings'!$E$28:$F$33,2,FALSE)+1),1)</f>
        <v>3.7839534237885</v>
      </c>
      <c r="AD158" s="48">
        <f>VLOOKUP(B158,'Player Data'!$A1:$AE734,18,FALSE)*$Q158</f>
        <v>25.5551519724616</v>
      </c>
      <c r="AE158" s="48">
        <f>VLOOKUP(B158,'Player Data'!$A1:$AE734,19,FALSE)*$Q158*_xlfn.IFERROR((VLOOKUP(P158,'Settings'!$E$28:$F$33,2,FALSE)+1),1)</f>
        <v>4.3349129023043</v>
      </c>
      <c r="AF158" s="48">
        <f>VLOOKUP(B158,'Player Data'!$A1:$AE734,20,FALSE)*$Q158</f>
        <v>219.766666983310</v>
      </c>
      <c r="AG158" s="48">
        <f>VLOOKUP(B158,'Player Data'!$A1:$AE734,21,FALSE)*$Q158</f>
        <v>237.230127936681</v>
      </c>
      <c r="AH158" s="49">
        <f>VLOOKUP(B158,'Player Data'!$A1:$AE734,22,FALSE)</f>
        <v>0.480893234758431</v>
      </c>
      <c r="AI158" s="46"/>
      <c r="AJ158" s="50"/>
      <c r="AK158" s="48"/>
      <c r="AL158" s="48"/>
      <c r="AM158" s="48"/>
      <c r="AN158" s="48"/>
      <c r="AO158" s="48"/>
      <c r="AP158" s="48"/>
      <c r="AQ158" s="51"/>
      <c r="AR158" s="52"/>
      <c r="AS158" s="50"/>
    </row>
    <row r="159" ht="21.25" customHeight="1">
      <c r="A159" s="53">
        <f>RANK(K159,K2:K730)</f>
        <v>190</v>
      </c>
      <c r="B159" t="s" s="8">
        <v>310</v>
      </c>
      <c r="C159" t="s" s="39">
        <v>106</v>
      </c>
      <c r="D159" t="s" s="40">
        <f>VLOOKUP(B159,'Player Data'!A1:D734,4,FALSE)</f>
        <v>118</v>
      </c>
      <c r="E159" s="54">
        <f>VLOOKUP(B159,'LW'!A1:C156,3,FALSE)</f>
        <v>51</v>
      </c>
      <c r="F159" t="s" s="42">
        <f>VLOOKUP(B159,'Player Data'!A1:B734,2,FALSE)</f>
        <v>248</v>
      </c>
      <c r="G159" s="9">
        <f>VLOOKUP(B159,'Player Data'!A1:D734,3,FALSE)</f>
        <v>28</v>
      </c>
      <c r="H159" s="43">
        <f>_xlfn.IFERROR(VLOOKUP(B159,'ADP'!A1:G731,7,FALSE)/1000000,VLOOKUP(B159,'ADP'!A1:G731,7,FALSE))</f>
        <v>5.5</v>
      </c>
      <c r="I159" s="44">
        <f>IF('Settings'!$E$15="POINTS",((R159*Q159)*'Settings'!$B$12)+(S159*'Settings'!$B$2)+(T159*'Settings'!$B$3)+(U159*'Settings'!$B$4)+(V159*'Settings'!$B$5)+(X159*'Settings'!$B$9)+(AA159*'Settings'!$B$6)+(W159*'Settings'!$B$8)+(AB159*'Settings'!$B$7)+(AC159*'Settings'!$B$14)+(AD159*'Settings'!$B$15)+(AE159*'Settings'!$B$16)+(AF159*'Settings'!$B$17)+(AG159*'Settings'!$B$18)+(Y159*'Settings'!$B$10)+(Z159*'Settings'!$B$11),VLOOKUP(B159,'Standard Deviations'!A1:C731,3,FALSE))</f>
        <v>319.989471759405</v>
      </c>
      <c r="J159" s="45">
        <f>IF(D159="G",I159/AJ159,I159/Q159)</f>
        <v>4.24061813267671</v>
      </c>
      <c r="K159" s="44">
        <f>IF('Settings'!$E$18="C/LW/RW",VLOOKUP(B159,'RW'!A1:F132,6,FALSE),VLOOKUP(B159,'F'!A1:F432,6,FALSE))</f>
        <v>-61.639091946951</v>
      </c>
      <c r="L159" s="44">
        <f>_xlfn.IFERROR(K159/H159,"N/A")</f>
        <v>-11.2071076267184</v>
      </c>
      <c r="M159" s="46">
        <f>IF('Settings'!$E$9="YAHOO",VLOOKUP(B159,'ADP'!A1:E731,2,FALSE),IF('Settings'!$E$9="ESPN",VLOOKUP(B159,'ADP'!A1:E731,3,FALSE),IF('Settings'!$E$9="FANTRAX",VLOOKUP(B159,'ADP'!A1:E731,4,FALSE),VLOOKUP(B159,'ADP'!A1:E731,5,FALSE))))</f>
        <v>218.58</v>
      </c>
      <c r="N159" s="46">
        <f>_xlfn.IFERROR(M159-A159,"N/A")</f>
        <v>28.58</v>
      </c>
      <c r="O159" s="46"/>
      <c r="P159" t="s" s="47">
        <f>IF('Settings'!$E$27="ON",VLOOKUP(B159,'ADP'!A1:H731,8,FALSE)," ")</f>
        <v>109</v>
      </c>
      <c r="Q159" s="48">
        <f>IF('Settings'!$E$12="YES",VLOOKUP(B159,'Player Data'!A1:E734,5,FALSE),82)</f>
        <v>75.45821428571431</v>
      </c>
      <c r="R159" s="46">
        <f>VLOOKUP(B159,'Player Data'!$A1:$AE734,6,FALSE)</f>
        <v>16.6575737399841</v>
      </c>
      <c r="S159" s="48">
        <f>VLOOKUP(B159,'Player Data'!$A1:$AE734,7,FALSE)*$Q159*_xlfn.IFERROR((VLOOKUP(P159,'Settings'!$E$28:$F$33,2,FALSE)+1),1)</f>
        <v>22.1903450082909</v>
      </c>
      <c r="T159" s="48">
        <f>VLOOKUP(B159,'Player Data'!$A1:$AE734,8,FALSE)*$Q159*_xlfn.IFERROR((VLOOKUP(P159,'Settings'!$E$28:$F$33,2,FALSE)+1),1)</f>
        <v>38.7459793855454</v>
      </c>
      <c r="U159" s="48">
        <f>SUM(S159:T159)</f>
        <v>60.9363243938363</v>
      </c>
      <c r="V159" s="48">
        <f>VLOOKUP(B159,'Player Data'!$A1:$AE734,10,FALSE)*$Q159*_xlfn.IFERROR(((VLOOKUP(P159,'Settings'!$E$28:$F$33,2,FALSE)/2)+1),1)</f>
        <v>160.639369574018</v>
      </c>
      <c r="W159" s="48">
        <f>VLOOKUP(B159,'Player Data'!$A1:$AE734,11,FALSE)*$Q159*_xlfn.IFERROR((VLOOKUP(P159,'Settings'!$E$28:$F$33,2,FALSE)+1),1)</f>
        <v>6.15908671738415</v>
      </c>
      <c r="X159" s="48">
        <f>VLOOKUP(B159,'Player Data'!$A1:$AE734,12,FALSE)*$Q159*_xlfn.IFERROR((VLOOKUP(P159,'Settings'!$E$28:$F$33,2,FALSE)+1),1)</f>
        <v>18.7835757932492</v>
      </c>
      <c r="Y159" s="48">
        <f>VLOOKUP(B159,'Player Data'!$A1:$AE734,13,FALSE)*$Q159</f>
        <v>0.00162492212694269</v>
      </c>
      <c r="Z159" s="48">
        <f>VLOOKUP(B159,'Player Data'!$A1:$AE734,14,FALSE)*$Q159</f>
        <v>0.00298286697125274</v>
      </c>
      <c r="AA159" s="48">
        <f>VLOOKUP(B159,'Player Data'!$A1:$AE734,15,FALSE)*$Q159</f>
        <v>27.3304961344308</v>
      </c>
      <c r="AB159" s="48">
        <f>VLOOKUP(B159,'Player Data'!$A1:$AE734,16,FALSE)*$Q159</f>
        <v>39.6163299091722</v>
      </c>
      <c r="AC159" s="48">
        <f>VLOOKUP(B159,'Player Data'!$A1:$AE734,17,FALSE)*$Q159*_xlfn.IFERROR((VLOOKUP(P159,'Settings'!$E$28:$F$33,2,FALSE)+1),1)</f>
        <v>-0.661796207365683</v>
      </c>
      <c r="AD159" s="48">
        <f>VLOOKUP(B159,'Player Data'!$A1:$AE734,18,FALSE)*$Q159</f>
        <v>21.2474170108886</v>
      </c>
      <c r="AE159" s="48">
        <f>VLOOKUP(B159,'Player Data'!$A1:$AE734,19,FALSE)*$Q159*_xlfn.IFERROR((VLOOKUP(P159,'Settings'!$E$28:$F$33,2,FALSE)+1),1)</f>
        <v>3.11909655585099</v>
      </c>
      <c r="AF159" s="48">
        <f>VLOOKUP(B159,'Player Data'!$A1:$AE734,20,FALSE)*$Q159</f>
        <v>3.123820861609</v>
      </c>
      <c r="AG159" s="48">
        <f>VLOOKUP(B159,'Player Data'!$A1:$AE734,21,FALSE)*$Q159</f>
        <v>7.93487535078175</v>
      </c>
      <c r="AH159" s="49">
        <f>VLOOKUP(B159,'Player Data'!$A1:$AE734,22,FALSE)</f>
        <v>0.282476415086699</v>
      </c>
      <c r="AI159" s="46"/>
      <c r="AJ159" s="50"/>
      <c r="AK159" s="48"/>
      <c r="AL159" s="48"/>
      <c r="AM159" s="48"/>
      <c r="AN159" s="48"/>
      <c r="AO159" s="48"/>
      <c r="AP159" s="48"/>
      <c r="AQ159" s="51"/>
      <c r="AR159" s="52"/>
      <c r="AS159" s="46"/>
    </row>
    <row r="160" ht="21.25" customHeight="1">
      <c r="A160" s="53">
        <f>RANK(K160,K2:K730)</f>
        <v>155</v>
      </c>
      <c r="B160" t="s" s="8">
        <v>311</v>
      </c>
      <c r="C160" t="s" s="39">
        <v>106</v>
      </c>
      <c r="D160" t="s" s="40">
        <f>VLOOKUP(B160,'Player Data'!A1:D734,4,FALSE)</f>
        <v>133</v>
      </c>
      <c r="E160" s="57">
        <f>VLOOKUP(B160,'LW'!A1:C156,3,FALSE)</f>
        <v>40</v>
      </c>
      <c r="F160" t="s" s="42">
        <f>VLOOKUP(B160,'Player Data'!A1:B734,2,FALSE)</f>
        <v>136</v>
      </c>
      <c r="G160" s="9">
        <f>VLOOKUP(B160,'Player Data'!A1:D734,3,FALSE)</f>
        <v>34</v>
      </c>
      <c r="H160" s="43">
        <f>_xlfn.IFERROR(VLOOKUP(B160,'ADP'!A1:G731,7,FALSE)/1000000,VLOOKUP(B160,'ADP'!A1:G731,7,FALSE))</f>
        <v>9.5</v>
      </c>
      <c r="I160" s="44">
        <f>IF('Settings'!$E$15="POINTS",((R160*Q160)*'Settings'!$B$12)+(S160*'Settings'!$B$2)+(T160*'Settings'!$B$3)+(U160*'Settings'!$B$4)+(V160*'Settings'!$B$5)+(X160*'Settings'!$B$9)+(AA160*'Settings'!$B$6)+(W160*'Settings'!$B$8)+(AB160*'Settings'!$B$7)+(AC160*'Settings'!$B$14)+(AD160*'Settings'!$B$15)+(AE160*'Settings'!$B$16)+(AF160*'Settings'!$B$17)+(AG160*'Settings'!$B$18)+(Y160*'Settings'!$B$10)+(Z160*'Settings'!$B$11),VLOOKUP(B160,'Standard Deviations'!A1:C731,3,FALSE))</f>
        <v>351.916505214164</v>
      </c>
      <c r="J160" s="45">
        <f>IF(D160="G",I160/AJ160,I160/Q160)</f>
        <v>4.32094777586632</v>
      </c>
      <c r="K160" s="44">
        <f>IF('Settings'!$E$18="C/LW/RW",VLOOKUP(B160,'LW'!A1:F156,6,FALSE),VLOOKUP(B160,'F'!A1:F432,6,FALSE))</f>
        <v>-29.712058492192</v>
      </c>
      <c r="L160" s="44">
        <f>_xlfn.IFERROR(K160/H160,"N/A")</f>
        <v>-3.12758510444126</v>
      </c>
      <c r="M160" s="46">
        <f>IF('Settings'!$E$9="YAHOO",VLOOKUP(B160,'ADP'!A1:E731,2,FALSE),IF('Settings'!$E$9="ESPN",VLOOKUP(B160,'ADP'!A1:E731,3,FALSE),IF('Settings'!$E$9="FANTRAX",VLOOKUP(B160,'ADP'!A1:E731,4,FALSE),VLOOKUP(B160,'ADP'!A1:E731,5,FALSE))))</f>
        <v>139.41</v>
      </c>
      <c r="N160" s="46">
        <f>_xlfn.IFERROR(M160-A160,"N/A")</f>
        <v>-15.59</v>
      </c>
      <c r="O160" s="46"/>
      <c r="P160" t="s" s="47">
        <f>IF('Settings'!$E$27="ON",VLOOKUP(B160,'ADP'!A1:H731,8,FALSE)," ")</f>
        <v>109</v>
      </c>
      <c r="Q160" s="48">
        <f>IF('Settings'!$E$12="YES",VLOOKUP(B160,'Player Data'!A1:E734,5,FALSE),82)</f>
        <v>81.4442857142857</v>
      </c>
      <c r="R160" s="46">
        <f>VLOOKUP(B160,'Player Data'!$A1:$AE734,6,FALSE)</f>
        <v>16.0773216632386</v>
      </c>
      <c r="S160" s="48">
        <f>VLOOKUP(B160,'Player Data'!$A1:$AE734,7,FALSE)*$Q160*_xlfn.IFERROR((VLOOKUP(P160,'Settings'!$E$28:$F$33,2,FALSE)+1),1)</f>
        <v>23.2850834772103</v>
      </c>
      <c r="T160" s="48">
        <f>VLOOKUP(B160,'Player Data'!$A1:$AE734,8,FALSE)*$Q160*_xlfn.IFERROR((VLOOKUP(P160,'Settings'!$E$28:$F$33,2,FALSE)+1),1)</f>
        <v>34.3140937728845</v>
      </c>
      <c r="U160" s="48">
        <f>SUM(S160:T160)</f>
        <v>57.5991772500948</v>
      </c>
      <c r="V160" s="48">
        <f>VLOOKUP(B160,'Player Data'!$A1:$AE734,10,FALSE)*$Q160*_xlfn.IFERROR(((VLOOKUP(P160,'Settings'!$E$28:$F$33,2,FALSE)/2)+1),1)</f>
        <v>181.952617453021</v>
      </c>
      <c r="W160" s="48">
        <f>VLOOKUP(B160,'Player Data'!$A1:$AE734,11,FALSE)*$Q160*_xlfn.IFERROR((VLOOKUP(P160,'Settings'!$E$28:$F$33,2,FALSE)+1),1)</f>
        <v>7.92592693455142</v>
      </c>
      <c r="X160" s="48">
        <f>VLOOKUP(B160,'Player Data'!$A1:$AE734,12,FALSE)*$Q160*_xlfn.IFERROR((VLOOKUP(P160,'Settings'!$E$28:$F$33,2,FALSE)+1),1)</f>
        <v>20.1161307809972</v>
      </c>
      <c r="Y160" s="48">
        <f>VLOOKUP(B160,'Player Data'!$A1:$AE734,13,FALSE)*$Q160</f>
        <v>1.6361362756483</v>
      </c>
      <c r="Z160" s="48">
        <f>VLOOKUP(B160,'Player Data'!$A1:$AE734,14,FALSE)*$Q160</f>
        <v>2.37564158121841</v>
      </c>
      <c r="AA160" s="48">
        <f>VLOOKUP(B160,'Player Data'!$A1:$AE734,15,FALSE)*$Q160</f>
        <v>44.276440433450</v>
      </c>
      <c r="AB160" s="48">
        <f>VLOOKUP(B160,'Player Data'!$A1:$AE734,16,FALSE)*$Q160</f>
        <v>105.302144569566</v>
      </c>
      <c r="AC160" s="48">
        <f>VLOOKUP(B160,'Player Data'!$A1:$AE734,17,FALSE)*$Q160*_xlfn.IFERROR((VLOOKUP(P160,'Settings'!$E$28:$F$33,2,FALSE)+1),1)</f>
        <v>5.78343492212359</v>
      </c>
      <c r="AD160" s="48">
        <f>VLOOKUP(B160,'Player Data'!$A1:$AE734,18,FALSE)*$Q160</f>
        <v>45.6082101278097</v>
      </c>
      <c r="AE160" s="48">
        <f>VLOOKUP(B160,'Player Data'!$A1:$AE734,19,FALSE)*$Q160*_xlfn.IFERROR((VLOOKUP(P160,'Settings'!$E$28:$F$33,2,FALSE)+1),1)</f>
        <v>3.72544828712881</v>
      </c>
      <c r="AF160" s="48">
        <f>VLOOKUP(B160,'Player Data'!$A1:$AE734,20,FALSE)*$Q160</f>
        <v>488.585655324138</v>
      </c>
      <c r="AG160" s="48">
        <f>VLOOKUP(B160,'Player Data'!$A1:$AE734,21,FALSE)*$Q160</f>
        <v>361.091883600672</v>
      </c>
      <c r="AH160" s="49">
        <f>VLOOKUP(B160,'Player Data'!$A1:$AE734,22,FALSE)</f>
        <v>0.575024798163311</v>
      </c>
      <c r="AI160" s="46"/>
      <c r="AJ160" s="50"/>
      <c r="AK160" s="48"/>
      <c r="AL160" s="48"/>
      <c r="AM160" s="48"/>
      <c r="AN160" s="48"/>
      <c r="AO160" s="48"/>
      <c r="AP160" s="48"/>
      <c r="AQ160" s="51"/>
      <c r="AR160" s="52"/>
      <c r="AS160" s="46"/>
    </row>
    <row r="161" ht="21.25" customHeight="1">
      <c r="A161" s="53">
        <f>RANK(K161,K2:K730)</f>
        <v>163</v>
      </c>
      <c r="B161" t="s" s="8">
        <v>312</v>
      </c>
      <c r="C161" t="s" s="39">
        <v>106</v>
      </c>
      <c r="D161" t="s" s="40">
        <f>VLOOKUP(B161,'Player Data'!A1:D734,4,FALSE)</f>
        <v>121</v>
      </c>
      <c r="E161" s="55">
        <f>VLOOKUP(B161,'RW'!A1:F132,3,FALSE)</f>
        <v>37</v>
      </c>
      <c r="F161" t="s" s="42">
        <f>VLOOKUP(B161,'Player Data'!A1:B734,2,FALSE)</f>
        <v>127</v>
      </c>
      <c r="G161" s="9">
        <f>VLOOKUP(B161,'Player Data'!A1:D734,3,FALSE)</f>
        <v>31</v>
      </c>
      <c r="H161" s="43">
        <f>_xlfn.IFERROR(VLOOKUP(B161,'ADP'!A1:G731,7,FALSE)/1000000,VLOOKUP(B161,'ADP'!A1:G731,7,FALSE))</f>
        <v>4.25</v>
      </c>
      <c r="I161" s="44">
        <f>IF('Settings'!$E$15="POINTS",((R161*Q161)*'Settings'!$B$12)+(S161*'Settings'!$B$2)+(T161*'Settings'!$B$3)+(U161*'Settings'!$B$4)+(V161*'Settings'!$B$5)+(X161*'Settings'!$B$9)+(AA161*'Settings'!$B$6)+(W161*'Settings'!$B$8)+(AB161*'Settings'!$B$7)+(AC161*'Settings'!$B$14)+(AD161*'Settings'!$B$15)+(AE161*'Settings'!$B$16)+(AF161*'Settings'!$B$17)+(AG161*'Settings'!$B$18)+(Y161*'Settings'!$B$10)+(Z161*'Settings'!$B$11),VLOOKUP(B161,'Standard Deviations'!A1:C731,3,FALSE))</f>
        <v>343.863932480076</v>
      </c>
      <c r="J161" s="45">
        <f>IF(D161="G",I161/AJ161,I161/Q161)</f>
        <v>4.27988038505811</v>
      </c>
      <c r="K161" s="44">
        <f>IF('Settings'!$E$18="C/LW/RW",VLOOKUP(B161,'RW'!A1:F132,6,FALSE),VLOOKUP(B161,'F'!A1:F432,6,FALSE))</f>
        <v>-37.764631226280</v>
      </c>
      <c r="L161" s="44">
        <f>_xlfn.IFERROR(K161/H161,"N/A")</f>
        <v>-8.88579558265412</v>
      </c>
      <c r="M161" s="46">
        <f>IF('Settings'!$E$9="YAHOO",VLOOKUP(B161,'ADP'!A1:E731,2,FALSE),IF('Settings'!$E$9="ESPN",VLOOKUP(B161,'ADP'!A1:E731,3,FALSE),IF('Settings'!$E$9="FANTRAX",VLOOKUP(B161,'ADP'!A1:E731,4,FALSE),VLOOKUP(B161,'ADP'!A1:E731,5,FALSE))))</f>
        <v>85.15000000000001</v>
      </c>
      <c r="N161" s="46">
        <f>_xlfn.IFERROR(M161-A161,"N/A")</f>
        <v>-77.84999999999999</v>
      </c>
      <c r="O161" s="46"/>
      <c r="P161" t="s" s="47">
        <f>IF('Settings'!$E$27="ON",VLOOKUP(B161,'ADP'!A1:H731,8,FALSE)," ")</f>
        <v>175</v>
      </c>
      <c r="Q161" s="48">
        <f>IF('Settings'!$E$12="YES",VLOOKUP(B161,'Player Data'!A1:E734,5,FALSE),82)</f>
        <v>80.3442857142857</v>
      </c>
      <c r="R161" s="46">
        <f>VLOOKUP(B161,'Player Data'!$A1:$AE734,6,FALSE)</f>
        <v>16.3001630333052</v>
      </c>
      <c r="S161" s="48">
        <f>VLOOKUP(B161,'Player Data'!$A1:$AE734,7,FALSE)*$Q161*_xlfn.IFERROR((VLOOKUP(P161,'Settings'!$E$28:$F$33,2,FALSE)+1),1)</f>
        <v>24.9024807397523</v>
      </c>
      <c r="T161" s="48">
        <f>VLOOKUP(B161,'Player Data'!$A1:$AE734,8,FALSE)*$Q161*_xlfn.IFERROR((VLOOKUP(P161,'Settings'!$E$28:$F$33,2,FALSE)+1),1)</f>
        <v>29.0404224422048</v>
      </c>
      <c r="U161" s="48">
        <f>SUM(S161:T161)</f>
        <v>53.9429031819571</v>
      </c>
      <c r="V161" s="48">
        <f>VLOOKUP(B161,'Player Data'!$A1:$AE734,10,FALSE)*$Q161*_xlfn.IFERROR(((VLOOKUP(P161,'Settings'!$E$28:$F$33,2,FALSE)/2)+1),1)</f>
        <v>229.866871034739</v>
      </c>
      <c r="W161" s="48">
        <f>VLOOKUP(B161,'Player Data'!$A1:$AE734,11,FALSE)*$Q161*_xlfn.IFERROR((VLOOKUP(P161,'Settings'!$E$28:$F$33,2,FALSE)+1),1)</f>
        <v>5.34467968703311</v>
      </c>
      <c r="X161" s="48">
        <f>VLOOKUP(B161,'Player Data'!$A1:$AE734,12,FALSE)*$Q161*_xlfn.IFERROR((VLOOKUP(P161,'Settings'!$E$28:$F$33,2,FALSE)+1),1)</f>
        <v>12.3419005722549</v>
      </c>
      <c r="Y161" s="48">
        <f>VLOOKUP(B161,'Player Data'!$A1:$AE734,13,FALSE)*$Q161</f>
        <v>0.437268474575928</v>
      </c>
      <c r="Z161" s="48">
        <f>VLOOKUP(B161,'Player Data'!$A1:$AE734,14,FALSE)*$Q161</f>
        <v>0.767795001915995</v>
      </c>
      <c r="AA161" s="48">
        <f>VLOOKUP(B161,'Player Data'!$A1:$AE734,15,FALSE)*$Q161</f>
        <v>20.2533764520277</v>
      </c>
      <c r="AB161" s="48">
        <f>VLOOKUP(B161,'Player Data'!$A1:$AE734,16,FALSE)*$Q161</f>
        <v>72.34315230944451</v>
      </c>
      <c r="AC161" s="48">
        <f>VLOOKUP(B161,'Player Data'!$A1:$AE734,17,FALSE)*$Q161*_xlfn.IFERROR((VLOOKUP(P161,'Settings'!$E$28:$F$33,2,FALSE)+1),1)</f>
        <v>1.24392599115843</v>
      </c>
      <c r="AD161" s="48">
        <f>VLOOKUP(B161,'Player Data'!$A1:$AE734,18,FALSE)*$Q161</f>
        <v>26.0972855655616</v>
      </c>
      <c r="AE161" s="48">
        <f>VLOOKUP(B161,'Player Data'!$A1:$AE734,19,FALSE)*$Q161*_xlfn.IFERROR((VLOOKUP(P161,'Settings'!$E$28:$F$33,2,FALSE)+1),1)</f>
        <v>3.66011634092506</v>
      </c>
      <c r="AF161" s="48">
        <f>VLOOKUP(B161,'Player Data'!$A1:$AE734,20,FALSE)*$Q161</f>
        <v>11.6055844821303</v>
      </c>
      <c r="AG161" s="48">
        <f>VLOOKUP(B161,'Player Data'!$A1:$AE734,21,FALSE)*$Q161</f>
        <v>10.3425786179843</v>
      </c>
      <c r="AH161" s="49">
        <f>VLOOKUP(B161,'Player Data'!$A1:$AE734,22,FALSE)</f>
        <v>0.5287724730854449</v>
      </c>
      <c r="AI161" s="46"/>
      <c r="AJ161" s="50"/>
      <c r="AK161" s="48"/>
      <c r="AL161" s="48"/>
      <c r="AM161" s="48"/>
      <c r="AN161" s="48"/>
      <c r="AO161" s="48"/>
      <c r="AP161" s="48"/>
      <c r="AQ161" s="51"/>
      <c r="AR161" s="52"/>
      <c r="AS161" s="46"/>
    </row>
    <row r="162" ht="21.25" customHeight="1">
      <c r="A162" s="53">
        <f>RANK(K162,K2:K730)</f>
        <v>152</v>
      </c>
      <c r="B162" t="s" s="8">
        <v>313</v>
      </c>
      <c r="C162" t="s" s="39">
        <v>106</v>
      </c>
      <c r="D162" t="s" s="40">
        <f>VLOOKUP(B162,'Player Data'!A1:D734,4,FALSE)</f>
        <v>187</v>
      </c>
      <c r="E162" s="54">
        <f>VLOOKUP(B162,'RW'!A1:F132,3,FALSE)</f>
        <v>35</v>
      </c>
      <c r="F162" t="s" s="42">
        <f>VLOOKUP(B162,'Player Data'!A1:B734,2,FALSE)</f>
        <v>127</v>
      </c>
      <c r="G162" s="9">
        <f>VLOOKUP(B162,'Player Data'!A1:D734,3,FALSE)</f>
        <v>21</v>
      </c>
      <c r="H162" s="43">
        <f>_xlfn.IFERROR(VLOOKUP(B162,'ADP'!A1:G731,7,FALSE)/1000000,VLOOKUP(B162,'ADP'!A1:G731,7,FALSE))</f>
        <v>0.894167</v>
      </c>
      <c r="I162" s="44">
        <f>IF('Settings'!$E$15="POINTS",((R162*Q162)*'Settings'!$B$12)+(S162*'Settings'!$B$2)+(T162*'Settings'!$B$3)+(U162*'Settings'!$B$4)+(V162*'Settings'!$B$5)+(X162*'Settings'!$B$9)+(AA162*'Settings'!$B$6)+(W162*'Settings'!$B$8)+(AB162*'Settings'!$B$7)+(AC162*'Settings'!$B$14)+(AD162*'Settings'!$B$15)+(AE162*'Settings'!$B$16)+(AF162*'Settings'!$B$17)+(AG162*'Settings'!$B$18)+(Y162*'Settings'!$B$10)+(Z162*'Settings'!$B$11),VLOOKUP(B162,'Standard Deviations'!A1:C731,3,FALSE))</f>
        <v>355.123293102622</v>
      </c>
      <c r="J162" s="45">
        <f>IF(D162="G",I162/AJ162,I162/Q162)</f>
        <v>4.3568064421865</v>
      </c>
      <c r="K162" s="44">
        <f>IF('Settings'!$E$18="C/LW/RW",VLOOKUP(B162,'RW'!A1:F132,6,FALSE),VLOOKUP(B162,'F'!A1:F432,6,FALSE))</f>
        <v>-26.505270603734</v>
      </c>
      <c r="L162" s="44">
        <f>_xlfn.IFERROR(K162/H162,"N/A")</f>
        <v>-29.6424164655305</v>
      </c>
      <c r="M162" s="46">
        <f>IF('Settings'!$E$9="YAHOO",VLOOKUP(B162,'ADP'!A1:E731,2,FALSE),IF('Settings'!$E$9="ESPN",VLOOKUP(B162,'ADP'!A1:E731,3,FALSE),IF('Settings'!$E$9="FANTRAX",VLOOKUP(B162,'ADP'!A1:E731,4,FALSE),VLOOKUP(B162,'ADP'!A1:E731,5,FALSE))))</f>
        <v>159.97</v>
      </c>
      <c r="N162" s="46">
        <f>_xlfn.IFERROR(M162-A162,"N/A")</f>
        <v>7.97</v>
      </c>
      <c r="O162" s="46"/>
      <c r="P162" t="s" s="47">
        <f>IF('Settings'!$E$27="ON",VLOOKUP(B162,'ADP'!A1:H731,8,FALSE)," ")</f>
        <v>142</v>
      </c>
      <c r="Q162" s="48">
        <f>IF('Settings'!$E$12="YES",VLOOKUP(B162,'Player Data'!A1:E734,5,FALSE),82)</f>
        <v>81.51000000000001</v>
      </c>
      <c r="R162" s="46">
        <f>VLOOKUP(B162,'Player Data'!$A1:$AE734,6,FALSE)</f>
        <v>17.3815855810243</v>
      </c>
      <c r="S162" s="48">
        <f>VLOOKUP(B162,'Player Data'!$A1:$AE734,7,FALSE)*$Q162*_xlfn.IFERROR((VLOOKUP(P162,'Settings'!$E$28:$F$33,2,FALSE)+1),1)</f>
        <v>27.3665932374278</v>
      </c>
      <c r="T162" s="48">
        <f>VLOOKUP(B162,'Player Data'!$A1:$AE734,8,FALSE)*$Q162*_xlfn.IFERROR((VLOOKUP(P162,'Settings'!$E$28:$F$33,2,FALSE)+1),1)</f>
        <v>34.0300064497733</v>
      </c>
      <c r="U162" s="48">
        <f>SUM(S162:T162)</f>
        <v>61.3965996872011</v>
      </c>
      <c r="V162" s="48">
        <f>VLOOKUP(B162,'Player Data'!$A1:$AE734,10,FALSE)*$Q162*_xlfn.IFERROR(((VLOOKUP(P162,'Settings'!$E$28:$F$33,2,FALSE)/2)+1),1)</f>
        <v>175.072554339419</v>
      </c>
      <c r="W162" s="48">
        <f>VLOOKUP(B162,'Player Data'!$A1:$AE734,11,FALSE)*$Q162*_xlfn.IFERROR((VLOOKUP(P162,'Settings'!$E$28:$F$33,2,FALSE)+1),1)</f>
        <v>3.01667952876054</v>
      </c>
      <c r="X162" s="48">
        <f>VLOOKUP(B162,'Player Data'!$A1:$AE734,12,FALSE)*$Q162*_xlfn.IFERROR((VLOOKUP(P162,'Settings'!$E$28:$F$33,2,FALSE)+1),1)</f>
        <v>10.8594499669332</v>
      </c>
      <c r="Y162" s="48">
        <f>VLOOKUP(B162,'Player Data'!$A1:$AE734,13,FALSE)*$Q162</f>
        <v>1.37633150291351</v>
      </c>
      <c r="Z162" s="48">
        <f>VLOOKUP(B162,'Player Data'!$A1:$AE734,14,FALSE)*$Q162</f>
        <v>2.29069916063723</v>
      </c>
      <c r="AA162" s="48">
        <f>VLOOKUP(B162,'Player Data'!$A1:$AE734,15,FALSE)*$Q162</f>
        <v>55.4873958522946</v>
      </c>
      <c r="AB162" s="48">
        <f>VLOOKUP(B162,'Player Data'!$A1:$AE734,16,FALSE)*$Q162</f>
        <v>40.0889230709826</v>
      </c>
      <c r="AC162" s="48">
        <f>VLOOKUP(B162,'Player Data'!$A1:$AE734,17,FALSE)*$Q162*_xlfn.IFERROR((VLOOKUP(P162,'Settings'!$E$28:$F$33,2,FALSE)+1),1)</f>
        <v>0.091249317092681</v>
      </c>
      <c r="AD162" s="48">
        <f>VLOOKUP(B162,'Player Data'!$A1:$AE734,18,FALSE)*$Q162</f>
        <v>23.6324946433079</v>
      </c>
      <c r="AE162" s="48">
        <f>VLOOKUP(B162,'Player Data'!$A1:$AE734,19,FALSE)*$Q162*_xlfn.IFERROR((VLOOKUP(P162,'Settings'!$E$28:$F$33,2,FALSE)+1),1)</f>
        <v>4.02228662078085</v>
      </c>
      <c r="AF162" s="48">
        <f>VLOOKUP(B162,'Player Data'!$A1:$AE734,20,FALSE)*$Q162</f>
        <v>97.31197796823029</v>
      </c>
      <c r="AG162" s="48">
        <f>VLOOKUP(B162,'Player Data'!$A1:$AE734,21,FALSE)*$Q162</f>
        <v>150.601949615834</v>
      </c>
      <c r="AH162" s="49">
        <f>VLOOKUP(B162,'Player Data'!$A1:$AE734,22,FALSE)</f>
        <v>0.392523239482916</v>
      </c>
      <c r="AI162" s="46"/>
      <c r="AJ162" s="50"/>
      <c r="AK162" s="48"/>
      <c r="AL162" s="48"/>
      <c r="AM162" s="48"/>
      <c r="AN162" s="48"/>
      <c r="AO162" s="48"/>
      <c r="AP162" s="48"/>
      <c r="AQ162" s="51"/>
      <c r="AR162" s="52"/>
      <c r="AS162" s="46"/>
    </row>
    <row r="163" ht="21.25" customHeight="1">
      <c r="A163" s="53">
        <f>RANK(K163,K2:K730)</f>
        <v>130</v>
      </c>
      <c r="B163" t="s" s="8">
        <v>314</v>
      </c>
      <c r="C163" t="s" s="39">
        <v>106</v>
      </c>
      <c r="D163" t="s" s="40">
        <f>VLOOKUP(B163,'Player Data'!A1:D734,4,FALSE)</f>
        <v>129</v>
      </c>
      <c r="E163" s="56">
        <f>VLOOKUP(B163,'D'!A1:C228,3,FALSE)</f>
        <v>29</v>
      </c>
      <c r="F163" t="s" s="42">
        <f>VLOOKUP(B163,'Player Data'!A1:B734,2,FALSE)</f>
        <v>108</v>
      </c>
      <c r="G163" s="9">
        <f>VLOOKUP(B163,'Player Data'!A1:D734,3,FALSE)</f>
        <v>28</v>
      </c>
      <c r="H163" s="43">
        <f>_xlfn.IFERROR(VLOOKUP(B163,'ADP'!A1:G731,7,FALSE)/1000000,VLOOKUP(B163,'ADP'!A1:G731,7,FALSE))</f>
        <v>9.25</v>
      </c>
      <c r="I163" s="44">
        <f>IF('Settings'!$E$15="POINTS",((R163*Q163)*'Settings'!$B$12)+(S163*'Settings'!$B$2)+(T163*'Settings'!$B$3)+(U163*'Settings'!$B$4)+(V163*'Settings'!$B$5)+(X163*'Settings'!$B$9)+(AA163*'Settings'!$B$6)+(W163*'Settings'!$B$8)+(AB163*'Settings'!$B$7)+(AC163*'Settings'!$B$14)+(AD163*'Settings'!$B$15)+(AE163*'Settings'!$B$16)+(AF163*'Settings'!$B$17)+(AG163*'Settings'!$B$18)+(U163*'Settings'!$B$13)+(Y163*'Settings'!$B$10)+(Z163*'Settings'!$B$11),VLOOKUP(B163,'Standard Deviations'!A1:C731,3,FALSE))</f>
        <v>330.080194538163</v>
      </c>
      <c r="J163" s="45">
        <f>IF(D163="G",I163/AJ163,I163/Q163)</f>
        <v>4.09948389527945</v>
      </c>
      <c r="K163" s="44">
        <f>VLOOKUP(B163,'D'!A1:F228,6,FALSE)</f>
        <v>-10.654944108360</v>
      </c>
      <c r="L163" s="44">
        <f>_xlfn.IFERROR(K163/H163,"N/A")</f>
        <v>-1.15188584955243</v>
      </c>
      <c r="M163" s="46">
        <f>IF('Settings'!$E$9="YAHOO",VLOOKUP(B163,'ADP'!A1:E731,2,FALSE),IF('Settings'!$E$9="ESPN",VLOOKUP(B163,'ADP'!A1:E731,3,FALSE),IF('Settings'!$E$9="FANTRAX",VLOOKUP(B163,'ADP'!A1:E731,4,FALSE),VLOOKUP(B163,'ADP'!A1:E731,5,FALSE))))</f>
        <v>102.13</v>
      </c>
      <c r="N163" s="46">
        <f>_xlfn.IFERROR(M163-A163,"N/A")</f>
        <v>-27.87</v>
      </c>
      <c r="O163" s="46"/>
      <c r="P163" t="s" s="47">
        <f>IF('Settings'!$E$27="ON",VLOOKUP(B163,'ADP'!A1:H731,8,FALSE)," ")</f>
        <v>109</v>
      </c>
      <c r="Q163" s="48">
        <f>IF('Settings'!$E$12="YES",VLOOKUP(B163,'Player Data'!A1:E734,5,FALSE),82)</f>
        <v>80.5175</v>
      </c>
      <c r="R163" s="46">
        <f>VLOOKUP(B163,'Player Data'!$A1:$AE734,6,FALSE)</f>
        <v>21.8113857292839</v>
      </c>
      <c r="S163" s="48">
        <f>VLOOKUP(B163,'Player Data'!$A1:$AE734,7,FALSE)*$Q163*_xlfn.IFERROR((VLOOKUP(P163,'Settings'!$E$28:$F$33,2,FALSE)+1),1)</f>
        <v>11.2607011505732</v>
      </c>
      <c r="T163" s="48">
        <f>VLOOKUP(B163,'Player Data'!$A1:$AE734,8,FALSE)*$Q163*_xlfn.IFERROR((VLOOKUP(P163,'Settings'!$E$28:$F$33,2,FALSE)+1),1)</f>
        <v>25.3122827446161</v>
      </c>
      <c r="U163" s="48">
        <f>SUM(S163:T163)</f>
        <v>36.5729838951893</v>
      </c>
      <c r="V163" s="48">
        <f>VLOOKUP(B163,'Player Data'!$A1:$AE734,10,FALSE)*$Q163*_xlfn.IFERROR(((VLOOKUP(P163,'Settings'!$E$28:$F$33,2,FALSE)/2)+1),1)</f>
        <v>182.368857649922</v>
      </c>
      <c r="W163" s="48">
        <f>VLOOKUP(B163,'Player Data'!$A1:$AE734,11,FALSE)*$Q163*_xlfn.IFERROR((VLOOKUP(P163,'Settings'!$E$28:$F$33,2,FALSE)+1),1)</f>
        <v>0.256780635899714</v>
      </c>
      <c r="X163" s="48">
        <f>VLOOKUP(B163,'Player Data'!$A1:$AE734,12,FALSE)*$Q163*_xlfn.IFERROR((VLOOKUP(P163,'Settings'!$E$28:$F$33,2,FALSE)+1),1)</f>
        <v>3.10847159943707</v>
      </c>
      <c r="Y163" s="48">
        <f>VLOOKUP(B163,'Player Data'!$A1:$AE734,13,FALSE)*$Q163</f>
        <v>1.45638740266516</v>
      </c>
      <c r="Z163" s="48">
        <f>VLOOKUP(B163,'Player Data'!$A1:$AE734,14,FALSE)*$Q163</f>
        <v>1.83290640564064</v>
      </c>
      <c r="AA163" s="48">
        <f>VLOOKUP(B163,'Player Data'!$A1:$AE734,15,FALSE)*$Q163</f>
        <v>144.263009227018</v>
      </c>
      <c r="AB163" s="48">
        <f>VLOOKUP(B163,'Player Data'!$A1:$AE734,16,FALSE)*$Q163</f>
        <v>145.953779507936</v>
      </c>
      <c r="AC163" s="48">
        <f>VLOOKUP(B163,'Player Data'!$A1:$AE734,17,FALSE)*$Q163*_xlfn.IFERROR((VLOOKUP(P163,'Settings'!$E$28:$F$33,2,FALSE)+1),1)</f>
        <v>6.31932012074858</v>
      </c>
      <c r="AD163" s="48">
        <f>VLOOKUP(B163,'Player Data'!$A1:$AE734,18,FALSE)*$Q163</f>
        <v>55.0987120973935</v>
      </c>
      <c r="AE163" s="48">
        <f>VLOOKUP(B163,'Player Data'!$A1:$AE734,19,FALSE)*$Q163*_xlfn.IFERROR((VLOOKUP(P163,'Settings'!$E$28:$F$33,2,FALSE)+1),1)</f>
        <v>1.78244810149414</v>
      </c>
      <c r="AF163" s="48">
        <f>VLOOKUP(B163,'Player Data'!$A1:$AE734,20,FALSE)*$Q163</f>
        <v>0</v>
      </c>
      <c r="AG163" s="48">
        <f>VLOOKUP(B163,'Player Data'!$A1:$AE734,21,FALSE)*$Q163</f>
        <v>0</v>
      </c>
      <c r="AH163" s="49">
        <f>VLOOKUP(B163,'Player Data'!$A1:$AE734,22,FALSE)</f>
        <v>0</v>
      </c>
      <c r="AI163" s="46"/>
      <c r="AJ163" s="50"/>
      <c r="AK163" s="48"/>
      <c r="AL163" s="48"/>
      <c r="AM163" s="48"/>
      <c r="AN163" s="48"/>
      <c r="AO163" s="48"/>
      <c r="AP163" s="48"/>
      <c r="AQ163" s="51"/>
      <c r="AR163" s="52"/>
      <c r="AS163" s="46"/>
    </row>
    <row r="164" ht="21.25" customHeight="1">
      <c r="A164" s="53">
        <f>RANK(K164,K2:K730)</f>
        <v>173</v>
      </c>
      <c r="B164" t="s" s="8">
        <v>315</v>
      </c>
      <c r="C164" t="s" s="39">
        <v>106</v>
      </c>
      <c r="D164" t="s" s="40">
        <f>VLOOKUP(B164,'Player Data'!A1:D734,4,FALSE)</f>
        <v>111</v>
      </c>
      <c r="E164" s="54">
        <f>VLOOKUP(B164,'LW'!A1:C156,3,FALSE)</f>
        <v>43</v>
      </c>
      <c r="F164" t="s" s="42">
        <f>VLOOKUP(B164,'Player Data'!A1:B734,2,FALSE)</f>
        <v>234</v>
      </c>
      <c r="G164" s="9">
        <f>VLOOKUP(B164,'Player Data'!A1:D734,3,FALSE)</f>
        <v>20</v>
      </c>
      <c r="H164" s="43">
        <f>_xlfn.IFERROR(VLOOKUP(B164,'ADP'!A1:G731,7,FALSE)/1000000,VLOOKUP(B164,'ADP'!A1:G731,7,FALSE))</f>
        <v>0.894167</v>
      </c>
      <c r="I164" s="44">
        <f>IF('Settings'!$E$15="POINTS",((R164*Q164)*'Settings'!$B$12)+(S164*'Settings'!$B$2)+(T164*'Settings'!$B$3)+(U164*'Settings'!$B$4)+(V164*'Settings'!$B$5)+(X164*'Settings'!$B$9)+(AA164*'Settings'!$B$6)+(W164*'Settings'!$B$8)+(AB164*'Settings'!$B$7)+(AC164*'Settings'!$B$14)+(AD164*'Settings'!$B$15)+(AE164*'Settings'!$B$16)+(AF164*'Settings'!$B$17)+(AG164*'Settings'!$B$18)+(Y164*'Settings'!$B$10)+(Z164*'Settings'!$B$11),VLOOKUP(B164,'Standard Deviations'!A1:C731,3,FALSE))</f>
        <v>334.766313629119</v>
      </c>
      <c r="J164" s="45">
        <f>IF(D164="G",I164/AJ164,I164/Q164)</f>
        <v>4.12273785257536</v>
      </c>
      <c r="K164" s="44">
        <f>IF('Settings'!$E$18="C/LW/RW",VLOOKUP(B164,'LW'!A1:F156,6,FALSE),VLOOKUP(B164,'F'!A1:F432,6,FALSE))</f>
        <v>-46.862250077237</v>
      </c>
      <c r="L164" s="44">
        <f>_xlfn.IFERROR(K164/H164,"N/A")</f>
        <v>-52.4088342303362</v>
      </c>
      <c r="M164" s="46">
        <f>IF('Settings'!$E$9="YAHOO",VLOOKUP(B164,'ADP'!A1:E731,2,FALSE),IF('Settings'!$E$9="ESPN",VLOOKUP(B164,'ADP'!A1:E731,3,FALSE),IF('Settings'!$E$9="FANTRAX",VLOOKUP(B164,'ADP'!A1:E731,4,FALSE),VLOOKUP(B164,'ADP'!A1:E731,5,FALSE))))</f>
        <v>223.35</v>
      </c>
      <c r="N164" s="46">
        <f>_xlfn.IFERROR(M164-A164,"N/A")</f>
        <v>50.35</v>
      </c>
      <c r="O164" s="46"/>
      <c r="P164" t="s" s="47">
        <f>IF('Settings'!$E$27="ON",VLOOKUP(B164,'ADP'!A1:H731,8,FALSE)," ")</f>
        <v>109</v>
      </c>
      <c r="Q164" s="48">
        <f>IF('Settings'!$E$12="YES",VLOOKUP(B164,'Player Data'!A1:E734,5,FALSE),82)</f>
        <v>81.2</v>
      </c>
      <c r="R164" s="46">
        <f>VLOOKUP(B164,'Player Data'!$A1:$AE734,6,FALSE)</f>
        <v>17.5049250837484</v>
      </c>
      <c r="S164" s="48">
        <f>VLOOKUP(B164,'Player Data'!$A1:$AE734,7,FALSE)*$Q164*_xlfn.IFERROR((VLOOKUP(P164,'Settings'!$E$28:$F$33,2,FALSE)+1),1)</f>
        <v>23.4699388785626</v>
      </c>
      <c r="T164" s="48">
        <f>VLOOKUP(B164,'Player Data'!$A1:$AE734,8,FALSE)*$Q164*_xlfn.IFERROR((VLOOKUP(P164,'Settings'!$E$28:$F$33,2,FALSE)+1),1)</f>
        <v>33.2796327617624</v>
      </c>
      <c r="U164" s="48">
        <f>SUM(S164:T164)</f>
        <v>56.749571640325</v>
      </c>
      <c r="V164" s="48">
        <f>VLOOKUP(B164,'Player Data'!$A1:$AE734,10,FALSE)*$Q164*_xlfn.IFERROR(((VLOOKUP(P164,'Settings'!$E$28:$F$33,2,FALSE)/2)+1),1)</f>
        <v>184.904385658581</v>
      </c>
      <c r="W164" s="48">
        <f>VLOOKUP(B164,'Player Data'!$A1:$AE734,11,FALSE)*$Q164*_xlfn.IFERROR((VLOOKUP(P164,'Settings'!$E$28:$F$33,2,FALSE)+1),1)</f>
        <v>9.065078869775199</v>
      </c>
      <c r="X164" s="48">
        <f>VLOOKUP(B164,'Player Data'!$A1:$AE734,12,FALSE)*$Q164*_xlfn.IFERROR((VLOOKUP(P164,'Settings'!$E$28:$F$33,2,FALSE)+1),1)</f>
        <v>19.7745887122598</v>
      </c>
      <c r="Y164" s="48">
        <f>VLOOKUP(B164,'Player Data'!$A1:$AE734,13,FALSE)*$Q164</f>
        <v>0.0231444212245326</v>
      </c>
      <c r="Z164" s="48">
        <f>VLOOKUP(B164,'Player Data'!$A1:$AE734,14,FALSE)*$Q164</f>
        <v>0.0419882816565154</v>
      </c>
      <c r="AA164" s="48">
        <f>VLOOKUP(B164,'Player Data'!$A1:$AE734,15,FALSE)*$Q164</f>
        <v>41.199404199452</v>
      </c>
      <c r="AB164" s="48">
        <f>VLOOKUP(B164,'Player Data'!$A1:$AE734,16,FALSE)*$Q164</f>
        <v>64.707275591884</v>
      </c>
      <c r="AC164" s="48">
        <f>VLOOKUP(B164,'Player Data'!$A1:$AE734,17,FALSE)*$Q164*_xlfn.IFERROR((VLOOKUP(P164,'Settings'!$E$28:$F$33,2,FALSE)+1),1)</f>
        <v>-9.412856821227219</v>
      </c>
      <c r="AD164" s="48">
        <f>VLOOKUP(B164,'Player Data'!$A1:$AE734,18,FALSE)*$Q164</f>
        <v>45.2377193684549</v>
      </c>
      <c r="AE164" s="48">
        <f>VLOOKUP(B164,'Player Data'!$A1:$AE734,19,FALSE)*$Q164*_xlfn.IFERROR((VLOOKUP(P164,'Settings'!$E$28:$F$33,2,FALSE)+1),1)</f>
        <v>2.24989935314308</v>
      </c>
      <c r="AF164" s="48">
        <f>VLOOKUP(B164,'Player Data'!$A1:$AE734,20,FALSE)*$Q164</f>
        <v>323.121889306017</v>
      </c>
      <c r="AG164" s="48">
        <f>VLOOKUP(B164,'Player Data'!$A1:$AE734,21,FALSE)*$Q164</f>
        <v>500.633905510683</v>
      </c>
      <c r="AH164" s="49">
        <f>VLOOKUP(B164,'Player Data'!$A1:$AE734,22,FALSE)</f>
        <v>0.392254465873491</v>
      </c>
      <c r="AI164" s="46"/>
      <c r="AJ164" s="50"/>
      <c r="AK164" s="48"/>
      <c r="AL164" s="48"/>
      <c r="AM164" s="48"/>
      <c r="AN164" s="48"/>
      <c r="AO164" s="48"/>
      <c r="AP164" s="48"/>
      <c r="AQ164" s="51"/>
      <c r="AR164" s="52"/>
      <c r="AS164" s="46"/>
    </row>
    <row r="165" ht="21.25" customHeight="1">
      <c r="A165" s="53">
        <f>RANK(K165,K2:K730)</f>
        <v>214</v>
      </c>
      <c r="B165" t="s" s="8">
        <v>316</v>
      </c>
      <c r="C165" t="s" s="39">
        <v>106</v>
      </c>
      <c r="D165" t="s" s="40">
        <f>VLOOKUP(B165,'Player Data'!A1:D734,4,FALSE)</f>
        <v>129</v>
      </c>
      <c r="E165" s="56">
        <f>VLOOKUP(B165,'D'!A1:C228,3,FALSE)</f>
        <v>55</v>
      </c>
      <c r="F165" t="s" s="42">
        <f>VLOOKUP(B165,'Player Data'!A1:B734,2,FALSE)</f>
        <v>139</v>
      </c>
      <c r="G165" s="9">
        <f>VLOOKUP(B165,'Player Data'!A1:D734,3,FALSE)</f>
        <v>20</v>
      </c>
      <c r="H165" s="43">
        <f>_xlfn.IFERROR(VLOOKUP(B165,'ADP'!A1:G731,7,FALSE)/1000000,VLOOKUP(B165,'ADP'!A1:G731,7,FALSE))</f>
        <v>0.916667</v>
      </c>
      <c r="I165" s="44">
        <f>IF('Settings'!$E$15="POINTS",((R165*Q165)*'Settings'!$B$12)+(S165*'Settings'!$B$2)+(T165*'Settings'!$B$3)+(U165*'Settings'!$B$4)+(V165*'Settings'!$B$5)+(X165*'Settings'!$B$9)+(AA165*'Settings'!$B$6)+(W165*'Settings'!$B$8)+(AB165*'Settings'!$B$7)+(AC165*'Settings'!$B$14)+(AD165*'Settings'!$B$15)+(AE165*'Settings'!$B$16)+(AF165*'Settings'!$B$17)+(AG165*'Settings'!$B$18)+(U165*'Settings'!$B$13)+(Y165*'Settings'!$B$10)+(Z165*'Settings'!$B$11),VLOOKUP(B165,'Standard Deviations'!A1:C731,3,FALSE))</f>
        <v>265.795779182338</v>
      </c>
      <c r="J165" s="45">
        <f>IF(D165="G",I165/AJ165,I165/Q165)</f>
        <v>3.26329992857382</v>
      </c>
      <c r="K165" s="44">
        <f>VLOOKUP(B165,'D'!A1:F228,6,FALSE)</f>
        <v>-74.939359464185</v>
      </c>
      <c r="L165" s="44">
        <f>_xlfn.IFERROR(K165/H165,"N/A")</f>
        <v>-81.75199877838411</v>
      </c>
      <c r="M165" s="46">
        <f>IF('Settings'!$E$9="YAHOO",VLOOKUP(B165,'ADP'!A1:E731,2,FALSE),IF('Settings'!$E$9="ESPN",VLOOKUP(B165,'ADP'!A1:E731,3,FALSE),IF('Settings'!$E$9="FANTRAX",VLOOKUP(B165,'ADP'!A1:E731,4,FALSE),VLOOKUP(B165,'ADP'!A1:E731,5,FALSE))))</f>
        <v>206.65</v>
      </c>
      <c r="N165" s="46">
        <f>_xlfn.IFERROR(M165-A165,"N/A")</f>
        <v>-7.35</v>
      </c>
      <c r="O165" s="46"/>
      <c r="P165" t="s" s="47">
        <f>IF('Settings'!$E$27="ON",VLOOKUP(B165,'ADP'!A1:H731,8,FALSE)," ")</f>
        <v>116</v>
      </c>
      <c r="Q165" s="48">
        <f>IF('Settings'!$E$12="YES",VLOOKUP(B165,'Player Data'!A1:E734,5,FALSE),82)</f>
        <v>81.45</v>
      </c>
      <c r="R165" s="46">
        <f>VLOOKUP(B165,'Player Data'!$A1:$AE734,6,FALSE)</f>
        <v>23.5208055037242</v>
      </c>
      <c r="S165" s="48">
        <f>VLOOKUP(B165,'Player Data'!$A1:$AE734,7,FALSE)*$Q165*_xlfn.IFERROR((VLOOKUP(P165,'Settings'!$E$28:$F$33,2,FALSE)+1),1)</f>
        <v>7.0398097442499</v>
      </c>
      <c r="T165" s="48">
        <f>VLOOKUP(B165,'Player Data'!$A1:$AE734,8,FALSE)*$Q165*_xlfn.IFERROR((VLOOKUP(P165,'Settings'!$E$28:$F$33,2,FALSE)+1),1)</f>
        <v>34.5138545381118</v>
      </c>
      <c r="U165" s="48">
        <f>SUM(S165:T165)</f>
        <v>41.5536642823617</v>
      </c>
      <c r="V165" s="48">
        <f>VLOOKUP(B165,'Player Data'!$A1:$AE734,10,FALSE)*$Q165*_xlfn.IFERROR(((VLOOKUP(P165,'Settings'!$E$28:$F$33,2,FALSE)/2)+1),1)</f>
        <v>140.032864812291</v>
      </c>
      <c r="W165" s="48">
        <f>VLOOKUP(B165,'Player Data'!$A1:$AE734,11,FALSE)*$Q165*_xlfn.IFERROR((VLOOKUP(P165,'Settings'!$E$28:$F$33,2,FALSE)+1),1)</f>
        <v>0.45555363200802</v>
      </c>
      <c r="X165" s="48">
        <f>VLOOKUP(B165,'Player Data'!$A1:$AE734,12,FALSE)*$Q165*_xlfn.IFERROR((VLOOKUP(P165,'Settings'!$E$28:$F$33,2,FALSE)+1),1)</f>
        <v>8.871113881496269</v>
      </c>
      <c r="Y165" s="48">
        <f>VLOOKUP(B165,'Player Data'!$A1:$AE734,13,FALSE)*$Q165</f>
        <v>0.0336835387462239</v>
      </c>
      <c r="Z165" s="48">
        <f>VLOOKUP(B165,'Player Data'!$A1:$AE734,14,FALSE)*$Q165</f>
        <v>0.621414812698878</v>
      </c>
      <c r="AA165" s="48">
        <f>VLOOKUP(B165,'Player Data'!$A1:$AE734,15,FALSE)*$Q165</f>
        <v>95.7737023138977</v>
      </c>
      <c r="AB165" s="48">
        <f>VLOOKUP(B165,'Player Data'!$A1:$AE734,16,FALSE)*$Q165</f>
        <v>45.7158341215429</v>
      </c>
      <c r="AC165" s="48">
        <f>VLOOKUP(B165,'Player Data'!$A1:$AE734,17,FALSE)*$Q165*_xlfn.IFERROR((VLOOKUP(P165,'Settings'!$E$28:$F$33,2,FALSE)+1),1)</f>
        <v>0.245667065816803</v>
      </c>
      <c r="AD165" s="48">
        <f>VLOOKUP(B165,'Player Data'!$A1:$AE734,18,FALSE)*$Q165</f>
        <v>30.9937272559562</v>
      </c>
      <c r="AE165" s="48">
        <f>VLOOKUP(B165,'Player Data'!$A1:$AE734,19,FALSE)*$Q165*_xlfn.IFERROR((VLOOKUP(P165,'Settings'!$E$28:$F$33,2,FALSE)+1),1)</f>
        <v>0.901229801449879</v>
      </c>
      <c r="AF165" s="48">
        <f>VLOOKUP(B165,'Player Data'!$A1:$AE734,20,FALSE)*$Q165</f>
        <v>0</v>
      </c>
      <c r="AG165" s="48">
        <f>VLOOKUP(B165,'Player Data'!$A1:$AE734,21,FALSE)*$Q165</f>
        <v>0</v>
      </c>
      <c r="AH165" s="49">
        <f>VLOOKUP(B165,'Player Data'!$A1:$AE734,22,FALSE)</f>
        <v>0</v>
      </c>
      <c r="AI165" s="46"/>
      <c r="AJ165" s="48"/>
      <c r="AK165" s="48"/>
      <c r="AL165" s="48"/>
      <c r="AM165" s="48"/>
      <c r="AN165" s="48"/>
      <c r="AO165" s="48"/>
      <c r="AP165" s="48"/>
      <c r="AQ165" s="51"/>
      <c r="AR165" s="52"/>
      <c r="AS165" s="46"/>
    </row>
    <row r="166" ht="21.25" customHeight="1">
      <c r="A166" s="53">
        <f>RANK(K166,K2:K730)</f>
        <v>96</v>
      </c>
      <c r="B166" t="s" s="8">
        <v>317</v>
      </c>
      <c r="C166" t="s" s="39">
        <v>106</v>
      </c>
      <c r="D166" t="s" s="40">
        <f>VLOOKUP(B166,'Player Data'!A1:D734,4,FALSE)</f>
        <v>146</v>
      </c>
      <c r="E166" s="58">
        <f>VLOOKUP(B166,'G'!A1:D75,3,FALSE)</f>
        <v>21</v>
      </c>
      <c r="F166" t="s" s="42">
        <f>VLOOKUP(B166,'Player Data'!A1:B734,2,FALSE)</f>
        <v>189</v>
      </c>
      <c r="G166" s="9">
        <f>VLOOKUP(B166,'Player Data'!A1:D734,3,FALSE)</f>
        <v>29</v>
      </c>
      <c r="H166" s="43">
        <f>_xlfn.IFERROR(VLOOKUP(B166,'ADP'!A1:G731,7,FALSE)/1000000,VLOOKUP(B166,'ADP'!A1:G731,7,FALSE))</f>
        <v>5.4</v>
      </c>
      <c r="I166" s="44">
        <f>IF('Settings'!$E$15="POINTS",(AJ166*'Settings'!$B$29)+(AK166*'Settings'!$B$21)+(AL166*'Settings'!$B$22)+(AN166*'Settings'!$B$24)+(AO166*'Settings'!$B$25)+(AP166*'Settings'!$B$27)+(AM166*'Settings'!$B$23),VLOOKUP(B166,'Standard Deviations'!A1:C731,3,FALSE))</f>
        <v>280.145179013595</v>
      </c>
      <c r="J166" s="45">
        <f>IF(D166="G",I166/AJ166,I166/Q166)</f>
        <v>5.83635789611656</v>
      </c>
      <c r="K166" s="44">
        <f>VLOOKUP(B166,'G'!A1:F75,6,FALSE)</f>
        <v>14.841957513907</v>
      </c>
      <c r="L166" s="44">
        <f>_xlfn.IFERROR(K166/H166,"N/A")</f>
        <v>2.74851065072352</v>
      </c>
      <c r="M166" s="46">
        <f>IF('Settings'!$E$9="YAHOO",VLOOKUP(B166,'ADP'!A1:E731,2,FALSE),IF('Settings'!$E$9="ESPN",VLOOKUP(B166,'ADP'!A1:E731,3,FALSE),IF('Settings'!$E$9="FANTRAX",VLOOKUP(B166,'ADP'!A1:E731,4,FALSE),VLOOKUP(B166,'ADP'!A1:E731,5,FALSE))))</f>
        <v>214.89</v>
      </c>
      <c r="N166" s="46">
        <f>_xlfn.IFERROR(M166-A166,"N/A")</f>
        <v>118.89</v>
      </c>
      <c r="O166" s="46"/>
      <c r="P166" t="s" s="47">
        <f>IF('Settings'!$E$27="ON",VLOOKUP(B166,'ADP'!A1:H731,8,FALSE)," ")</f>
        <v>116</v>
      </c>
      <c r="Q166" s="48"/>
      <c r="R166" s="59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  <c r="AI166" s="46"/>
      <c r="AJ166" s="50">
        <f>VLOOKUP(B166,'Player Data'!$A1:$AE734,24,FALSE)</f>
        <v>48</v>
      </c>
      <c r="AK166" s="48">
        <f>VLOOKUP(B166,'Player Data'!$A1:$AE734,25,FALSE)*$AJ166*_xlfn.IFERROR((VLOOKUP(P166,'Settings'!$E$28:$F$33,2,FALSE)+1),1)</f>
        <v>19.873922027057</v>
      </c>
      <c r="AL166" s="48">
        <f>AJ166-AK166-AM166</f>
        <v>22.126077972943</v>
      </c>
      <c r="AM166" s="48">
        <f>VLOOKUP(B166,'Player Data'!$A1:$AE734,27,FALSE)*$AJ166</f>
        <v>6</v>
      </c>
      <c r="AN166" s="48">
        <f>VLOOKUP(B166,'Player Data'!$A1:$AE734,28,FALSE)*AJ166</f>
        <v>1.46128482407584</v>
      </c>
      <c r="AO166" s="48">
        <f>VLOOKUP(B166,'Player Data'!$A1:$AE734,29,FALSE)*$AJ166*_xlfn.IFERROR((VLOOKUP(P166,'Settings'!$E$28:$F$33,2,FALSE)/4)+1,1)</f>
        <v>1466.073914515560</v>
      </c>
      <c r="AP166" s="48">
        <f>VLOOKUP(B166,'Player Data'!$A1:$AE734,31,FALSE)*$AJ166*(_xlfn.IFERROR(1-(VLOOKUP(P166,'Settings'!$E$28:$F$33,2,FALSE)/4),1))</f>
        <v>149.121743929648</v>
      </c>
      <c r="AQ166" s="51">
        <f>1-(AP166/(AO166+AP166))</f>
        <v>0.907675739994749</v>
      </c>
      <c r="AR166" s="52">
        <f>AP166/AJ166</f>
        <v>3.10670299853433</v>
      </c>
      <c r="AS166" s="46"/>
    </row>
    <row r="167" ht="21.25" customHeight="1">
      <c r="A167" s="53">
        <f>RANK(K167,K2:K730)</f>
        <v>189</v>
      </c>
      <c r="B167" t="s" s="8">
        <v>318</v>
      </c>
      <c r="C167" t="s" s="39">
        <v>106</v>
      </c>
      <c r="D167" t="s" s="40">
        <f>VLOOKUP(B167,'Player Data'!A1:D734,4,FALSE)</f>
        <v>129</v>
      </c>
      <c r="E167" s="56">
        <f>VLOOKUP(B167,'D'!A1:C228,3,FALSE)</f>
        <v>45</v>
      </c>
      <c r="F167" t="s" s="42">
        <f>VLOOKUP(B167,'Player Data'!A1:B734,2,FALSE)</f>
        <v>127</v>
      </c>
      <c r="G167" s="9">
        <f>VLOOKUP(B167,'Player Data'!A1:D734,3,FALSE)</f>
        <v>20</v>
      </c>
      <c r="H167" s="43">
        <f>_xlfn.IFERROR(VLOOKUP(B167,'ADP'!A1:G731,7,FALSE)/1000000,VLOOKUP(B167,'ADP'!A1:G731,7,FALSE))</f>
        <v>0</v>
      </c>
      <c r="I167" s="44">
        <f>IF('Settings'!$E$15="POINTS",((R167*Q167)*'Settings'!$B$12)+(S167*'Settings'!$B$2)+(T167*'Settings'!$B$3)+(U167*'Settings'!$B$4)+(V167*'Settings'!$B$5)+(X167*'Settings'!$B$9)+(AA167*'Settings'!$B$6)+(W167*'Settings'!$B$8)+(AB167*'Settings'!$B$7)+(AC167*'Settings'!$B$14)+(AD167*'Settings'!$B$15)+(AE167*'Settings'!$B$16)+(AF167*'Settings'!$B$17)+(AG167*'Settings'!$B$18)+(U167*'Settings'!$B$13)+(Y167*'Settings'!$B$10)+(Z167*'Settings'!$B$11),VLOOKUP(B167,'Standard Deviations'!A1:C731,3,FALSE))</f>
        <v>279.456467660293</v>
      </c>
      <c r="J167" s="45">
        <f>IF(D167="G",I167/AJ167,I167/Q167)</f>
        <v>3.629304774809</v>
      </c>
      <c r="K167" s="44">
        <f>VLOOKUP(B167,'D'!A1:F228,6,FALSE)</f>
        <v>-61.278670986230</v>
      </c>
      <c r="L167" t="s" s="60">
        <f>_xlfn.IFERROR(K167/H167,"N/A")</f>
        <v>158</v>
      </c>
      <c r="M167" s="46">
        <f>IF('Settings'!$E$9="YAHOO",VLOOKUP(B167,'ADP'!A1:E731,2,FALSE),IF('Settings'!$E$9="ESPN",VLOOKUP(B167,'ADP'!A1:E731,3,FALSE),IF('Settings'!$E$9="FANTRAX",VLOOKUP(B167,'ADP'!A1:E731,4,FALSE),VLOOKUP(B167,'ADP'!A1:E731,5,FALSE))))</f>
        <v>182.35</v>
      </c>
      <c r="N167" s="46">
        <f>_xlfn.IFERROR(M167-A167,"N/A")</f>
        <v>-6.65</v>
      </c>
      <c r="O167" s="46"/>
      <c r="P167" t="s" s="47">
        <f>IF('Settings'!$E$27="ON",VLOOKUP(B167,'ADP'!A1:H731,8,FALSE)," ")</f>
        <v>109</v>
      </c>
      <c r="Q167" s="48">
        <f>IF('Settings'!$E$12="YES",VLOOKUP(B167,'Player Data'!A1:E734,5,FALSE),82)</f>
        <v>77</v>
      </c>
      <c r="R167" s="46">
        <f>VLOOKUP(B167,'Player Data'!$A1:$AE734,6,FALSE)</f>
        <v>21</v>
      </c>
      <c r="S167" s="48">
        <f>VLOOKUP(B167,'Player Data'!$A1:$AE734,7,FALSE)*$Q167*_xlfn.IFERROR((VLOOKUP(P167,'Settings'!$E$28:$F$33,2,FALSE)+1),1)</f>
        <v>8.243113103569341</v>
      </c>
      <c r="T167" s="48">
        <f>VLOOKUP(B167,'Player Data'!$A1:$AE734,8,FALSE)*$Q167*_xlfn.IFERROR((VLOOKUP(P167,'Settings'!$E$28:$F$33,2,FALSE)+1),1)</f>
        <v>31.0493741874551</v>
      </c>
      <c r="U167" s="48">
        <f>SUM(S167:T167)</f>
        <v>39.2924872910244</v>
      </c>
      <c r="V167" s="48">
        <f>VLOOKUP(B167,'Player Data'!$A1:$AE734,10,FALSE)*$Q167*_xlfn.IFERROR(((VLOOKUP(P167,'Settings'!$E$28:$F$33,2,FALSE)/2)+1),1)</f>
        <v>142.872831250964</v>
      </c>
      <c r="W167" s="48">
        <f>VLOOKUP(B167,'Player Data'!$A1:$AE734,11,FALSE)*$Q167*_xlfn.IFERROR((VLOOKUP(P167,'Settings'!$E$28:$F$33,2,FALSE)+1),1)</f>
        <v>1.91826942375503</v>
      </c>
      <c r="X167" s="48">
        <f>VLOOKUP(B167,'Player Data'!$A1:$AE734,12,FALSE)*$Q167*_xlfn.IFERROR((VLOOKUP(P167,'Settings'!$E$28:$F$33,2,FALSE)+1),1)</f>
        <v>9.14382418470244</v>
      </c>
      <c r="Y167" s="48">
        <f>VLOOKUP(B167,'Player Data'!$A1:$AE734,13,FALSE)*$Q167</f>
        <v>0</v>
      </c>
      <c r="Z167" s="48">
        <f>VLOOKUP(B167,'Player Data'!$A1:$AE734,14,FALSE)*$Q167</f>
        <v>0</v>
      </c>
      <c r="AA167" s="48">
        <f>VLOOKUP(B167,'Player Data'!$A1:$AE734,15,FALSE)*$Q167</f>
        <v>103.198780487805</v>
      </c>
      <c r="AB167" s="48">
        <f>VLOOKUP(B167,'Player Data'!$A1:$AE734,16,FALSE)*$Q167</f>
        <v>104.714121049926</v>
      </c>
      <c r="AC167" s="48">
        <f>VLOOKUP(B167,'Player Data'!$A1:$AE734,17,FALSE)*$Q167*_xlfn.IFERROR((VLOOKUP(P167,'Settings'!$E$28:$F$33,2,FALSE)+1),1)</f>
        <v>0.910853658536583</v>
      </c>
      <c r="AD167" s="48">
        <f>VLOOKUP(B167,'Player Data'!$A1:$AE734,18,FALSE)*$Q167</f>
        <v>38.576288554825</v>
      </c>
      <c r="AE167" s="48">
        <f>VLOOKUP(B167,'Player Data'!$A1:$AE734,19,FALSE)*$Q167*_xlfn.IFERROR((VLOOKUP(P167,'Settings'!$E$28:$F$33,2,FALSE)+1),1)</f>
        <v>1.21155612108578</v>
      </c>
      <c r="AF167" s="48">
        <f>VLOOKUP(B167,'Player Data'!$A1:$AE734,20,FALSE)*$Q167</f>
        <v>0</v>
      </c>
      <c r="AG167" s="48">
        <f>VLOOKUP(B167,'Player Data'!$A1:$AE734,21,FALSE)*$Q167</f>
        <v>0</v>
      </c>
      <c r="AH167" s="49">
        <f>VLOOKUP(B167,'Player Data'!$A1:$AE734,22,FALSE)</f>
        <v>0</v>
      </c>
      <c r="AI167" s="46"/>
      <c r="AJ167" s="50"/>
      <c r="AK167" s="48"/>
      <c r="AL167" s="48"/>
      <c r="AM167" s="48"/>
      <c r="AN167" s="48"/>
      <c r="AO167" s="48"/>
      <c r="AP167" s="48"/>
      <c r="AQ167" s="51"/>
      <c r="AR167" s="52"/>
      <c r="AS167" s="46"/>
    </row>
    <row r="168" ht="21.25" customHeight="1">
      <c r="A168" s="53">
        <f>RANK(K168,K2:K730)</f>
        <v>203</v>
      </c>
      <c r="B168" t="s" s="8">
        <v>319</v>
      </c>
      <c r="C168" t="s" s="39">
        <v>106</v>
      </c>
      <c r="D168" t="s" s="40">
        <f>VLOOKUP(B168,'Player Data'!A1:D734,4,FALSE)</f>
        <v>129</v>
      </c>
      <c r="E168" s="56">
        <f>VLOOKUP(B168,'D'!A1:C228,3,FALSE)</f>
        <v>50</v>
      </c>
      <c r="F168" t="s" s="42">
        <f>VLOOKUP(B168,'Player Data'!A1:B734,2,FALSE)</f>
        <v>156</v>
      </c>
      <c r="G168" s="9">
        <f>VLOOKUP(B168,'Player Data'!A1:D734,3,FALSE)</f>
        <v>25</v>
      </c>
      <c r="H168" s="43">
        <f>_xlfn.IFERROR(VLOOKUP(B168,'ADP'!A1:G731,7,FALSE)/1000000,VLOOKUP(B168,'ADP'!A1:G731,7,FALSE))</f>
        <v>4.4</v>
      </c>
      <c r="I168" s="44">
        <f>IF('Settings'!$E$15="POINTS",((R168*Q168)*'Settings'!$B$12)+(S168*'Settings'!$B$2)+(T168*'Settings'!$B$3)+(U168*'Settings'!$B$4)+(V168*'Settings'!$B$5)+(X168*'Settings'!$B$9)+(AA168*'Settings'!$B$6)+(W168*'Settings'!$B$8)+(AB168*'Settings'!$B$7)+(AC168*'Settings'!$B$14)+(AD168*'Settings'!$B$15)+(AE168*'Settings'!$B$16)+(AF168*'Settings'!$B$17)+(AG168*'Settings'!$B$18)+(U168*'Settings'!$B$13)+(Y168*'Settings'!$B$10)+(Z168*'Settings'!$B$11),VLOOKUP(B168,'Standard Deviations'!A1:C731,3,FALSE))</f>
        <v>270.463001021685</v>
      </c>
      <c r="J168" s="45">
        <f>IF(D168="G",I168/AJ168,I168/Q168)</f>
        <v>3.45485087847844</v>
      </c>
      <c r="K168" s="44">
        <f>VLOOKUP(B168,'D'!A1:F228,6,FALSE)</f>
        <v>-70.272137624838</v>
      </c>
      <c r="L168" s="44">
        <f>_xlfn.IFERROR(K168/H168,"N/A")</f>
        <v>-15.9709403692814</v>
      </c>
      <c r="M168" s="46">
        <f>IF('Settings'!$E$9="YAHOO",VLOOKUP(B168,'ADP'!A1:E731,2,FALSE),IF('Settings'!$E$9="ESPN",VLOOKUP(B168,'ADP'!A1:E731,3,FALSE),IF('Settings'!$E$9="FANTRAX",VLOOKUP(B168,'ADP'!A1:E731,4,FALSE),VLOOKUP(B168,'ADP'!A1:E731,5,FALSE))))</f>
        <v>217.26</v>
      </c>
      <c r="N168" s="46">
        <f>_xlfn.IFERROR(M168-A168,"N/A")</f>
        <v>14.26</v>
      </c>
      <c r="O168" s="46"/>
      <c r="P168" t="s" s="47">
        <f>IF('Settings'!$E$27="ON",VLOOKUP(B168,'ADP'!A1:H731,8,FALSE)," ")</f>
        <v>109</v>
      </c>
      <c r="Q168" s="48">
        <f>IF('Settings'!$E$12="YES",VLOOKUP(B168,'Player Data'!A1:E734,5,FALSE),82)</f>
        <v>78.285</v>
      </c>
      <c r="R168" s="46">
        <f>VLOOKUP(B168,'Player Data'!$A1:$AE734,6,FALSE)</f>
        <v>22.0595524018873</v>
      </c>
      <c r="S168" s="48">
        <f>VLOOKUP(B168,'Player Data'!$A1:$AE734,7,FALSE)*$Q168*_xlfn.IFERROR((VLOOKUP(P168,'Settings'!$E$28:$F$33,2,FALSE)+1),1)</f>
        <v>7.02830587821889</v>
      </c>
      <c r="T168" s="48">
        <f>VLOOKUP(B168,'Player Data'!$A1:$AE734,8,FALSE)*$Q168*_xlfn.IFERROR((VLOOKUP(P168,'Settings'!$E$28:$F$33,2,FALSE)+1),1)</f>
        <v>32.3652693466687</v>
      </c>
      <c r="U168" s="48">
        <f>SUM(S168:T168)</f>
        <v>39.3935752248876</v>
      </c>
      <c r="V168" s="48">
        <f>VLOOKUP(B168,'Player Data'!$A1:$AE734,10,FALSE)*$Q168*_xlfn.IFERROR(((VLOOKUP(P168,'Settings'!$E$28:$F$33,2,FALSE)/2)+1),1)</f>
        <v>143.737502116739</v>
      </c>
      <c r="W168" s="48">
        <f>VLOOKUP(B168,'Player Data'!$A1:$AE734,11,FALSE)*$Q168*_xlfn.IFERROR((VLOOKUP(P168,'Settings'!$E$28:$F$33,2,FALSE)+1),1)</f>
        <v>1.99870880094064</v>
      </c>
      <c r="X168" s="48">
        <f>VLOOKUP(B168,'Player Data'!$A1:$AE734,12,FALSE)*$Q168*_xlfn.IFERROR((VLOOKUP(P168,'Settings'!$E$28:$F$33,2,FALSE)+1),1)</f>
        <v>9.944996968553699</v>
      </c>
      <c r="Y168" s="48">
        <f>VLOOKUP(B168,'Player Data'!$A1:$AE734,13,FALSE)*$Q168</f>
        <v>0.0362039455706543</v>
      </c>
      <c r="Z168" s="48">
        <f>VLOOKUP(B168,'Player Data'!$A1:$AE734,14,FALSE)*$Q168</f>
        <v>0.138079881388362</v>
      </c>
      <c r="AA168" s="48">
        <f>VLOOKUP(B168,'Player Data'!$A1:$AE734,15,FALSE)*$Q168</f>
        <v>86.81142454163491</v>
      </c>
      <c r="AB168" s="48">
        <f>VLOOKUP(B168,'Player Data'!$A1:$AE734,16,FALSE)*$Q168</f>
        <v>104.756773750919</v>
      </c>
      <c r="AC168" s="48">
        <f>VLOOKUP(B168,'Player Data'!$A1:$AE734,17,FALSE)*$Q168*_xlfn.IFERROR((VLOOKUP(P168,'Settings'!$E$28:$F$33,2,FALSE)+1),1)</f>
        <v>0.556567214520608</v>
      </c>
      <c r="AD168" s="48">
        <f>VLOOKUP(B168,'Player Data'!$A1:$AE734,18,FALSE)*$Q168</f>
        <v>31.5493843895689</v>
      </c>
      <c r="AE168" s="48">
        <f>VLOOKUP(B168,'Player Data'!$A1:$AE734,19,FALSE)*$Q168*_xlfn.IFERROR((VLOOKUP(P168,'Settings'!$E$28:$F$33,2,FALSE)+1),1)</f>
        <v>0.994924512861933</v>
      </c>
      <c r="AF168" s="48">
        <f>VLOOKUP(B168,'Player Data'!$A1:$AE734,20,FALSE)*$Q168</f>
        <v>0</v>
      </c>
      <c r="AG168" s="48">
        <f>VLOOKUP(B168,'Player Data'!$A1:$AE734,21,FALSE)*$Q168</f>
        <v>0</v>
      </c>
      <c r="AH168" s="49">
        <f>VLOOKUP(B168,'Player Data'!$A1:$AE734,22,FALSE)</f>
        <v>0</v>
      </c>
      <c r="AI168" s="46"/>
      <c r="AJ168" s="50"/>
      <c r="AK168" s="48"/>
      <c r="AL168" s="48"/>
      <c r="AM168" s="48"/>
      <c r="AN168" s="48"/>
      <c r="AO168" s="48"/>
      <c r="AP168" s="48"/>
      <c r="AQ168" s="51"/>
      <c r="AR168" s="52"/>
      <c r="AS168" s="50"/>
    </row>
    <row r="169" ht="21.25" customHeight="1">
      <c r="A169" s="53">
        <f>RANK(K169,K2:K730)</f>
        <v>94</v>
      </c>
      <c r="B169" t="s" s="8">
        <v>320</v>
      </c>
      <c r="C169" t="s" s="39">
        <v>106</v>
      </c>
      <c r="D169" t="s" s="40">
        <f>VLOOKUP(B169,'Player Data'!A1:D734,4,FALSE)</f>
        <v>146</v>
      </c>
      <c r="E169" s="58">
        <f>VLOOKUP(B169,'G'!A1:D75,3,FALSE)</f>
        <v>20</v>
      </c>
      <c r="F169" t="s" s="42">
        <f>VLOOKUP(B169,'Player Data'!A1:B734,2,FALSE)</f>
        <v>127</v>
      </c>
      <c r="G169" s="9">
        <f>VLOOKUP(B169,'Player Data'!A1:D734,3,FALSE)</f>
        <v>27</v>
      </c>
      <c r="H169" s="43">
        <f>_xlfn.IFERROR(VLOOKUP(B169,'ADP'!A1:G731,7,FALSE)/1000000,VLOOKUP(B169,'ADP'!A1:G731,7,FALSE))</f>
        <v>3.4</v>
      </c>
      <c r="I169" s="44">
        <f>IF('Settings'!$E$15="POINTS",(AJ169*'Settings'!$B$29)+(AK169*'Settings'!$B$21)+(AL169*'Settings'!$B$22)+(AN169*'Settings'!$B$24)+(AO169*'Settings'!$B$25)+(AP169*'Settings'!$B$27)+(AM169*'Settings'!$B$23),VLOOKUP(B169,'Standard Deviations'!A1:C731,3,FALSE))</f>
        <v>281.325764729872</v>
      </c>
      <c r="J169" s="45">
        <f>IF(D169="G",I169/AJ169,I169/Q169)</f>
        <v>6.11577749412765</v>
      </c>
      <c r="K169" s="44">
        <f>VLOOKUP(B169,'G'!A1:F75,6,FALSE)</f>
        <v>16.022543230184</v>
      </c>
      <c r="L169" s="44">
        <f>_xlfn.IFERROR(K169/H169,"N/A")</f>
        <v>4.712512714760</v>
      </c>
      <c r="M169" s="46">
        <f>IF('Settings'!$E$9="YAHOO",VLOOKUP(B169,'ADP'!A1:E731,2,FALSE),IF('Settings'!$E$9="ESPN",VLOOKUP(B169,'ADP'!A1:E731,3,FALSE),IF('Settings'!$E$9="FANTRAX",VLOOKUP(B169,'ADP'!A1:E731,4,FALSE),VLOOKUP(B169,'ADP'!A1:E731,5,FALSE))))</f>
        <v>144.84</v>
      </c>
      <c r="N169" s="46">
        <f>_xlfn.IFERROR(M169-A169,"N/A")</f>
        <v>50.84</v>
      </c>
      <c r="O169" s="46"/>
      <c r="P169" t="s" s="47">
        <f>IF('Settings'!$E$27="ON",VLOOKUP(B169,'ADP'!A1:H731,8,FALSE)," ")</f>
        <v>109</v>
      </c>
      <c r="Q169" s="48"/>
      <c r="R169" s="59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  <c r="AI169" s="46"/>
      <c r="AJ169" s="50">
        <f>VLOOKUP(B169,'Player Data'!$A1:$AE734,24,FALSE)</f>
        <v>46</v>
      </c>
      <c r="AK169" s="48">
        <f>VLOOKUP(B169,'Player Data'!$A1:$AE734,25,FALSE)*$AJ169*_xlfn.IFERROR((VLOOKUP(P169,'Settings'!$E$28:$F$33,2,FALSE)+1),1)</f>
        <v>27.109659735319</v>
      </c>
      <c r="AL169" s="48">
        <f>AJ169-AK169-AM169</f>
        <v>13.140340264681</v>
      </c>
      <c r="AM169" s="48">
        <f>VLOOKUP(B169,'Player Data'!$A1:$AE734,27,FALSE)*$AJ169</f>
        <v>5.75</v>
      </c>
      <c r="AN169" s="48">
        <f>VLOOKUP(B169,'Player Data'!$A1:$AE734,28,FALSE)*AJ169</f>
        <v>3.0321215044173</v>
      </c>
      <c r="AO169" s="48">
        <f>VLOOKUP(B169,'Player Data'!$A1:$AE734,29,FALSE)*$AJ169*_xlfn.IFERROR((VLOOKUP(P169,'Settings'!$E$28:$F$33,2,FALSE)/4)+1,1)</f>
        <v>1253.133067564950</v>
      </c>
      <c r="AP169" s="48">
        <f>VLOOKUP(B169,'Player Data'!$A1:$AE734,31,FALSE)*$AJ169*(_xlfn.IFERROR(1-(VLOOKUP(P169,'Settings'!$E$28:$F$33,2,FALSE)/4),1))</f>
        <v>123.359666172548</v>
      </c>
      <c r="AQ169" s="51">
        <f>1-(AP169/(AO169+AP169))</f>
        <v>0.910381171546327</v>
      </c>
      <c r="AR169" s="52">
        <f>AP169/AJ169</f>
        <v>2.68173187331626</v>
      </c>
      <c r="AS169" s="46"/>
    </row>
    <row r="170" ht="21.25" customHeight="1">
      <c r="A170" s="53">
        <f>RANK(K170,K2:K730)</f>
        <v>248</v>
      </c>
      <c r="B170" t="s" s="8">
        <v>321</v>
      </c>
      <c r="C170" t="s" s="39">
        <v>106</v>
      </c>
      <c r="D170" t="s" s="40">
        <f>VLOOKUP(B170,'Player Data'!A1:D734,4,FALSE)</f>
        <v>129</v>
      </c>
      <c r="E170" s="56">
        <f>VLOOKUP(B170,'D'!A1:C228,3,FALSE)</f>
        <v>68</v>
      </c>
      <c r="F170" t="s" s="42">
        <f>VLOOKUP(B170,'Player Data'!A1:B734,2,FALSE)</f>
        <v>131</v>
      </c>
      <c r="G170" s="9">
        <f>VLOOKUP(B170,'Player Data'!A1:D734,3,FALSE)</f>
        <v>32</v>
      </c>
      <c r="H170" s="43">
        <f>_xlfn.IFERROR(VLOOKUP(B170,'ADP'!A1:G731,7,FALSE)/1000000,VLOOKUP(B170,'ADP'!A1:G731,7,FALSE))</f>
        <v>4.5</v>
      </c>
      <c r="I170" s="44">
        <f>IF('Settings'!$E$15="POINTS",((R170*Q170)*'Settings'!$B$12)+(S170*'Settings'!$B$2)+(T170*'Settings'!$B$3)+(U170*'Settings'!$B$4)+(V170*'Settings'!$B$5)+(X170*'Settings'!$B$9)+(AA170*'Settings'!$B$6)+(W170*'Settings'!$B$8)+(AB170*'Settings'!$B$7)+(AC170*'Settings'!$B$14)+(AD170*'Settings'!$B$15)+(AE170*'Settings'!$B$16)+(AF170*'Settings'!$B$17)+(AG170*'Settings'!$B$18)+(U170*'Settings'!$B$13)+(Y170*'Settings'!$B$10)+(Z170*'Settings'!$B$11),VLOOKUP(B170,'Standard Deviations'!A1:C731,3,FALSE))</f>
        <v>247.902889194675</v>
      </c>
      <c r="J170" s="45">
        <f>IF(D170="G",I170/AJ170,I170/Q170)</f>
        <v>3.0482986682407</v>
      </c>
      <c r="K170" s="44">
        <f>VLOOKUP(B170,'D'!A1:F228,6,FALSE)</f>
        <v>-92.832249451848</v>
      </c>
      <c r="L170" s="44">
        <f>_xlfn.IFERROR(K170/H170,"N/A")</f>
        <v>-20.6293887670773</v>
      </c>
      <c r="M170" s="46">
        <f>IF('Settings'!$E$9="YAHOO",VLOOKUP(B170,'ADP'!A1:E731,2,FALSE),IF('Settings'!$E$9="ESPN",VLOOKUP(B170,'ADP'!A1:E731,3,FALSE),IF('Settings'!$E$9="FANTRAX",VLOOKUP(B170,'ADP'!A1:E731,4,FALSE),VLOOKUP(B170,'ADP'!A1:E731,5,FALSE))))</f>
        <v>185.88</v>
      </c>
      <c r="N170" s="46">
        <f>_xlfn.IFERROR(M170-A170,"N/A")</f>
        <v>-62.12</v>
      </c>
      <c r="O170" s="46"/>
      <c r="P170" t="s" s="47">
        <f>IF('Settings'!$E$27="ON",VLOOKUP(B170,'ADP'!A1:H731,8,FALSE)," ")</f>
        <v>175</v>
      </c>
      <c r="Q170" s="48">
        <f>IF('Settings'!$E$12="YES",VLOOKUP(B170,'Player Data'!A1:E734,5,FALSE),82)</f>
        <v>81.325</v>
      </c>
      <c r="R170" s="46">
        <f>VLOOKUP(B170,'Player Data'!$A1:$AE734,6,FALSE)</f>
        <v>18.2257649674947</v>
      </c>
      <c r="S170" s="48">
        <f>VLOOKUP(B170,'Player Data'!$A1:$AE734,7,FALSE)*$Q170*_xlfn.IFERROR((VLOOKUP(P170,'Settings'!$E$28:$F$33,2,FALSE)+1),1)</f>
        <v>7.50073823979548</v>
      </c>
      <c r="T170" s="48">
        <f>VLOOKUP(B170,'Player Data'!$A1:$AE734,8,FALSE)*$Q170*_xlfn.IFERROR((VLOOKUP(P170,'Settings'!$E$28:$F$33,2,FALSE)+1),1)</f>
        <v>28.6838194609781</v>
      </c>
      <c r="U170" s="48">
        <f>SUM(S170:T170)</f>
        <v>36.1845577007736</v>
      </c>
      <c r="V170" s="48">
        <f>VLOOKUP(B170,'Player Data'!$A1:$AE734,10,FALSE)*$Q170*_xlfn.IFERROR(((VLOOKUP(P170,'Settings'!$E$28:$F$33,2,FALSE)/2)+1),1)</f>
        <v>140.630619571636</v>
      </c>
      <c r="W170" s="48">
        <f>VLOOKUP(B170,'Player Data'!$A1:$AE734,11,FALSE)*$Q170*_xlfn.IFERROR((VLOOKUP(P170,'Settings'!$E$28:$F$33,2,FALSE)+1),1)</f>
        <v>2.026214125412</v>
      </c>
      <c r="X170" s="48">
        <f>VLOOKUP(B170,'Player Data'!$A1:$AE734,12,FALSE)*$Q170*_xlfn.IFERROR((VLOOKUP(P170,'Settings'!$E$28:$F$33,2,FALSE)+1),1)</f>
        <v>14.4487999009075</v>
      </c>
      <c r="Y170" s="48">
        <f>VLOOKUP(B170,'Player Data'!$A1:$AE734,13,FALSE)*$Q170</f>
        <v>0.0143395918951019</v>
      </c>
      <c r="Z170" s="48">
        <f>VLOOKUP(B170,'Player Data'!$A1:$AE734,14,FALSE)*$Q170</f>
        <v>0.39950610938963</v>
      </c>
      <c r="AA170" s="48">
        <f>VLOOKUP(B170,'Player Data'!$A1:$AE734,15,FALSE)*$Q170</f>
        <v>84.1079031359901</v>
      </c>
      <c r="AB170" s="48">
        <f>VLOOKUP(B170,'Player Data'!$A1:$AE734,16,FALSE)*$Q170</f>
        <v>59.7193406402763</v>
      </c>
      <c r="AC170" s="48">
        <f>VLOOKUP(B170,'Player Data'!$A1:$AE734,17,FALSE)*$Q170*_xlfn.IFERROR((VLOOKUP(P170,'Settings'!$E$28:$F$33,2,FALSE)+1),1)</f>
        <v>-1.71076102196518</v>
      </c>
      <c r="AD170" s="48">
        <f>VLOOKUP(B170,'Player Data'!$A1:$AE734,18,FALSE)*$Q170</f>
        <v>25.9387707655864</v>
      </c>
      <c r="AE170" s="48">
        <f>VLOOKUP(B170,'Player Data'!$A1:$AE734,19,FALSE)*$Q170*_xlfn.IFERROR((VLOOKUP(P170,'Settings'!$E$28:$F$33,2,FALSE)+1),1)</f>
        <v>1.09530395789796</v>
      </c>
      <c r="AF170" s="48">
        <f>VLOOKUP(B170,'Player Data'!$A1:$AE734,20,FALSE)*$Q170</f>
        <v>0</v>
      </c>
      <c r="AG170" s="48">
        <f>VLOOKUP(B170,'Player Data'!$A1:$AE734,21,FALSE)*$Q170</f>
        <v>0</v>
      </c>
      <c r="AH170" s="49">
        <f>VLOOKUP(B170,'Player Data'!$A1:$AE734,22,FALSE)</f>
        <v>0</v>
      </c>
      <c r="AI170" s="46"/>
      <c r="AJ170" s="48"/>
      <c r="AK170" s="48"/>
      <c r="AL170" s="48"/>
      <c r="AM170" s="48"/>
      <c r="AN170" s="48"/>
      <c r="AO170" s="48"/>
      <c r="AP170" s="48"/>
      <c r="AQ170" s="51"/>
      <c r="AR170" s="52"/>
      <c r="AS170" s="46"/>
    </row>
    <row r="171" ht="21.25" customHeight="1">
      <c r="A171" s="53">
        <f>RANK(K171,K2:K730)</f>
        <v>153</v>
      </c>
      <c r="B171" t="s" s="8">
        <v>322</v>
      </c>
      <c r="C171" t="s" s="39">
        <v>106</v>
      </c>
      <c r="D171" t="s" s="40">
        <f>VLOOKUP(B171,'Player Data'!A1:D734,4,FALSE)</f>
        <v>107</v>
      </c>
      <c r="E171" s="41">
        <f>VLOOKUP(B171,'C'!A1:C218,3,FALSE)</f>
        <v>46</v>
      </c>
      <c r="F171" t="s" s="42">
        <f>VLOOKUP(B171,'Player Data'!A1:B734,2,FALSE)</f>
        <v>151</v>
      </c>
      <c r="G171" s="9">
        <f>VLOOKUP(B171,'Player Data'!A1:D734,3,FALSE)</f>
        <v>30</v>
      </c>
      <c r="H171" s="43">
        <f>_xlfn.IFERROR(VLOOKUP(B171,'ADP'!A1:G731,7,FALSE)/1000000,VLOOKUP(B171,'ADP'!A1:G731,7,FALSE))</f>
        <v>5.625</v>
      </c>
      <c r="I171" s="44">
        <f>IF('Settings'!$E$15="POINTS",((R171*Q171)*'Settings'!$B$12)+(S171*'Settings'!$B$2)+(T171*'Settings'!$B$3)+(U171*'Settings'!$B$4)+(V171*'Settings'!$B$5)+(X171*'Settings'!$B$9)+(AA171*'Settings'!$B$6)+(W171*'Settings'!$B$8)+(AB171*'Settings'!$B$7)+(AC171*'Settings'!$B$14)+(AD171*'Settings'!$B$15)+(AE171*'Settings'!$B$16)+(AF171*'Settings'!$B$17)+(AG171*'Settings'!$B$18)+(Y171*'Settings'!$B$10)+(Z171*'Settings'!$B$11),VLOOKUP(B171,'Standard Deviations'!A1:C731,3,FALSE))</f>
        <v>366.412761568744</v>
      </c>
      <c r="J171" s="45">
        <f>IF(D171="G",I171/AJ171,I171/Q171)</f>
        <v>4.54749470274893</v>
      </c>
      <c r="K171" s="44">
        <f>IF('Settings'!$E$18="C/LW/RW",VLOOKUP(B171,'C'!A1:F218,6,FALSE),VLOOKUP(B171,'F'!A1:F432,6,FALSE))</f>
        <v>-29.361440067271</v>
      </c>
      <c r="L171" s="44">
        <f>_xlfn.IFERROR(K171/H171,"N/A")</f>
        <v>-5.21981156751484</v>
      </c>
      <c r="M171" s="46">
        <f>IF('Settings'!$E$9="YAHOO",VLOOKUP(B171,'ADP'!A1:E731,2,FALSE),IF('Settings'!$E$9="ESPN",VLOOKUP(B171,'ADP'!A1:E731,3,FALSE),IF('Settings'!$E$9="FANTRAX",VLOOKUP(B171,'ADP'!A1:E731,4,FALSE),VLOOKUP(B171,'ADP'!A1:E731,5,FALSE))))</f>
        <v>124.58</v>
      </c>
      <c r="N171" s="46">
        <f>_xlfn.IFERROR(M171-A171,"N/A")</f>
        <v>-28.42</v>
      </c>
      <c r="O171" s="46"/>
      <c r="P171" t="s" s="47">
        <f>IF('Settings'!$E$27="ON",VLOOKUP(B171,'ADP'!A1:H731,8,FALSE)," ")</f>
        <v>109</v>
      </c>
      <c r="Q171" s="48">
        <f>IF('Settings'!$E$12="YES",VLOOKUP(B171,'Player Data'!A1:E734,5,FALSE),82)</f>
        <v>80.5746428571429</v>
      </c>
      <c r="R171" s="46">
        <f>VLOOKUP(B171,'Player Data'!$A1:$AE734,6,FALSE)</f>
        <v>18.2873707247417</v>
      </c>
      <c r="S171" s="48">
        <f>VLOOKUP(B171,'Player Data'!$A1:$AE734,7,FALSE)*$Q171*_xlfn.IFERROR((VLOOKUP(P171,'Settings'!$E$28:$F$33,2,FALSE)+1),1)</f>
        <v>21.0768252826237</v>
      </c>
      <c r="T171" s="48">
        <f>VLOOKUP(B171,'Player Data'!$A1:$AE734,8,FALSE)*$Q171*_xlfn.IFERROR((VLOOKUP(P171,'Settings'!$E$28:$F$33,2,FALSE)+1),1)</f>
        <v>35.7571538360527</v>
      </c>
      <c r="U171" s="48">
        <f>SUM(S171:T171)</f>
        <v>56.8339791186764</v>
      </c>
      <c r="V171" s="48">
        <f>VLOOKUP(B171,'Player Data'!$A1:$AE734,10,FALSE)*$Q171*_xlfn.IFERROR(((VLOOKUP(P171,'Settings'!$E$28:$F$33,2,FALSE)/2)+1),1)</f>
        <v>200.307534507023</v>
      </c>
      <c r="W171" s="48">
        <f>VLOOKUP(B171,'Player Data'!$A1:$AE734,11,FALSE)*$Q171*_xlfn.IFERROR((VLOOKUP(P171,'Settings'!$E$28:$F$33,2,FALSE)+1),1)</f>
        <v>5.6177443071926</v>
      </c>
      <c r="X171" s="48">
        <f>VLOOKUP(B171,'Player Data'!$A1:$AE734,12,FALSE)*$Q171*_xlfn.IFERROR((VLOOKUP(P171,'Settings'!$E$28:$F$33,2,FALSE)+1),1)</f>
        <v>12.7056340153767</v>
      </c>
      <c r="Y171" s="48">
        <f>VLOOKUP(B171,'Player Data'!$A1:$AE734,13,FALSE)*$Q171</f>
        <v>0.0711151985466299</v>
      </c>
      <c r="Z171" s="48">
        <f>VLOOKUP(B171,'Player Data'!$A1:$AE734,14,FALSE)*$Q171</f>
        <v>0.131855406959919</v>
      </c>
      <c r="AA171" s="48">
        <f>VLOOKUP(B171,'Player Data'!$A1:$AE734,15,FALSE)*$Q171</f>
        <v>42.8652657077903</v>
      </c>
      <c r="AB171" s="48">
        <f>VLOOKUP(B171,'Player Data'!$A1:$AE734,16,FALSE)*$Q171</f>
        <v>169.781901469813</v>
      </c>
      <c r="AC171" s="48">
        <f>VLOOKUP(B171,'Player Data'!$A1:$AE734,17,FALSE)*$Q171*_xlfn.IFERROR((VLOOKUP(P171,'Settings'!$E$28:$F$33,2,FALSE)+1),1)</f>
        <v>5.49488208360417</v>
      </c>
      <c r="AD171" s="48">
        <f>VLOOKUP(B171,'Player Data'!$A1:$AE734,18,FALSE)*$Q171</f>
        <v>53.1045431148097</v>
      </c>
      <c r="AE171" s="48">
        <f>VLOOKUP(B171,'Player Data'!$A1:$AE734,19,FALSE)*$Q171*_xlfn.IFERROR((VLOOKUP(P171,'Settings'!$E$28:$F$33,2,FALSE)+1),1)</f>
        <v>3.59145166985473</v>
      </c>
      <c r="AF171" s="48">
        <f>VLOOKUP(B171,'Player Data'!$A1:$AE734,20,FALSE)*$Q171</f>
        <v>676.130158458705</v>
      </c>
      <c r="AG171" s="48">
        <f>VLOOKUP(B171,'Player Data'!$A1:$AE734,21,FALSE)*$Q171</f>
        <v>541.372556286909</v>
      </c>
      <c r="AH171" s="49">
        <f>VLOOKUP(B171,'Player Data'!$A1:$AE734,22,FALSE)</f>
        <v>0.555341807677181</v>
      </c>
      <c r="AI171" s="46"/>
      <c r="AJ171" s="48"/>
      <c r="AK171" s="48"/>
      <c r="AL171" s="48"/>
      <c r="AM171" s="48"/>
      <c r="AN171" s="48"/>
      <c r="AO171" s="48"/>
      <c r="AP171" s="48"/>
      <c r="AQ171" s="51"/>
      <c r="AR171" s="52"/>
      <c r="AS171" s="46"/>
    </row>
    <row r="172" ht="21.25" customHeight="1">
      <c r="A172" s="53">
        <f>RANK(K172,K2:K730)</f>
        <v>209</v>
      </c>
      <c r="B172" t="s" s="8">
        <v>323</v>
      </c>
      <c r="C172" t="s" s="39">
        <v>106</v>
      </c>
      <c r="D172" t="s" s="40">
        <f>VLOOKUP(B172,'Player Data'!A1:D734,4,FALSE)</f>
        <v>129</v>
      </c>
      <c r="E172" s="56">
        <f>VLOOKUP(B172,'D'!A1:C228,3,FALSE)</f>
        <v>53</v>
      </c>
      <c r="F172" t="s" s="42">
        <f>VLOOKUP(B172,'Player Data'!A1:B734,2,FALSE)</f>
        <v>173</v>
      </c>
      <c r="G172" s="9">
        <f>VLOOKUP(B172,'Player Data'!A1:D734,3,FALSE)</f>
        <v>21</v>
      </c>
      <c r="H172" s="43">
        <f>_xlfn.IFERROR(VLOOKUP(B172,'ADP'!A1:G731,7,FALSE)/1000000,VLOOKUP(B172,'ADP'!A1:G731,7,FALSE))</f>
        <v>0.925</v>
      </c>
      <c r="I172" s="44">
        <f>IF('Settings'!$E$15="POINTS",((R172*Q172)*'Settings'!$B$12)+(S172*'Settings'!$B$2)+(T172*'Settings'!$B$3)+(U172*'Settings'!$B$4)+(V172*'Settings'!$B$5)+(X172*'Settings'!$B$9)+(AA172*'Settings'!$B$6)+(W172*'Settings'!$B$8)+(AB172*'Settings'!$B$7)+(AC172*'Settings'!$B$14)+(AD172*'Settings'!$B$15)+(AE172*'Settings'!$B$16)+(AF172*'Settings'!$B$17)+(AG172*'Settings'!$B$18)+(U172*'Settings'!$B$13)+(Y172*'Settings'!$B$10)+(Z172*'Settings'!$B$11),VLOOKUP(B172,'Standard Deviations'!A1:C731,3,FALSE))</f>
        <v>267.262034229623</v>
      </c>
      <c r="J172" s="45">
        <f>IF(D172="G",I172/AJ172,I172/Q172)</f>
        <v>3.34265567168561</v>
      </c>
      <c r="K172" s="44">
        <f>VLOOKUP(B172,'D'!A1:F228,6,FALSE)</f>
        <v>-73.4731044169</v>
      </c>
      <c r="L172" s="44">
        <f>_xlfn.IFERROR(K172/H172,"N/A")</f>
        <v>-79.4303831534054</v>
      </c>
      <c r="M172" s="46">
        <f>IF('Settings'!$E$9="YAHOO",VLOOKUP(B172,'ADP'!A1:E731,2,FALSE),IF('Settings'!$E$9="ESPN",VLOOKUP(B172,'ADP'!A1:E731,3,FALSE),IF('Settings'!$E$9="FANTRAX",VLOOKUP(B172,'ADP'!A1:E731,4,FALSE),VLOOKUP(B172,'ADP'!A1:E731,5,FALSE))))</f>
        <v>192.13</v>
      </c>
      <c r="N172" s="46">
        <f>_xlfn.IFERROR(M172-A172,"N/A")</f>
        <v>-16.87</v>
      </c>
      <c r="O172" s="46"/>
      <c r="P172" t="s" s="47">
        <f>IF('Settings'!$E$27="ON",VLOOKUP(B172,'ADP'!A1:H731,8,FALSE)," ")</f>
        <v>109</v>
      </c>
      <c r="Q172" s="48">
        <f>IF('Settings'!$E$12="YES",VLOOKUP(B172,'Player Data'!A1:E734,5,FALSE),82)</f>
        <v>79.955</v>
      </c>
      <c r="R172" s="46">
        <f>VLOOKUP(B172,'Player Data'!$A1:$AE734,6,FALSE)</f>
        <v>21.9683693129028</v>
      </c>
      <c r="S172" s="48">
        <f>VLOOKUP(B172,'Player Data'!$A1:$AE734,7,FALSE)*$Q172*_xlfn.IFERROR((VLOOKUP(P172,'Settings'!$E$28:$F$33,2,FALSE)+1),1)</f>
        <v>5.09303993427431</v>
      </c>
      <c r="T172" s="48">
        <f>VLOOKUP(B172,'Player Data'!$A1:$AE734,8,FALSE)*$Q172*_xlfn.IFERROR((VLOOKUP(P172,'Settings'!$E$28:$F$33,2,FALSE)+1),1)</f>
        <v>27.7661735437813</v>
      </c>
      <c r="U172" s="48">
        <f>SUM(S172:T172)</f>
        <v>32.8592134780556</v>
      </c>
      <c r="V172" s="48">
        <f>VLOOKUP(B172,'Player Data'!$A1:$AE734,10,FALSE)*$Q172*_xlfn.IFERROR(((VLOOKUP(P172,'Settings'!$E$28:$F$33,2,FALSE)/2)+1),1)</f>
        <v>135.284836206243</v>
      </c>
      <c r="W172" s="48">
        <f>VLOOKUP(B172,'Player Data'!$A1:$AE734,11,FALSE)*$Q172*_xlfn.IFERROR((VLOOKUP(P172,'Settings'!$E$28:$F$33,2,FALSE)+1),1)</f>
        <v>1.71205978463512</v>
      </c>
      <c r="X172" s="48">
        <f>VLOOKUP(B172,'Player Data'!$A1:$AE734,12,FALSE)*$Q172*_xlfn.IFERROR((VLOOKUP(P172,'Settings'!$E$28:$F$33,2,FALSE)+1),1)</f>
        <v>12.4179889660301</v>
      </c>
      <c r="Y172" s="48">
        <f>VLOOKUP(B172,'Player Data'!$A1:$AE734,13,FALSE)*$Q172</f>
        <v>0.0419405157627158</v>
      </c>
      <c r="Z172" s="48">
        <f>VLOOKUP(B172,'Player Data'!$A1:$AE734,14,FALSE)*$Q172</f>
        <v>0.215220965476031</v>
      </c>
      <c r="AA172" s="48">
        <f>VLOOKUP(B172,'Player Data'!$A1:$AE734,15,FALSE)*$Q172</f>
        <v>151.366286020404</v>
      </c>
      <c r="AB172" s="48">
        <f>VLOOKUP(B172,'Player Data'!$A1:$AE734,16,FALSE)*$Q172</f>
        <v>69.1553233990782</v>
      </c>
      <c r="AC172" s="48">
        <f>VLOOKUP(B172,'Player Data'!$A1:$AE734,17,FALSE)*$Q172*_xlfn.IFERROR((VLOOKUP(P172,'Settings'!$E$28:$F$33,2,FALSE)+1),1)</f>
        <v>0.219121628094264</v>
      </c>
      <c r="AD172" s="48">
        <f>VLOOKUP(B172,'Player Data'!$A1:$AE734,18,FALSE)*$Q172</f>
        <v>20.3895206085978</v>
      </c>
      <c r="AE172" s="48">
        <f>VLOOKUP(B172,'Player Data'!$A1:$AE734,19,FALSE)*$Q172*_xlfn.IFERROR((VLOOKUP(P172,'Settings'!$E$28:$F$33,2,FALSE)+1),1)</f>
        <v>0.765921435696488</v>
      </c>
      <c r="AF172" s="48">
        <f>VLOOKUP(B172,'Player Data'!$A1:$AE734,20,FALSE)*$Q172</f>
        <v>0</v>
      </c>
      <c r="AG172" s="48">
        <f>VLOOKUP(B172,'Player Data'!$A1:$AE734,21,FALSE)*$Q172</f>
        <v>0</v>
      </c>
      <c r="AH172" s="49">
        <f>VLOOKUP(B172,'Player Data'!$A1:$AE734,22,FALSE)</f>
        <v>0</v>
      </c>
      <c r="AI172" s="46"/>
      <c r="AJ172" s="50"/>
      <c r="AK172" s="48"/>
      <c r="AL172" s="48"/>
      <c r="AM172" s="48"/>
      <c r="AN172" s="48"/>
      <c r="AO172" s="48"/>
      <c r="AP172" s="48"/>
      <c r="AQ172" s="51"/>
      <c r="AR172" s="52"/>
      <c r="AS172" s="46"/>
    </row>
    <row r="173" ht="21.25" customHeight="1">
      <c r="A173" s="53">
        <f>RANK(K173,K2:K730)</f>
        <v>239</v>
      </c>
      <c r="B173" t="s" s="8">
        <v>324</v>
      </c>
      <c r="C173" t="s" s="39">
        <v>106</v>
      </c>
      <c r="D173" t="s" s="40">
        <f>VLOOKUP(B173,'Player Data'!A1:D734,4,FALSE)</f>
        <v>129</v>
      </c>
      <c r="E173" s="56">
        <f>VLOOKUP(B173,'D'!A1:C228,3,FALSE)</f>
        <v>63</v>
      </c>
      <c r="F173" t="s" s="42">
        <f>VLOOKUP(B173,'Player Data'!A1:B734,2,FALSE)</f>
        <v>115</v>
      </c>
      <c r="G173" s="9">
        <f>VLOOKUP(B173,'Player Data'!A1:D734,3,FALSE)</f>
        <v>31</v>
      </c>
      <c r="H173" s="43">
        <f>_xlfn.IFERROR(VLOOKUP(B173,'ADP'!A1:G731,7,FALSE)/1000000,VLOOKUP(B173,'ADP'!A1:G731,7,FALSE))</f>
        <v>4.15</v>
      </c>
      <c r="I173" s="44">
        <f>IF('Settings'!$E$15="POINTS",((R173*Q173)*'Settings'!$B$12)+(S173*'Settings'!$B$2)+(T173*'Settings'!$B$3)+(U173*'Settings'!$B$4)+(V173*'Settings'!$B$5)+(X173*'Settings'!$B$9)+(AA173*'Settings'!$B$6)+(W173*'Settings'!$B$8)+(AB173*'Settings'!$B$7)+(AC173*'Settings'!$B$14)+(AD173*'Settings'!$B$15)+(AE173*'Settings'!$B$16)+(AF173*'Settings'!$B$17)+(AG173*'Settings'!$B$18)+(U173*'Settings'!$B$13)+(Y173*'Settings'!$B$10)+(Z173*'Settings'!$B$11),VLOOKUP(B173,'Standard Deviations'!A1:C731,3,FALSE))</f>
        <v>251.727097134038</v>
      </c>
      <c r="J173" s="45">
        <f>IF(D173="G",I173/AJ173,I173/Q173)</f>
        <v>3.23439384347077</v>
      </c>
      <c r="K173" s="44">
        <f>VLOOKUP(B173,'D'!A1:F228,6,FALSE)</f>
        <v>-89.00804151248499</v>
      </c>
      <c r="L173" s="44">
        <f>_xlfn.IFERROR(K173/H173,"N/A")</f>
        <v>-21.4477208463819</v>
      </c>
      <c r="M173" s="46">
        <f>IF('Settings'!$E$9="YAHOO",VLOOKUP(B173,'ADP'!A1:E731,2,FALSE),IF('Settings'!$E$9="ESPN",VLOOKUP(B173,'ADP'!A1:E731,3,FALSE),IF('Settings'!$E$9="FANTRAX",VLOOKUP(B173,'ADP'!A1:E731,4,FALSE),VLOOKUP(B173,'ADP'!A1:E731,5,FALSE))))</f>
        <v>191.87</v>
      </c>
      <c r="N173" s="46">
        <f>_xlfn.IFERROR(M173-A173,"N/A")</f>
        <v>-47.13</v>
      </c>
      <c r="O173" s="46"/>
      <c r="P173" t="s" s="47">
        <f>IF('Settings'!$E$27="ON",VLOOKUP(B173,'ADP'!A1:H731,8,FALSE)," ")</f>
        <v>116</v>
      </c>
      <c r="Q173" s="48">
        <f>IF('Settings'!$E$12="YES",VLOOKUP(B173,'Player Data'!A1:E734,5,FALSE),82)</f>
        <v>77.8282142857143</v>
      </c>
      <c r="R173" s="46">
        <f>VLOOKUP(B173,'Player Data'!$A1:$AE734,6,FALSE)</f>
        <v>19.1688373827773</v>
      </c>
      <c r="S173" s="48">
        <f>VLOOKUP(B173,'Player Data'!$A1:$AE734,7,FALSE)*$Q173*_xlfn.IFERROR((VLOOKUP(P173,'Settings'!$E$28:$F$33,2,FALSE)+1),1)</f>
        <v>7.9498981241093</v>
      </c>
      <c r="T173" s="48">
        <f>VLOOKUP(B173,'Player Data'!$A1:$AE734,8,FALSE)*$Q173*_xlfn.IFERROR((VLOOKUP(P173,'Settings'!$E$28:$F$33,2,FALSE)+1),1)</f>
        <v>30.5529691446749</v>
      </c>
      <c r="U173" s="48">
        <f>SUM(S173:T173)</f>
        <v>38.5028672687842</v>
      </c>
      <c r="V173" s="48">
        <f>VLOOKUP(B173,'Player Data'!$A1:$AE734,10,FALSE)*$Q173*_xlfn.IFERROR(((VLOOKUP(P173,'Settings'!$E$28:$F$33,2,FALSE)/2)+1),1)</f>
        <v>124.353658335329</v>
      </c>
      <c r="W173" s="48">
        <f>VLOOKUP(B173,'Player Data'!$A1:$AE734,11,FALSE)*$Q173*_xlfn.IFERROR((VLOOKUP(P173,'Settings'!$E$28:$F$33,2,FALSE)+1),1)</f>
        <v>1.53885518475473</v>
      </c>
      <c r="X173" s="48">
        <f>VLOOKUP(B173,'Player Data'!$A1:$AE734,12,FALSE)*$Q173*_xlfn.IFERROR((VLOOKUP(P173,'Settings'!$E$28:$F$33,2,FALSE)+1),1)</f>
        <v>12.8633491444924</v>
      </c>
      <c r="Y173" s="48">
        <f>VLOOKUP(B173,'Player Data'!$A1:$AE734,13,FALSE)*$Q173</f>
        <v>0.00391074872426534</v>
      </c>
      <c r="Z173" s="48">
        <f>VLOOKUP(B173,'Player Data'!$A1:$AE734,14,FALSE)*$Q173</f>
        <v>0.0147083176301496</v>
      </c>
      <c r="AA173" s="48">
        <f>VLOOKUP(B173,'Player Data'!$A1:$AE734,15,FALSE)*$Q173</f>
        <v>89.44519624810719</v>
      </c>
      <c r="AB173" s="48">
        <f>VLOOKUP(B173,'Player Data'!$A1:$AE734,16,FALSE)*$Q173</f>
        <v>69.4592168581718</v>
      </c>
      <c r="AC173" s="48">
        <f>VLOOKUP(B173,'Player Data'!$A1:$AE734,17,FALSE)*$Q173*_xlfn.IFERROR((VLOOKUP(P173,'Settings'!$E$28:$F$33,2,FALSE)+1),1)</f>
        <v>1.37954530654758</v>
      </c>
      <c r="AD173" s="48">
        <f>VLOOKUP(B173,'Player Data'!$A1:$AE734,18,FALSE)*$Q173</f>
        <v>33.9884771017267</v>
      </c>
      <c r="AE173" s="48">
        <f>VLOOKUP(B173,'Player Data'!$A1:$AE734,19,FALSE)*$Q173*_xlfn.IFERROR((VLOOKUP(P173,'Settings'!$E$28:$F$33,2,FALSE)+1),1)</f>
        <v>1.27714902058727</v>
      </c>
      <c r="AF173" s="48">
        <f>VLOOKUP(B173,'Player Data'!$A1:$AE734,20,FALSE)*$Q173</f>
        <v>0</v>
      </c>
      <c r="AG173" s="48">
        <f>VLOOKUP(B173,'Player Data'!$A1:$AE734,21,FALSE)*$Q173</f>
        <v>0</v>
      </c>
      <c r="AH173" s="49">
        <f>VLOOKUP(B173,'Player Data'!$A1:$AE734,22,FALSE)</f>
        <v>0</v>
      </c>
      <c r="AI173" s="46"/>
      <c r="AJ173" s="50"/>
      <c r="AK173" s="48"/>
      <c r="AL173" s="48"/>
      <c r="AM173" s="48"/>
      <c r="AN173" s="48"/>
      <c r="AO173" s="48"/>
      <c r="AP173" s="48"/>
      <c r="AQ173" s="51"/>
      <c r="AR173" s="52"/>
      <c r="AS173" s="50"/>
    </row>
    <row r="174" ht="21.25" customHeight="1">
      <c r="A174" s="53">
        <f>RANK(K174,K2:K730)</f>
        <v>187</v>
      </c>
      <c r="B174" t="s" s="8">
        <v>325</v>
      </c>
      <c r="C174" t="s" s="39">
        <v>106</v>
      </c>
      <c r="D174" t="s" s="40">
        <f>VLOOKUP(B174,'Player Data'!A1:D734,4,FALSE)</f>
        <v>121</v>
      </c>
      <c r="E174" s="55">
        <f>VLOOKUP(B174,'RW'!A1:F132,3,FALSE)</f>
        <v>44</v>
      </c>
      <c r="F174" t="s" s="42">
        <f>VLOOKUP(B174,'Player Data'!A1:B734,2,FALSE)</f>
        <v>292</v>
      </c>
      <c r="G174" s="9">
        <f>VLOOKUP(B174,'Player Data'!A1:D734,3,FALSE)</f>
        <v>31</v>
      </c>
      <c r="H174" s="43">
        <f>_xlfn.IFERROR(VLOOKUP(B174,'ADP'!A1:G731,7,FALSE)/1000000,VLOOKUP(B174,'ADP'!A1:G731,7,FALSE))</f>
        <v>5</v>
      </c>
      <c r="I174" s="44">
        <f>IF('Settings'!$E$15="POINTS",((R174*Q174)*'Settings'!$B$12)+(S174*'Settings'!$B$2)+(T174*'Settings'!$B$3)+(U174*'Settings'!$B$4)+(V174*'Settings'!$B$5)+(X174*'Settings'!$B$9)+(AA174*'Settings'!$B$6)+(W174*'Settings'!$B$8)+(AB174*'Settings'!$B$7)+(AC174*'Settings'!$B$14)+(AD174*'Settings'!$B$15)+(AE174*'Settings'!$B$16)+(AF174*'Settings'!$B$17)+(AG174*'Settings'!$B$18)+(Y174*'Settings'!$B$10)+(Z174*'Settings'!$B$11),VLOOKUP(B174,'Standard Deviations'!A1:C731,3,FALSE))</f>
        <v>325.567441117980</v>
      </c>
      <c r="J174" s="45">
        <f>IF(D174="G",I174/AJ174,I174/Q174)</f>
        <v>4.39514789752731</v>
      </c>
      <c r="K174" s="44">
        <f>IF('Settings'!$E$18="C/LW/RW",VLOOKUP(B174,'RW'!A1:F132,6,FALSE),VLOOKUP(B174,'F'!A1:F432,6,FALSE))</f>
        <v>-56.061122588376</v>
      </c>
      <c r="L174" s="44">
        <f>_xlfn.IFERROR(K174/H174,"N/A")</f>
        <v>-11.2122245176752</v>
      </c>
      <c r="M174" s="46">
        <f>IF('Settings'!$E$9="YAHOO",VLOOKUP(B174,'ADP'!A1:E731,2,FALSE),IF('Settings'!$E$9="ESPN",VLOOKUP(B174,'ADP'!A1:E731,3,FALSE),IF('Settings'!$E$9="FANTRAX",VLOOKUP(B174,'ADP'!A1:E731,4,FALSE),VLOOKUP(B174,'ADP'!A1:E731,5,FALSE))))</f>
        <v>122.35</v>
      </c>
      <c r="N174" s="46">
        <f>_xlfn.IFERROR(M174-A174,"N/A")</f>
        <v>-64.65000000000001</v>
      </c>
      <c r="O174" s="46"/>
      <c r="P174" t="s" s="47">
        <f>IF('Settings'!$E$27="ON",VLOOKUP(B174,'ADP'!A1:H731,8,FALSE)," ")</f>
        <v>109</v>
      </c>
      <c r="Q174" s="48">
        <f>IF('Settings'!$E$12="YES",VLOOKUP(B174,'Player Data'!A1:E734,5,FALSE),82)</f>
        <v>74.07428571428569</v>
      </c>
      <c r="R174" s="46">
        <f>VLOOKUP(B174,'Player Data'!$A1:$AE734,6,FALSE)</f>
        <v>16.1419117937233</v>
      </c>
      <c r="S174" s="48">
        <f>VLOOKUP(B174,'Player Data'!$A1:$AE734,7,FALSE)*$Q174*_xlfn.IFERROR((VLOOKUP(P174,'Settings'!$E$28:$F$33,2,FALSE)+1),1)</f>
        <v>21.2856299831531</v>
      </c>
      <c r="T174" s="48">
        <f>VLOOKUP(B174,'Player Data'!$A1:$AE734,8,FALSE)*$Q174*_xlfn.IFERROR((VLOOKUP(P174,'Settings'!$E$28:$F$33,2,FALSE)+1),1)</f>
        <v>33.8685075831784</v>
      </c>
      <c r="U174" s="48">
        <f>SUM(S174:T174)</f>
        <v>55.1541375663315</v>
      </c>
      <c r="V174" s="48">
        <f>VLOOKUP(B174,'Player Data'!$A1:$AE734,10,FALSE)*$Q174*_xlfn.IFERROR(((VLOOKUP(P174,'Settings'!$E$28:$F$33,2,FALSE)/2)+1),1)</f>
        <v>178.931081768942</v>
      </c>
      <c r="W174" s="48">
        <f>VLOOKUP(B174,'Player Data'!$A1:$AE734,11,FALSE)*$Q174*_xlfn.IFERROR((VLOOKUP(P174,'Settings'!$E$28:$F$33,2,FALSE)+1),1)</f>
        <v>3.26124365510536</v>
      </c>
      <c r="X174" s="48">
        <f>VLOOKUP(B174,'Player Data'!$A1:$AE734,12,FALSE)*$Q174*_xlfn.IFERROR((VLOOKUP(P174,'Settings'!$E$28:$F$33,2,FALSE)+1),1)</f>
        <v>12.8329588898249</v>
      </c>
      <c r="Y174" s="48">
        <f>VLOOKUP(B174,'Player Data'!$A1:$AE734,13,FALSE)*$Q174</f>
        <v>0.008407962147095761</v>
      </c>
      <c r="Z174" s="48">
        <f>VLOOKUP(B174,'Player Data'!$A1:$AE734,14,FALSE)*$Q174</f>
        <v>0.0155357048004878</v>
      </c>
      <c r="AA174" s="48">
        <f>VLOOKUP(B174,'Player Data'!$A1:$AE734,15,FALSE)*$Q174</f>
        <v>38.5509307189662</v>
      </c>
      <c r="AB174" s="48">
        <f>VLOOKUP(B174,'Player Data'!$A1:$AE734,16,FALSE)*$Q174</f>
        <v>77.6180231628046</v>
      </c>
      <c r="AC174" s="48">
        <f>VLOOKUP(B174,'Player Data'!$A1:$AE734,17,FALSE)*$Q174*_xlfn.IFERROR((VLOOKUP(P174,'Settings'!$E$28:$F$33,2,FALSE)+1),1)</f>
        <v>0.223100042209485</v>
      </c>
      <c r="AD174" s="48">
        <f>VLOOKUP(B174,'Player Data'!$A1:$AE734,18,FALSE)*$Q174</f>
        <v>15.7819038968169</v>
      </c>
      <c r="AE174" s="48">
        <f>VLOOKUP(B174,'Player Data'!$A1:$AE734,19,FALSE)*$Q174*_xlfn.IFERROR((VLOOKUP(P174,'Settings'!$E$28:$F$33,2,FALSE)+1),1)</f>
        <v>0</v>
      </c>
      <c r="AF174" s="48">
        <f>VLOOKUP(B174,'Player Data'!$A1:$AE734,20,FALSE)*$Q174</f>
        <v>0.527627810451534</v>
      </c>
      <c r="AG174" s="48">
        <f>VLOOKUP(B174,'Player Data'!$A1:$AE734,21,FALSE)*$Q174</f>
        <v>2.85996426363605</v>
      </c>
      <c r="AH174" s="49">
        <f>VLOOKUP(B174,'Player Data'!$A1:$AE734,22,FALSE)</f>
        <v>0.155753053765674</v>
      </c>
      <c r="AI174" s="46"/>
      <c r="AJ174" s="50"/>
      <c r="AK174" s="48"/>
      <c r="AL174" s="48"/>
      <c r="AM174" s="48"/>
      <c r="AN174" s="48"/>
      <c r="AO174" s="48"/>
      <c r="AP174" s="48"/>
      <c r="AQ174" s="51"/>
      <c r="AR174" s="52"/>
      <c r="AS174" s="50"/>
    </row>
    <row r="175" ht="21.25" customHeight="1">
      <c r="A175" s="53">
        <f>RANK(K175,K2:K730)</f>
        <v>186</v>
      </c>
      <c r="B175" t="s" s="8">
        <v>326</v>
      </c>
      <c r="C175" t="s" s="39">
        <v>106</v>
      </c>
      <c r="D175" t="s" s="40">
        <f>VLOOKUP(B175,'Player Data'!A1:D734,4,FALSE)</f>
        <v>107</v>
      </c>
      <c r="E175" s="41">
        <f>VLOOKUP(B175,'C'!A1:C218,3,FALSE)</f>
        <v>53</v>
      </c>
      <c r="F175" t="s" s="42">
        <f>VLOOKUP(B175,'Player Data'!A1:B734,2,FALSE)</f>
        <v>218</v>
      </c>
      <c r="G175" s="9">
        <f>VLOOKUP(B175,'Player Data'!A1:D734,3,FALSE)</f>
        <v>29</v>
      </c>
      <c r="H175" s="43">
        <f>_xlfn.IFERROR(VLOOKUP(B175,'ADP'!A1:G731,7,FALSE)/1000000,VLOOKUP(B175,'ADP'!A1:G731,7,FALSE))</f>
        <v>2.75</v>
      </c>
      <c r="I175" s="44">
        <f>IF('Settings'!$E$15="POINTS",((R175*Q175)*'Settings'!$B$12)+(S175*'Settings'!$B$2)+(T175*'Settings'!$B$3)+(U175*'Settings'!$B$4)+(V175*'Settings'!$B$5)+(X175*'Settings'!$B$9)+(AA175*'Settings'!$B$6)+(W175*'Settings'!$B$8)+(AB175*'Settings'!$B$7)+(AC175*'Settings'!$B$14)+(AD175*'Settings'!$B$15)+(AE175*'Settings'!$B$16)+(AF175*'Settings'!$B$17)+(AG175*'Settings'!$B$18)+(Y175*'Settings'!$B$10)+(Z175*'Settings'!$B$11),VLOOKUP(B175,'Standard Deviations'!A1:C731,3,FALSE))</f>
        <v>339.949952198042</v>
      </c>
      <c r="J175" s="45">
        <f>IF(D175="G",I175/AJ175,I175/Q175)</f>
        <v>4.21210479664096</v>
      </c>
      <c r="K175" s="44">
        <f>IF('Settings'!$E$18="C/LW/RW",VLOOKUP(B175,'C'!A1:F218,6,FALSE),VLOOKUP(B175,'F'!A1:F432,6,FALSE))</f>
        <v>-55.824249437973</v>
      </c>
      <c r="L175" s="44">
        <f>_xlfn.IFERROR(K175/H175,"N/A")</f>
        <v>-20.2997270683538</v>
      </c>
      <c r="M175" s="46">
        <f>IF('Settings'!$E$9="YAHOO",VLOOKUP(B175,'ADP'!A1:E731,2,FALSE),IF('Settings'!$E$9="ESPN",VLOOKUP(B175,'ADP'!A1:E731,3,FALSE),IF('Settings'!$E$9="FANTRAX",VLOOKUP(B175,'ADP'!A1:E731,4,FALSE),VLOOKUP(B175,'ADP'!A1:E731,5,FALSE))))</f>
        <v>184.94</v>
      </c>
      <c r="N175" s="46">
        <f>_xlfn.IFERROR(M175-A175,"N/A")</f>
        <v>-1.06</v>
      </c>
      <c r="O175" s="46"/>
      <c r="P175" t="s" s="47">
        <f>IF('Settings'!$E$27="ON",VLOOKUP(B175,'ADP'!A1:H731,8,FALSE)," ")</f>
        <v>109</v>
      </c>
      <c r="Q175" s="48">
        <f>IF('Settings'!$E$12="YES",VLOOKUP(B175,'Player Data'!A1:E734,5,FALSE),82)</f>
        <v>80.70785714285709</v>
      </c>
      <c r="R175" s="46">
        <f>VLOOKUP(B175,'Player Data'!$A1:$AE734,6,FALSE)</f>
        <v>19.2897864609211</v>
      </c>
      <c r="S175" s="48">
        <f>VLOOKUP(B175,'Player Data'!$A1:$AE734,7,FALSE)*$Q175*_xlfn.IFERROR((VLOOKUP(P175,'Settings'!$E$28:$F$33,2,FALSE)+1),1)</f>
        <v>19.6660293064877</v>
      </c>
      <c r="T175" s="48">
        <f>VLOOKUP(B175,'Player Data'!$A1:$AE734,8,FALSE)*$Q175*_xlfn.IFERROR((VLOOKUP(P175,'Settings'!$E$28:$F$33,2,FALSE)+1),1)</f>
        <v>44.9140507095128</v>
      </c>
      <c r="U175" s="48">
        <f>SUM(S175:T175)</f>
        <v>64.58008001600049</v>
      </c>
      <c r="V175" s="48">
        <f>VLOOKUP(B175,'Player Data'!$A1:$AE734,10,FALSE)*$Q175*_xlfn.IFERROR(((VLOOKUP(P175,'Settings'!$E$28:$F$33,2,FALSE)/2)+1),1)</f>
        <v>133.917935428159</v>
      </c>
      <c r="W175" s="48">
        <f>VLOOKUP(B175,'Player Data'!$A1:$AE734,11,FALSE)*$Q175*_xlfn.IFERROR((VLOOKUP(P175,'Settings'!$E$28:$F$33,2,FALSE)+1),1)</f>
        <v>5.58471596819897</v>
      </c>
      <c r="X175" s="48">
        <f>VLOOKUP(B175,'Player Data'!$A1:$AE734,12,FALSE)*$Q175*_xlfn.IFERROR((VLOOKUP(P175,'Settings'!$E$28:$F$33,2,FALSE)+1),1)</f>
        <v>14.8149713668543</v>
      </c>
      <c r="Y175" s="48">
        <f>VLOOKUP(B175,'Player Data'!$A1:$AE734,13,FALSE)*$Q175</f>
        <v>1.11265869619389</v>
      </c>
      <c r="Z175" s="48">
        <f>VLOOKUP(B175,'Player Data'!$A1:$AE734,14,FALSE)*$Q175</f>
        <v>2.76407108082817</v>
      </c>
      <c r="AA175" s="48">
        <f>VLOOKUP(B175,'Player Data'!$A1:$AE734,15,FALSE)*$Q175</f>
        <v>51.6554622133013</v>
      </c>
      <c r="AB175" s="48">
        <f>VLOOKUP(B175,'Player Data'!$A1:$AE734,16,FALSE)*$Q175</f>
        <v>73.5833088316889</v>
      </c>
      <c r="AC175" s="48">
        <f>VLOOKUP(B175,'Player Data'!$A1:$AE734,17,FALSE)*$Q175*_xlfn.IFERROR((VLOOKUP(P175,'Settings'!$E$28:$F$33,2,FALSE)+1),1)</f>
        <v>6.54019930174402</v>
      </c>
      <c r="AD175" s="48">
        <f>VLOOKUP(B175,'Player Data'!$A1:$AE734,18,FALSE)*$Q175</f>
        <v>24.9596968220788</v>
      </c>
      <c r="AE175" s="48">
        <f>VLOOKUP(B175,'Player Data'!$A1:$AE734,19,FALSE)*$Q175*_xlfn.IFERROR((VLOOKUP(P175,'Settings'!$E$28:$F$33,2,FALSE)+1),1)</f>
        <v>3.21396577152887</v>
      </c>
      <c r="AF175" s="48">
        <f>VLOOKUP(B175,'Player Data'!$A1:$AE734,20,FALSE)*$Q175</f>
        <v>653.765524524955</v>
      </c>
      <c r="AG175" s="48">
        <f>VLOOKUP(B175,'Player Data'!$A1:$AE734,21,FALSE)*$Q175</f>
        <v>544.623822173344</v>
      </c>
      <c r="AH175" s="49">
        <f>VLOOKUP(B175,'Player Data'!$A1:$AE734,22,FALSE)</f>
        <v>0.545536829350289</v>
      </c>
      <c r="AI175" s="46"/>
      <c r="AJ175" s="50"/>
      <c r="AK175" s="48"/>
      <c r="AL175" s="48"/>
      <c r="AM175" s="48"/>
      <c r="AN175" s="48"/>
      <c r="AO175" s="48"/>
      <c r="AP175" s="48"/>
      <c r="AQ175" s="51"/>
      <c r="AR175" s="52"/>
      <c r="AS175" s="46"/>
    </row>
    <row r="176" ht="21.25" customHeight="1">
      <c r="A176" s="53">
        <f>RANK(K176,K2:K730)</f>
        <v>220</v>
      </c>
      <c r="B176" t="s" s="8">
        <v>327</v>
      </c>
      <c r="C176" t="s" s="39">
        <v>106</v>
      </c>
      <c r="D176" t="s" s="40">
        <f>VLOOKUP(B176,'Player Data'!A1:D734,4,FALSE)</f>
        <v>129</v>
      </c>
      <c r="E176" s="56">
        <f>VLOOKUP(B176,'D'!A1:C228,3,FALSE)</f>
        <v>58</v>
      </c>
      <c r="F176" t="s" s="42">
        <f>VLOOKUP(B176,'Player Data'!A1:B734,2,FALSE)</f>
        <v>119</v>
      </c>
      <c r="G176" s="9">
        <f>VLOOKUP(B176,'Player Data'!A1:D734,3,FALSE)</f>
        <v>27</v>
      </c>
      <c r="H176" s="43">
        <f>_xlfn.IFERROR(VLOOKUP(B176,'ADP'!A1:G731,7,FALSE)/1000000,VLOOKUP(B176,'ADP'!A1:G731,7,FALSE))</f>
        <v>7.5</v>
      </c>
      <c r="I176" s="44">
        <f>IF('Settings'!$E$15="POINTS",((R176*Q176)*'Settings'!$B$12)+(S176*'Settings'!$B$2)+(T176*'Settings'!$B$3)+(U176*'Settings'!$B$4)+(V176*'Settings'!$B$5)+(X176*'Settings'!$B$9)+(AA176*'Settings'!$B$6)+(W176*'Settings'!$B$8)+(AB176*'Settings'!$B$7)+(AC176*'Settings'!$B$14)+(AD176*'Settings'!$B$15)+(AE176*'Settings'!$B$16)+(AF176*'Settings'!$B$17)+(AG176*'Settings'!$B$18)+(U176*'Settings'!$B$13)+(Y176*'Settings'!$B$10)+(Z176*'Settings'!$B$11),VLOOKUP(B176,'Standard Deviations'!A1:C731,3,FALSE))</f>
        <v>260.463332978249</v>
      </c>
      <c r="J176" s="45">
        <f>IF(D176="G",I176/AJ176,I176/Q176)</f>
        <v>4.00712819966537</v>
      </c>
      <c r="K176" s="44">
        <f>VLOOKUP(B176,'D'!A1:F228,6,FALSE)</f>
        <v>-80.271805668274</v>
      </c>
      <c r="L176" s="44">
        <f>_xlfn.IFERROR(K176/H176,"N/A")</f>
        <v>-10.7029074224365</v>
      </c>
      <c r="M176" s="46">
        <f>IF('Settings'!$E$9="YAHOO",VLOOKUP(B176,'ADP'!A1:E731,2,FALSE),IF('Settings'!$E$9="ESPN",VLOOKUP(B176,'ADP'!A1:E731,3,FALSE),IF('Settings'!$E$9="FANTRAX",VLOOKUP(B176,'ADP'!A1:E731,4,FALSE),VLOOKUP(B176,'ADP'!A1:E731,5,FALSE))))</f>
        <v>134.65</v>
      </c>
      <c r="N176" s="46">
        <f>_xlfn.IFERROR(M176-A176,"N/A")</f>
        <v>-85.34999999999999</v>
      </c>
      <c r="O176" s="46"/>
      <c r="P176" t="s" s="47">
        <f>IF('Settings'!$E$27="ON",VLOOKUP(B176,'ADP'!A1:H731,8,FALSE)," ")</f>
        <v>109</v>
      </c>
      <c r="Q176" s="48">
        <f>IF('Settings'!$E$12="YES",VLOOKUP(B176,'Player Data'!A1:E734,5,FALSE),82)</f>
        <v>65</v>
      </c>
      <c r="R176" s="46">
        <f>VLOOKUP(B176,'Player Data'!$A1:$AE734,6,FALSE)</f>
        <v>21.5985636537594</v>
      </c>
      <c r="S176" s="48">
        <f>VLOOKUP(B176,'Player Data'!$A1:$AE734,7,FALSE)*$Q176*_xlfn.IFERROR((VLOOKUP(P176,'Settings'!$E$28:$F$33,2,FALSE)+1),1)</f>
        <v>11.2011178914363</v>
      </c>
      <c r="T176" s="48">
        <f>VLOOKUP(B176,'Player Data'!$A1:$AE734,8,FALSE)*$Q176*_xlfn.IFERROR((VLOOKUP(P176,'Settings'!$E$28:$F$33,2,FALSE)+1),1)</f>
        <v>23.3618098791705</v>
      </c>
      <c r="U176" s="48">
        <f>SUM(S176:T176)</f>
        <v>34.5629277706068</v>
      </c>
      <c r="V176" s="48">
        <f>VLOOKUP(B176,'Player Data'!$A1:$AE734,10,FALSE)*$Q176*_xlfn.IFERROR(((VLOOKUP(P176,'Settings'!$E$28:$F$33,2,FALSE)/2)+1),1)</f>
        <v>161.308435809125</v>
      </c>
      <c r="W176" s="48">
        <f>VLOOKUP(B176,'Player Data'!$A1:$AE734,11,FALSE)*$Q176*_xlfn.IFERROR((VLOOKUP(P176,'Settings'!$E$28:$F$33,2,FALSE)+1),1)</f>
        <v>3.37455915847402</v>
      </c>
      <c r="X176" s="48">
        <f>VLOOKUP(B176,'Player Data'!$A1:$AE734,12,FALSE)*$Q176*_xlfn.IFERROR((VLOOKUP(P176,'Settings'!$E$28:$F$33,2,FALSE)+1),1)</f>
        <v>10.0412513619957</v>
      </c>
      <c r="Y176" s="48">
        <f>VLOOKUP(B176,'Player Data'!$A1:$AE734,13,FALSE)*$Q176</f>
        <v>0.423610286541888</v>
      </c>
      <c r="Z176" s="48">
        <f>VLOOKUP(B176,'Player Data'!$A1:$AE734,14,FALSE)*$Q176</f>
        <v>1.21197498894713</v>
      </c>
      <c r="AA176" s="48">
        <f>VLOOKUP(B176,'Player Data'!$A1:$AE734,15,FALSE)*$Q176</f>
        <v>77.6917110935141</v>
      </c>
      <c r="AB176" s="48">
        <f>VLOOKUP(B176,'Player Data'!$A1:$AE734,16,FALSE)*$Q176</f>
        <v>72.1953976002409</v>
      </c>
      <c r="AC176" s="48">
        <f>VLOOKUP(B176,'Player Data'!$A1:$AE734,17,FALSE)*$Q176*_xlfn.IFERROR((VLOOKUP(P176,'Settings'!$E$28:$F$33,2,FALSE)+1),1)</f>
        <v>2.07665004104977</v>
      </c>
      <c r="AD176" s="48">
        <f>VLOOKUP(B176,'Player Data'!$A1:$AE734,18,FALSE)*$Q176</f>
        <v>40.3741193028984</v>
      </c>
      <c r="AE176" s="48">
        <f>VLOOKUP(B176,'Player Data'!$A1:$AE734,19,FALSE)*$Q176*_xlfn.IFERROR((VLOOKUP(P176,'Settings'!$E$28:$F$33,2,FALSE)+1),1)</f>
        <v>1.60682591108335</v>
      </c>
      <c r="AF176" s="48">
        <f>VLOOKUP(B176,'Player Data'!$A1:$AE734,20,FALSE)*$Q176</f>
        <v>0</v>
      </c>
      <c r="AG176" s="48">
        <f>VLOOKUP(B176,'Player Data'!$A1:$AE734,21,FALSE)*$Q176</f>
        <v>0</v>
      </c>
      <c r="AH176" s="49">
        <f>VLOOKUP(B176,'Player Data'!$A1:$AE734,22,FALSE)</f>
        <v>0</v>
      </c>
      <c r="AI176" s="46"/>
      <c r="AJ176" s="48"/>
      <c r="AK176" s="48"/>
      <c r="AL176" s="48"/>
      <c r="AM176" s="48"/>
      <c r="AN176" s="48"/>
      <c r="AO176" s="48"/>
      <c r="AP176" s="48"/>
      <c r="AQ176" s="51"/>
      <c r="AR176" s="52"/>
      <c r="AS176" s="46"/>
    </row>
    <row r="177" ht="21.25" customHeight="1">
      <c r="A177" s="53">
        <f>RANK(K177,K2:K730)</f>
        <v>200</v>
      </c>
      <c r="B177" t="s" s="8">
        <v>328</v>
      </c>
      <c r="C177" t="s" s="39">
        <v>106</v>
      </c>
      <c r="D177" t="s" s="40">
        <f>VLOOKUP(B177,'Player Data'!A1:D734,4,FALSE)</f>
        <v>129</v>
      </c>
      <c r="E177" s="56">
        <f>VLOOKUP(B177,'D'!A1:C228,3,FALSE)</f>
        <v>49</v>
      </c>
      <c r="F177" t="s" s="42">
        <f>VLOOKUP(B177,'Player Data'!A1:B734,2,FALSE)</f>
        <v>234</v>
      </c>
      <c r="G177" s="9">
        <f>VLOOKUP(B177,'Player Data'!A1:D734,3,FALSE)</f>
        <v>19</v>
      </c>
      <c r="H177" s="43">
        <f>_xlfn.IFERROR(VLOOKUP(B177,'ADP'!A1:G731,7,FALSE)/1000000,VLOOKUP(B177,'ADP'!A1:G731,7,FALSE))</f>
        <v>0.844167</v>
      </c>
      <c r="I177" s="44">
        <f>IF('Settings'!$E$15="POINTS",((R177*Q177)*'Settings'!$B$12)+(S177*'Settings'!$B$2)+(T177*'Settings'!$B$3)+(U177*'Settings'!$B$4)+(V177*'Settings'!$B$5)+(X177*'Settings'!$B$9)+(AA177*'Settings'!$B$6)+(W177*'Settings'!$B$8)+(AB177*'Settings'!$B$7)+(AC177*'Settings'!$B$14)+(AD177*'Settings'!$B$15)+(AE177*'Settings'!$B$16)+(AF177*'Settings'!$B$17)+(AG177*'Settings'!$B$18)+(Y177*'Settings'!$B$10)+(Z177*'Settings'!$B$11),VLOOKUP(B177,'Standard Deviations'!A1:C731,3,FALSE))</f>
        <v>272.734043612499</v>
      </c>
      <c r="J177" s="45">
        <f>IF(D177="G",I177/AJ177,I177/Q177)</f>
        <v>3.68559518395269</v>
      </c>
      <c r="K177" s="44">
        <f>VLOOKUP(B177,'D'!A1:F228,6,FALSE)</f>
        <v>-68.001095034024</v>
      </c>
      <c r="L177" s="44">
        <f>_xlfn.IFERROR(K177/H177,"N/A")</f>
        <v>-80.554078794864</v>
      </c>
      <c r="M177" t="s" s="61">
        <f>IF('Settings'!$E$9="YAHOO",VLOOKUP(B177,'ADP'!A1:E731,2,FALSE),IF('Settings'!$E$9="ESPN",VLOOKUP(B177,'ADP'!A1:E731,3,FALSE),IF('Settings'!$E$9="FANTRAX",VLOOKUP(B177,'ADP'!A1:E731,4,FALSE),VLOOKUP(B177,'ADP'!A1:E731,5,FALSE))))</f>
        <v>329</v>
      </c>
      <c r="N177" t="s" s="61">
        <f>_xlfn.IFERROR(M177-A177,"N/A")</f>
        <v>158</v>
      </c>
      <c r="O177" s="46"/>
      <c r="P177" t="s" s="47">
        <f>IF('Settings'!$E$27="ON",VLOOKUP(B177,'ADP'!A1:H731,8,FALSE)," ")</f>
        <v>109</v>
      </c>
      <c r="Q177" s="48">
        <f>IF('Settings'!$E$12="YES",VLOOKUP(B177,'Player Data'!A1:E734,5,FALSE),82)</f>
        <v>74</v>
      </c>
      <c r="R177" s="46">
        <f>VLOOKUP(B177,'Player Data'!$A1:$AE734,6,FALSE)</f>
        <v>20</v>
      </c>
      <c r="S177" s="48">
        <f>VLOOKUP(B177,'Player Data'!$A1:$AE734,7,FALSE)*$Q177*_xlfn.IFERROR((VLOOKUP(P177,'Settings'!$E$28:$F$33,2,FALSE)+1),1)</f>
        <v>10.560483054695</v>
      </c>
      <c r="T177" s="48">
        <f>VLOOKUP(B177,'Player Data'!$A1:$AE734,8,FALSE)*$Q177*_xlfn.IFERROR((VLOOKUP(P177,'Settings'!$E$28:$F$33,2,FALSE)+1),1)</f>
        <v>24.1789399113426</v>
      </c>
      <c r="U177" s="48">
        <f>SUM(S177:T177)</f>
        <v>34.7394229660376</v>
      </c>
      <c r="V177" s="48">
        <f>VLOOKUP(B177,'Player Data'!$A1:$AE734,10,FALSE)*$Q177*_xlfn.IFERROR(((VLOOKUP(P177,'Settings'!$E$28:$F$33,2,FALSE)/2)+1),1)</f>
        <v>162.900100264688</v>
      </c>
      <c r="W177" s="48">
        <f>VLOOKUP(B177,'Player Data'!$A1:$AE734,11,FALSE)*$Q177*_xlfn.IFERROR((VLOOKUP(P177,'Settings'!$E$28:$F$33,2,FALSE)+1),1)</f>
        <v>2.3038578081321</v>
      </c>
      <c r="X177" s="48">
        <f>VLOOKUP(B177,'Player Data'!$A1:$AE734,12,FALSE)*$Q177*_xlfn.IFERROR((VLOOKUP(P177,'Settings'!$E$28:$F$33,2,FALSE)+1),1)</f>
        <v>7.57869601568335</v>
      </c>
      <c r="Y177" s="48">
        <f>VLOOKUP(B177,'Player Data'!$A1:$AE734,13,FALSE)*$Q177</f>
        <v>0</v>
      </c>
      <c r="Z177" s="48">
        <f>VLOOKUP(B177,'Player Data'!$A1:$AE734,14,FALSE)*$Q177</f>
        <v>0</v>
      </c>
      <c r="AA177" s="48">
        <f>VLOOKUP(B177,'Player Data'!$A1:$AE734,15,FALSE)*$Q177</f>
        <v>95.65853658536599</v>
      </c>
      <c r="AB177" s="48">
        <f>VLOOKUP(B177,'Player Data'!$A1:$AE734,16,FALSE)*$Q177</f>
        <v>93.582926829268</v>
      </c>
      <c r="AC177" s="48">
        <f>VLOOKUP(B177,'Player Data'!$A1:$AE734,17,FALSE)*$Q177*_xlfn.IFERROR((VLOOKUP(P177,'Settings'!$E$28:$F$33,2,FALSE)+1),1)</f>
        <v>0.730975609756097</v>
      </c>
      <c r="AD177" s="48">
        <f>VLOOKUP(B177,'Player Data'!$A1:$AE734,18,FALSE)*$Q177</f>
        <v>32.0365853658537</v>
      </c>
      <c r="AE177" s="48">
        <f>VLOOKUP(B177,'Player Data'!$A1:$AE734,19,FALSE)*$Q177*_xlfn.IFERROR((VLOOKUP(P177,'Settings'!$E$28:$F$33,2,FALSE)+1),1)</f>
        <v>1.01235985813918</v>
      </c>
      <c r="AF177" s="48">
        <f>VLOOKUP(B177,'Player Data'!$A1:$AE734,20,FALSE)*$Q177</f>
        <v>0</v>
      </c>
      <c r="AG177" s="48">
        <f>VLOOKUP(B177,'Player Data'!$A1:$AE734,21,FALSE)*$Q177</f>
        <v>0</v>
      </c>
      <c r="AH177" s="49">
        <f>VLOOKUP(B177,'Player Data'!$A1:$AE734,22,FALSE)</f>
        <v>0</v>
      </c>
      <c r="AI177" s="46"/>
      <c r="AJ177" s="50"/>
      <c r="AK177" s="48"/>
      <c r="AL177" s="48"/>
      <c r="AM177" s="48"/>
      <c r="AN177" s="48"/>
      <c r="AO177" s="48"/>
      <c r="AP177" s="48"/>
      <c r="AQ177" s="51"/>
      <c r="AR177" s="52"/>
      <c r="AS177" s="46"/>
    </row>
    <row r="178" ht="21.25" customHeight="1">
      <c r="A178" s="53">
        <f>RANK(K178,K2:K730)</f>
        <v>165</v>
      </c>
      <c r="B178" t="s" s="8">
        <v>330</v>
      </c>
      <c r="C178" t="s" s="39">
        <v>106</v>
      </c>
      <c r="D178" t="s" s="40">
        <f>VLOOKUP(B178,'Player Data'!A1:D734,4,FALSE)</f>
        <v>129</v>
      </c>
      <c r="E178" s="56">
        <f>VLOOKUP(B178,'D'!A1:C228,3,FALSE)</f>
        <v>38</v>
      </c>
      <c r="F178" t="s" s="42">
        <f>VLOOKUP(B178,'Player Data'!A1:B734,2,FALSE)</f>
        <v>238</v>
      </c>
      <c r="G178" s="9">
        <f>VLOOKUP(B178,'Player Data'!A1:D734,3,FALSE)</f>
        <v>29</v>
      </c>
      <c r="H178" s="43">
        <f>_xlfn.IFERROR(VLOOKUP(B178,'ADP'!A1:G731,7,FALSE)/1000000,VLOOKUP(B178,'ADP'!A1:G731,7,FALSE))</f>
        <v>6.25</v>
      </c>
      <c r="I178" s="44">
        <f>IF('Settings'!$E$15="POINTS",((R178*Q178)*'Settings'!$B$12)+(S178*'Settings'!$B$2)+(T178*'Settings'!$B$3)+(U178*'Settings'!$B$4)+(V178*'Settings'!$B$5)+(X178*'Settings'!$B$9)+(AA178*'Settings'!$B$6)+(W178*'Settings'!$B$8)+(AB178*'Settings'!$B$7)+(AC178*'Settings'!$B$14)+(AD178*'Settings'!$B$15)+(AE178*'Settings'!$B$16)+(AF178*'Settings'!$B$17)+(AG178*'Settings'!$B$18)+(U178*'Settings'!$B$13)+(Y178*'Settings'!$B$10)+(Z178*'Settings'!$B$11),VLOOKUP(B178,'Standard Deviations'!A1:C731,3,FALSE))</f>
        <v>301.925659907067</v>
      </c>
      <c r="J178" s="45">
        <f>IF(D178="G",I178/AJ178,I178/Q178)</f>
        <v>3.73670371172113</v>
      </c>
      <c r="K178" s="44">
        <f>VLOOKUP(B178,'D'!A1:F228,6,FALSE)</f>
        <v>-38.809478739456</v>
      </c>
      <c r="L178" s="44">
        <f>_xlfn.IFERROR(K178/H178,"N/A")</f>
        <v>-6.20951659831296</v>
      </c>
      <c r="M178" s="46">
        <f>IF('Settings'!$E$9="YAHOO",VLOOKUP(B178,'ADP'!A1:E731,2,FALSE),IF('Settings'!$E$9="ESPN",VLOOKUP(B178,'ADP'!A1:E731,3,FALSE),IF('Settings'!$E$9="FANTRAX",VLOOKUP(B178,'ADP'!A1:E731,4,FALSE),VLOOKUP(B178,'ADP'!A1:E731,5,FALSE))))</f>
        <v>162.29</v>
      </c>
      <c r="N178" s="46">
        <f>_xlfn.IFERROR(M178-A178,"N/A")</f>
        <v>-2.71</v>
      </c>
      <c r="O178" s="46"/>
      <c r="P178" t="s" s="47">
        <f>IF('Settings'!$E$27="ON",VLOOKUP(B178,'ADP'!A1:H731,8,FALSE)," ")</f>
        <v>109</v>
      </c>
      <c r="Q178" s="48">
        <f>IF('Settings'!$E$12="YES",VLOOKUP(B178,'Player Data'!A1:E734,5,FALSE),82)</f>
        <v>80.8</v>
      </c>
      <c r="R178" s="46">
        <f>VLOOKUP(B178,'Player Data'!$A1:$AE734,6,FALSE)</f>
        <v>20.6135314138249</v>
      </c>
      <c r="S178" s="48">
        <f>VLOOKUP(B178,'Player Data'!$A1:$AE734,7,FALSE)*$Q178*_xlfn.IFERROR((VLOOKUP(P178,'Settings'!$E$28:$F$33,2,FALSE)+1),1)</f>
        <v>5.90913788720728</v>
      </c>
      <c r="T178" s="48">
        <f>VLOOKUP(B178,'Player Data'!$A1:$AE734,8,FALSE)*$Q178*_xlfn.IFERROR((VLOOKUP(P178,'Settings'!$E$28:$F$33,2,FALSE)+1),1)</f>
        <v>30.2581521199657</v>
      </c>
      <c r="U178" s="48">
        <f>SUM(S178:T178)</f>
        <v>36.167290007173</v>
      </c>
      <c r="V178" s="48">
        <f>VLOOKUP(B178,'Player Data'!$A1:$AE734,10,FALSE)*$Q178*_xlfn.IFERROR(((VLOOKUP(P178,'Settings'!$E$28:$F$33,2,FALSE)/2)+1),1)</f>
        <v>159.481655721444</v>
      </c>
      <c r="W178" s="48">
        <f>VLOOKUP(B178,'Player Data'!$A1:$AE734,11,FALSE)*$Q178*_xlfn.IFERROR((VLOOKUP(P178,'Settings'!$E$28:$F$33,2,FALSE)+1),1)</f>
        <v>0.281660361701758</v>
      </c>
      <c r="X178" s="48">
        <f>VLOOKUP(B178,'Player Data'!$A1:$AE734,12,FALSE)*$Q178*_xlfn.IFERROR((VLOOKUP(P178,'Settings'!$E$28:$F$33,2,FALSE)+1),1)</f>
        <v>2.50782642405052</v>
      </c>
      <c r="Y178" s="48">
        <f>VLOOKUP(B178,'Player Data'!$A1:$AE734,13,FALSE)*$Q178</f>
        <v>0.210704464823794</v>
      </c>
      <c r="Z178" s="48">
        <f>VLOOKUP(B178,'Player Data'!$A1:$AE734,14,FALSE)*$Q178</f>
        <v>1.04279522946233</v>
      </c>
      <c r="AA178" s="48">
        <f>VLOOKUP(B178,'Player Data'!$A1:$AE734,15,FALSE)*$Q178</f>
        <v>121.784770229381</v>
      </c>
      <c r="AB178" s="48">
        <f>VLOOKUP(B178,'Player Data'!$A1:$AE734,16,FALSE)*$Q178</f>
        <v>167.365118481601</v>
      </c>
      <c r="AC178" s="48">
        <f>VLOOKUP(B178,'Player Data'!$A1:$AE734,17,FALSE)*$Q178*_xlfn.IFERROR((VLOOKUP(P178,'Settings'!$E$28:$F$33,2,FALSE)+1),1)</f>
        <v>5.30456085159501</v>
      </c>
      <c r="AD178" s="48">
        <f>VLOOKUP(B178,'Player Data'!$A1:$AE734,18,FALSE)*$Q178</f>
        <v>44.596671797929</v>
      </c>
      <c r="AE178" s="48">
        <f>VLOOKUP(B178,'Player Data'!$A1:$AE734,19,FALSE)*$Q178*_xlfn.IFERROR((VLOOKUP(P178,'Settings'!$E$28:$F$33,2,FALSE)+1),1)</f>
        <v>0.9874066003192979</v>
      </c>
      <c r="AF178" s="48">
        <f>VLOOKUP(B178,'Player Data'!$A1:$AE734,20,FALSE)*$Q178</f>
        <v>0</v>
      </c>
      <c r="AG178" s="48">
        <f>VLOOKUP(B178,'Player Data'!$A1:$AE734,21,FALSE)*$Q178</f>
        <v>0</v>
      </c>
      <c r="AH178" s="49">
        <f>VLOOKUP(B178,'Player Data'!$A1:$AE734,22,FALSE)</f>
        <v>0</v>
      </c>
      <c r="AI178" s="46"/>
      <c r="AJ178" s="48"/>
      <c r="AK178" s="48"/>
      <c r="AL178" s="48"/>
      <c r="AM178" s="48"/>
      <c r="AN178" s="48"/>
      <c r="AO178" s="48"/>
      <c r="AP178" s="48"/>
      <c r="AQ178" s="51"/>
      <c r="AR178" s="52"/>
      <c r="AS178" s="46"/>
    </row>
    <row r="179" ht="21.25" customHeight="1">
      <c r="A179" s="53">
        <f>RANK(K179,K2:K730)</f>
        <v>230</v>
      </c>
      <c r="B179" t="s" s="8">
        <v>331</v>
      </c>
      <c r="C179" t="s" s="39">
        <v>106</v>
      </c>
      <c r="D179" t="s" s="40">
        <f>VLOOKUP(B179,'Player Data'!A1:D734,4,FALSE)</f>
        <v>107</v>
      </c>
      <c r="E179" s="41">
        <f>VLOOKUP(B179,'C'!A1:C218,3,FALSE)</f>
        <v>64</v>
      </c>
      <c r="F179" t="s" s="42">
        <f>VLOOKUP(B179,'Player Data'!A1:B734,2,FALSE)</f>
        <v>166</v>
      </c>
      <c r="G179" s="9">
        <f>VLOOKUP(B179,'Player Data'!A1:D734,3,FALSE)</f>
        <v>31</v>
      </c>
      <c r="H179" s="43">
        <f>_xlfn.IFERROR(VLOOKUP(B179,'ADP'!A1:G731,7,FALSE)/1000000,VLOOKUP(B179,'ADP'!A1:G731,7,FALSE))</f>
        <v>7.8</v>
      </c>
      <c r="I179" s="44">
        <f>IF('Settings'!$E$15="POINTS",((R179*Q179)*'Settings'!$B$12)+(S179*'Settings'!$B$2)+(T179*'Settings'!$B$3)+(U179*'Settings'!$B$4)+(V179*'Settings'!$B$5)+(X179*'Settings'!$B$9)+(AA179*'Settings'!$B$6)+(W179*'Settings'!$B$8)+(AB179*'Settings'!$B$7)+(AC179*'Settings'!$B$14)+(AD179*'Settings'!$B$15)+(AE179*'Settings'!$B$16)+(AF179*'Settings'!$B$17)+(AG179*'Settings'!$B$18)+(Y179*'Settings'!$B$10)+(Z179*'Settings'!$B$11),VLOOKUP(B179,'Standard Deviations'!A1:C731,3,FALSE))</f>
        <v>310.479071487205</v>
      </c>
      <c r="J179" s="45">
        <f>IF(D179="G",I179/AJ179,I179/Q179)</f>
        <v>3.91803481203601</v>
      </c>
      <c r="K179" s="44">
        <f>IF('Settings'!$E$18="C/LW/RW",VLOOKUP(B179,'C'!A1:F218,6,FALSE),VLOOKUP(B179,'F'!A1:F432,6,FALSE))</f>
        <v>-85.295130148810</v>
      </c>
      <c r="L179" s="44">
        <f>_xlfn.IFERROR(K179/H179,"N/A")</f>
        <v>-10.9352730960013</v>
      </c>
      <c r="M179" s="46">
        <f>IF('Settings'!$E$9="YAHOO",VLOOKUP(B179,'ADP'!A1:E731,2,FALSE),IF('Settings'!$E$9="ESPN",VLOOKUP(B179,'ADP'!A1:E731,3,FALSE),IF('Settings'!$E$9="FANTRAX",VLOOKUP(B179,'ADP'!A1:E731,4,FALSE),VLOOKUP(B179,'ADP'!A1:E731,5,FALSE))))</f>
        <v>215.16</v>
      </c>
      <c r="N179" s="46">
        <f>_xlfn.IFERROR(M179-A179,"N/A")</f>
        <v>-14.84</v>
      </c>
      <c r="O179" s="46"/>
      <c r="P179" t="s" s="47">
        <f>IF('Settings'!$E$27="ON",VLOOKUP(B179,'ADP'!A1:H731,8,FALSE)," ")</f>
        <v>109</v>
      </c>
      <c r="Q179" s="48">
        <f>IF('Settings'!$E$12="YES",VLOOKUP(B179,'Player Data'!A1:E734,5,FALSE),82)</f>
        <v>79.2435714285714</v>
      </c>
      <c r="R179" s="46">
        <f>VLOOKUP(B179,'Player Data'!$A1:$AE734,6,FALSE)</f>
        <v>18.2409176594023</v>
      </c>
      <c r="S179" s="48">
        <f>VLOOKUP(B179,'Player Data'!$A1:$AE734,7,FALSE)*$Q179*_xlfn.IFERROR((VLOOKUP(P179,'Settings'!$E$28:$F$33,2,FALSE)+1),1)</f>
        <v>15.6361089273941</v>
      </c>
      <c r="T179" s="48">
        <f>VLOOKUP(B179,'Player Data'!$A1:$AE734,8,FALSE)*$Q179*_xlfn.IFERROR((VLOOKUP(P179,'Settings'!$E$28:$F$33,2,FALSE)+1),1)</f>
        <v>41.3071914427333</v>
      </c>
      <c r="U179" s="48">
        <f>SUM(S179:T179)</f>
        <v>56.9433003701274</v>
      </c>
      <c r="V179" s="48">
        <f>VLOOKUP(B179,'Player Data'!$A1:$AE734,10,FALSE)*$Q179*_xlfn.IFERROR(((VLOOKUP(P179,'Settings'!$E$28:$F$33,2,FALSE)/2)+1),1)</f>
        <v>173.078656252418</v>
      </c>
      <c r="W179" s="48">
        <f>VLOOKUP(B179,'Player Data'!$A1:$AE734,11,FALSE)*$Q179*_xlfn.IFERROR((VLOOKUP(P179,'Settings'!$E$28:$F$33,2,FALSE)+1),1)</f>
        <v>4.51619579931946</v>
      </c>
      <c r="X179" s="48">
        <f>VLOOKUP(B179,'Player Data'!$A1:$AE734,12,FALSE)*$Q179*_xlfn.IFERROR((VLOOKUP(P179,'Settings'!$E$28:$F$33,2,FALSE)+1),1)</f>
        <v>17.398083207139</v>
      </c>
      <c r="Y179" s="48">
        <f>VLOOKUP(B179,'Player Data'!$A1:$AE734,13,FALSE)*$Q179</f>
        <v>0.788127340954542</v>
      </c>
      <c r="Z179" s="48">
        <f>VLOOKUP(B179,'Player Data'!$A1:$AE734,14,FALSE)*$Q179</f>
        <v>1.62566602972017</v>
      </c>
      <c r="AA179" s="48">
        <f>VLOOKUP(B179,'Player Data'!$A1:$AE734,15,FALSE)*$Q179</f>
        <v>29.8396419601668</v>
      </c>
      <c r="AB179" s="48">
        <f>VLOOKUP(B179,'Player Data'!$A1:$AE734,16,FALSE)*$Q179</f>
        <v>45.938103279996</v>
      </c>
      <c r="AC179" s="48">
        <f>VLOOKUP(B179,'Player Data'!$A1:$AE734,17,FALSE)*$Q179*_xlfn.IFERROR((VLOOKUP(P179,'Settings'!$E$28:$F$33,2,FALSE)+1),1)</f>
        <v>-3.64579695994932</v>
      </c>
      <c r="AD179" s="48">
        <f>VLOOKUP(B179,'Player Data'!$A1:$AE734,18,FALSE)*$Q179</f>
        <v>42.5232866592462</v>
      </c>
      <c r="AE179" s="48">
        <f>VLOOKUP(B179,'Player Data'!$A1:$AE734,19,FALSE)*$Q179*_xlfn.IFERROR((VLOOKUP(P179,'Settings'!$E$28:$F$33,2,FALSE)+1),1)</f>
        <v>1.92333344303324</v>
      </c>
      <c r="AF179" s="48">
        <f>VLOOKUP(B179,'Player Data'!$A1:$AE734,20,FALSE)*$Q179</f>
        <v>475.499306247236</v>
      </c>
      <c r="AG179" s="48">
        <f>VLOOKUP(B179,'Player Data'!$A1:$AE734,21,FALSE)*$Q179</f>
        <v>579.523595580613</v>
      </c>
      <c r="AH179" s="49">
        <f>VLOOKUP(B179,'Player Data'!$A1:$AE734,22,FALSE)</f>
        <v>0.45070045913072</v>
      </c>
      <c r="AI179" s="46"/>
      <c r="AJ179" s="48"/>
      <c r="AK179" s="48"/>
      <c r="AL179" s="48"/>
      <c r="AM179" s="48"/>
      <c r="AN179" s="48"/>
      <c r="AO179" s="48"/>
      <c r="AP179" s="48"/>
      <c r="AQ179" s="51"/>
      <c r="AR179" s="52"/>
      <c r="AS179" s="46"/>
    </row>
    <row r="180" ht="21.25" customHeight="1">
      <c r="A180" s="53">
        <f>RANK(K180,K2:K730)</f>
        <v>180</v>
      </c>
      <c r="B180" t="s" s="8">
        <v>332</v>
      </c>
      <c r="C180" t="s" s="39">
        <v>106</v>
      </c>
      <c r="D180" t="s" s="40">
        <f>VLOOKUP(B180,'Player Data'!A1:D734,4,FALSE)</f>
        <v>118</v>
      </c>
      <c r="E180" s="54">
        <f>VLOOKUP(B180,'LW'!A1:C156,3,FALSE)</f>
        <v>48</v>
      </c>
      <c r="F180" t="s" s="42">
        <f>VLOOKUP(B180,'Player Data'!A1:B734,2,FALSE)</f>
        <v>234</v>
      </c>
      <c r="G180" s="9">
        <f>VLOOKUP(B180,'Player Data'!A1:D734,3,FALSE)</f>
        <v>33</v>
      </c>
      <c r="H180" s="43">
        <f>_xlfn.IFERROR(VLOOKUP(B180,'ADP'!A1:G731,7,FALSE)/1000000,VLOOKUP(B180,'ADP'!A1:G731,7,FALSE))</f>
        <v>6.25</v>
      </c>
      <c r="I180" s="44">
        <f>IF('Settings'!$E$15="POINTS",((R180*Q180)*'Settings'!$B$12)+(S180*'Settings'!$B$2)+(T180*'Settings'!$B$3)+(U180*'Settings'!$B$4)+(V180*'Settings'!$B$5)+(X180*'Settings'!$B$9)+(AA180*'Settings'!$B$6)+(W180*'Settings'!$B$8)+(AB180*'Settings'!$B$7)+(AC180*'Settings'!$B$14)+(AD180*'Settings'!$B$15)+(AE180*'Settings'!$B$16)+(AF180*'Settings'!$B$17)+(AG180*'Settings'!$B$18)+(Y180*'Settings'!$B$10)+(Z180*'Settings'!$B$11),VLOOKUP(B180,'Standard Deviations'!A1:C731,3,FALSE))</f>
        <v>329.809327600855</v>
      </c>
      <c r="J180" s="45">
        <f>IF(D180="G",I180/AJ180,I180/Q180)</f>
        <v>4.02206497074213</v>
      </c>
      <c r="K180" s="44">
        <f>IF('Settings'!$E$18="C/LW/RW",VLOOKUP(B180,'RW'!A1:F132,6,FALSE),VLOOKUP(B180,'F'!A1:F432,6,FALSE))</f>
        <v>-51.819236105501</v>
      </c>
      <c r="L180" s="44">
        <f>_xlfn.IFERROR(K180/H180,"N/A")</f>
        <v>-8.29107777688016</v>
      </c>
      <c r="M180" s="46">
        <f>IF('Settings'!$E$9="YAHOO",VLOOKUP(B180,'ADP'!A1:E731,2,FALSE),IF('Settings'!$E$9="ESPN",VLOOKUP(B180,'ADP'!A1:E731,3,FALSE),IF('Settings'!$E$9="FANTRAX",VLOOKUP(B180,'ADP'!A1:E731,4,FALSE),VLOOKUP(B180,'ADP'!A1:E731,5,FALSE))))</f>
        <v>206.22</v>
      </c>
      <c r="N180" s="46">
        <f>_xlfn.IFERROR(M180-A180,"N/A")</f>
        <v>26.22</v>
      </c>
      <c r="O180" s="46"/>
      <c r="P180" t="s" s="47">
        <f>IF('Settings'!$E$27="ON",VLOOKUP(B180,'ADP'!A1:H731,8,FALSE)," ")</f>
        <v>109</v>
      </c>
      <c r="Q180" s="48">
        <f>IF('Settings'!$E$12="YES",VLOOKUP(B180,'Player Data'!A1:E734,5,FALSE),82)</f>
        <v>82</v>
      </c>
      <c r="R180" s="46">
        <f>VLOOKUP(B180,'Player Data'!$A1:$AE734,6,FALSE)</f>
        <v>18.4216191187854</v>
      </c>
      <c r="S180" s="48">
        <f>VLOOKUP(B180,'Player Data'!$A1:$AE734,7,FALSE)*$Q180*_xlfn.IFERROR((VLOOKUP(P180,'Settings'!$E$28:$F$33,2,FALSE)+1),1)</f>
        <v>24.6350817962745</v>
      </c>
      <c r="T180" s="48">
        <f>VLOOKUP(B180,'Player Data'!$A1:$AE734,8,FALSE)*$Q180*_xlfn.IFERROR((VLOOKUP(P180,'Settings'!$E$28:$F$33,2,FALSE)+1),1)</f>
        <v>33.6184319860027</v>
      </c>
      <c r="U180" s="48">
        <f>SUM(S180:T180)</f>
        <v>58.2535137822772</v>
      </c>
      <c r="V180" s="48">
        <f>VLOOKUP(B180,'Player Data'!$A1:$AE734,10,FALSE)*$Q180*_xlfn.IFERROR(((VLOOKUP(P180,'Settings'!$E$28:$F$33,2,FALSE)/2)+1),1)</f>
        <v>161.376547929092</v>
      </c>
      <c r="W180" s="48">
        <f>VLOOKUP(B180,'Player Data'!$A1:$AE734,11,FALSE)*$Q180*_xlfn.IFERROR((VLOOKUP(P180,'Settings'!$E$28:$F$33,2,FALSE)+1),1)</f>
        <v>4.39989081532308</v>
      </c>
      <c r="X180" s="48">
        <f>VLOOKUP(B180,'Player Data'!$A1:$AE734,12,FALSE)*$Q180*_xlfn.IFERROR((VLOOKUP(P180,'Settings'!$E$28:$F$33,2,FALSE)+1),1)</f>
        <v>11.6967695733724</v>
      </c>
      <c r="Y180" s="48">
        <f>VLOOKUP(B180,'Player Data'!$A1:$AE734,13,FALSE)*$Q180</f>
        <v>0.608149509207117</v>
      </c>
      <c r="Z180" s="48">
        <f>VLOOKUP(B180,'Player Data'!$A1:$AE734,14,FALSE)*$Q180</f>
        <v>1.37028452858712</v>
      </c>
      <c r="AA180" s="48">
        <f>VLOOKUP(B180,'Player Data'!$A1:$AE734,15,FALSE)*$Q180</f>
        <v>32.1444479556048</v>
      </c>
      <c r="AB180" s="48">
        <f>VLOOKUP(B180,'Player Data'!$A1:$AE734,16,FALSE)*$Q180</f>
        <v>74.380386240356</v>
      </c>
      <c r="AC180" s="48">
        <f>VLOOKUP(B180,'Player Data'!$A1:$AE734,17,FALSE)*$Q180*_xlfn.IFERROR((VLOOKUP(P180,'Settings'!$E$28:$F$33,2,FALSE)+1),1)</f>
        <v>-6.38961906040375</v>
      </c>
      <c r="AD180" s="48">
        <f>VLOOKUP(B180,'Player Data'!$A1:$AE734,18,FALSE)*$Q180</f>
        <v>52.9735946738008</v>
      </c>
      <c r="AE180" s="48">
        <f>VLOOKUP(B180,'Player Data'!$A1:$AE734,19,FALSE)*$Q180*_xlfn.IFERROR((VLOOKUP(P180,'Settings'!$E$28:$F$33,2,FALSE)+1),1)</f>
        <v>2.36159347857064</v>
      </c>
      <c r="AF180" s="48">
        <f>VLOOKUP(B180,'Player Data'!$A1:$AE734,20,FALSE)*$Q180</f>
        <v>1.35408797613833</v>
      </c>
      <c r="AG180" s="48">
        <f>VLOOKUP(B180,'Player Data'!$A1:$AE734,21,FALSE)*$Q180</f>
        <v>2.62338490667905</v>
      </c>
      <c r="AH180" s="49">
        <f>VLOOKUP(B180,'Player Data'!$A1:$AE734,22,FALSE)</f>
        <v>0.340439272883033</v>
      </c>
      <c r="AI180" s="46"/>
      <c r="AJ180" s="48"/>
      <c r="AK180" s="48"/>
      <c r="AL180" s="48"/>
      <c r="AM180" s="48"/>
      <c r="AN180" s="48"/>
      <c r="AO180" s="48"/>
      <c r="AP180" s="48"/>
      <c r="AQ180" s="51"/>
      <c r="AR180" s="52"/>
      <c r="AS180" s="46"/>
    </row>
    <row r="181" ht="21.25" customHeight="1">
      <c r="A181" s="53">
        <f>RANK(K181,K2:K730)</f>
        <v>171</v>
      </c>
      <c r="B181" t="s" s="8">
        <v>333</v>
      </c>
      <c r="C181" t="s" s="39">
        <v>106</v>
      </c>
      <c r="D181" t="s" s="40">
        <f>VLOOKUP(B181,'Player Data'!A1:D734,4,FALSE)</f>
        <v>111</v>
      </c>
      <c r="E181" s="54">
        <f>VLOOKUP(B181,'LW'!A1:C156,3,FALSE)</f>
        <v>42</v>
      </c>
      <c r="F181" t="s" s="42">
        <f>VLOOKUP(B181,'Player Data'!A1:B734,2,FALSE)</f>
        <v>194</v>
      </c>
      <c r="G181" s="9">
        <f>VLOOKUP(B181,'Player Data'!A1:D734,3,FALSE)</f>
        <v>31</v>
      </c>
      <c r="H181" s="43">
        <f>_xlfn.IFERROR(VLOOKUP(B181,'ADP'!A1:G731,7,FALSE)/1000000,VLOOKUP(B181,'ADP'!A1:G731,7,FALSE))</f>
        <v>6.5</v>
      </c>
      <c r="I181" s="44">
        <f>IF('Settings'!$E$15="POINTS",((R181*Q181)*'Settings'!$B$12)+(S181*'Settings'!$B$2)+(T181*'Settings'!$B$3)+(U181*'Settings'!$B$4)+(V181*'Settings'!$B$5)+(X181*'Settings'!$B$9)+(AA181*'Settings'!$B$6)+(W181*'Settings'!$B$8)+(AB181*'Settings'!$B$7)+(AC181*'Settings'!$B$14)+(AD181*'Settings'!$B$15)+(AE181*'Settings'!$B$16)+(AF181*'Settings'!$B$17)+(AG181*'Settings'!$B$18)+(Y181*'Settings'!$B$10)+(Z181*'Settings'!$B$11),VLOOKUP(B181,'Standard Deviations'!A1:C731,3,FALSE))</f>
        <v>335.707827981214</v>
      </c>
      <c r="J181" s="45">
        <f>IF(D181="G",I181/AJ181,I181/Q181)</f>
        <v>4.23445797150875</v>
      </c>
      <c r="K181" s="44">
        <f>IF('Settings'!$E$18="C/LW/RW",VLOOKUP(B181,'LW'!A1:F156,6,FALSE),VLOOKUP(B181,'F'!A1:F432,6,FALSE))</f>
        <v>-45.920735725142</v>
      </c>
      <c r="L181" s="44">
        <f>_xlfn.IFERROR(K181/H181,"N/A")</f>
        <v>-7.06472857309877</v>
      </c>
      <c r="M181" s="46">
        <f>IF('Settings'!$E$9="YAHOO",VLOOKUP(B181,'ADP'!A1:E731,2,FALSE),IF('Settings'!$E$9="ESPN",VLOOKUP(B181,'ADP'!A1:E731,3,FALSE),IF('Settings'!$E$9="FANTRAX",VLOOKUP(B181,'ADP'!A1:E731,4,FALSE),VLOOKUP(B181,'ADP'!A1:E731,5,FALSE))))</f>
        <v>186.83</v>
      </c>
      <c r="N181" s="46">
        <f>_xlfn.IFERROR(M181-A181,"N/A")</f>
        <v>15.83</v>
      </c>
      <c r="O181" s="46"/>
      <c r="P181" t="s" s="47">
        <f>IF('Settings'!$E$27="ON",VLOOKUP(B181,'ADP'!A1:H731,8,FALSE)," ")</f>
        <v>109</v>
      </c>
      <c r="Q181" s="48">
        <f>IF('Settings'!$E$12="YES",VLOOKUP(B181,'Player Data'!A1:E734,5,FALSE),82)</f>
        <v>79.28</v>
      </c>
      <c r="R181" s="46">
        <f>VLOOKUP(B181,'Player Data'!$A1:$AE734,6,FALSE)</f>
        <v>17.9408705585452</v>
      </c>
      <c r="S181" s="48">
        <f>VLOOKUP(B181,'Player Data'!$A1:$AE734,7,FALSE)*$Q181*_xlfn.IFERROR((VLOOKUP(P181,'Settings'!$E$28:$F$33,2,FALSE)+1),1)</f>
        <v>21.9559457118855</v>
      </c>
      <c r="T181" s="48">
        <f>VLOOKUP(B181,'Player Data'!$A1:$AE734,8,FALSE)*$Q181*_xlfn.IFERROR((VLOOKUP(P181,'Settings'!$E$28:$F$33,2,FALSE)+1),1)</f>
        <v>38.0559819768035</v>
      </c>
      <c r="U181" s="48">
        <f>SUM(S181:T181)</f>
        <v>60.011927688689</v>
      </c>
      <c r="V181" s="48">
        <f>VLOOKUP(B181,'Player Data'!$A1:$AE734,10,FALSE)*$Q181*_xlfn.IFERROR(((VLOOKUP(P181,'Settings'!$E$28:$F$33,2,FALSE)/2)+1),1)</f>
        <v>144.134071594397</v>
      </c>
      <c r="W181" s="48">
        <f>VLOOKUP(B181,'Player Data'!$A1:$AE734,11,FALSE)*$Q181*_xlfn.IFERROR((VLOOKUP(P181,'Settings'!$E$28:$F$33,2,FALSE)+1),1)</f>
        <v>6.83808572118798</v>
      </c>
      <c r="X181" s="48">
        <f>VLOOKUP(B181,'Player Data'!$A1:$AE734,12,FALSE)*$Q181*_xlfn.IFERROR((VLOOKUP(P181,'Settings'!$E$28:$F$33,2,FALSE)+1),1)</f>
        <v>16.3239598011327</v>
      </c>
      <c r="Y181" s="48">
        <f>VLOOKUP(B181,'Player Data'!$A1:$AE734,13,FALSE)*$Q181</f>
        <v>0.106543960010406</v>
      </c>
      <c r="Z181" s="48">
        <f>VLOOKUP(B181,'Player Data'!$A1:$AE734,14,FALSE)*$Q181</f>
        <v>0.197586759216195</v>
      </c>
      <c r="AA181" s="48">
        <f>VLOOKUP(B181,'Player Data'!$A1:$AE734,15,FALSE)*$Q181</f>
        <v>35.8756415259415</v>
      </c>
      <c r="AB181" s="48">
        <f>VLOOKUP(B181,'Player Data'!$A1:$AE734,16,FALSE)*$Q181</f>
        <v>129.352385074868</v>
      </c>
      <c r="AC181" s="48">
        <f>VLOOKUP(B181,'Player Data'!$A1:$AE734,17,FALSE)*$Q181*_xlfn.IFERROR((VLOOKUP(P181,'Settings'!$E$28:$F$33,2,FALSE)+1),1)</f>
        <v>-5.475501069965</v>
      </c>
      <c r="AD181" s="48">
        <f>VLOOKUP(B181,'Player Data'!$A1:$AE734,18,FALSE)*$Q181</f>
        <v>40.0698819187184</v>
      </c>
      <c r="AE181" s="48">
        <f>VLOOKUP(B181,'Player Data'!$A1:$AE734,19,FALSE)*$Q181*_xlfn.IFERROR((VLOOKUP(P181,'Settings'!$E$28:$F$33,2,FALSE)+1),1)</f>
        <v>2.52653064933454</v>
      </c>
      <c r="AF181" s="48">
        <f>VLOOKUP(B181,'Player Data'!$A1:$AE734,20,FALSE)*$Q181</f>
        <v>444.637426622245</v>
      </c>
      <c r="AG181" s="48">
        <f>VLOOKUP(B181,'Player Data'!$A1:$AE734,21,FALSE)*$Q181</f>
        <v>470.538268884270</v>
      </c>
      <c r="AH181" s="49">
        <f>VLOOKUP(B181,'Player Data'!$A1:$AE734,22,FALSE)</f>
        <v>0.485849251466578</v>
      </c>
      <c r="AI181" s="46"/>
      <c r="AJ181" s="50"/>
      <c r="AK181" s="48"/>
      <c r="AL181" s="48"/>
      <c r="AM181" s="48"/>
      <c r="AN181" s="48"/>
      <c r="AO181" s="48"/>
      <c r="AP181" s="48"/>
      <c r="AQ181" s="51"/>
      <c r="AR181" s="52"/>
      <c r="AS181" s="46"/>
    </row>
    <row r="182" ht="21.25" customHeight="1">
      <c r="A182" s="53">
        <f>RANK(K182,K2:K730)</f>
        <v>205</v>
      </c>
      <c r="B182" t="s" s="8">
        <v>334</v>
      </c>
      <c r="C182" t="s" s="39">
        <v>106</v>
      </c>
      <c r="D182" t="s" s="40">
        <f>VLOOKUP(B182,'Player Data'!A1:D734,4,FALSE)</f>
        <v>121</v>
      </c>
      <c r="E182" s="55">
        <f>VLOOKUP(B182,'RW'!A1:F132,3,FALSE)</f>
        <v>50</v>
      </c>
      <c r="F182" t="s" s="42">
        <f>VLOOKUP(B182,'Player Data'!A1:B734,2,FALSE)</f>
        <v>156</v>
      </c>
      <c r="G182" s="9">
        <f>VLOOKUP(B182,'Player Data'!A1:D734,3,FALSE)</f>
        <v>26</v>
      </c>
      <c r="H182" s="43">
        <f>_xlfn.IFERROR(VLOOKUP(B182,'ADP'!A1:G731,7,FALSE)/1000000,VLOOKUP(B182,'ADP'!A1:G731,7,FALSE))</f>
        <v>6.5</v>
      </c>
      <c r="I182" s="44">
        <f>IF('Settings'!$E$15="POINTS",((R182*Q182)*'Settings'!$B$12)+(S182*'Settings'!$B$2)+(T182*'Settings'!$B$3)+(U182*'Settings'!$B$4)+(V182*'Settings'!$B$5)+(X182*'Settings'!$B$9)+(AA182*'Settings'!$B$6)+(W182*'Settings'!$B$8)+(AB182*'Settings'!$B$7)+(AC182*'Settings'!$B$14)+(AD182*'Settings'!$B$15)+(AE182*'Settings'!$B$16)+(AF182*'Settings'!$B$17)+(AG182*'Settings'!$B$18)+(Y182*'Settings'!$B$10)+(Z182*'Settings'!$B$11),VLOOKUP(B182,'Standard Deviations'!A1:C731,3,FALSE))</f>
        <v>310.767896766052</v>
      </c>
      <c r="J182" s="45">
        <f>IF(D182="G",I182/AJ182,I182/Q182)</f>
        <v>3.92892185930089</v>
      </c>
      <c r="K182" s="44">
        <f>IF('Settings'!$E$18="C/LW/RW",VLOOKUP(B182,'RW'!A1:F132,6,FALSE),VLOOKUP(B182,'F'!A1:F432,6,FALSE))</f>
        <v>-70.860666940304</v>
      </c>
      <c r="L182" s="44">
        <f>_xlfn.IFERROR(K182/H182,"N/A")</f>
        <v>-10.9016410677391</v>
      </c>
      <c r="M182" s="46">
        <f>IF('Settings'!$E$9="YAHOO",VLOOKUP(B182,'ADP'!A1:E731,2,FALSE),IF('Settings'!$E$9="ESPN",VLOOKUP(B182,'ADP'!A1:E731,3,FALSE),IF('Settings'!$E$9="FANTRAX",VLOOKUP(B182,'ADP'!A1:E731,4,FALSE),VLOOKUP(B182,'ADP'!A1:E731,5,FALSE))))</f>
        <v>186.59</v>
      </c>
      <c r="N182" s="46">
        <f>_xlfn.IFERROR(M182-A182,"N/A")</f>
        <v>-18.41</v>
      </c>
      <c r="O182" s="46"/>
      <c r="P182" t="s" s="47">
        <f>IF('Settings'!$E$27="ON",VLOOKUP(B182,'ADP'!A1:H731,8,FALSE)," ")</f>
        <v>109</v>
      </c>
      <c r="Q182" s="48">
        <f>IF('Settings'!$E$12="YES",VLOOKUP(B182,'Player Data'!A1:E734,5,FALSE),82)</f>
        <v>79.0975</v>
      </c>
      <c r="R182" s="46">
        <f>VLOOKUP(B182,'Player Data'!$A1:$AE734,6,FALSE)</f>
        <v>16.810099040350</v>
      </c>
      <c r="S182" s="48">
        <f>VLOOKUP(B182,'Player Data'!$A1:$AE734,7,FALSE)*$Q182*_xlfn.IFERROR((VLOOKUP(P182,'Settings'!$E$28:$F$33,2,FALSE)+1),1)</f>
        <v>21.0308341784149</v>
      </c>
      <c r="T182" s="48">
        <f>VLOOKUP(B182,'Player Data'!$A1:$AE734,8,FALSE)*$Q182*_xlfn.IFERROR((VLOOKUP(P182,'Settings'!$E$28:$F$33,2,FALSE)+1),1)</f>
        <v>32.1748156225499</v>
      </c>
      <c r="U182" s="48">
        <f>SUM(S182:T182)</f>
        <v>53.2056498009648</v>
      </c>
      <c r="V182" s="48">
        <f>VLOOKUP(B182,'Player Data'!$A1:$AE734,10,FALSE)*$Q182*_xlfn.IFERROR(((VLOOKUP(P182,'Settings'!$E$28:$F$33,2,FALSE)/2)+1),1)</f>
        <v>181.757008954219</v>
      </c>
      <c r="W182" s="48">
        <f>VLOOKUP(B182,'Player Data'!$A1:$AE734,11,FALSE)*$Q182*_xlfn.IFERROR((VLOOKUP(P182,'Settings'!$E$28:$F$33,2,FALSE)+1),1)</f>
        <v>6.73835530002334</v>
      </c>
      <c r="X182" s="48">
        <f>VLOOKUP(B182,'Player Data'!$A1:$AE734,12,FALSE)*$Q182*_xlfn.IFERROR((VLOOKUP(P182,'Settings'!$E$28:$F$33,2,FALSE)+1),1)</f>
        <v>13.6128660297548</v>
      </c>
      <c r="Y182" s="48">
        <f>VLOOKUP(B182,'Player Data'!$A1:$AE734,13,FALSE)*$Q182</f>
        <v>0.00446431625386781</v>
      </c>
      <c r="Z182" s="48">
        <f>VLOOKUP(B182,'Player Data'!$A1:$AE734,14,FALSE)*$Q182</f>
        <v>0.008155665734176511</v>
      </c>
      <c r="AA182" s="48">
        <f>VLOOKUP(B182,'Player Data'!$A1:$AE734,15,FALSE)*$Q182</f>
        <v>32.0059178739692</v>
      </c>
      <c r="AB182" s="48">
        <f>VLOOKUP(B182,'Player Data'!$A1:$AE734,16,FALSE)*$Q182</f>
        <v>50.8276853998918</v>
      </c>
      <c r="AC182" s="48">
        <f>VLOOKUP(B182,'Player Data'!$A1:$AE734,17,FALSE)*$Q182*_xlfn.IFERROR((VLOOKUP(P182,'Settings'!$E$28:$F$33,2,FALSE)+1),1)</f>
        <v>-1.50530520855626</v>
      </c>
      <c r="AD182" s="48">
        <f>VLOOKUP(B182,'Player Data'!$A1:$AE734,18,FALSE)*$Q182</f>
        <v>24.067742511873</v>
      </c>
      <c r="AE182" s="48">
        <f>VLOOKUP(B182,'Player Data'!$A1:$AE734,19,FALSE)*$Q182*_xlfn.IFERROR((VLOOKUP(P182,'Settings'!$E$28:$F$33,2,FALSE)+1),1)</f>
        <v>2.977117503506</v>
      </c>
      <c r="AF182" s="48">
        <f>VLOOKUP(B182,'Player Data'!$A1:$AE734,20,FALSE)*$Q182</f>
        <v>23.1899618274256</v>
      </c>
      <c r="AG182" s="48">
        <f>VLOOKUP(B182,'Player Data'!$A1:$AE734,21,FALSE)*$Q182</f>
        <v>31.2258555485319</v>
      </c>
      <c r="AH182" s="49">
        <f>VLOOKUP(B182,'Player Data'!$A1:$AE734,22,FALSE)</f>
        <v>0.426162151846525</v>
      </c>
      <c r="AI182" s="46"/>
      <c r="AJ182" s="48"/>
      <c r="AK182" s="48"/>
      <c r="AL182" s="48"/>
      <c r="AM182" s="48"/>
      <c r="AN182" s="48"/>
      <c r="AO182" s="48"/>
      <c r="AP182" s="48"/>
      <c r="AQ182" s="51"/>
      <c r="AR182" s="52"/>
      <c r="AS182" s="46"/>
    </row>
    <row r="183" ht="21.25" customHeight="1">
      <c r="A183" s="53">
        <f>RANK(K183,K2:K730)</f>
        <v>177</v>
      </c>
      <c r="B183" t="s" s="8">
        <v>335</v>
      </c>
      <c r="C183" t="s" s="39">
        <v>106</v>
      </c>
      <c r="D183" t="s" s="40">
        <f>VLOOKUP(B183,'Player Data'!A1:D734,4,FALSE)</f>
        <v>118</v>
      </c>
      <c r="E183" s="54">
        <f>VLOOKUP(B183,'LW'!A1:C156,3,FALSE)</f>
        <v>46</v>
      </c>
      <c r="F183" t="s" s="42">
        <f>VLOOKUP(B183,'Player Data'!A1:B734,2,FALSE)</f>
        <v>238</v>
      </c>
      <c r="G183" s="9">
        <f>VLOOKUP(B183,'Player Data'!A1:D734,3,FALSE)</f>
        <v>27</v>
      </c>
      <c r="H183" s="43">
        <f>_xlfn.IFERROR(VLOOKUP(B183,'ADP'!A1:G731,7,FALSE)/1000000,VLOOKUP(B183,'ADP'!A1:G731,7,FALSE))</f>
        <v>5.8</v>
      </c>
      <c r="I183" s="44">
        <f>IF('Settings'!$E$15="POINTS",((R183*Q183)*'Settings'!$B$12)+(S183*'Settings'!$B$2)+(T183*'Settings'!$B$3)+(U183*'Settings'!$B$4)+(V183*'Settings'!$B$5)+(X183*'Settings'!$B$9)+(AA183*'Settings'!$B$6)+(W183*'Settings'!$B$8)+(AB183*'Settings'!$B$7)+(AC183*'Settings'!$B$14)+(AD183*'Settings'!$B$15)+(AE183*'Settings'!$B$16)+(AF183*'Settings'!$B$17)+(AG183*'Settings'!$B$18)+(Y183*'Settings'!$B$10)+(Z183*'Settings'!$B$11),VLOOKUP(B183,'Standard Deviations'!A1:C731,3,FALSE))</f>
        <v>332.933865412420</v>
      </c>
      <c r="J183" s="45">
        <f>IF(D183="G",I183/AJ183,I183/Q183)</f>
        <v>4.07009615418606</v>
      </c>
      <c r="K183" s="44">
        <f>IF('Settings'!$E$18="C/LW/RW",VLOOKUP(B183,'RW'!A1:F132,6,FALSE),VLOOKUP(B183,'F'!A1:F432,6,FALSE))</f>
        <v>-48.694698293936</v>
      </c>
      <c r="L183" s="44">
        <f>_xlfn.IFERROR(K183/H183,"N/A")</f>
        <v>-8.395637636885519</v>
      </c>
      <c r="M183" s="46">
        <f>IF('Settings'!$E$9="YAHOO",VLOOKUP(B183,'ADP'!A1:E731,2,FALSE),IF('Settings'!$E$9="ESPN",VLOOKUP(B183,'ADP'!A1:E731,3,FALSE),IF('Settings'!$E$9="FANTRAX",VLOOKUP(B183,'ADP'!A1:E731,4,FALSE),VLOOKUP(B183,'ADP'!A1:E731,5,FALSE))))</f>
        <v>229.84</v>
      </c>
      <c r="N183" s="46">
        <f>_xlfn.IFERROR(M183-A183,"N/A")</f>
        <v>52.84</v>
      </c>
      <c r="O183" s="46"/>
      <c r="P183" t="s" s="47">
        <f>IF('Settings'!$E$27="ON",VLOOKUP(B183,'ADP'!A1:H731,8,FALSE)," ")</f>
        <v>109</v>
      </c>
      <c r="Q183" s="48">
        <f>IF('Settings'!$E$12="YES",VLOOKUP(B183,'Player Data'!A1:E734,5,FALSE),82)</f>
        <v>81.8</v>
      </c>
      <c r="R183" s="46">
        <f>VLOOKUP(B183,'Player Data'!$A1:$AE734,6,FALSE)</f>
        <v>17.548043859375</v>
      </c>
      <c r="S183" s="48">
        <f>VLOOKUP(B183,'Player Data'!$A1:$AE734,7,FALSE)*$Q183*_xlfn.IFERROR((VLOOKUP(P183,'Settings'!$E$28:$F$33,2,FALSE)+1),1)</f>
        <v>26.1309753122725</v>
      </c>
      <c r="T183" s="48">
        <f>VLOOKUP(B183,'Player Data'!$A1:$AE734,8,FALSE)*$Q183*_xlfn.IFERROR((VLOOKUP(P183,'Settings'!$E$28:$F$33,2,FALSE)+1),1)</f>
        <v>26.7677526170432</v>
      </c>
      <c r="U183" s="48">
        <f>SUM(S183:T183)</f>
        <v>52.8987279293157</v>
      </c>
      <c r="V183" s="48">
        <f>VLOOKUP(B183,'Player Data'!$A1:$AE734,10,FALSE)*$Q183*_xlfn.IFERROR(((VLOOKUP(P183,'Settings'!$E$28:$F$33,2,FALSE)/2)+1),1)</f>
        <v>190.775213016818</v>
      </c>
      <c r="W183" s="48">
        <f>VLOOKUP(B183,'Player Data'!$A1:$AE734,11,FALSE)*$Q183*_xlfn.IFERROR((VLOOKUP(P183,'Settings'!$E$28:$F$33,2,FALSE)+1),1)</f>
        <v>6.2460328015647</v>
      </c>
      <c r="X183" s="48">
        <f>VLOOKUP(B183,'Player Data'!$A1:$AE734,12,FALSE)*$Q183*_xlfn.IFERROR((VLOOKUP(P183,'Settings'!$E$28:$F$33,2,FALSE)+1),1)</f>
        <v>11.6262727439756</v>
      </c>
      <c r="Y183" s="48">
        <f>VLOOKUP(B183,'Player Data'!$A1:$AE734,13,FALSE)*$Q183</f>
        <v>0.695570268607058</v>
      </c>
      <c r="Z183" s="48">
        <f>VLOOKUP(B183,'Player Data'!$A1:$AE734,14,FALSE)*$Q183</f>
        <v>1.83189373762874</v>
      </c>
      <c r="AA183" s="48">
        <f>VLOOKUP(B183,'Player Data'!$A1:$AE734,15,FALSE)*$Q183</f>
        <v>30.2359331716706</v>
      </c>
      <c r="AB183" s="48">
        <f>VLOOKUP(B183,'Player Data'!$A1:$AE734,16,FALSE)*$Q183</f>
        <v>83.4874323462476</v>
      </c>
      <c r="AC183" s="48">
        <f>VLOOKUP(B183,'Player Data'!$A1:$AE734,17,FALSE)*$Q183*_xlfn.IFERROR((VLOOKUP(P183,'Settings'!$E$28:$F$33,2,FALSE)+1),1)</f>
        <v>5.06783142829063</v>
      </c>
      <c r="AD183" s="48">
        <f>VLOOKUP(B183,'Player Data'!$A1:$AE734,18,FALSE)*$Q183</f>
        <v>37.1406637312427</v>
      </c>
      <c r="AE183" s="48">
        <f>VLOOKUP(B183,'Player Data'!$A1:$AE734,19,FALSE)*$Q183*_xlfn.IFERROR((VLOOKUP(P183,'Settings'!$E$28:$F$33,2,FALSE)+1),1)</f>
        <v>4.36644024705826</v>
      </c>
      <c r="AF183" s="48">
        <f>VLOOKUP(B183,'Player Data'!$A1:$AE734,20,FALSE)*$Q183</f>
        <v>7.25494861947029</v>
      </c>
      <c r="AG183" s="48">
        <f>VLOOKUP(B183,'Player Data'!$A1:$AE734,21,FALSE)*$Q183</f>
        <v>15.2700957133461</v>
      </c>
      <c r="AH183" s="49">
        <f>VLOOKUP(B183,'Player Data'!$A1:$AE734,22,FALSE)</f>
        <v>0.322083655520298</v>
      </c>
      <c r="AI183" s="46"/>
      <c r="AJ183" s="48"/>
      <c r="AK183" s="48"/>
      <c r="AL183" s="48"/>
      <c r="AM183" s="48"/>
      <c r="AN183" s="48"/>
      <c r="AO183" s="48"/>
      <c r="AP183" s="48"/>
      <c r="AQ183" s="51"/>
      <c r="AR183" s="52"/>
      <c r="AS183" s="46"/>
    </row>
    <row r="184" ht="21.25" customHeight="1">
      <c r="A184" s="53">
        <f>RANK(K184,K2:K730)</f>
        <v>194</v>
      </c>
      <c r="B184" t="s" s="8">
        <v>336</v>
      </c>
      <c r="C184" t="s" s="39">
        <v>106</v>
      </c>
      <c r="D184" t="s" s="40">
        <f>VLOOKUP(B184,'Player Data'!A1:D734,4,FALSE)</f>
        <v>129</v>
      </c>
      <c r="E184" s="56">
        <f>VLOOKUP(B184,'D'!A1:C228,3,FALSE)</f>
        <v>46</v>
      </c>
      <c r="F184" t="s" s="42">
        <f>VLOOKUP(B184,'Player Data'!A1:B734,2,FALSE)</f>
        <v>202</v>
      </c>
      <c r="G184" s="9">
        <f>VLOOKUP(B184,'Player Data'!A1:D734,3,FALSE)</f>
        <v>32</v>
      </c>
      <c r="H184" s="43">
        <f>_xlfn.IFERROR(VLOOKUP(B184,'ADP'!A1:G731,7,FALSE)/1000000,VLOOKUP(B184,'ADP'!A1:G731,7,FALSE))</f>
        <v>7.75</v>
      </c>
      <c r="I184" s="44">
        <f>IF('Settings'!$E$15="POINTS",((R184*Q184)*'Settings'!$B$12)+(S184*'Settings'!$B$2)+(T184*'Settings'!$B$3)+(U184*'Settings'!$B$4)+(V184*'Settings'!$B$5)+(X184*'Settings'!$B$9)+(AA184*'Settings'!$B$6)+(W184*'Settings'!$B$8)+(AB184*'Settings'!$B$7)+(AC184*'Settings'!$B$14)+(AD184*'Settings'!$B$15)+(AE184*'Settings'!$B$16)+(AF184*'Settings'!$B$17)+(AG184*'Settings'!$B$18)+(U184*'Settings'!$B$13)+(Y184*'Settings'!$B$10)+(Z184*'Settings'!$B$11),VLOOKUP(B184,'Standard Deviations'!A1:C731,3,FALSE))</f>
        <v>276.721271755307</v>
      </c>
      <c r="J184" s="45">
        <f>IF(D184="G",I184/AJ184,I184/Q184)</f>
        <v>3.6078392666924</v>
      </c>
      <c r="K184" s="44">
        <f>VLOOKUP(B184,'D'!A1:F228,6,FALSE)</f>
        <v>-64.013866891216</v>
      </c>
      <c r="L184" s="44">
        <f>_xlfn.IFERROR(K184/H184,"N/A")</f>
        <v>-8.259853792414971</v>
      </c>
      <c r="M184" s="46">
        <f>IF('Settings'!$E$9="YAHOO",VLOOKUP(B184,'ADP'!A1:E731,2,FALSE),IF('Settings'!$E$9="ESPN",VLOOKUP(B184,'ADP'!A1:E731,3,FALSE),IF('Settings'!$E$9="FANTRAX",VLOOKUP(B184,'ADP'!A1:E731,4,FALSE),VLOOKUP(B184,'ADP'!A1:E731,5,FALSE))))</f>
        <v>215.21</v>
      </c>
      <c r="N184" s="46">
        <f>_xlfn.IFERROR(M184-A184,"N/A")</f>
        <v>21.21</v>
      </c>
      <c r="O184" s="46"/>
      <c r="P184" t="s" s="47">
        <f>IF('Settings'!$E$27="ON",VLOOKUP(B184,'ADP'!A1:H731,8,FALSE)," ")</f>
        <v>109</v>
      </c>
      <c r="Q184" s="48">
        <f>IF('Settings'!$E$12="YES",VLOOKUP(B184,'Player Data'!A1:E734,5,FALSE),82)</f>
        <v>76.7</v>
      </c>
      <c r="R184" s="46">
        <f>VLOOKUP(B184,'Player Data'!$A1:$AE734,6,FALSE)</f>
        <v>21.4842038893406</v>
      </c>
      <c r="S184" s="48">
        <f>VLOOKUP(B184,'Player Data'!$A1:$AE734,7,FALSE)*$Q184*_xlfn.IFERROR((VLOOKUP(P184,'Settings'!$E$28:$F$33,2,FALSE)+1),1)</f>
        <v>9.524089805522649</v>
      </c>
      <c r="T184" s="48">
        <f>VLOOKUP(B184,'Player Data'!$A1:$AE734,8,FALSE)*$Q184*_xlfn.IFERROR((VLOOKUP(P184,'Settings'!$E$28:$F$33,2,FALSE)+1),1)</f>
        <v>27.0194497489066</v>
      </c>
      <c r="U184" s="48">
        <f>SUM(S184:T184)</f>
        <v>36.5435395544293</v>
      </c>
      <c r="V184" s="48">
        <f>VLOOKUP(B184,'Player Data'!$A1:$AE734,10,FALSE)*$Q184*_xlfn.IFERROR(((VLOOKUP(P184,'Settings'!$E$28:$F$33,2,FALSE)/2)+1),1)</f>
        <v>134.810738442446</v>
      </c>
      <c r="W184" s="48">
        <f>VLOOKUP(B184,'Player Data'!$A1:$AE734,11,FALSE)*$Q184*_xlfn.IFERROR((VLOOKUP(P184,'Settings'!$E$28:$F$33,2,FALSE)+1),1)</f>
        <v>1.66878514491213</v>
      </c>
      <c r="X184" s="48">
        <f>VLOOKUP(B184,'Player Data'!$A1:$AE734,12,FALSE)*$Q184*_xlfn.IFERROR((VLOOKUP(P184,'Settings'!$E$28:$F$33,2,FALSE)+1),1)</f>
        <v>8.523109933995009</v>
      </c>
      <c r="Y184" s="48">
        <f>VLOOKUP(B184,'Player Data'!$A1:$AE734,13,FALSE)*$Q184</f>
        <v>0.0360860004472538</v>
      </c>
      <c r="Z184" s="48">
        <f>VLOOKUP(B184,'Player Data'!$A1:$AE734,14,FALSE)*$Q184</f>
        <v>0.139286421667208</v>
      </c>
      <c r="AA184" s="48">
        <f>VLOOKUP(B184,'Player Data'!$A1:$AE734,15,FALSE)*$Q184</f>
        <v>101.225557407870</v>
      </c>
      <c r="AB184" s="48">
        <f>VLOOKUP(B184,'Player Data'!$A1:$AE734,16,FALSE)*$Q184</f>
        <v>138.031190460971</v>
      </c>
      <c r="AC184" s="48">
        <f>VLOOKUP(B184,'Player Data'!$A1:$AE734,17,FALSE)*$Q184*_xlfn.IFERROR((VLOOKUP(P184,'Settings'!$E$28:$F$33,2,FALSE)+1),1)</f>
        <v>5.88958031940156</v>
      </c>
      <c r="AD184" s="48">
        <f>VLOOKUP(B184,'Player Data'!$A1:$AE734,18,FALSE)*$Q184</f>
        <v>34.6137902623257</v>
      </c>
      <c r="AE184" s="48">
        <f>VLOOKUP(B184,'Player Data'!$A1:$AE734,19,FALSE)*$Q184*_xlfn.IFERROR((VLOOKUP(P184,'Settings'!$E$28:$F$33,2,FALSE)+1),1)</f>
        <v>1.70883497160907</v>
      </c>
      <c r="AF184" s="48">
        <f>VLOOKUP(B184,'Player Data'!$A1:$AE734,20,FALSE)*$Q184</f>
        <v>0</v>
      </c>
      <c r="AG184" s="48">
        <f>VLOOKUP(B184,'Player Data'!$A1:$AE734,21,FALSE)*$Q184</f>
        <v>0</v>
      </c>
      <c r="AH184" s="49">
        <f>VLOOKUP(B184,'Player Data'!$A1:$AE734,22,FALSE)</f>
        <v>0</v>
      </c>
      <c r="AI184" s="46"/>
      <c r="AJ184" s="50"/>
      <c r="AK184" s="48"/>
      <c r="AL184" s="48"/>
      <c r="AM184" s="48"/>
      <c r="AN184" s="48"/>
      <c r="AO184" s="48"/>
      <c r="AP184" s="48"/>
      <c r="AQ184" s="51"/>
      <c r="AR184" s="52"/>
      <c r="AS184" s="50"/>
    </row>
    <row r="185" ht="21.25" customHeight="1">
      <c r="A185" s="53">
        <f>RANK(K185,K2:K730)</f>
        <v>179</v>
      </c>
      <c r="B185" t="s" s="8">
        <v>337</v>
      </c>
      <c r="C185" t="s" s="39">
        <v>106</v>
      </c>
      <c r="D185" t="s" s="40">
        <f>VLOOKUP(B185,'Player Data'!A1:D734,4,FALSE)</f>
        <v>129</v>
      </c>
      <c r="E185" s="56">
        <f>VLOOKUP(B185,'D'!A1:C228,3,FALSE)</f>
        <v>42</v>
      </c>
      <c r="F185" t="s" s="42">
        <f>VLOOKUP(B185,'Player Data'!A1:B734,2,FALSE)</f>
        <v>164</v>
      </c>
      <c r="G185" s="9">
        <f>VLOOKUP(B185,'Player Data'!A1:D734,3,FALSE)</f>
        <v>28</v>
      </c>
      <c r="H185" s="43">
        <f>_xlfn.IFERROR(VLOOKUP(B185,'ADP'!A1:G731,7,FALSE)/1000000,VLOOKUP(B185,'ADP'!A1:G731,7,FALSE))</f>
        <v>5.875</v>
      </c>
      <c r="I185" s="44">
        <f>IF('Settings'!$E$15="POINTS",((R185*Q185)*'Settings'!$B$12)+(S185*'Settings'!$B$2)+(T185*'Settings'!$B$3)+(U185*'Settings'!$B$4)+(V185*'Settings'!$B$5)+(X185*'Settings'!$B$9)+(AA185*'Settings'!$B$6)+(W185*'Settings'!$B$8)+(AB185*'Settings'!$B$7)+(AC185*'Settings'!$B$14)+(AD185*'Settings'!$B$15)+(AE185*'Settings'!$B$16)+(AF185*'Settings'!$B$17)+(AG185*'Settings'!$B$18)+(U185*'Settings'!$B$13)+(Y185*'Settings'!$B$10)+(Z185*'Settings'!$B$11),VLOOKUP(B185,'Standard Deviations'!A1:C731,3,FALSE))</f>
        <v>290.171380061065</v>
      </c>
      <c r="J185" s="45">
        <f>IF(D185="G",I185/AJ185,I185/Q185)</f>
        <v>3.58016852180974</v>
      </c>
      <c r="K185" s="44">
        <f>VLOOKUP(B185,'D'!A1:F228,6,FALSE)</f>
        <v>-50.563758585458</v>
      </c>
      <c r="L185" s="44">
        <f>_xlfn.IFERROR(K185/H185,"N/A")</f>
        <v>-8.606597206035399</v>
      </c>
      <c r="M185" s="46">
        <f>IF('Settings'!$E$9="YAHOO",VLOOKUP(B185,'ADP'!A1:E731,2,FALSE),IF('Settings'!$E$9="ESPN",VLOOKUP(B185,'ADP'!A1:E731,3,FALSE),IF('Settings'!$E$9="FANTRAX",VLOOKUP(B185,'ADP'!A1:E731,4,FALSE),VLOOKUP(B185,'ADP'!A1:E731,5,FALSE))))</f>
        <v>213.38</v>
      </c>
      <c r="N185" s="46">
        <f>_xlfn.IFERROR(M185-A185,"N/A")</f>
        <v>34.38</v>
      </c>
      <c r="O185" s="46"/>
      <c r="P185" t="s" s="47">
        <f>IF('Settings'!$E$27="ON",VLOOKUP(B185,'ADP'!A1:H731,8,FALSE)," ")</f>
        <v>109</v>
      </c>
      <c r="Q185" s="48">
        <f>IF('Settings'!$E$12="YES",VLOOKUP(B185,'Player Data'!A1:E734,5,FALSE),82)</f>
        <v>81.0496428571429</v>
      </c>
      <c r="R185" s="46">
        <f>VLOOKUP(B185,'Player Data'!$A1:$AE734,6,FALSE)</f>
        <v>21.7701031971798</v>
      </c>
      <c r="S185" s="48">
        <f>VLOOKUP(B185,'Player Data'!$A1:$AE734,7,FALSE)*$Q185*_xlfn.IFERROR((VLOOKUP(P185,'Settings'!$E$28:$F$33,2,FALSE)+1),1)</f>
        <v>6.27370121873789</v>
      </c>
      <c r="T185" s="48">
        <f>VLOOKUP(B185,'Player Data'!$A1:$AE734,8,FALSE)*$Q185*_xlfn.IFERROR((VLOOKUP(P185,'Settings'!$E$28:$F$33,2,FALSE)+1),1)</f>
        <v>28.783959857990</v>
      </c>
      <c r="U185" s="48">
        <f>SUM(S185:T185)</f>
        <v>35.0576610767279</v>
      </c>
      <c r="V185" s="48">
        <f>VLOOKUP(B185,'Player Data'!$A1:$AE734,10,FALSE)*$Q185*_xlfn.IFERROR(((VLOOKUP(P185,'Settings'!$E$28:$F$33,2,FALSE)/2)+1),1)</f>
        <v>140.648979731817</v>
      </c>
      <c r="W185" s="48">
        <f>VLOOKUP(B185,'Player Data'!$A1:$AE734,11,FALSE)*$Q185*_xlfn.IFERROR((VLOOKUP(P185,'Settings'!$E$28:$F$33,2,FALSE)+1),1)</f>
        <v>1.02331791104192</v>
      </c>
      <c r="X185" s="48">
        <f>VLOOKUP(B185,'Player Data'!$A1:$AE734,12,FALSE)*$Q185*_xlfn.IFERROR((VLOOKUP(P185,'Settings'!$E$28:$F$33,2,FALSE)+1),1)</f>
        <v>6.91633671507256</v>
      </c>
      <c r="Y185" s="48">
        <f>VLOOKUP(B185,'Player Data'!$A1:$AE734,13,FALSE)*$Q185</f>
        <v>0.0348274522578308</v>
      </c>
      <c r="Z185" s="48">
        <f>VLOOKUP(B185,'Player Data'!$A1:$AE734,14,FALSE)*$Q185</f>
        <v>0.671098606761525</v>
      </c>
      <c r="AA185" s="48">
        <f>VLOOKUP(B185,'Player Data'!$A1:$AE734,15,FALSE)*$Q185</f>
        <v>123.656055410961</v>
      </c>
      <c r="AB185" s="48">
        <f>VLOOKUP(B185,'Player Data'!$A1:$AE734,16,FALSE)*$Q185</f>
        <v>168.372520871448</v>
      </c>
      <c r="AC185" s="48">
        <f>VLOOKUP(B185,'Player Data'!$A1:$AE734,17,FALSE)*$Q185*_xlfn.IFERROR((VLOOKUP(P185,'Settings'!$E$28:$F$33,2,FALSE)+1),1)</f>
        <v>-0.503437749849617</v>
      </c>
      <c r="AD185" s="48">
        <f>VLOOKUP(B185,'Player Data'!$A1:$AE734,18,FALSE)*$Q185</f>
        <v>43.0135196023501</v>
      </c>
      <c r="AE185" s="48">
        <f>VLOOKUP(B185,'Player Data'!$A1:$AE734,19,FALSE)*$Q185*_xlfn.IFERROR((VLOOKUP(P185,'Settings'!$E$28:$F$33,2,FALSE)+1),1)</f>
        <v>0.978718389343024</v>
      </c>
      <c r="AF185" s="48">
        <f>VLOOKUP(B185,'Player Data'!$A1:$AE734,20,FALSE)*$Q185</f>
        <v>0</v>
      </c>
      <c r="AG185" s="48">
        <f>VLOOKUP(B185,'Player Data'!$A1:$AE734,21,FALSE)*$Q185</f>
        <v>0</v>
      </c>
      <c r="AH185" s="49">
        <f>VLOOKUP(B185,'Player Data'!$A1:$AE734,22,FALSE)</f>
        <v>0</v>
      </c>
      <c r="AI185" s="46"/>
      <c r="AJ185" s="48"/>
      <c r="AK185" s="48"/>
      <c r="AL185" s="48"/>
      <c r="AM185" s="48"/>
      <c r="AN185" s="48"/>
      <c r="AO185" s="48"/>
      <c r="AP185" s="48"/>
      <c r="AQ185" s="51"/>
      <c r="AR185" s="52"/>
      <c r="AS185" s="46"/>
    </row>
    <row r="186" ht="21.25" customHeight="1">
      <c r="A186" s="53">
        <f>RANK(K186,K2:K730)</f>
        <v>107</v>
      </c>
      <c r="B186" t="s" s="8">
        <v>338</v>
      </c>
      <c r="C186" t="s" s="39">
        <v>106</v>
      </c>
      <c r="D186" t="s" s="40">
        <f>VLOOKUP(B186,'Player Data'!A1:D734,4,FALSE)</f>
        <v>146</v>
      </c>
      <c r="E186" s="58">
        <f>VLOOKUP(B186,'G'!A1:D75,3,FALSE)</f>
        <v>22</v>
      </c>
      <c r="F186" t="s" s="42">
        <f>VLOOKUP(B186,'Player Data'!A1:B734,2,FALSE)</f>
        <v>139</v>
      </c>
      <c r="G186" s="9">
        <f>VLOOKUP(B186,'Player Data'!A1:D734,3,FALSE)</f>
        <v>21</v>
      </c>
      <c r="H186" s="43">
        <f>_xlfn.IFERROR(VLOOKUP(B186,'ADP'!A1:G731,7,FALSE)/1000000,VLOOKUP(B186,'ADP'!A1:G731,7,FALSE))</f>
        <v>0</v>
      </c>
      <c r="I186" s="44">
        <f>IF('Settings'!$E$15="POINTS",(AJ186*'Settings'!$B$29)+(AK186*'Settings'!$B$21)+(AL186*'Settings'!$B$22)+(AN186*'Settings'!$B$24)+(AO186*'Settings'!$B$25)+(AP186*'Settings'!$B$27)+(AM186*'Settings'!$B$23),VLOOKUP(B186,'Standard Deviations'!A1:C731,3,FALSE))</f>
        <v>272.677474212386</v>
      </c>
      <c r="J186" s="45">
        <f>IF(D186="G",I186/AJ186,I186/Q186)</f>
        <v>5.68078071275804</v>
      </c>
      <c r="K186" s="44">
        <f>VLOOKUP(B186,'G'!A1:F75,6,FALSE)</f>
        <v>7.374252712698</v>
      </c>
      <c r="L186" t="s" s="60">
        <f>_xlfn.IFERROR(K186/H186,"N/A")</f>
        <v>158</v>
      </c>
      <c r="M186" s="46">
        <f>IF('Settings'!$E$9="YAHOO",VLOOKUP(B186,'ADP'!A1:E731,2,FALSE),IF('Settings'!$E$9="ESPN",VLOOKUP(B186,'ADP'!A1:E731,3,FALSE),IF('Settings'!$E$9="FANTRAX",VLOOKUP(B186,'ADP'!A1:E731,4,FALSE),VLOOKUP(B186,'ADP'!A1:E731,5,FALSE))))</f>
        <v>191.9</v>
      </c>
      <c r="N186" s="46">
        <f>_xlfn.IFERROR(M186-A186,"N/A")</f>
        <v>84.90000000000001</v>
      </c>
      <c r="O186" s="46"/>
      <c r="P186" t="s" s="47">
        <f>IF('Settings'!$E$27="ON",VLOOKUP(B186,'ADP'!A1:H731,8,FALSE)," ")</f>
        <v>109</v>
      </c>
      <c r="Q186" s="48"/>
      <c r="R186" s="59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9"/>
      <c r="AI186" s="46"/>
      <c r="AJ186" s="50">
        <f>VLOOKUP(B186,'Player Data'!$A1:$AE734,24,FALSE)</f>
        <v>48</v>
      </c>
      <c r="AK186" s="48">
        <f>VLOOKUP(B186,'Player Data'!$A1:$AE734,25,FALSE)*$AJ186*_xlfn.IFERROR((VLOOKUP(P186,'Settings'!$E$28:$F$33,2,FALSE)+1),1)</f>
        <v>23.1760541192558</v>
      </c>
      <c r="AL186" s="48">
        <f>AJ186-AK186-AM186</f>
        <v>18.8239458807442</v>
      </c>
      <c r="AM186" s="48">
        <f>VLOOKUP(B186,'Player Data'!$A1:$AE734,27,FALSE)*$AJ186</f>
        <v>6</v>
      </c>
      <c r="AN186" s="48">
        <f>VLOOKUP(B186,'Player Data'!$A1:$AE734,28,FALSE)*AJ186</f>
        <v>2.22548761114176</v>
      </c>
      <c r="AO186" s="48">
        <f>VLOOKUP(B186,'Player Data'!$A1:$AE734,29,FALSE)*$AJ186*_xlfn.IFERROR((VLOOKUP(P186,'Settings'!$E$28:$F$33,2,FALSE)/4)+1,1)</f>
        <v>1359.943030039550</v>
      </c>
      <c r="AP186" s="48">
        <f>VLOOKUP(B186,'Player Data'!$A1:$AE734,31,FALSE)*$AJ186*(_xlfn.IFERROR(1-(VLOOKUP(P186,'Settings'!$E$28:$F$33,2,FALSE)/4),1))</f>
        <v>141.006706660448</v>
      </c>
      <c r="AQ186" s="51">
        <f>1-(AP186/(AO186+AP186))</f>
        <v>0.906055010895657</v>
      </c>
      <c r="AR186" s="52">
        <f>AP186/AJ186</f>
        <v>2.93763972209267</v>
      </c>
      <c r="AS186" s="46"/>
    </row>
    <row r="187" ht="21.25" customHeight="1">
      <c r="A187" s="53">
        <f>RANK(K187,K2:K730)</f>
        <v>193</v>
      </c>
      <c r="B187" t="s" s="8">
        <v>339</v>
      </c>
      <c r="C187" t="s" s="39">
        <v>106</v>
      </c>
      <c r="D187" t="s" s="40">
        <f>VLOOKUP(B187,'Player Data'!A1:D734,4,FALSE)</f>
        <v>107</v>
      </c>
      <c r="E187" s="41">
        <f>VLOOKUP(B187,'C'!A1:C218,3,FALSE)</f>
        <v>56</v>
      </c>
      <c r="F187" t="s" s="42">
        <f>VLOOKUP(B187,'Player Data'!A1:B734,2,FALSE)</f>
        <v>173</v>
      </c>
      <c r="G187" s="9">
        <f>VLOOKUP(B187,'Player Data'!A1:D734,3,FALSE)</f>
        <v>24</v>
      </c>
      <c r="H187" s="43">
        <f>_xlfn.IFERROR(VLOOKUP(B187,'ADP'!A1:G731,7,FALSE)/1000000,VLOOKUP(B187,'ADP'!A1:G731,7,FALSE))</f>
        <v>7.95</v>
      </c>
      <c r="I187" s="44">
        <f>IF('Settings'!$E$15="POINTS",((R187*Q187)*'Settings'!$B$12)+(S187*'Settings'!$B$2)+(T187*'Settings'!$B$3)+(U187*'Settings'!$B$4)+(V187*'Settings'!$B$5)+(X187*'Settings'!$B$9)+(AA187*'Settings'!$B$6)+(W187*'Settings'!$B$8)+(AB187*'Settings'!$B$7)+(AC187*'Settings'!$B$14)+(AD187*'Settings'!$B$15)+(AE187*'Settings'!$B$16)+(AF187*'Settings'!$B$17)+(AG187*'Settings'!$B$18)+(Y187*'Settings'!$B$10)+(Z187*'Settings'!$B$11),VLOOKUP(B187,'Standard Deviations'!A1:C731,3,FALSE))</f>
        <v>333.021050553513</v>
      </c>
      <c r="J187" s="45">
        <f>IF(D187="G",I187/AJ187,I187/Q187)</f>
        <v>4.59006995697616</v>
      </c>
      <c r="K187" s="44">
        <f>IF('Settings'!$E$18="C/LW/RW",VLOOKUP(B187,'C'!A1:F218,6,FALSE),VLOOKUP(B187,'F'!A1:F432,6,FALSE))</f>
        <v>-62.753151082502</v>
      </c>
      <c r="L187" s="44">
        <f>_xlfn.IFERROR(K187/H187,"N/A")</f>
        <v>-7.89347812358516</v>
      </c>
      <c r="M187" s="46">
        <f>IF('Settings'!$E$9="YAHOO",VLOOKUP(B187,'ADP'!A1:E731,2,FALSE),IF('Settings'!$E$9="ESPN",VLOOKUP(B187,'ADP'!A1:E731,3,FALSE),IF('Settings'!$E$9="FANTRAX",VLOOKUP(B187,'ADP'!A1:E731,4,FALSE),VLOOKUP(B187,'ADP'!A1:E731,5,FALSE))))</f>
        <v>132.81</v>
      </c>
      <c r="N187" s="46">
        <f>_xlfn.IFERROR(M187-A187,"N/A")</f>
        <v>-60.19</v>
      </c>
      <c r="O187" s="46"/>
      <c r="P187" t="s" s="47">
        <f>IF('Settings'!$E$27="ON",VLOOKUP(B187,'ADP'!A1:H731,8,FALSE)," ")</f>
        <v>109</v>
      </c>
      <c r="Q187" s="48">
        <f>IF('Settings'!$E$12="YES",VLOOKUP(B187,'Player Data'!A1:E734,5,FALSE),82)</f>
        <v>72.55249999999999</v>
      </c>
      <c r="R187" s="46">
        <f>VLOOKUP(B187,'Player Data'!$A1:$AE734,6,FALSE)</f>
        <v>18.3735997935614</v>
      </c>
      <c r="S187" s="48">
        <f>VLOOKUP(B187,'Player Data'!$A1:$AE734,7,FALSE)*$Q187*_xlfn.IFERROR((VLOOKUP(P187,'Settings'!$E$28:$F$33,2,FALSE)+1),1)</f>
        <v>29.8241442092237</v>
      </c>
      <c r="T187" s="48">
        <f>VLOOKUP(B187,'Player Data'!$A1:$AE734,8,FALSE)*$Q187*_xlfn.IFERROR((VLOOKUP(P187,'Settings'!$E$28:$F$33,2,FALSE)+1),1)</f>
        <v>24.5766560418798</v>
      </c>
      <c r="U187" s="48">
        <f>SUM(S187:T187)</f>
        <v>54.4008002511035</v>
      </c>
      <c r="V187" s="48">
        <f>VLOOKUP(B187,'Player Data'!$A1:$AE734,10,FALSE)*$Q187*_xlfn.IFERROR(((VLOOKUP(P187,'Settings'!$E$28:$F$33,2,FALSE)/2)+1),1)</f>
        <v>161.231267681028</v>
      </c>
      <c r="W187" s="48">
        <f>VLOOKUP(B187,'Player Data'!$A1:$AE734,11,FALSE)*$Q187*_xlfn.IFERROR((VLOOKUP(P187,'Settings'!$E$28:$F$33,2,FALSE)+1),1)</f>
        <v>11.1250921680909</v>
      </c>
      <c r="X187" s="48">
        <f>VLOOKUP(B187,'Player Data'!$A1:$AE734,12,FALSE)*$Q187*_xlfn.IFERROR((VLOOKUP(P187,'Settings'!$E$28:$F$33,2,FALSE)+1),1)</f>
        <v>20.085397620147</v>
      </c>
      <c r="Y187" s="48">
        <f>VLOOKUP(B187,'Player Data'!$A1:$AE734,13,FALSE)*$Q187</f>
        <v>0.468356228101567</v>
      </c>
      <c r="Z187" s="48">
        <f>VLOOKUP(B187,'Player Data'!$A1:$AE734,14,FALSE)*$Q187</f>
        <v>0.796723879876491</v>
      </c>
      <c r="AA187" s="48">
        <f>VLOOKUP(B187,'Player Data'!$A1:$AE734,15,FALSE)*$Q187</f>
        <v>46.3673962545266</v>
      </c>
      <c r="AB187" s="48">
        <f>VLOOKUP(B187,'Player Data'!$A1:$AE734,16,FALSE)*$Q187</f>
        <v>78.7586150353453</v>
      </c>
      <c r="AC187" s="48">
        <f>VLOOKUP(B187,'Player Data'!$A1:$AE734,17,FALSE)*$Q187*_xlfn.IFERROR((VLOOKUP(P187,'Settings'!$E$28:$F$33,2,FALSE)+1),1)</f>
        <v>1.40338381049511</v>
      </c>
      <c r="AD187" s="48">
        <f>VLOOKUP(B187,'Player Data'!$A1:$AE734,18,FALSE)*$Q187</f>
        <v>24.5969496496237</v>
      </c>
      <c r="AE187" s="48">
        <f>VLOOKUP(B187,'Player Data'!$A1:$AE734,19,FALSE)*$Q187*_xlfn.IFERROR((VLOOKUP(P187,'Settings'!$E$28:$F$33,2,FALSE)+1),1)</f>
        <v>4.4851310113284</v>
      </c>
      <c r="AF187" s="48">
        <f>VLOOKUP(B187,'Player Data'!$A1:$AE734,20,FALSE)*$Q187</f>
        <v>496.336625795286</v>
      </c>
      <c r="AG187" s="48">
        <f>VLOOKUP(B187,'Player Data'!$A1:$AE734,21,FALSE)*$Q187</f>
        <v>457.265191057822</v>
      </c>
      <c r="AH187" s="49">
        <f>VLOOKUP(B187,'Player Data'!$A1:$AE734,22,FALSE)</f>
        <v>0.520486241766191</v>
      </c>
      <c r="AI187" s="46"/>
      <c r="AJ187" s="48"/>
      <c r="AK187" s="48"/>
      <c r="AL187" s="48"/>
      <c r="AM187" s="48"/>
      <c r="AN187" s="48"/>
      <c r="AO187" s="48"/>
      <c r="AP187" s="48"/>
      <c r="AQ187" s="51"/>
      <c r="AR187" s="52"/>
      <c r="AS187" s="46"/>
    </row>
    <row r="188" ht="21.25" customHeight="1">
      <c r="A188" s="53">
        <f>RANK(K188,K2:K730)</f>
        <v>183</v>
      </c>
      <c r="B188" t="s" s="8">
        <v>340</v>
      </c>
      <c r="C188" t="s" s="39">
        <v>106</v>
      </c>
      <c r="D188" t="s" s="40">
        <f>VLOOKUP(B188,'Player Data'!A1:D734,4,FALSE)</f>
        <v>129</v>
      </c>
      <c r="E188" s="56">
        <f>VLOOKUP(B188,'D'!A1:C228,3,FALSE)</f>
        <v>43</v>
      </c>
      <c r="F188" t="s" s="42">
        <f>VLOOKUP(B188,'Player Data'!A1:B734,2,FALSE)</f>
        <v>134</v>
      </c>
      <c r="G188" s="9">
        <f>VLOOKUP(B188,'Player Data'!A1:D734,3,FALSE)</f>
        <v>33</v>
      </c>
      <c r="H188" s="43">
        <f>_xlfn.IFERROR(VLOOKUP(B188,'ADP'!A1:G731,7,FALSE)/1000000,VLOOKUP(B188,'ADP'!A1:G731,7,FALSE))</f>
        <v>7.575</v>
      </c>
      <c r="I188" s="44">
        <f>IF('Settings'!$E$15="POINTS",((R188*Q188)*'Settings'!$B$12)+(S188*'Settings'!$B$2)+(T188*'Settings'!$B$3)+(U188*'Settings'!$B$4)+(V188*'Settings'!$B$5)+(X188*'Settings'!$B$9)+(AA188*'Settings'!$B$6)+(W188*'Settings'!$B$8)+(AB188*'Settings'!$B$7)+(AC188*'Settings'!$B$14)+(AD188*'Settings'!$B$15)+(AE188*'Settings'!$B$16)+(AF188*'Settings'!$B$17)+(AG188*'Settings'!$B$18)+(U188*'Settings'!$B$13)+(Y188*'Settings'!$B$10)+(Z188*'Settings'!$B$11),VLOOKUP(B188,'Standard Deviations'!A1:C731,3,FALSE))</f>
        <v>286.661649280439</v>
      </c>
      <c r="J188" s="45">
        <f>IF(D188="G",I188/AJ188,I188/Q188)</f>
        <v>3.61034822771334</v>
      </c>
      <c r="K188" s="44">
        <f>VLOOKUP(B188,'D'!A1:F228,6,FALSE)</f>
        <v>-54.073489366084</v>
      </c>
      <c r="L188" s="44">
        <f>_xlfn.IFERROR(K188/H188,"N/A")</f>
        <v>-7.13841443776686</v>
      </c>
      <c r="M188" s="46">
        <f>IF('Settings'!$E$9="YAHOO",VLOOKUP(B188,'ADP'!A1:E731,2,FALSE),IF('Settings'!$E$9="ESPN",VLOOKUP(B188,'ADP'!A1:E731,3,FALSE),IF('Settings'!$E$9="FANTRAX",VLOOKUP(B188,'ADP'!A1:E731,4,FALSE),VLOOKUP(B188,'ADP'!A1:E731,5,FALSE))))</f>
        <v>192.35</v>
      </c>
      <c r="N188" s="46">
        <f>_xlfn.IFERROR(M188-A188,"N/A")</f>
        <v>9.35</v>
      </c>
      <c r="O188" s="46"/>
      <c r="P188" t="s" s="47">
        <f>IF('Settings'!$E$27="ON",VLOOKUP(B188,'ADP'!A1:H731,8,FALSE)," ")</f>
        <v>109</v>
      </c>
      <c r="Q188" s="48">
        <f>IF('Settings'!$E$12="YES",VLOOKUP(B188,'Player Data'!A1:E734,5,FALSE),82)</f>
        <v>79.40000000000001</v>
      </c>
      <c r="R188" s="46">
        <f>VLOOKUP(B188,'Player Data'!$A1:$AE734,6,FALSE)</f>
        <v>21.423531844078</v>
      </c>
      <c r="S188" s="48">
        <f>VLOOKUP(B188,'Player Data'!$A1:$AE734,7,FALSE)*$Q188*_xlfn.IFERROR((VLOOKUP(P188,'Settings'!$E$28:$F$33,2,FALSE)+1),1)</f>
        <v>9.5392553562027</v>
      </c>
      <c r="T188" s="48">
        <f>VLOOKUP(B188,'Player Data'!$A1:$AE734,8,FALSE)*$Q188*_xlfn.IFERROR((VLOOKUP(P188,'Settings'!$E$28:$F$33,2,FALSE)+1),1)</f>
        <v>23.0609361319898</v>
      </c>
      <c r="U188" s="48">
        <f>SUM(S188:T188)</f>
        <v>32.6001914881925</v>
      </c>
      <c r="V188" s="48">
        <f>VLOOKUP(B188,'Player Data'!$A1:$AE734,10,FALSE)*$Q188*_xlfn.IFERROR(((VLOOKUP(P188,'Settings'!$E$28:$F$33,2,FALSE)/2)+1),1)</f>
        <v>148.079923199290</v>
      </c>
      <c r="W188" s="48">
        <f>VLOOKUP(B188,'Player Data'!$A1:$AE734,11,FALSE)*$Q188*_xlfn.IFERROR((VLOOKUP(P188,'Settings'!$E$28:$F$33,2,FALSE)+1),1)</f>
        <v>0.554513292213619</v>
      </c>
      <c r="X188" s="48">
        <f>VLOOKUP(B188,'Player Data'!$A1:$AE734,12,FALSE)*$Q188*_xlfn.IFERROR((VLOOKUP(P188,'Settings'!$E$28:$F$33,2,FALSE)+1),1)</f>
        <v>3.93891714267087</v>
      </c>
      <c r="Y188" s="48">
        <f>VLOOKUP(B188,'Player Data'!$A1:$AE734,13,FALSE)*$Q188</f>
        <v>0.0240681643272045</v>
      </c>
      <c r="Z188" s="48">
        <f>VLOOKUP(B188,'Player Data'!$A1:$AE734,14,FALSE)*$Q188</f>
        <v>0.613053291658333</v>
      </c>
      <c r="AA188" s="48">
        <f>VLOOKUP(B188,'Player Data'!$A1:$AE734,15,FALSE)*$Q188</f>
        <v>162.092851379535</v>
      </c>
      <c r="AB188" s="48">
        <f>VLOOKUP(B188,'Player Data'!$A1:$AE734,16,FALSE)*$Q188</f>
        <v>72.9587916353146</v>
      </c>
      <c r="AC188" s="48">
        <f>VLOOKUP(B188,'Player Data'!$A1:$AE734,17,FALSE)*$Q188*_xlfn.IFERROR((VLOOKUP(P188,'Settings'!$E$28:$F$33,2,FALSE)+1),1)</f>
        <v>5.56667601029175</v>
      </c>
      <c r="AD188" s="48">
        <f>VLOOKUP(B188,'Player Data'!$A1:$AE734,18,FALSE)*$Q188</f>
        <v>16.6212745883928</v>
      </c>
      <c r="AE188" s="48">
        <f>VLOOKUP(B188,'Player Data'!$A1:$AE734,19,FALSE)*$Q188*_xlfn.IFERROR((VLOOKUP(P188,'Settings'!$E$28:$F$33,2,FALSE)+1),1)</f>
        <v>1.53177943196865</v>
      </c>
      <c r="AF188" s="48">
        <f>VLOOKUP(B188,'Player Data'!$A1:$AE734,20,FALSE)*$Q188</f>
        <v>0</v>
      </c>
      <c r="AG188" s="48">
        <f>VLOOKUP(B188,'Player Data'!$A1:$AE734,21,FALSE)*$Q188</f>
        <v>0</v>
      </c>
      <c r="AH188" s="49">
        <f>VLOOKUP(B188,'Player Data'!$A1:$AE734,22,FALSE)</f>
        <v>0</v>
      </c>
      <c r="AI188" s="46"/>
      <c r="AJ188" s="50"/>
      <c r="AK188" s="48"/>
      <c r="AL188" s="48"/>
      <c r="AM188" s="48"/>
      <c r="AN188" s="48"/>
      <c r="AO188" s="48"/>
      <c r="AP188" s="48"/>
      <c r="AQ188" s="51"/>
      <c r="AR188" s="52"/>
      <c r="AS188" s="46"/>
    </row>
    <row r="189" ht="21.25" customHeight="1">
      <c r="A189" s="53">
        <f>RANK(K189,K2:K730)</f>
        <v>115</v>
      </c>
      <c r="B189" t="s" s="8">
        <v>341</v>
      </c>
      <c r="C189" t="s" s="39">
        <v>106</v>
      </c>
      <c r="D189" t="s" s="40">
        <f>VLOOKUP(B189,'Player Data'!A1:D734,4,FALSE)</f>
        <v>146</v>
      </c>
      <c r="E189" s="58">
        <f>VLOOKUP(B189,'G'!A1:D75,3,FALSE)</f>
        <v>23</v>
      </c>
      <c r="F189" t="s" s="42">
        <f>VLOOKUP(B189,'Player Data'!A1:B734,2,FALSE)</f>
        <v>236</v>
      </c>
      <c r="G189" s="9">
        <f>VLOOKUP(B189,'Player Data'!A1:D734,3,FALSE)</f>
        <v>25</v>
      </c>
      <c r="H189" s="43">
        <f>_xlfn.IFERROR(VLOOKUP(B189,'ADP'!A1:G731,7,FALSE)/1000000,VLOOKUP(B189,'ADP'!A1:G731,7,FALSE))</f>
        <v>3.979</v>
      </c>
      <c r="I189" s="44">
        <f>IF('Settings'!$E$15="POINTS",(AJ189*'Settings'!$B$29)+(AK189*'Settings'!$B$21)+(AL189*'Settings'!$B$22)+(AN189*'Settings'!$B$24)+(AO189*'Settings'!$B$25)+(AP189*'Settings'!$B$27)+(AM189*'Settings'!$B$23),VLOOKUP(B189,'Standard Deviations'!A1:C731,3,FALSE))</f>
        <v>265.303221499688</v>
      </c>
      <c r="J189" s="45">
        <f>IF(D189="G",I189/AJ189,I189/Q189)</f>
        <v>5.52715044791017</v>
      </c>
      <c r="K189" s="44">
        <f>VLOOKUP(B189,'G'!A1:F75,6,FALSE)</f>
        <v>0</v>
      </c>
      <c r="L189" s="44">
        <f>_xlfn.IFERROR(K189/H189,"N/A")</f>
        <v>0</v>
      </c>
      <c r="M189" s="46">
        <f>IF('Settings'!$E$9="YAHOO",VLOOKUP(B189,'ADP'!A1:E731,2,FALSE),IF('Settings'!$E$9="ESPN",VLOOKUP(B189,'ADP'!A1:E731,3,FALSE),IF('Settings'!$E$9="FANTRAX",VLOOKUP(B189,'ADP'!A1:E731,4,FALSE),VLOOKUP(B189,'ADP'!A1:E731,5,FALSE))))</f>
        <v>186.88</v>
      </c>
      <c r="N189" s="46">
        <f>_xlfn.IFERROR(M189-A189,"N/A")</f>
        <v>71.88</v>
      </c>
      <c r="O189" s="46"/>
      <c r="P189" t="s" s="47">
        <f>IF('Settings'!$E$27="ON",VLOOKUP(B189,'ADP'!A1:H731,8,FALSE)," ")</f>
        <v>175</v>
      </c>
      <c r="Q189" s="48"/>
      <c r="R189" s="59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9"/>
      <c r="AI189" s="46"/>
      <c r="AJ189" s="50">
        <f>VLOOKUP(B189,'Player Data'!$A1:$AE734,24,FALSE)</f>
        <v>48</v>
      </c>
      <c r="AK189" s="48">
        <f>VLOOKUP(B189,'Player Data'!$A1:$AE734,25,FALSE)*$AJ189*_xlfn.IFERROR((VLOOKUP(P189,'Settings'!$E$28:$F$33,2,FALSE)+1),1)</f>
        <v>18.0509824300425</v>
      </c>
      <c r="AL189" s="48">
        <f>AJ189-AK189-AM189</f>
        <v>23.9490175699575</v>
      </c>
      <c r="AM189" s="48">
        <f>VLOOKUP(B189,'Player Data'!$A1:$AE734,27,FALSE)*$AJ189</f>
        <v>6</v>
      </c>
      <c r="AN189" s="48">
        <f>VLOOKUP(B189,'Player Data'!$A1:$AE734,28,FALSE)*AJ189</f>
        <v>2.60977673115382</v>
      </c>
      <c r="AO189" s="48">
        <f>VLOOKUP(B189,'Player Data'!$A1:$AE734,29,FALSE)*$AJ189*_xlfn.IFERROR((VLOOKUP(P189,'Settings'!$E$28:$F$33,2,FALSE)/4)+1,1)</f>
        <v>1366.118748359080</v>
      </c>
      <c r="AP189" s="48">
        <f>VLOOKUP(B189,'Player Data'!$A1:$AE734,31,FALSE)*$AJ189*(_xlfn.IFERROR(1-(VLOOKUP(P189,'Settings'!$E$28:$F$33,2,FALSE)/4),1))</f>
        <v>137.676453661083</v>
      </c>
      <c r="AQ189" s="51">
        <f>1-(AP189/(AO189+AP189))</f>
        <v>0.908447338124146</v>
      </c>
      <c r="AR189" s="52">
        <f>AP189/AJ189</f>
        <v>2.86825945127256</v>
      </c>
      <c r="AS189" s="46"/>
    </row>
    <row r="190" ht="21.25" customHeight="1">
      <c r="A190" s="53">
        <f>RANK(K190,K2:K730)</f>
        <v>151</v>
      </c>
      <c r="B190" t="s" s="8">
        <v>342</v>
      </c>
      <c r="C190" t="s" s="39">
        <v>106</v>
      </c>
      <c r="D190" t="s" s="40">
        <f>VLOOKUP(B190,'Player Data'!A1:D734,4,FALSE)</f>
        <v>129</v>
      </c>
      <c r="E190" s="56">
        <f>VLOOKUP(B190,'D'!A1:C228,3,FALSE)</f>
        <v>33</v>
      </c>
      <c r="F190" t="s" s="42">
        <f>VLOOKUP(B190,'Player Data'!A1:B734,2,FALSE)</f>
        <v>151</v>
      </c>
      <c r="G190" s="9">
        <f>VLOOKUP(B190,'Player Data'!A1:D734,3,FALSE)</f>
        <v>29</v>
      </c>
      <c r="H190" s="43">
        <f>_xlfn.IFERROR(VLOOKUP(B190,'ADP'!A1:G731,7,FALSE)/1000000,VLOOKUP(B190,'ADP'!A1:G731,7,FALSE))</f>
        <v>8</v>
      </c>
      <c r="I190" s="44">
        <f>IF('Settings'!$E$15="POINTS",((R190*Q190)*'Settings'!$B$12)+(S190*'Settings'!$B$2)+(T190*'Settings'!$B$3)+(U190*'Settings'!$B$4)+(V190*'Settings'!$B$5)+(X190*'Settings'!$B$9)+(AA190*'Settings'!$B$6)+(W190*'Settings'!$B$8)+(AB190*'Settings'!$B$7)+(AC190*'Settings'!$B$14)+(AD190*'Settings'!$B$15)+(AE190*'Settings'!$B$16)+(AF190*'Settings'!$B$17)+(AG190*'Settings'!$B$18)+(U190*'Settings'!$B$13)+(Y190*'Settings'!$B$10)+(Z190*'Settings'!$B$11),VLOOKUP(B190,'Standard Deviations'!A1:C731,3,FALSE))</f>
        <v>315.053897014525</v>
      </c>
      <c r="J190" s="45">
        <f>IF(D190="G",I190/AJ190,I190/Q190)</f>
        <v>4.01291424040918</v>
      </c>
      <c r="K190" s="44">
        <f>VLOOKUP(B190,'D'!A1:F228,6,FALSE)</f>
        <v>-25.681241631998</v>
      </c>
      <c r="L190" s="44">
        <f>_xlfn.IFERROR(K190/H190,"N/A")</f>
        <v>-3.21015520399975</v>
      </c>
      <c r="M190" s="46">
        <f>IF('Settings'!$E$9="YAHOO",VLOOKUP(B190,'ADP'!A1:E731,2,FALSE),IF('Settings'!$E$9="ESPN",VLOOKUP(B190,'ADP'!A1:E731,3,FALSE),IF('Settings'!$E$9="FANTRAX",VLOOKUP(B190,'ADP'!A1:E731,4,FALSE),VLOOKUP(B190,'ADP'!A1:E731,5,FALSE))))</f>
        <v>117.16</v>
      </c>
      <c r="N190" s="46">
        <f>_xlfn.IFERROR(M190-A190,"N/A")</f>
        <v>-33.84</v>
      </c>
      <c r="O190" s="46"/>
      <c r="P190" t="s" s="47">
        <f>IF('Settings'!$E$27="ON",VLOOKUP(B190,'ADP'!A1:H731,8,FALSE)," ")</f>
        <v>109</v>
      </c>
      <c r="Q190" s="48">
        <f>IF('Settings'!$E$12="YES",VLOOKUP(B190,'Player Data'!A1:E734,5,FALSE),82)</f>
        <v>78.51000000000001</v>
      </c>
      <c r="R190" s="46">
        <f>VLOOKUP(B190,'Player Data'!$A1:$AE734,6,FALSE)</f>
        <v>20.6731196455792</v>
      </c>
      <c r="S190" s="48">
        <f>VLOOKUP(B190,'Player Data'!$A1:$AE734,7,FALSE)*$Q190*_xlfn.IFERROR((VLOOKUP(P190,'Settings'!$E$28:$F$33,2,FALSE)+1),1)</f>
        <v>7.13048135657523</v>
      </c>
      <c r="T190" s="48">
        <f>VLOOKUP(B190,'Player Data'!$A1:$AE734,8,FALSE)*$Q190*_xlfn.IFERROR((VLOOKUP(P190,'Settings'!$E$28:$F$33,2,FALSE)+1),1)</f>
        <v>21.498860050952</v>
      </c>
      <c r="U190" s="48">
        <f>SUM(S190:T190)</f>
        <v>28.6293414075272</v>
      </c>
      <c r="V190" s="48">
        <f>VLOOKUP(B190,'Player Data'!$A1:$AE734,10,FALSE)*$Q190*_xlfn.IFERROR(((VLOOKUP(P190,'Settings'!$E$28:$F$33,2,FALSE)/2)+1),1)</f>
        <v>169.007655716853</v>
      </c>
      <c r="W190" s="48">
        <f>VLOOKUP(B190,'Player Data'!$A1:$AE734,11,FALSE)*$Q190*_xlfn.IFERROR((VLOOKUP(P190,'Settings'!$E$28:$F$33,2,FALSE)+1),1)</f>
        <v>0.495069931588185</v>
      </c>
      <c r="X190" s="48">
        <f>VLOOKUP(B190,'Player Data'!$A1:$AE734,12,FALSE)*$Q190*_xlfn.IFERROR((VLOOKUP(P190,'Settings'!$E$28:$F$33,2,FALSE)+1),1)</f>
        <v>1.56238891454148</v>
      </c>
      <c r="Y190" s="48">
        <f>VLOOKUP(B190,'Player Data'!$A1:$AE734,13,FALSE)*$Q190</f>
        <v>0.023479496861308</v>
      </c>
      <c r="Z190" s="48">
        <f>VLOOKUP(B190,'Player Data'!$A1:$AE734,14,FALSE)*$Q190</f>
        <v>0.864743449849098</v>
      </c>
      <c r="AA190" s="48">
        <f>VLOOKUP(B190,'Player Data'!$A1:$AE734,15,FALSE)*$Q190</f>
        <v>170.420303755924</v>
      </c>
      <c r="AB190" s="48">
        <f>VLOOKUP(B190,'Player Data'!$A1:$AE734,16,FALSE)*$Q190</f>
        <v>188.106736483974</v>
      </c>
      <c r="AC190" s="48">
        <f>VLOOKUP(B190,'Player Data'!$A1:$AE734,17,FALSE)*$Q190*_xlfn.IFERROR((VLOOKUP(P190,'Settings'!$E$28:$F$33,2,FALSE)+1),1)</f>
        <v>3.4345481919616</v>
      </c>
      <c r="AD190" s="48">
        <f>VLOOKUP(B190,'Player Data'!$A1:$AE734,18,FALSE)*$Q190</f>
        <v>60.9810421574144</v>
      </c>
      <c r="AE190" s="48">
        <f>VLOOKUP(B190,'Player Data'!$A1:$AE734,19,FALSE)*$Q190*_xlfn.IFERROR((VLOOKUP(P190,'Settings'!$E$28:$F$33,2,FALSE)+1),1)</f>
        <v>1.21502070788871</v>
      </c>
      <c r="AF190" s="48">
        <f>VLOOKUP(B190,'Player Data'!$A1:$AE734,20,FALSE)*$Q190</f>
        <v>0</v>
      </c>
      <c r="AG190" s="48">
        <f>VLOOKUP(B190,'Player Data'!$A1:$AE734,21,FALSE)*$Q190</f>
        <v>0.711556659511016</v>
      </c>
      <c r="AH190" s="49">
        <f>VLOOKUP(B190,'Player Data'!$A1:$AE734,22,FALSE)</f>
        <v>0</v>
      </c>
      <c r="AI190" s="46"/>
      <c r="AJ190" s="50"/>
      <c r="AK190" s="48"/>
      <c r="AL190" s="48"/>
      <c r="AM190" s="48"/>
      <c r="AN190" s="48"/>
      <c r="AO190" s="48"/>
      <c r="AP190" s="48"/>
      <c r="AQ190" s="51"/>
      <c r="AR190" s="52"/>
      <c r="AS190" s="46"/>
    </row>
    <row r="191" ht="21.25" customHeight="1">
      <c r="A191" s="53">
        <f>RANK(K191,K2:K730)</f>
        <v>229</v>
      </c>
      <c r="B191" t="s" s="8">
        <v>343</v>
      </c>
      <c r="C191" t="s" s="39">
        <v>106</v>
      </c>
      <c r="D191" t="s" s="40">
        <f>VLOOKUP(B191,'Player Data'!A1:D734,4,FALSE)</f>
        <v>129</v>
      </c>
      <c r="E191" s="56">
        <f>VLOOKUP(B191,'D'!A1:C228,3,FALSE)</f>
        <v>61</v>
      </c>
      <c r="F191" t="s" s="42">
        <f>VLOOKUP(B191,'Player Data'!A1:B734,2,FALSE)</f>
        <v>225</v>
      </c>
      <c r="G191" s="9">
        <f>VLOOKUP(B191,'Player Data'!A1:D734,3,FALSE)</f>
        <v>19</v>
      </c>
      <c r="H191" s="43">
        <f>_xlfn.IFERROR(VLOOKUP(B191,'ADP'!A1:G731,7,FALSE)/1000000,VLOOKUP(B191,'ADP'!A1:G731,7,FALSE))</f>
        <v>0</v>
      </c>
      <c r="I191" s="44">
        <f>IF('Settings'!$E$15="POINTS",((R191*Q191)*'Settings'!$B$12)+(S191*'Settings'!$B$2)+(T191*'Settings'!$B$3)+(U191*'Settings'!$B$4)+(V191*'Settings'!$B$5)+(X191*'Settings'!$B$9)+(AA191*'Settings'!$B$6)+(W191*'Settings'!$B$8)+(AB191*'Settings'!$B$7)+(AC191*'Settings'!$B$14)+(AD191*'Settings'!$B$15)+(AE191*'Settings'!$B$16)+(AF191*'Settings'!$B$17)+(AG191*'Settings'!$B$18)+(U191*'Settings'!$B$13)+(Y191*'Settings'!$B$10)+(Z191*'Settings'!$B$11),VLOOKUP(B191,'Standard Deviations'!A1:C731,3,FALSE))</f>
        <v>255.478934349119</v>
      </c>
      <c r="J191" s="45">
        <f>IF(D191="G",I191/AJ191,I191/Q191)</f>
        <v>3.31790823830025</v>
      </c>
      <c r="K191" s="44">
        <f>VLOOKUP(B191,'D'!A1:F228,6,FALSE)</f>
        <v>-85.256204297404</v>
      </c>
      <c r="L191" t="s" s="60">
        <f>_xlfn.IFERROR(K191/H191,"N/A")</f>
        <v>158</v>
      </c>
      <c r="M191" t="s" s="61">
        <f>IF('Settings'!$E$9="YAHOO",VLOOKUP(B191,'ADP'!A1:E731,2,FALSE),IF('Settings'!$E$9="ESPN",VLOOKUP(B191,'ADP'!A1:E731,3,FALSE),IF('Settings'!$E$9="FANTRAX",VLOOKUP(B191,'ADP'!A1:E731,4,FALSE),VLOOKUP(B191,'ADP'!A1:E731,5,FALSE))))</f>
        <v>329</v>
      </c>
      <c r="N191" t="s" s="61">
        <f>_xlfn.IFERROR(M191-A191,"N/A")</f>
        <v>158</v>
      </c>
      <c r="O191" s="46"/>
      <c r="P191" t="s" s="47">
        <f>IF('Settings'!$E$27="ON",VLOOKUP(B191,'ADP'!A1:H731,8,FALSE)," ")</f>
        <v>175</v>
      </c>
      <c r="Q191" s="48">
        <f>IF('Settings'!$E$12="YES",VLOOKUP(B191,'Player Data'!A1:E734,5,FALSE),82)</f>
        <v>77</v>
      </c>
      <c r="R191" s="46">
        <f>VLOOKUP(B191,'Player Data'!$A1:$AE734,6,FALSE)</f>
        <v>20</v>
      </c>
      <c r="S191" s="48">
        <f>VLOOKUP(B191,'Player Data'!$A1:$AE734,7,FALSE)*$Q191*_xlfn.IFERROR((VLOOKUP(P191,'Settings'!$E$28:$F$33,2,FALSE)+1),1)</f>
        <v>6.66165939770502</v>
      </c>
      <c r="T191" s="48">
        <f>VLOOKUP(B191,'Player Data'!$A1:$AE734,8,FALSE)*$Q191*_xlfn.IFERROR((VLOOKUP(P191,'Settings'!$E$28:$F$33,2,FALSE)+1),1)</f>
        <v>29.1862655756323</v>
      </c>
      <c r="U191" s="48">
        <f>SUM(S191:T191)</f>
        <v>35.8479249733373</v>
      </c>
      <c r="V191" s="48">
        <f>VLOOKUP(B191,'Player Data'!$A1:$AE734,10,FALSE)*$Q191*_xlfn.IFERROR(((VLOOKUP(P191,'Settings'!$E$28:$F$33,2,FALSE)/2)+1),1)</f>
        <v>127.660340665099</v>
      </c>
      <c r="W191" s="48">
        <f>VLOOKUP(B191,'Player Data'!$A1:$AE734,11,FALSE)*$Q191*_xlfn.IFERROR((VLOOKUP(P191,'Settings'!$E$28:$F$33,2,FALSE)+1),1)</f>
        <v>1.50423917719456</v>
      </c>
      <c r="X191" s="48">
        <f>VLOOKUP(B191,'Player Data'!$A1:$AE734,12,FALSE)*$Q191*_xlfn.IFERROR((VLOOKUP(P191,'Settings'!$E$28:$F$33,2,FALSE)+1),1)</f>
        <v>8.09465779421298</v>
      </c>
      <c r="Y191" s="48">
        <f>VLOOKUP(B191,'Player Data'!$A1:$AE734,13,FALSE)*$Q191</f>
        <v>0</v>
      </c>
      <c r="Z191" s="48">
        <f>VLOOKUP(B191,'Player Data'!$A1:$AE734,14,FALSE)*$Q191</f>
        <v>0</v>
      </c>
      <c r="AA191" s="48">
        <f>VLOOKUP(B191,'Player Data'!$A1:$AE734,15,FALSE)*$Q191</f>
        <v>99.5365853658538</v>
      </c>
      <c r="AB191" s="48">
        <f>VLOOKUP(B191,'Player Data'!$A1:$AE734,16,FALSE)*$Q191</f>
        <v>97.3768292682924</v>
      </c>
      <c r="AC191" s="48">
        <f>VLOOKUP(B191,'Player Data'!$A1:$AE734,17,FALSE)*$Q191*_xlfn.IFERROR((VLOOKUP(P191,'Settings'!$E$28:$F$33,2,FALSE)+1),1)</f>
        <v>0.722579268292683</v>
      </c>
      <c r="AD191" s="48">
        <f>VLOOKUP(B191,'Player Data'!$A1:$AE734,18,FALSE)*$Q191</f>
        <v>33.3353658536586</v>
      </c>
      <c r="AE191" s="48">
        <f>VLOOKUP(B191,'Player Data'!$A1:$AE734,19,FALSE)*$Q191*_xlfn.IFERROR((VLOOKUP(P191,'Settings'!$E$28:$F$33,2,FALSE)+1),1)</f>
        <v>0.780623586798623</v>
      </c>
      <c r="AF191" s="48">
        <f>VLOOKUP(B191,'Player Data'!$A1:$AE734,20,FALSE)*$Q191</f>
        <v>0</v>
      </c>
      <c r="AG191" s="48">
        <f>VLOOKUP(B191,'Player Data'!$A1:$AE734,21,FALSE)*$Q191</f>
        <v>0</v>
      </c>
      <c r="AH191" s="49">
        <f>VLOOKUP(B191,'Player Data'!$A1:$AE734,22,FALSE)</f>
        <v>0</v>
      </c>
      <c r="AI191" s="46"/>
      <c r="AJ191" s="50"/>
      <c r="AK191" s="48"/>
      <c r="AL191" s="48"/>
      <c r="AM191" s="48"/>
      <c r="AN191" s="48"/>
      <c r="AO191" s="48"/>
      <c r="AP191" s="48"/>
      <c r="AQ191" s="51"/>
      <c r="AR191" s="52"/>
      <c r="AS191" s="46"/>
    </row>
    <row r="192" ht="21.25" customHeight="1">
      <c r="A192" s="53">
        <f>RANK(K192,K2:K730)</f>
        <v>224</v>
      </c>
      <c r="B192" t="s" s="8">
        <v>344</v>
      </c>
      <c r="C192" t="s" s="39">
        <v>106</v>
      </c>
      <c r="D192" t="s" s="40">
        <f>VLOOKUP(B192,'Player Data'!A1:D734,4,FALSE)</f>
        <v>121</v>
      </c>
      <c r="E192" s="55">
        <f>VLOOKUP(B192,'RW'!A1:F132,3,FALSE)</f>
        <v>53</v>
      </c>
      <c r="F192" t="s" s="42">
        <f>VLOOKUP(B192,'Player Data'!A1:B734,2,FALSE)</f>
        <v>248</v>
      </c>
      <c r="G192" s="9">
        <f>VLOOKUP(B192,'Player Data'!A1:D734,3,FALSE)</f>
        <v>33</v>
      </c>
      <c r="H192" s="43">
        <f>_xlfn.IFERROR(VLOOKUP(B192,'ADP'!A1:G731,7,FALSE)/1000000,VLOOKUP(B192,'ADP'!A1:G731,7,FALSE))</f>
        <v>5.5</v>
      </c>
      <c r="I192" s="44">
        <f>IF('Settings'!$E$15="POINTS",((R192*Q192)*'Settings'!$B$12)+(S192*'Settings'!$B$2)+(T192*'Settings'!$B$3)+(U192*'Settings'!$B$4)+(V192*'Settings'!$B$5)+(X192*'Settings'!$B$9)+(AA192*'Settings'!$B$6)+(W192*'Settings'!$B$8)+(AB192*'Settings'!$B$7)+(AC192*'Settings'!$B$14)+(AD192*'Settings'!$B$15)+(AE192*'Settings'!$B$16)+(AF192*'Settings'!$B$17)+(AG192*'Settings'!$B$18)+(Y192*'Settings'!$B$10)+(Z192*'Settings'!$B$11),VLOOKUP(B192,'Standard Deviations'!A1:C731,3,FALSE))</f>
        <v>299.087250278538</v>
      </c>
      <c r="J192" s="45">
        <f>IF(D192="G",I192/AJ192,I192/Q192)</f>
        <v>3.67108527031903</v>
      </c>
      <c r="K192" s="44">
        <f>IF('Settings'!$E$18="C/LW/RW",VLOOKUP(B192,'RW'!A1:F132,6,FALSE),VLOOKUP(B192,'F'!A1:F432,6,FALSE))</f>
        <v>-82.541313427818</v>
      </c>
      <c r="L192" s="44">
        <f>_xlfn.IFERROR(K192/H192,"N/A")</f>
        <v>-15.0075115323305</v>
      </c>
      <c r="M192" s="46">
        <f>IF('Settings'!$E$9="YAHOO",VLOOKUP(B192,'ADP'!A1:E731,2,FALSE),IF('Settings'!$E$9="ESPN",VLOOKUP(B192,'ADP'!A1:E731,3,FALSE),IF('Settings'!$E$9="FANTRAX",VLOOKUP(B192,'ADP'!A1:E731,4,FALSE),VLOOKUP(B192,'ADP'!A1:E731,5,FALSE))))</f>
        <v>216.09</v>
      </c>
      <c r="N192" s="46">
        <f>_xlfn.IFERROR(M192-A192,"N/A")</f>
        <v>-7.91</v>
      </c>
      <c r="O192" s="46"/>
      <c r="P192" t="s" s="47">
        <f>IF('Settings'!$E$27="ON",VLOOKUP(B192,'ADP'!A1:H731,8,FALSE)," ")</f>
        <v>109</v>
      </c>
      <c r="Q192" s="48">
        <f>IF('Settings'!$E$12="YES",VLOOKUP(B192,'Player Data'!A1:E734,5,FALSE),82)</f>
        <v>81.47107142857141</v>
      </c>
      <c r="R192" s="46">
        <f>VLOOKUP(B192,'Player Data'!$A1:$AE734,6,FALSE)</f>
        <v>16.8232156851753</v>
      </c>
      <c r="S192" s="48">
        <f>VLOOKUP(B192,'Player Data'!$A1:$AE734,7,FALSE)*$Q192*_xlfn.IFERROR((VLOOKUP(P192,'Settings'!$E$28:$F$33,2,FALSE)+1),1)</f>
        <v>19.0976101768373</v>
      </c>
      <c r="T192" s="48">
        <f>VLOOKUP(B192,'Player Data'!$A1:$AE734,8,FALSE)*$Q192*_xlfn.IFERROR((VLOOKUP(P192,'Settings'!$E$28:$F$33,2,FALSE)+1),1)</f>
        <v>32.7424632544707</v>
      </c>
      <c r="U192" s="48">
        <f>SUM(S192:T192)</f>
        <v>51.840073431308</v>
      </c>
      <c r="V192" s="48">
        <f>VLOOKUP(B192,'Player Data'!$A1:$AE734,10,FALSE)*$Q192*_xlfn.IFERROR(((VLOOKUP(P192,'Settings'!$E$28:$F$33,2,FALSE)/2)+1),1)</f>
        <v>176.379566926601</v>
      </c>
      <c r="W192" s="48">
        <f>VLOOKUP(B192,'Player Data'!$A1:$AE734,11,FALSE)*$Q192*_xlfn.IFERROR((VLOOKUP(P192,'Settings'!$E$28:$F$33,2,FALSE)+1),1)</f>
        <v>3.52150039936822</v>
      </c>
      <c r="X192" s="48">
        <f>VLOOKUP(B192,'Player Data'!$A1:$AE734,12,FALSE)*$Q192*_xlfn.IFERROR((VLOOKUP(P192,'Settings'!$E$28:$F$33,2,FALSE)+1),1)</f>
        <v>12.3044214238557</v>
      </c>
      <c r="Y192" s="48">
        <f>VLOOKUP(B192,'Player Data'!$A1:$AE734,13,FALSE)*$Q192</f>
        <v>0.00856204787674983</v>
      </c>
      <c r="Z192" s="48">
        <f>VLOOKUP(B192,'Player Data'!$A1:$AE734,14,FALSE)*$Q192</f>
        <v>0.0160121096383439</v>
      </c>
      <c r="AA192" s="48">
        <f>VLOOKUP(B192,'Player Data'!$A1:$AE734,15,FALSE)*$Q192</f>
        <v>29.4665322110344</v>
      </c>
      <c r="AB192" s="48">
        <f>VLOOKUP(B192,'Player Data'!$A1:$AE734,16,FALSE)*$Q192</f>
        <v>47.8621637250561</v>
      </c>
      <c r="AC192" s="48">
        <f>VLOOKUP(B192,'Player Data'!$A1:$AE734,17,FALSE)*$Q192*_xlfn.IFERROR((VLOOKUP(P192,'Settings'!$E$28:$F$33,2,FALSE)+1),1)</f>
        <v>1.08233995019327</v>
      </c>
      <c r="AD192" s="48">
        <f>VLOOKUP(B192,'Player Data'!$A1:$AE734,18,FALSE)*$Q192</f>
        <v>27.1016139035895</v>
      </c>
      <c r="AE192" s="48">
        <f>VLOOKUP(B192,'Player Data'!$A1:$AE734,19,FALSE)*$Q192*_xlfn.IFERROR((VLOOKUP(P192,'Settings'!$E$28:$F$33,2,FALSE)+1),1)</f>
        <v>2.68437872891575</v>
      </c>
      <c r="AF192" s="48">
        <f>VLOOKUP(B192,'Player Data'!$A1:$AE734,20,FALSE)*$Q192</f>
        <v>23.5702479747534</v>
      </c>
      <c r="AG192" s="48">
        <f>VLOOKUP(B192,'Player Data'!$A1:$AE734,21,FALSE)*$Q192</f>
        <v>37.5991210841333</v>
      </c>
      <c r="AH192" s="49">
        <f>VLOOKUP(B192,'Player Data'!$A1:$AE734,22,FALSE)</f>
        <v>0.385327629455565</v>
      </c>
      <c r="AI192" s="46"/>
      <c r="AJ192" s="48"/>
      <c r="AK192" s="48"/>
      <c r="AL192" s="48"/>
      <c r="AM192" s="48"/>
      <c r="AN192" s="48"/>
      <c r="AO192" s="48"/>
      <c r="AP192" s="48"/>
      <c r="AQ192" s="51"/>
      <c r="AR192" s="52"/>
      <c r="AS192" s="46"/>
    </row>
    <row r="193" ht="21.25" customHeight="1">
      <c r="A193" s="53">
        <f>RANK(K193,K2:K730)</f>
        <v>192</v>
      </c>
      <c r="B193" t="s" s="8">
        <v>345</v>
      </c>
      <c r="C193" t="s" s="39">
        <v>106</v>
      </c>
      <c r="D193" t="s" s="40">
        <f>VLOOKUP(B193,'Player Data'!A1:D734,4,FALSE)</f>
        <v>187</v>
      </c>
      <c r="E193" s="54">
        <f>VLOOKUP(B193,'RW'!A1:F132,3,FALSE)</f>
        <v>48</v>
      </c>
      <c r="F193" t="s" s="42">
        <f>VLOOKUP(B193,'Player Data'!A1:B734,2,FALSE)</f>
        <v>202</v>
      </c>
      <c r="G193" s="9">
        <f>VLOOKUP(B193,'Player Data'!A1:D734,3,FALSE)</f>
        <v>21</v>
      </c>
      <c r="H193" s="43">
        <f>_xlfn.IFERROR(VLOOKUP(B193,'ADP'!A1:G731,7,FALSE)/1000000,VLOOKUP(B193,'ADP'!A1:G731,7,FALSE))</f>
        <v>0.894167</v>
      </c>
      <c r="I193" s="44">
        <f>IF('Settings'!$E$15="POINTS",((R193*Q193)*'Settings'!$B$12)+(S193*'Settings'!$B$2)+(T193*'Settings'!$B$3)+(U193*'Settings'!$B$4)+(V193*'Settings'!$B$5)+(X193*'Settings'!$B$9)+(AA193*'Settings'!$B$6)+(W193*'Settings'!$B$8)+(AB193*'Settings'!$B$7)+(AC193*'Settings'!$B$14)+(AD193*'Settings'!$B$15)+(AE193*'Settings'!$B$16)+(AF193*'Settings'!$B$17)+(AG193*'Settings'!$B$18)+(Y193*'Settings'!$B$10)+(Z193*'Settings'!$B$11),VLOOKUP(B193,'Standard Deviations'!A1:C731,3,FALSE))</f>
        <v>319.635637991465</v>
      </c>
      <c r="J193" s="45">
        <f>IF(D193="G",I193/AJ193,I193/Q193)</f>
        <v>4.02538427040445</v>
      </c>
      <c r="K193" s="44">
        <f>IF('Settings'!$E$18="C/LW/RW",VLOOKUP(B193,'RW'!A1:F132,6,FALSE),VLOOKUP(B193,'F'!A1:F432,6,FALSE))</f>
        <v>-61.992925714891</v>
      </c>
      <c r="L193" s="44">
        <f>_xlfn.IFERROR(K193/H193,"N/A")</f>
        <v>-69.3303663799838</v>
      </c>
      <c r="M193" s="46">
        <f>IF('Settings'!$E$9="YAHOO",VLOOKUP(B193,'ADP'!A1:E731,2,FALSE),IF('Settings'!$E$9="ESPN",VLOOKUP(B193,'ADP'!A1:E731,3,FALSE),IF('Settings'!$E$9="FANTRAX",VLOOKUP(B193,'ADP'!A1:E731,4,FALSE),VLOOKUP(B193,'ADP'!A1:E731,5,FALSE))))</f>
        <v>201.38</v>
      </c>
      <c r="N193" s="46">
        <f>_xlfn.IFERROR(M193-A193,"N/A")</f>
        <v>9.380000000000001</v>
      </c>
      <c r="O193" s="46"/>
      <c r="P193" t="s" s="47">
        <f>IF('Settings'!$E$27="ON",VLOOKUP(B193,'ADP'!A1:H731,8,FALSE)," ")</f>
        <v>116</v>
      </c>
      <c r="Q193" s="48">
        <f>IF('Settings'!$E$12="YES",VLOOKUP(B193,'Player Data'!A1:E734,5,FALSE),82)</f>
        <v>79.405</v>
      </c>
      <c r="R193" s="46">
        <f>VLOOKUP(B193,'Player Data'!$A1:$AE734,6,FALSE)</f>
        <v>16.7863924909329</v>
      </c>
      <c r="S193" s="48">
        <f>VLOOKUP(B193,'Player Data'!$A1:$AE734,7,FALSE)*$Q193*_xlfn.IFERROR((VLOOKUP(P193,'Settings'!$E$28:$F$33,2,FALSE)+1),1)</f>
        <v>20.0459914820515</v>
      </c>
      <c r="T193" s="48">
        <f>VLOOKUP(B193,'Player Data'!$A1:$AE734,8,FALSE)*$Q193*_xlfn.IFERROR((VLOOKUP(P193,'Settings'!$E$28:$F$33,2,FALSE)+1),1)</f>
        <v>31.6371352151869</v>
      </c>
      <c r="U193" s="48">
        <f>SUM(S193:T193)</f>
        <v>51.6831266972384</v>
      </c>
      <c r="V193" s="48">
        <f>VLOOKUP(B193,'Player Data'!$A1:$AE734,10,FALSE)*$Q193*_xlfn.IFERROR(((VLOOKUP(P193,'Settings'!$E$28:$F$33,2,FALSE)/2)+1),1)</f>
        <v>186.226159314413</v>
      </c>
      <c r="W193" s="48">
        <f>VLOOKUP(B193,'Player Data'!$A1:$AE734,11,FALSE)*$Q193*_xlfn.IFERROR((VLOOKUP(P193,'Settings'!$E$28:$F$33,2,FALSE)+1),1)</f>
        <v>1.89486797963269</v>
      </c>
      <c r="X193" s="48">
        <f>VLOOKUP(B193,'Player Data'!$A1:$AE734,12,FALSE)*$Q193*_xlfn.IFERROR((VLOOKUP(P193,'Settings'!$E$28:$F$33,2,FALSE)+1),1)</f>
        <v>8.76776503806644</v>
      </c>
      <c r="Y193" s="48">
        <f>VLOOKUP(B193,'Player Data'!$A1:$AE734,13,FALSE)*$Q193</f>
        <v>0.376044377020253</v>
      </c>
      <c r="Z193" s="48">
        <f>VLOOKUP(B193,'Player Data'!$A1:$AE734,14,FALSE)*$Q193</f>
        <v>0.427215151363792</v>
      </c>
      <c r="AA193" s="48">
        <f>VLOOKUP(B193,'Player Data'!$A1:$AE734,15,FALSE)*$Q193</f>
        <v>42.2342755038348</v>
      </c>
      <c r="AB193" s="48">
        <f>VLOOKUP(B193,'Player Data'!$A1:$AE734,16,FALSE)*$Q193</f>
        <v>77.7304918592834</v>
      </c>
      <c r="AC193" s="48">
        <f>VLOOKUP(B193,'Player Data'!$A1:$AE734,17,FALSE)*$Q193*_xlfn.IFERROR((VLOOKUP(P193,'Settings'!$E$28:$F$33,2,FALSE)+1),1)</f>
        <v>8.41036817357501</v>
      </c>
      <c r="AD193" s="48">
        <f>VLOOKUP(B193,'Player Data'!$A1:$AE734,18,FALSE)*$Q193</f>
        <v>20.2791522688158</v>
      </c>
      <c r="AE193" s="48">
        <f>VLOOKUP(B193,'Player Data'!$A1:$AE734,19,FALSE)*$Q193*_xlfn.IFERROR((VLOOKUP(P193,'Settings'!$E$28:$F$33,2,FALSE)+1),1)</f>
        <v>3.59669973557407</v>
      </c>
      <c r="AF193" s="48">
        <f>VLOOKUP(B193,'Player Data'!$A1:$AE734,20,FALSE)*$Q193</f>
        <v>10.3828091086052</v>
      </c>
      <c r="AG193" s="48">
        <f>VLOOKUP(B193,'Player Data'!$A1:$AE734,21,FALSE)*$Q193</f>
        <v>16.8733656462741</v>
      </c>
      <c r="AH193" s="49">
        <f>VLOOKUP(B193,'Player Data'!$A1:$AE734,22,FALSE)</f>
        <v>0.380934199387112</v>
      </c>
      <c r="AI193" s="46"/>
      <c r="AJ193" s="50"/>
      <c r="AK193" s="48"/>
      <c r="AL193" s="48"/>
      <c r="AM193" s="48"/>
      <c r="AN193" s="48"/>
      <c r="AO193" s="48"/>
      <c r="AP193" s="48"/>
      <c r="AQ193" s="51"/>
      <c r="AR193" s="52"/>
      <c r="AS193" s="46"/>
    </row>
    <row r="194" ht="21.25" customHeight="1">
      <c r="A194" s="53">
        <f>RANK(K194,K2:K730)</f>
        <v>226</v>
      </c>
      <c r="B194" t="s" s="8">
        <v>346</v>
      </c>
      <c r="C194" t="s" s="39">
        <v>106</v>
      </c>
      <c r="D194" t="s" s="40">
        <f>VLOOKUP(B194,'Player Data'!A1:D734,4,FALSE)</f>
        <v>107</v>
      </c>
      <c r="E194" s="41">
        <f>VLOOKUP(B194,'C'!A1:C218,3,FALSE)</f>
        <v>63</v>
      </c>
      <c r="F194" t="s" s="42">
        <f>VLOOKUP(B194,'Player Data'!A1:B734,2,FALSE)</f>
        <v>196</v>
      </c>
      <c r="G194" s="9">
        <f>VLOOKUP(B194,'Player Data'!A1:D734,3,FALSE)</f>
        <v>19</v>
      </c>
      <c r="H194" s="43">
        <f>_xlfn.IFERROR(VLOOKUP(B194,'ADP'!A1:G731,7,FALSE)/1000000,VLOOKUP(B194,'ADP'!A1:G731,7,FALSE))</f>
        <v>0</v>
      </c>
      <c r="I194" s="44">
        <f>IF('Settings'!$E$15="POINTS",((R194*Q194)*'Settings'!$B$12)+(S194*'Settings'!$B$2)+(T194*'Settings'!$B$3)+(U194*'Settings'!$B$4)+(V194*'Settings'!$B$5)+(X194*'Settings'!$B$9)+(AA194*'Settings'!$B$6)+(W194*'Settings'!$B$8)+(AB194*'Settings'!$B$7)+(AC194*'Settings'!$B$14)+(AD194*'Settings'!$B$15)+(AE194*'Settings'!$B$16)+(AF194*'Settings'!$B$17)+(AG194*'Settings'!$B$18)+(Y194*'Settings'!$B$10)+(Z194*'Settings'!$B$11),VLOOKUP(B194,'Standard Deviations'!A1:C731,3,FALSE))</f>
        <v>311.274462490166</v>
      </c>
      <c r="J194" s="45">
        <f>IF(D194="G",I194/AJ194,I194/Q194)</f>
        <v>3.99069823705341</v>
      </c>
      <c r="K194" s="44">
        <f>IF('Settings'!$E$18="C/LW/RW",VLOOKUP(B194,'C'!A1:F218,6,FALSE),VLOOKUP(B194,'F'!A1:F432,6,FALSE))</f>
        <v>-84.49973914584901</v>
      </c>
      <c r="L194" t="s" s="60">
        <f>_xlfn.IFERROR(K194/H194,"N/A")</f>
        <v>158</v>
      </c>
      <c r="M194" s="46">
        <f>IF('Settings'!$E$9="YAHOO",VLOOKUP(B194,'ADP'!A1:E731,2,FALSE),IF('Settings'!$E$9="ESPN",VLOOKUP(B194,'ADP'!A1:E731,3,FALSE),IF('Settings'!$E$9="FANTRAX",VLOOKUP(B194,'ADP'!A1:E731,4,FALSE),VLOOKUP(B194,'ADP'!A1:E731,5,FALSE))))</f>
        <v>226.82</v>
      </c>
      <c r="N194" s="46">
        <f>_xlfn.IFERROR(M194-A194,"N/A")</f>
        <v>0.82</v>
      </c>
      <c r="O194" s="46"/>
      <c r="P194" t="s" s="47">
        <f>IF('Settings'!$E$27="ON",VLOOKUP(B194,'ADP'!A1:H731,8,FALSE)," ")</f>
        <v>109</v>
      </c>
      <c r="Q194" s="48">
        <f>IF('Settings'!$E$12="YES",VLOOKUP(B194,'Player Data'!A1:E734,5,FALSE),82)</f>
        <v>78</v>
      </c>
      <c r="R194" s="46">
        <f>VLOOKUP(B194,'Player Data'!$A1:$AE734,6,FALSE)</f>
        <v>17.5</v>
      </c>
      <c r="S194" s="48">
        <f>VLOOKUP(B194,'Player Data'!$A1:$AE734,7,FALSE)*$Q194*_xlfn.IFERROR((VLOOKUP(P194,'Settings'!$E$28:$F$33,2,FALSE)+1),1)</f>
        <v>21.4074745677007</v>
      </c>
      <c r="T194" s="48">
        <f>VLOOKUP(B194,'Player Data'!$A1:$AE734,8,FALSE)*$Q194*_xlfn.IFERROR((VLOOKUP(P194,'Settings'!$E$28:$F$33,2,FALSE)+1),1)</f>
        <v>34.3472660955941</v>
      </c>
      <c r="U194" s="48">
        <f>SUM(S194:T194)</f>
        <v>55.7547406632948</v>
      </c>
      <c r="V194" s="48">
        <f>VLOOKUP(B194,'Player Data'!$A1:$AE734,10,FALSE)*$Q194*_xlfn.IFERROR(((VLOOKUP(P194,'Settings'!$E$28:$F$33,2,FALSE)/2)+1),1)</f>
        <v>160.541959736486</v>
      </c>
      <c r="W194" s="48">
        <f>VLOOKUP(B194,'Player Data'!$A1:$AE734,11,FALSE)*$Q194*_xlfn.IFERROR((VLOOKUP(P194,'Settings'!$E$28:$F$33,2,FALSE)+1),1)</f>
        <v>6.00639193220092</v>
      </c>
      <c r="X194" s="48">
        <f>VLOOKUP(B194,'Player Data'!$A1:$AE734,12,FALSE)*$Q194*_xlfn.IFERROR((VLOOKUP(P194,'Settings'!$E$28:$F$33,2,FALSE)+1),1)</f>
        <v>15.6433596799522</v>
      </c>
      <c r="Y194" s="48">
        <f>VLOOKUP(B194,'Player Data'!$A1:$AE734,13,FALSE)*$Q194</f>
        <v>0</v>
      </c>
      <c r="Z194" s="48">
        <f>VLOOKUP(B194,'Player Data'!$A1:$AE734,14,FALSE)*$Q194</f>
        <v>0</v>
      </c>
      <c r="AA194" s="48">
        <f>VLOOKUP(B194,'Player Data'!$A1:$AE734,15,FALSE)*$Q194</f>
        <v>34.7195121951219</v>
      </c>
      <c r="AB194" s="48">
        <f>VLOOKUP(B194,'Player Data'!$A1:$AE734,16,FALSE)*$Q194</f>
        <v>57.0731707317073</v>
      </c>
      <c r="AC194" s="48">
        <f>VLOOKUP(B194,'Player Data'!$A1:$AE734,17,FALSE)*$Q194*_xlfn.IFERROR((VLOOKUP(P194,'Settings'!$E$28:$F$33,2,FALSE)+1),1)</f>
        <v>0.39</v>
      </c>
      <c r="AD194" s="48">
        <f>VLOOKUP(B194,'Player Data'!$A1:$AE734,18,FALSE)*$Q194</f>
        <v>31.5329268292683</v>
      </c>
      <c r="AE194" s="48">
        <f>VLOOKUP(B194,'Player Data'!$A1:$AE734,19,FALSE)*$Q194*_xlfn.IFERROR((VLOOKUP(P194,'Settings'!$E$28:$F$33,2,FALSE)+1),1)</f>
        <v>2.70155045996318</v>
      </c>
      <c r="AF194" s="48">
        <f>VLOOKUP(B194,'Player Data'!$A1:$AE734,20,FALSE)*$Q194</f>
        <v>403.924811737999</v>
      </c>
      <c r="AG194" s="48">
        <f>VLOOKUP(B194,'Player Data'!$A1:$AE734,21,FALSE)*$Q194</f>
        <v>557.800930495332</v>
      </c>
      <c r="AH194" s="49">
        <f>VLOOKUP(B194,'Player Data'!$A1:$AE734,22,FALSE)</f>
        <v>0.42</v>
      </c>
      <c r="AI194" s="46"/>
      <c r="AJ194" s="50"/>
      <c r="AK194" s="48"/>
      <c r="AL194" s="48"/>
      <c r="AM194" s="48"/>
      <c r="AN194" s="48"/>
      <c r="AO194" s="48"/>
      <c r="AP194" s="48"/>
      <c r="AQ194" s="51"/>
      <c r="AR194" s="52"/>
      <c r="AS194" s="50"/>
    </row>
    <row r="195" ht="21.25" customHeight="1">
      <c r="A195" s="53">
        <f>RANK(K195,K2:K730)</f>
        <v>216</v>
      </c>
      <c r="B195" t="s" s="8">
        <v>347</v>
      </c>
      <c r="C195" t="s" s="39">
        <v>106</v>
      </c>
      <c r="D195" t="s" s="40">
        <f>VLOOKUP(B195,'Player Data'!A1:D734,4,FALSE)</f>
        <v>129</v>
      </c>
      <c r="E195" s="56">
        <f>VLOOKUP(B195,'D'!A1:C228,3,FALSE)</f>
        <v>57</v>
      </c>
      <c r="F195" t="s" s="42">
        <f>VLOOKUP(B195,'Player Data'!A1:B734,2,FALSE)</f>
        <v>108</v>
      </c>
      <c r="G195" s="9">
        <f>VLOOKUP(B195,'Player Data'!A1:D734,3,FALSE)</f>
        <v>33</v>
      </c>
      <c r="H195" s="43">
        <f>_xlfn.IFERROR(VLOOKUP(B195,'ADP'!A1:G731,7,FALSE)/1000000,VLOOKUP(B195,'ADP'!A1:G731,7,FALSE))</f>
        <v>6</v>
      </c>
      <c r="I195" s="44">
        <f>IF('Settings'!$E$15="POINTS",((R195*Q195)*'Settings'!$B$12)+(S195*'Settings'!$B$2)+(T195*'Settings'!$B$3)+(U195*'Settings'!$B$4)+(V195*'Settings'!$B$5)+(X195*'Settings'!$B$9)+(AA195*'Settings'!$B$6)+(W195*'Settings'!$B$8)+(AB195*'Settings'!$B$7)+(AC195*'Settings'!$B$14)+(AD195*'Settings'!$B$15)+(AE195*'Settings'!$B$16)+(AF195*'Settings'!$B$17)+(AG195*'Settings'!$B$18)+(U195*'Settings'!$B$13)+(Y195*'Settings'!$B$10)+(Z195*'Settings'!$B$11),VLOOKUP(B195,'Standard Deviations'!A1:C731,3,FALSE))</f>
        <v>265.581111394283</v>
      </c>
      <c r="J195" s="45">
        <f>IF(D195="G",I195/AJ195,I195/Q195)</f>
        <v>3.34807304577091</v>
      </c>
      <c r="K195" s="44">
        <f>VLOOKUP(B195,'D'!A1:F228,6,FALSE)</f>
        <v>-75.154027252240</v>
      </c>
      <c r="L195" s="44">
        <f>_xlfn.IFERROR(K195/H195,"N/A")</f>
        <v>-12.5256712087067</v>
      </c>
      <c r="M195" s="46">
        <f>IF('Settings'!$E$9="YAHOO",VLOOKUP(B195,'ADP'!A1:E731,2,FALSE),IF('Settings'!$E$9="ESPN",VLOOKUP(B195,'ADP'!A1:E731,3,FALSE),IF('Settings'!$E$9="FANTRAX",VLOOKUP(B195,'ADP'!A1:E731,4,FALSE),VLOOKUP(B195,'ADP'!A1:E731,5,FALSE))))</f>
        <v>175.92</v>
      </c>
      <c r="N195" s="46">
        <f>_xlfn.IFERROR(M195-A195,"N/A")</f>
        <v>-40.08</v>
      </c>
      <c r="O195" s="46"/>
      <c r="P195" t="s" s="47">
        <f>IF('Settings'!$E$27="ON",VLOOKUP(B195,'ADP'!A1:H731,8,FALSE)," ")</f>
        <v>116</v>
      </c>
      <c r="Q195" s="48">
        <f>IF('Settings'!$E$12="YES",VLOOKUP(B195,'Player Data'!A1:E734,5,FALSE),82)</f>
        <v>79.3235714285714</v>
      </c>
      <c r="R195" s="46">
        <f>VLOOKUP(B195,'Player Data'!$A1:$AE734,6,FALSE)</f>
        <v>22.2133271023837</v>
      </c>
      <c r="S195" s="48">
        <f>VLOOKUP(B195,'Player Data'!$A1:$AE734,7,FALSE)*$Q195*_xlfn.IFERROR((VLOOKUP(P195,'Settings'!$E$28:$F$33,2,FALSE)+1),1)</f>
        <v>7.95489542819171</v>
      </c>
      <c r="T195" s="48">
        <f>VLOOKUP(B195,'Player Data'!$A1:$AE734,8,FALSE)*$Q195*_xlfn.IFERROR((VLOOKUP(P195,'Settings'!$E$28:$F$33,2,FALSE)+1),1)</f>
        <v>25.4960318698221</v>
      </c>
      <c r="U195" s="48">
        <f>SUM(S195:T195)</f>
        <v>33.4509272980138</v>
      </c>
      <c r="V195" s="48">
        <f>VLOOKUP(B195,'Player Data'!$A1:$AE734,10,FALSE)*$Q195*_xlfn.IFERROR(((VLOOKUP(P195,'Settings'!$E$28:$F$33,2,FALSE)/2)+1),1)</f>
        <v>151.327407024481</v>
      </c>
      <c r="W195" s="48">
        <f>VLOOKUP(B195,'Player Data'!$A1:$AE734,11,FALSE)*$Q195*_xlfn.IFERROR((VLOOKUP(P195,'Settings'!$E$28:$F$33,2,FALSE)+1),1)</f>
        <v>0.109910448924012</v>
      </c>
      <c r="X195" s="48">
        <f>VLOOKUP(B195,'Player Data'!$A1:$AE734,12,FALSE)*$Q195*_xlfn.IFERROR((VLOOKUP(P195,'Settings'!$E$28:$F$33,2,FALSE)+1),1)</f>
        <v>3.68602463408126</v>
      </c>
      <c r="Y195" s="48">
        <f>VLOOKUP(B195,'Player Data'!$A1:$AE734,13,FALSE)*$Q195</f>
        <v>0.019547667291558</v>
      </c>
      <c r="Z195" s="48">
        <f>VLOOKUP(B195,'Player Data'!$A1:$AE734,14,FALSE)*$Q195</f>
        <v>0.869505717818535</v>
      </c>
      <c r="AA195" s="48">
        <f>VLOOKUP(B195,'Player Data'!$A1:$AE734,15,FALSE)*$Q195</f>
        <v>107.384599877123</v>
      </c>
      <c r="AB195" s="48">
        <f>VLOOKUP(B195,'Player Data'!$A1:$AE734,16,FALSE)*$Q195</f>
        <v>88.80388588605911</v>
      </c>
      <c r="AC195" s="48">
        <f>VLOOKUP(B195,'Player Data'!$A1:$AE734,17,FALSE)*$Q195*_xlfn.IFERROR((VLOOKUP(P195,'Settings'!$E$28:$F$33,2,FALSE)+1),1)</f>
        <v>9.1515671655128</v>
      </c>
      <c r="AD195" s="48">
        <f>VLOOKUP(B195,'Player Data'!$A1:$AE734,18,FALSE)*$Q195</f>
        <v>34.7502150523375</v>
      </c>
      <c r="AE195" s="48">
        <f>VLOOKUP(B195,'Player Data'!$A1:$AE734,19,FALSE)*$Q195*_xlfn.IFERROR((VLOOKUP(P195,'Settings'!$E$28:$F$33,2,FALSE)+1),1)</f>
        <v>1.2591745455249</v>
      </c>
      <c r="AF195" s="48">
        <f>VLOOKUP(B195,'Player Data'!$A1:$AE734,20,FALSE)*$Q195</f>
        <v>0</v>
      </c>
      <c r="AG195" s="48">
        <f>VLOOKUP(B195,'Player Data'!$A1:$AE734,21,FALSE)*$Q195</f>
        <v>0</v>
      </c>
      <c r="AH195" s="49">
        <f>VLOOKUP(B195,'Player Data'!$A1:$AE734,22,FALSE)</f>
        <v>0</v>
      </c>
      <c r="AI195" s="46"/>
      <c r="AJ195" s="50"/>
      <c r="AK195" s="48"/>
      <c r="AL195" s="48"/>
      <c r="AM195" s="48"/>
      <c r="AN195" s="48"/>
      <c r="AO195" s="48"/>
      <c r="AP195" s="48"/>
      <c r="AQ195" s="51"/>
      <c r="AR195" s="52"/>
      <c r="AS195" s="46"/>
    </row>
    <row r="196" ht="21.25" customHeight="1">
      <c r="A196" s="53">
        <f>RANK(K196,K2:K730)</f>
        <v>191</v>
      </c>
      <c r="B196" t="s" s="8">
        <v>348</v>
      </c>
      <c r="C196" t="s" s="39">
        <v>106</v>
      </c>
      <c r="D196" t="s" s="40">
        <f>VLOOKUP(B196,'Player Data'!A1:D734,4,FALSE)</f>
        <v>121</v>
      </c>
      <c r="E196" s="55">
        <f>VLOOKUP(B196,'RW'!A1:F132,3,FALSE)</f>
        <v>47</v>
      </c>
      <c r="F196" t="s" s="42">
        <f>VLOOKUP(B196,'Player Data'!A1:B734,2,FALSE)</f>
        <v>170</v>
      </c>
      <c r="G196" s="9">
        <f>VLOOKUP(B196,'Player Data'!A1:D734,3,FALSE)</f>
        <v>31</v>
      </c>
      <c r="H196" s="43">
        <f>_xlfn.IFERROR(VLOOKUP(B196,'ADP'!A1:G731,7,FALSE)/1000000,VLOOKUP(B196,'ADP'!A1:G731,7,FALSE))</f>
        <v>5.125</v>
      </c>
      <c r="I196" s="44">
        <f>IF('Settings'!$E$15="POINTS",((R196*Q196)*'Settings'!$B$12)+(S196*'Settings'!$B$2)+(T196*'Settings'!$B$3)+(U196*'Settings'!$B$4)+(V196*'Settings'!$B$5)+(X196*'Settings'!$B$9)+(AA196*'Settings'!$B$6)+(W196*'Settings'!$B$8)+(AB196*'Settings'!$B$7)+(AC196*'Settings'!$B$14)+(AD196*'Settings'!$B$15)+(AE196*'Settings'!$B$16)+(AF196*'Settings'!$B$17)+(AG196*'Settings'!$B$18)+(Y196*'Settings'!$B$10)+(Z196*'Settings'!$B$11),VLOOKUP(B196,'Standard Deviations'!A1:C731,3,FALSE))</f>
        <v>319.791423135401</v>
      </c>
      <c r="J196" s="45">
        <f>IF(D196="G",I196/AJ196,I196/Q196)</f>
        <v>4.05685101183472</v>
      </c>
      <c r="K196" s="44">
        <f>IF('Settings'!$E$18="C/LW/RW",VLOOKUP(B196,'RW'!A1:F132,6,FALSE),VLOOKUP(B196,'F'!A1:F432,6,FALSE))</f>
        <v>-61.837140570955</v>
      </c>
      <c r="L196" s="44">
        <f>_xlfn.IFERROR(K196/H196,"N/A")</f>
        <v>-12.065783526040</v>
      </c>
      <c r="M196" s="46">
        <f>IF('Settings'!$E$9="YAHOO",VLOOKUP(B196,'ADP'!A1:E731,2,FALSE),IF('Settings'!$E$9="ESPN",VLOOKUP(B196,'ADP'!A1:E731,3,FALSE),IF('Settings'!$E$9="FANTRAX",VLOOKUP(B196,'ADP'!A1:E731,4,FALSE),VLOOKUP(B196,'ADP'!A1:E731,5,FALSE))))</f>
        <v>189.4</v>
      </c>
      <c r="N196" s="46">
        <f>_xlfn.IFERROR(M196-A196,"N/A")</f>
        <v>-1.6</v>
      </c>
      <c r="O196" s="46"/>
      <c r="P196" t="s" s="47">
        <f>IF('Settings'!$E$27="ON",VLOOKUP(B196,'ADP'!A1:H731,8,FALSE)," ")</f>
        <v>109</v>
      </c>
      <c r="Q196" s="48">
        <f>IF('Settings'!$E$12="YES",VLOOKUP(B196,'Player Data'!A1:E734,5,FALSE),82)</f>
        <v>78.8275</v>
      </c>
      <c r="R196" s="46">
        <f>VLOOKUP(B196,'Player Data'!$A1:$AE734,6,FALSE)</f>
        <v>17.8085563890301</v>
      </c>
      <c r="S196" s="48">
        <f>VLOOKUP(B196,'Player Data'!$A1:$AE734,7,FALSE)*$Q196*_xlfn.IFERROR((VLOOKUP(P196,'Settings'!$E$28:$F$33,2,FALSE)+1),1)</f>
        <v>20.704446985689</v>
      </c>
      <c r="T196" s="48">
        <f>VLOOKUP(B196,'Player Data'!$A1:$AE734,8,FALSE)*$Q196*_xlfn.IFERROR((VLOOKUP(P196,'Settings'!$E$28:$F$33,2,FALSE)+1),1)</f>
        <v>26.9218678789135</v>
      </c>
      <c r="U196" s="48">
        <f>SUM(S196:T196)</f>
        <v>47.6263148646025</v>
      </c>
      <c r="V196" s="48">
        <f>VLOOKUP(B196,'Player Data'!$A1:$AE734,10,FALSE)*$Q196*_xlfn.IFERROR(((VLOOKUP(P196,'Settings'!$E$28:$F$33,2,FALSE)/2)+1),1)</f>
        <v>198.274872992882</v>
      </c>
      <c r="W196" s="48">
        <f>VLOOKUP(B196,'Player Data'!$A1:$AE734,11,FALSE)*$Q196*_xlfn.IFERROR((VLOOKUP(P196,'Settings'!$E$28:$F$33,2,FALSE)+1),1)</f>
        <v>3.64303373203715</v>
      </c>
      <c r="X196" s="48">
        <f>VLOOKUP(B196,'Player Data'!$A1:$AE734,12,FALSE)*$Q196*_xlfn.IFERROR((VLOOKUP(P196,'Settings'!$E$28:$F$33,2,FALSE)+1),1)</f>
        <v>10.5464192962422</v>
      </c>
      <c r="Y196" s="48">
        <f>VLOOKUP(B196,'Player Data'!$A1:$AE734,13,FALSE)*$Q196</f>
        <v>0.174548363014147</v>
      </c>
      <c r="Z196" s="48">
        <f>VLOOKUP(B196,'Player Data'!$A1:$AE734,14,FALSE)*$Q196</f>
        <v>0.995909819669586</v>
      </c>
      <c r="AA196" s="48">
        <f>VLOOKUP(B196,'Player Data'!$A1:$AE734,15,FALSE)*$Q196</f>
        <v>47.3770451450727</v>
      </c>
      <c r="AB196" s="48">
        <f>VLOOKUP(B196,'Player Data'!$A1:$AE734,16,FALSE)*$Q196</f>
        <v>84.1521174189744</v>
      </c>
      <c r="AC196" s="48">
        <f>VLOOKUP(B196,'Player Data'!$A1:$AE734,17,FALSE)*$Q196*_xlfn.IFERROR((VLOOKUP(P196,'Settings'!$E$28:$F$33,2,FALSE)+1),1)</f>
        <v>3.01183600071614</v>
      </c>
      <c r="AD196" s="48">
        <f>VLOOKUP(B196,'Player Data'!$A1:$AE734,18,FALSE)*$Q196</f>
        <v>26.6096571228759</v>
      </c>
      <c r="AE196" s="48">
        <f>VLOOKUP(B196,'Player Data'!$A1:$AE734,19,FALSE)*$Q196*_xlfn.IFERROR((VLOOKUP(P196,'Settings'!$E$28:$F$33,2,FALSE)+1),1)</f>
        <v>3.32347831523394</v>
      </c>
      <c r="AF196" s="48">
        <f>VLOOKUP(B196,'Player Data'!$A1:$AE734,20,FALSE)*$Q196</f>
        <v>3.64366353066548</v>
      </c>
      <c r="AG196" s="48">
        <f>VLOOKUP(B196,'Player Data'!$A1:$AE734,21,FALSE)*$Q196</f>
        <v>5.52597344572903</v>
      </c>
      <c r="AH196" s="49">
        <f>VLOOKUP(B196,'Player Data'!$A1:$AE734,22,FALSE)</f>
        <v>0.397361808329534</v>
      </c>
      <c r="AI196" s="46"/>
      <c r="AJ196" s="50"/>
      <c r="AK196" s="48"/>
      <c r="AL196" s="48"/>
      <c r="AM196" s="48"/>
      <c r="AN196" s="48"/>
      <c r="AO196" s="48"/>
      <c r="AP196" s="48"/>
      <c r="AQ196" s="51"/>
      <c r="AR196" s="52"/>
      <c r="AS196" s="46"/>
    </row>
    <row r="197" ht="21.25" customHeight="1">
      <c r="A197" s="53">
        <f>RANK(K197,K2:K730)</f>
        <v>238</v>
      </c>
      <c r="B197" t="s" s="8">
        <v>349</v>
      </c>
      <c r="C197" t="s" s="39">
        <v>106</v>
      </c>
      <c r="D197" t="s" s="40">
        <f>VLOOKUP(B197,'Player Data'!A1:D734,4,FALSE)</f>
        <v>129</v>
      </c>
      <c r="E197" s="56">
        <f>VLOOKUP(B197,'D'!A1:C228,3,FALSE)</f>
        <v>62</v>
      </c>
      <c r="F197" t="s" s="42">
        <f>VLOOKUP(B197,'Player Data'!A1:B734,2,FALSE)</f>
        <v>189</v>
      </c>
      <c r="G197" s="9">
        <f>VLOOKUP(B197,'Player Data'!A1:D734,3,FALSE)</f>
        <v>29</v>
      </c>
      <c r="H197" s="43">
        <f>_xlfn.IFERROR(VLOOKUP(B197,'ADP'!A1:G731,7,FALSE)/1000000,VLOOKUP(B197,'ADP'!A1:G731,7,FALSE))</f>
        <v>6.25</v>
      </c>
      <c r="I197" s="44">
        <f>IF('Settings'!$E$15="POINTS",((R197*Q197)*'Settings'!$B$12)+(S197*'Settings'!$B$2)+(T197*'Settings'!$B$3)+(U197*'Settings'!$B$4)+(V197*'Settings'!$B$5)+(X197*'Settings'!$B$9)+(AA197*'Settings'!$B$6)+(W197*'Settings'!$B$8)+(AB197*'Settings'!$B$7)+(AC197*'Settings'!$B$14)+(AD197*'Settings'!$B$15)+(AE197*'Settings'!$B$16)+(AF197*'Settings'!$B$17)+(AG197*'Settings'!$B$18)+(U197*'Settings'!$B$13)+(Y197*'Settings'!$B$10)+(Z197*'Settings'!$B$11),VLOOKUP(B197,'Standard Deviations'!A1:C731,3,FALSE))</f>
        <v>251.981943598092</v>
      </c>
      <c r="J197" s="45">
        <f>IF(D197="G",I197/AJ197,I197/Q197)</f>
        <v>3.08886572398139</v>
      </c>
      <c r="K197" s="44">
        <f>VLOOKUP(B197,'D'!A1:F228,6,FALSE)</f>
        <v>-88.753195048431</v>
      </c>
      <c r="L197" s="44">
        <f>_xlfn.IFERROR(K197/H197,"N/A")</f>
        <v>-14.200511207749</v>
      </c>
      <c r="M197" s="46">
        <f>IF('Settings'!$E$9="YAHOO",VLOOKUP(B197,'ADP'!A1:E731,2,FALSE),IF('Settings'!$E$9="ESPN",VLOOKUP(B197,'ADP'!A1:E731,3,FALSE),IF('Settings'!$E$9="FANTRAX",VLOOKUP(B197,'ADP'!A1:E731,4,FALSE),VLOOKUP(B197,'ADP'!A1:E731,5,FALSE))))</f>
        <v>361.21</v>
      </c>
      <c r="N197" s="46">
        <f>_xlfn.IFERROR(M197-A197,"N/A")</f>
        <v>123.21</v>
      </c>
      <c r="O197" s="46"/>
      <c r="P197" t="s" s="47">
        <f>IF('Settings'!$E$27="ON",VLOOKUP(B197,'ADP'!A1:H731,8,FALSE)," ")</f>
        <v>109</v>
      </c>
      <c r="Q197" s="48">
        <f>IF('Settings'!$E$12="YES",VLOOKUP(B197,'Player Data'!A1:E734,5,FALSE),82)</f>
        <v>81.5775</v>
      </c>
      <c r="R197" s="46">
        <f>VLOOKUP(B197,'Player Data'!$A1:$AE734,6,FALSE)</f>
        <v>20.9404606966404</v>
      </c>
      <c r="S197" s="48">
        <f>VLOOKUP(B197,'Player Data'!$A1:$AE734,7,FALSE)*$Q197*_xlfn.IFERROR((VLOOKUP(P197,'Settings'!$E$28:$F$33,2,FALSE)+1),1)</f>
        <v>7.55594245345066</v>
      </c>
      <c r="T197" s="48">
        <f>VLOOKUP(B197,'Player Data'!$A1:$AE734,8,FALSE)*$Q197*_xlfn.IFERROR((VLOOKUP(P197,'Settings'!$E$28:$F$33,2,FALSE)+1),1)</f>
        <v>27.9853007432511</v>
      </c>
      <c r="U197" s="48">
        <f>SUM(S197:T197)</f>
        <v>35.5412431967018</v>
      </c>
      <c r="V197" s="48">
        <f>VLOOKUP(B197,'Player Data'!$A1:$AE734,10,FALSE)*$Q197*_xlfn.IFERROR(((VLOOKUP(P197,'Settings'!$E$28:$F$33,2,FALSE)/2)+1),1)</f>
        <v>124.381353642037</v>
      </c>
      <c r="W197" s="48">
        <f>VLOOKUP(B197,'Player Data'!$A1:$AE734,11,FALSE)*$Q197*_xlfn.IFERROR((VLOOKUP(P197,'Settings'!$E$28:$F$33,2,FALSE)+1),1)</f>
        <v>1.72052898023299</v>
      </c>
      <c r="X197" s="48">
        <f>VLOOKUP(B197,'Player Data'!$A1:$AE734,12,FALSE)*$Q197*_xlfn.IFERROR((VLOOKUP(P197,'Settings'!$E$28:$F$33,2,FALSE)+1),1)</f>
        <v>7.02899971983492</v>
      </c>
      <c r="Y197" s="48">
        <f>VLOOKUP(B197,'Player Data'!$A1:$AE734,13,FALSE)*$Q197</f>
        <v>0.271259214267369</v>
      </c>
      <c r="Z197" s="48">
        <f>VLOOKUP(B197,'Player Data'!$A1:$AE734,14,FALSE)*$Q197</f>
        <v>0.560921096809377</v>
      </c>
      <c r="AA197" s="48">
        <f>VLOOKUP(B197,'Player Data'!$A1:$AE734,15,FALSE)*$Q197</f>
        <v>108.808657433567</v>
      </c>
      <c r="AB197" s="48">
        <f>VLOOKUP(B197,'Player Data'!$A1:$AE734,16,FALSE)*$Q197</f>
        <v>65.22981038556109</v>
      </c>
      <c r="AC197" s="48">
        <f>VLOOKUP(B197,'Player Data'!$A1:$AE734,17,FALSE)*$Q197*_xlfn.IFERROR((VLOOKUP(P197,'Settings'!$E$28:$F$33,2,FALSE)+1),1)</f>
        <v>-2.73871217375968</v>
      </c>
      <c r="AD197" s="48">
        <f>VLOOKUP(B197,'Player Data'!$A1:$AE734,18,FALSE)*$Q197</f>
        <v>41.4266211828327</v>
      </c>
      <c r="AE197" s="48">
        <f>VLOOKUP(B197,'Player Data'!$A1:$AE734,19,FALSE)*$Q197*_xlfn.IFERROR((VLOOKUP(P197,'Settings'!$E$28:$F$33,2,FALSE)+1),1)</f>
        <v>0.809671257966004</v>
      </c>
      <c r="AF197" s="48">
        <f>VLOOKUP(B197,'Player Data'!$A1:$AE734,20,FALSE)*$Q197</f>
        <v>0</v>
      </c>
      <c r="AG197" s="48">
        <f>VLOOKUP(B197,'Player Data'!$A1:$AE734,21,FALSE)*$Q197</f>
        <v>0</v>
      </c>
      <c r="AH197" s="49">
        <f>VLOOKUP(B197,'Player Data'!$A1:$AE734,22,FALSE)</f>
        <v>0</v>
      </c>
      <c r="AI197" s="46"/>
      <c r="AJ197" s="50"/>
      <c r="AK197" s="48"/>
      <c r="AL197" s="48"/>
      <c r="AM197" s="48"/>
      <c r="AN197" s="48"/>
      <c r="AO197" s="48"/>
      <c r="AP197" s="48"/>
      <c r="AQ197" s="51"/>
      <c r="AR197" s="52"/>
      <c r="AS197" s="46"/>
    </row>
    <row r="198" ht="21.25" customHeight="1">
      <c r="A198" s="53">
        <f>RANK(K198,K2:K730)</f>
        <v>172</v>
      </c>
      <c r="B198" t="s" s="8">
        <v>350</v>
      </c>
      <c r="C198" t="s" s="39">
        <v>106</v>
      </c>
      <c r="D198" t="s" s="40">
        <f>VLOOKUP(B198,'Player Data'!A1:D734,4,FALSE)</f>
        <v>107</v>
      </c>
      <c r="E198" s="41">
        <f>VLOOKUP(B198,'C'!A1:C218,3,FALSE)</f>
        <v>51</v>
      </c>
      <c r="F198" t="s" s="42">
        <f>VLOOKUP(B198,'Player Data'!A1:B734,2,FALSE)</f>
        <v>119</v>
      </c>
      <c r="G198" s="9">
        <f>VLOOKUP(B198,'Player Data'!A1:D734,3,FALSE)</f>
        <v>27</v>
      </c>
      <c r="H198" s="43">
        <f>_xlfn.IFERROR(VLOOKUP(B198,'ADP'!A1:G731,7,FALSE)/1000000,VLOOKUP(B198,'ADP'!A1:G731,7,FALSE))</f>
        <v>4.425</v>
      </c>
      <c r="I198" s="44">
        <f>IF('Settings'!$E$15="POINTS",((R198*Q198)*'Settings'!$B$12)+(S198*'Settings'!$B$2)+(T198*'Settings'!$B$3)+(U198*'Settings'!$B$4)+(V198*'Settings'!$B$5)+(X198*'Settings'!$B$9)+(AA198*'Settings'!$B$6)+(W198*'Settings'!$B$8)+(AB198*'Settings'!$B$7)+(AC198*'Settings'!$B$14)+(AD198*'Settings'!$B$15)+(AE198*'Settings'!$B$16)+(AF198*'Settings'!$B$17)+(AG198*'Settings'!$B$18)+(Y198*'Settings'!$B$10)+(Z198*'Settings'!$B$11),VLOOKUP(B198,'Standard Deviations'!A1:C731,3,FALSE))</f>
        <v>349.827975405214</v>
      </c>
      <c r="J198" s="45">
        <f>IF(D198="G",I198/AJ198,I198/Q198)</f>
        <v>4.60460090038171</v>
      </c>
      <c r="K198" s="44">
        <f>IF('Settings'!$E$18="C/LW/RW",VLOOKUP(B198,'C'!A1:F218,6,FALSE),VLOOKUP(B198,'F'!A1:F432,6,FALSE))</f>
        <v>-45.946226230801</v>
      </c>
      <c r="L198" s="44">
        <f>_xlfn.IFERROR(K198/H198,"N/A")</f>
        <v>-10.3833279617629</v>
      </c>
      <c r="M198" s="46">
        <f>IF('Settings'!$E$9="YAHOO",VLOOKUP(B198,'ADP'!A1:E731,2,FALSE),IF('Settings'!$E$9="ESPN",VLOOKUP(B198,'ADP'!A1:E731,3,FALSE),IF('Settings'!$E$9="FANTRAX",VLOOKUP(B198,'ADP'!A1:E731,4,FALSE),VLOOKUP(B198,'ADP'!A1:E731,5,FALSE))))</f>
        <v>169.93</v>
      </c>
      <c r="N198" s="46">
        <f>_xlfn.IFERROR(M198-A198,"N/A")</f>
        <v>-2.07</v>
      </c>
      <c r="O198" s="46"/>
      <c r="P198" t="s" s="47">
        <f>IF('Settings'!$E$27="ON",VLOOKUP(B198,'ADP'!A1:H731,8,FALSE)," ")</f>
        <v>109</v>
      </c>
      <c r="Q198" s="48">
        <f>IF('Settings'!$E$12="YES",VLOOKUP(B198,'Player Data'!A1:E734,5,FALSE),82)</f>
        <v>75.9735714285714</v>
      </c>
      <c r="R198" s="46">
        <f>VLOOKUP(B198,'Player Data'!$A1:$AE734,6,FALSE)</f>
        <v>17.0911597229475</v>
      </c>
      <c r="S198" s="48">
        <f>VLOOKUP(B198,'Player Data'!$A1:$AE734,7,FALSE)*$Q198*_xlfn.IFERROR((VLOOKUP(P198,'Settings'!$E$28:$F$33,2,FALSE)+1),1)</f>
        <v>22.0787288677862</v>
      </c>
      <c r="T198" s="48">
        <f>VLOOKUP(B198,'Player Data'!$A1:$AE734,8,FALSE)*$Q198*_xlfn.IFERROR((VLOOKUP(P198,'Settings'!$E$28:$F$33,2,FALSE)+1),1)</f>
        <v>26.8840795235285</v>
      </c>
      <c r="U198" s="48">
        <f>SUM(S198:T198)</f>
        <v>48.9628083913147</v>
      </c>
      <c r="V198" s="48">
        <f>VLOOKUP(B198,'Player Data'!$A1:$AE734,10,FALSE)*$Q198*_xlfn.IFERROR(((VLOOKUP(P198,'Settings'!$E$28:$F$33,2,FALSE)/2)+1),1)</f>
        <v>222.863552575222</v>
      </c>
      <c r="W198" s="48">
        <f>VLOOKUP(B198,'Player Data'!$A1:$AE734,11,FALSE)*$Q198*_xlfn.IFERROR((VLOOKUP(P198,'Settings'!$E$28:$F$33,2,FALSE)+1),1)</f>
        <v>4.06546116679267</v>
      </c>
      <c r="X198" s="48">
        <f>VLOOKUP(B198,'Player Data'!$A1:$AE734,12,FALSE)*$Q198*_xlfn.IFERROR((VLOOKUP(P198,'Settings'!$E$28:$F$33,2,FALSE)+1),1)</f>
        <v>8.88603071495729</v>
      </c>
      <c r="Y198" s="48">
        <f>VLOOKUP(B198,'Player Data'!$A1:$AE734,13,FALSE)*$Q198</f>
        <v>0.118371858592383</v>
      </c>
      <c r="Z198" s="48">
        <f>VLOOKUP(B198,'Player Data'!$A1:$AE734,14,FALSE)*$Q198</f>
        <v>0.537931081910113</v>
      </c>
      <c r="AA198" s="48">
        <f>VLOOKUP(B198,'Player Data'!$A1:$AE734,15,FALSE)*$Q198</f>
        <v>37.9444902776418</v>
      </c>
      <c r="AB198" s="48">
        <f>VLOOKUP(B198,'Player Data'!$A1:$AE734,16,FALSE)*$Q198</f>
        <v>153.366293357352</v>
      </c>
      <c r="AC198" s="48">
        <f>VLOOKUP(B198,'Player Data'!$A1:$AE734,17,FALSE)*$Q198*_xlfn.IFERROR((VLOOKUP(P198,'Settings'!$E$28:$F$33,2,FALSE)+1),1)</f>
        <v>4.97615685541704</v>
      </c>
      <c r="AD198" s="48">
        <f>VLOOKUP(B198,'Player Data'!$A1:$AE734,18,FALSE)*$Q198</f>
        <v>62.2104425218896</v>
      </c>
      <c r="AE198" s="48">
        <f>VLOOKUP(B198,'Player Data'!$A1:$AE734,19,FALSE)*$Q198*_xlfn.IFERROR((VLOOKUP(P198,'Settings'!$E$28:$F$33,2,FALSE)+1),1)</f>
        <v>3.16724401728386</v>
      </c>
      <c r="AF198" s="48">
        <f>VLOOKUP(B198,'Player Data'!$A1:$AE734,20,FALSE)*$Q198</f>
        <v>467.114282480412</v>
      </c>
      <c r="AG198" s="48">
        <f>VLOOKUP(B198,'Player Data'!$A1:$AE734,21,FALSE)*$Q198</f>
        <v>527.039906056349</v>
      </c>
      <c r="AH198" s="49">
        <f>VLOOKUP(B198,'Player Data'!$A1:$AE734,22,FALSE)</f>
        <v>0.469861001307987</v>
      </c>
      <c r="AI198" s="46"/>
      <c r="AJ198" s="48"/>
      <c r="AK198" s="48"/>
      <c r="AL198" s="48"/>
      <c r="AM198" s="48"/>
      <c r="AN198" s="48"/>
      <c r="AO198" s="48"/>
      <c r="AP198" s="48"/>
      <c r="AQ198" s="51"/>
      <c r="AR198" s="52"/>
      <c r="AS198" s="46"/>
    </row>
    <row r="199" ht="21.25" customHeight="1">
      <c r="A199" s="53">
        <f>RANK(K199,K2:K730)</f>
        <v>271</v>
      </c>
      <c r="B199" t="s" s="8">
        <v>351</v>
      </c>
      <c r="C199" t="s" s="39">
        <v>106</v>
      </c>
      <c r="D199" t="s" s="40">
        <f>VLOOKUP(B199,'Player Data'!A1:D734,4,FALSE)</f>
        <v>107</v>
      </c>
      <c r="E199" s="41">
        <f>VLOOKUP(B199,'C'!A1:C218,3,FALSE)</f>
        <v>70</v>
      </c>
      <c r="F199" t="s" s="42">
        <f>VLOOKUP(B199,'Player Data'!A1:B734,2,FALSE)</f>
        <v>131</v>
      </c>
      <c r="G199" s="9">
        <f>VLOOKUP(B199,'Player Data'!A1:D734,3,FALSE)</f>
        <v>26</v>
      </c>
      <c r="H199" s="43">
        <f>_xlfn.IFERROR(VLOOKUP(B199,'ADP'!A1:G731,7,FALSE)/1000000,VLOOKUP(B199,'ADP'!A1:G731,7,FALSE))</f>
        <v>0.8</v>
      </c>
      <c r="I199" s="44">
        <f>IF('Settings'!$E$15="POINTS",((R199*Q199)*'Settings'!$B$12)+(S199*'Settings'!$B$2)+(T199*'Settings'!$B$3)+(U199*'Settings'!$B$4)+(V199*'Settings'!$B$5)+(X199*'Settings'!$B$9)+(AA199*'Settings'!$B$6)+(W199*'Settings'!$B$8)+(AB199*'Settings'!$B$7)+(AC199*'Settings'!$B$14)+(AD199*'Settings'!$B$15)+(AE199*'Settings'!$B$16)+(AF199*'Settings'!$B$17)+(AG199*'Settings'!$B$18)+(Y199*'Settings'!$B$10)+(Z199*'Settings'!$B$11),VLOOKUP(B199,'Standard Deviations'!A1:C731,3,FALSE))</f>
        <v>294.332921439397</v>
      </c>
      <c r="J199" s="45">
        <f>IF(D199="G",I199/AJ199,I199/Q199)</f>
        <v>3.97264032176268</v>
      </c>
      <c r="K199" s="44">
        <f>IF('Settings'!$E$18="C/LW/RW",VLOOKUP(B199,'C'!A1:F218,6,FALSE),VLOOKUP(B199,'F'!A1:F432,6,FALSE))</f>
        <v>-101.441280196618</v>
      </c>
      <c r="L199" s="44">
        <f>_xlfn.IFERROR(K199/H199,"N/A")</f>
        <v>-126.801600245773</v>
      </c>
      <c r="M199" s="46">
        <f>IF('Settings'!$E$9="YAHOO",VLOOKUP(B199,'ADP'!A1:E731,2,FALSE),IF('Settings'!$E$9="ESPN",VLOOKUP(B199,'ADP'!A1:E731,3,FALSE),IF('Settings'!$E$9="FANTRAX",VLOOKUP(B199,'ADP'!A1:E731,4,FALSE),VLOOKUP(B199,'ADP'!A1:E731,5,FALSE))))</f>
        <v>222.87</v>
      </c>
      <c r="N199" s="46">
        <f>_xlfn.IFERROR(M199-A199,"N/A")</f>
        <v>-48.13</v>
      </c>
      <c r="O199" s="46"/>
      <c r="P199" t="s" s="47">
        <f>IF('Settings'!$E$27="ON",VLOOKUP(B199,'ADP'!A1:H731,8,FALSE)," ")</f>
        <v>109</v>
      </c>
      <c r="Q199" s="48">
        <f>IF('Settings'!$E$12="YES",VLOOKUP(B199,'Player Data'!A1:E734,5,FALSE),82)</f>
        <v>74.09</v>
      </c>
      <c r="R199" s="46">
        <f>VLOOKUP(B199,'Player Data'!$A1:$AE734,6,FALSE)</f>
        <v>15.7015269812066</v>
      </c>
      <c r="S199" s="48">
        <f>VLOOKUP(B199,'Player Data'!$A1:$AE734,7,FALSE)*$Q199*_xlfn.IFERROR((VLOOKUP(P199,'Settings'!$E$28:$F$33,2,FALSE)+1),1)</f>
        <v>21.1949995815956</v>
      </c>
      <c r="T199" s="48">
        <f>VLOOKUP(B199,'Player Data'!$A1:$AE734,8,FALSE)*$Q199*_xlfn.IFERROR((VLOOKUP(P199,'Settings'!$E$28:$F$33,2,FALSE)+1),1)</f>
        <v>34.4275939226052</v>
      </c>
      <c r="U199" s="48">
        <f>SUM(S199:T199)</f>
        <v>55.6225935042008</v>
      </c>
      <c r="V199" s="48">
        <f>VLOOKUP(B199,'Player Data'!$A1:$AE734,10,FALSE)*$Q199*_xlfn.IFERROR(((VLOOKUP(P199,'Settings'!$E$28:$F$33,2,FALSE)/2)+1),1)</f>
        <v>142.934604832275</v>
      </c>
      <c r="W199" s="48">
        <f>VLOOKUP(B199,'Player Data'!$A1:$AE734,11,FALSE)*$Q199*_xlfn.IFERROR((VLOOKUP(P199,'Settings'!$E$28:$F$33,2,FALSE)+1),1)</f>
        <v>7.30556307903954</v>
      </c>
      <c r="X199" s="48">
        <f>VLOOKUP(B199,'Player Data'!$A1:$AE734,12,FALSE)*$Q199*_xlfn.IFERROR((VLOOKUP(P199,'Settings'!$E$28:$F$33,2,FALSE)+1),1)</f>
        <v>18.8008534886962</v>
      </c>
      <c r="Y199" s="48">
        <f>VLOOKUP(B199,'Player Data'!$A1:$AE734,13,FALSE)*$Q199</f>
        <v>0.00556984878118639</v>
      </c>
      <c r="Z199" s="48">
        <f>VLOOKUP(B199,'Player Data'!$A1:$AE734,14,FALSE)*$Q199</f>
        <v>0.0101873744959831</v>
      </c>
      <c r="AA199" s="48">
        <f>VLOOKUP(B199,'Player Data'!$A1:$AE734,15,FALSE)*$Q199</f>
        <v>33.4486882199786</v>
      </c>
      <c r="AB199" s="48">
        <f>VLOOKUP(B199,'Player Data'!$A1:$AE734,16,FALSE)*$Q199</f>
        <v>29.8424811171285</v>
      </c>
      <c r="AC199" s="48">
        <f>VLOOKUP(B199,'Player Data'!$A1:$AE734,17,FALSE)*$Q199*_xlfn.IFERROR((VLOOKUP(P199,'Settings'!$E$28:$F$33,2,FALSE)+1),1)</f>
        <v>-1.24337614324566</v>
      </c>
      <c r="AD199" s="48">
        <f>VLOOKUP(B199,'Player Data'!$A1:$AE734,18,FALSE)*$Q199</f>
        <v>17.8214291126955</v>
      </c>
      <c r="AE199" s="48">
        <f>VLOOKUP(B199,'Player Data'!$A1:$AE734,19,FALSE)*$Q199*_xlfn.IFERROR((VLOOKUP(P199,'Settings'!$E$28:$F$33,2,FALSE)+1),1)</f>
        <v>3.09502427457064</v>
      </c>
      <c r="AF199" s="48">
        <f>VLOOKUP(B199,'Player Data'!$A1:$AE734,20,FALSE)*$Q199</f>
        <v>273.772891107756</v>
      </c>
      <c r="AG199" s="48">
        <f>VLOOKUP(B199,'Player Data'!$A1:$AE734,21,FALSE)*$Q199</f>
        <v>343.0794048303</v>
      </c>
      <c r="AH199" s="49">
        <f>VLOOKUP(B199,'Player Data'!$A1:$AE734,22,FALSE)</f>
        <v>0.443822440007985</v>
      </c>
      <c r="AI199" s="46"/>
      <c r="AJ199" s="50"/>
      <c r="AK199" s="48"/>
      <c r="AL199" s="48"/>
      <c r="AM199" s="48"/>
      <c r="AN199" s="48"/>
      <c r="AO199" s="48"/>
      <c r="AP199" s="48"/>
      <c r="AQ199" s="51"/>
      <c r="AR199" s="52"/>
      <c r="AS199" s="46"/>
    </row>
    <row r="200" ht="21.25" customHeight="1">
      <c r="A200" s="53">
        <f>RANK(K200,K2:K730)</f>
        <v>182</v>
      </c>
      <c r="B200" t="s" s="8">
        <v>352</v>
      </c>
      <c r="C200" t="s" s="39">
        <v>106</v>
      </c>
      <c r="D200" t="s" s="40">
        <f>VLOOKUP(B200,'Player Data'!A1:D734,4,FALSE)</f>
        <v>133</v>
      </c>
      <c r="E200" s="57">
        <f>VLOOKUP(B200,'LW'!A1:C156,3,FALSE)</f>
        <v>50</v>
      </c>
      <c r="F200" t="s" s="42">
        <f>VLOOKUP(B200,'Player Data'!A1:B734,2,FALSE)</f>
        <v>149</v>
      </c>
      <c r="G200" s="9">
        <f>VLOOKUP(B200,'Player Data'!A1:D734,3,FALSE)</f>
        <v>33</v>
      </c>
      <c r="H200" s="43">
        <f>_xlfn.IFERROR(VLOOKUP(B200,'ADP'!A1:G731,7,FALSE)/1000000,VLOOKUP(B200,'ADP'!A1:G731,7,FALSE))</f>
        <v>7</v>
      </c>
      <c r="I200" s="44">
        <f>IF('Settings'!$E$15="POINTS",((R200*Q200)*'Settings'!$B$12)+(S200*'Settings'!$B$2)+(T200*'Settings'!$B$3)+(U200*'Settings'!$B$4)+(V200*'Settings'!$B$5)+(X200*'Settings'!$B$9)+(AA200*'Settings'!$B$6)+(W200*'Settings'!$B$8)+(AB200*'Settings'!$B$7)+(AC200*'Settings'!$B$14)+(AD200*'Settings'!$B$15)+(AE200*'Settings'!$B$16)+(AF200*'Settings'!$B$17)+(AG200*'Settings'!$B$18)+(Y200*'Settings'!$B$10)+(Z200*'Settings'!$B$11),VLOOKUP(B200,'Standard Deviations'!A1:C731,3,FALSE))</f>
        <v>327.684105009120</v>
      </c>
      <c r="J200" s="45">
        <f>IF(D200="G",I200/AJ200,I200/Q200)</f>
        <v>4.25792863519118</v>
      </c>
      <c r="K200" s="44">
        <f>IF('Settings'!$E$18="C/LW/RW",VLOOKUP(B200,'LW'!A1:F156,6,FALSE),VLOOKUP(B200,'F'!A1:F432,6,FALSE))</f>
        <v>-53.944458697236</v>
      </c>
      <c r="L200" s="44">
        <f>_xlfn.IFERROR(K200/H200,"N/A")</f>
        <v>-7.70635124246229</v>
      </c>
      <c r="M200" s="46">
        <f>IF('Settings'!$E$9="YAHOO",VLOOKUP(B200,'ADP'!A1:E731,2,FALSE),IF('Settings'!$E$9="ESPN",VLOOKUP(B200,'ADP'!A1:E731,3,FALSE),IF('Settings'!$E$9="FANTRAX",VLOOKUP(B200,'ADP'!A1:E731,4,FALSE),VLOOKUP(B200,'ADP'!A1:E731,5,FALSE))))</f>
        <v>190.51</v>
      </c>
      <c r="N200" s="46">
        <f>_xlfn.IFERROR(M200-A200,"N/A")</f>
        <v>8.51</v>
      </c>
      <c r="O200" s="46"/>
      <c r="P200" t="s" s="47">
        <f>IF('Settings'!$E$27="ON",VLOOKUP(B200,'ADP'!A1:H731,8,FALSE)," ")</f>
        <v>109</v>
      </c>
      <c r="Q200" s="48">
        <f>IF('Settings'!$E$12="YES",VLOOKUP(B200,'Player Data'!A1:E734,5,FALSE),82)</f>
        <v>76.9585714285714</v>
      </c>
      <c r="R200" s="46">
        <f>VLOOKUP(B200,'Player Data'!$A1:$AE734,6,FALSE)</f>
        <v>17.3602805973704</v>
      </c>
      <c r="S200" s="48">
        <f>VLOOKUP(B200,'Player Data'!$A1:$AE734,7,FALSE)*$Q200*_xlfn.IFERROR((VLOOKUP(P200,'Settings'!$E$28:$F$33,2,FALSE)+1),1)</f>
        <v>25.9486721328973</v>
      </c>
      <c r="T200" s="48">
        <f>VLOOKUP(B200,'Player Data'!$A1:$AE734,8,FALSE)*$Q200*_xlfn.IFERROR((VLOOKUP(P200,'Settings'!$E$28:$F$33,2,FALSE)+1),1)</f>
        <v>21.093186841872</v>
      </c>
      <c r="U200" s="48">
        <f>SUM(S200:T200)</f>
        <v>47.0418589747693</v>
      </c>
      <c r="V200" s="48">
        <f>VLOOKUP(B200,'Player Data'!$A1:$AE734,10,FALSE)*$Q200*_xlfn.IFERROR(((VLOOKUP(P200,'Settings'!$E$28:$F$33,2,FALSE)/2)+1),1)</f>
        <v>196.314393975534</v>
      </c>
      <c r="W200" s="48">
        <f>VLOOKUP(B200,'Player Data'!$A1:$AE734,11,FALSE)*$Q200*_xlfn.IFERROR((VLOOKUP(P200,'Settings'!$E$28:$F$33,2,FALSE)+1),1)</f>
        <v>7.56118567748664</v>
      </c>
      <c r="X200" s="48">
        <f>VLOOKUP(B200,'Player Data'!$A1:$AE734,12,FALSE)*$Q200*_xlfn.IFERROR((VLOOKUP(P200,'Settings'!$E$28:$F$33,2,FALSE)+1),1)</f>
        <v>14.3433699046453</v>
      </c>
      <c r="Y200" s="48">
        <f>VLOOKUP(B200,'Player Data'!$A1:$AE734,13,FALSE)*$Q200</f>
        <v>0.00596654413479532</v>
      </c>
      <c r="Z200" s="48">
        <f>VLOOKUP(B200,'Player Data'!$A1:$AE734,14,FALSE)*$Q200</f>
        <v>0.01083074814549</v>
      </c>
      <c r="AA200" s="48">
        <f>VLOOKUP(B200,'Player Data'!$A1:$AE734,15,FALSE)*$Q200</f>
        <v>45.3830823540015</v>
      </c>
      <c r="AB200" s="48">
        <f>VLOOKUP(B200,'Player Data'!$A1:$AE734,16,FALSE)*$Q200</f>
        <v>107.060480897628</v>
      </c>
      <c r="AC200" s="48">
        <f>VLOOKUP(B200,'Player Data'!$A1:$AE734,17,FALSE)*$Q200*_xlfn.IFERROR((VLOOKUP(P200,'Settings'!$E$28:$F$33,2,FALSE)+1),1)</f>
        <v>2.42198328907763</v>
      </c>
      <c r="AD200" s="48">
        <f>VLOOKUP(B200,'Player Data'!$A1:$AE734,18,FALSE)*$Q200</f>
        <v>40.4530655828523</v>
      </c>
      <c r="AE200" s="48">
        <f>VLOOKUP(B200,'Player Data'!$A1:$AE734,19,FALSE)*$Q200*_xlfn.IFERROR((VLOOKUP(P200,'Settings'!$E$28:$F$33,2,FALSE)+1),1)</f>
        <v>4.00963701354914</v>
      </c>
      <c r="AF200" s="48">
        <f>VLOOKUP(B200,'Player Data'!$A1:$AE734,20,FALSE)*$Q200</f>
        <v>40.3396579370768</v>
      </c>
      <c r="AG200" s="48">
        <f>VLOOKUP(B200,'Player Data'!$A1:$AE734,21,FALSE)*$Q200</f>
        <v>38.1238589676495</v>
      </c>
      <c r="AH200" s="49">
        <f>VLOOKUP(B200,'Player Data'!$A1:$AE734,22,FALSE)</f>
        <v>0.5141199315098109</v>
      </c>
      <c r="AI200" s="46"/>
      <c r="AJ200" s="48"/>
      <c r="AK200" s="48"/>
      <c r="AL200" s="48"/>
      <c r="AM200" s="48"/>
      <c r="AN200" s="48"/>
      <c r="AO200" s="48"/>
      <c r="AP200" s="48"/>
      <c r="AQ200" s="51"/>
      <c r="AR200" s="52"/>
      <c r="AS200" s="46"/>
    </row>
    <row r="201" ht="21.25" customHeight="1">
      <c r="A201" s="53">
        <f>RANK(K201,K2:K730)</f>
        <v>217</v>
      </c>
      <c r="B201" t="s" s="8">
        <v>353</v>
      </c>
      <c r="C201" t="s" s="39">
        <v>106</v>
      </c>
      <c r="D201" t="s" s="40">
        <f>VLOOKUP(B201,'Player Data'!A1:D734,4,FALSE)</f>
        <v>107</v>
      </c>
      <c r="E201" s="41">
        <f>VLOOKUP(B201,'C'!A1:C218,3,FALSE)</f>
        <v>59</v>
      </c>
      <c r="F201" t="s" s="42">
        <f>VLOOKUP(B201,'Player Data'!A1:B734,2,FALSE)</f>
        <v>238</v>
      </c>
      <c r="G201" s="9">
        <f>VLOOKUP(B201,'Player Data'!A1:D734,3,FALSE)</f>
        <v>34</v>
      </c>
      <c r="H201" s="43">
        <f>_xlfn.IFERROR(VLOOKUP(B201,'ADP'!A1:G731,7,FALSE)/1000000,VLOOKUP(B201,'ADP'!A1:G731,7,FALSE))</f>
        <v>5.35</v>
      </c>
      <c r="I201" s="44">
        <f>IF('Settings'!$E$15="POINTS",((R201*Q201)*'Settings'!$B$12)+(S201*'Settings'!$B$2)+(T201*'Settings'!$B$3)+(U201*'Settings'!$B$4)+(V201*'Settings'!$B$5)+(X201*'Settings'!$B$9)+(AA201*'Settings'!$B$6)+(W201*'Settings'!$B$8)+(AB201*'Settings'!$B$7)+(AC201*'Settings'!$B$14)+(AD201*'Settings'!$B$15)+(AE201*'Settings'!$B$16)+(AF201*'Settings'!$B$17)+(AG201*'Settings'!$B$18)+(Y201*'Settings'!$B$10)+(Z201*'Settings'!$B$11),VLOOKUP(B201,'Standard Deviations'!A1:C731,3,FALSE))</f>
        <v>318.596881418557</v>
      </c>
      <c r="J201" s="45">
        <f>IF(D201="G",I201/AJ201,I201/Q201)</f>
        <v>3.90437354679604</v>
      </c>
      <c r="K201" s="44">
        <f>IF('Settings'!$E$18="C/LW/RW",VLOOKUP(B201,'C'!A1:F218,6,FALSE),VLOOKUP(B201,'F'!A1:F432,6,FALSE))</f>
        <v>-77.177320217458</v>
      </c>
      <c r="L201" s="44">
        <f>_xlfn.IFERROR(K201/H201,"N/A")</f>
        <v>-14.425667330366</v>
      </c>
      <c r="M201" s="46">
        <f>IF('Settings'!$E$9="YAHOO",VLOOKUP(B201,'ADP'!A1:E731,2,FALSE),IF('Settings'!$E$9="ESPN",VLOOKUP(B201,'ADP'!A1:E731,3,FALSE),IF('Settings'!$E$9="FANTRAX",VLOOKUP(B201,'ADP'!A1:E731,4,FALSE),VLOOKUP(B201,'ADP'!A1:E731,5,FALSE))))</f>
        <v>209.31</v>
      </c>
      <c r="N201" s="46">
        <f>_xlfn.IFERROR(M201-A201,"N/A")</f>
        <v>-7.69</v>
      </c>
      <c r="O201" s="46"/>
      <c r="P201" t="s" s="47">
        <f>IF('Settings'!$E$27="ON",VLOOKUP(B201,'ADP'!A1:H731,8,FALSE)," ")</f>
        <v>109</v>
      </c>
      <c r="Q201" s="48">
        <f>IF('Settings'!$E$12="YES",VLOOKUP(B201,'Player Data'!A1:E734,5,FALSE),82)</f>
        <v>81.59999999999999</v>
      </c>
      <c r="R201" s="46">
        <f>VLOOKUP(B201,'Player Data'!$A1:$AE734,6,FALSE)</f>
        <v>17.7318138532363</v>
      </c>
      <c r="S201" s="48">
        <f>VLOOKUP(B201,'Player Data'!$A1:$AE734,7,FALSE)*$Q201*_xlfn.IFERROR((VLOOKUP(P201,'Settings'!$E$28:$F$33,2,FALSE)+1),1)</f>
        <v>14.6611690011568</v>
      </c>
      <c r="T201" s="48">
        <f>VLOOKUP(B201,'Player Data'!$A1:$AE734,8,FALSE)*$Q201*_xlfn.IFERROR((VLOOKUP(P201,'Settings'!$E$28:$F$33,2,FALSE)+1),1)</f>
        <v>31.0137461110117</v>
      </c>
      <c r="U201" s="48">
        <f>SUM(S201:T201)</f>
        <v>45.6749151121685</v>
      </c>
      <c r="V201" s="48">
        <f>VLOOKUP(B201,'Player Data'!$A1:$AE734,10,FALSE)*$Q201*_xlfn.IFERROR(((VLOOKUP(P201,'Settings'!$E$28:$F$33,2,FALSE)/2)+1),1)</f>
        <v>236.611918997154</v>
      </c>
      <c r="W201" s="48">
        <f>VLOOKUP(B201,'Player Data'!$A1:$AE734,11,FALSE)*$Q201*_xlfn.IFERROR((VLOOKUP(P201,'Settings'!$E$28:$F$33,2,FALSE)+1),1)</f>
        <v>2.73725514474022</v>
      </c>
      <c r="X201" s="48">
        <f>VLOOKUP(B201,'Player Data'!$A1:$AE734,12,FALSE)*$Q201*_xlfn.IFERROR((VLOOKUP(P201,'Settings'!$E$28:$F$33,2,FALSE)+1),1)</f>
        <v>9.716767121443789</v>
      </c>
      <c r="Y201" s="48">
        <f>VLOOKUP(B201,'Player Data'!$A1:$AE734,13,FALSE)*$Q201</f>
        <v>0.672688524779247</v>
      </c>
      <c r="Z201" s="48">
        <f>VLOOKUP(B201,'Player Data'!$A1:$AE734,14,FALSE)*$Q201</f>
        <v>2.37150332711034</v>
      </c>
      <c r="AA201" s="48">
        <f>VLOOKUP(B201,'Player Data'!$A1:$AE734,15,FALSE)*$Q201</f>
        <v>31.058805787071</v>
      </c>
      <c r="AB201" s="48">
        <f>VLOOKUP(B201,'Player Data'!$A1:$AE734,16,FALSE)*$Q201</f>
        <v>84.0080541359314</v>
      </c>
      <c r="AC201" s="48">
        <f>VLOOKUP(B201,'Player Data'!$A1:$AE734,17,FALSE)*$Q201*_xlfn.IFERROR((VLOOKUP(P201,'Settings'!$E$28:$F$33,2,FALSE)+1),1)</f>
        <v>5.54121432703584</v>
      </c>
      <c r="AD201" s="48">
        <f>VLOOKUP(B201,'Player Data'!$A1:$AE734,18,FALSE)*$Q201</f>
        <v>35.7206520574572</v>
      </c>
      <c r="AE201" s="48">
        <f>VLOOKUP(B201,'Player Data'!$A1:$AE734,19,FALSE)*$Q201*_xlfn.IFERROR((VLOOKUP(P201,'Settings'!$E$28:$F$33,2,FALSE)+1),1)</f>
        <v>2.44985568393647</v>
      </c>
      <c r="AF201" s="48">
        <f>VLOOKUP(B201,'Player Data'!$A1:$AE734,20,FALSE)*$Q201</f>
        <v>669.154966439635</v>
      </c>
      <c r="AG201" s="48">
        <f>VLOOKUP(B201,'Player Data'!$A1:$AE734,21,FALSE)*$Q201</f>
        <v>644.673835996634</v>
      </c>
      <c r="AH201" s="49">
        <f>VLOOKUP(B201,'Player Data'!$A1:$AE734,22,FALSE)</f>
        <v>0.509316712496181</v>
      </c>
      <c r="AI201" s="46"/>
      <c r="AJ201" s="48"/>
      <c r="AK201" s="48"/>
      <c r="AL201" s="48"/>
      <c r="AM201" s="48"/>
      <c r="AN201" s="48"/>
      <c r="AO201" s="48"/>
      <c r="AP201" s="48"/>
      <c r="AQ201" s="51"/>
      <c r="AR201" s="52"/>
      <c r="AS201" s="46"/>
    </row>
    <row r="202" ht="21.25" customHeight="1">
      <c r="A202" s="53">
        <f>RANK(K202,K2:K730)</f>
        <v>233</v>
      </c>
      <c r="B202" t="s" s="8">
        <v>354</v>
      </c>
      <c r="C202" t="s" s="39">
        <v>106</v>
      </c>
      <c r="D202" t="s" s="40">
        <f>VLOOKUP(B202,'Player Data'!A1:D734,4,FALSE)</f>
        <v>187</v>
      </c>
      <c r="E202" s="54">
        <f>VLOOKUP(B202,'RW'!A1:F132,3,FALSE)</f>
        <v>56</v>
      </c>
      <c r="F202" t="s" s="42">
        <f>VLOOKUP(B202,'Player Data'!A1:B734,2,FALSE)</f>
        <v>136</v>
      </c>
      <c r="G202" s="9">
        <f>VLOOKUP(B202,'Player Data'!A1:D734,3,FALSE)</f>
        <v>32</v>
      </c>
      <c r="H202" s="43">
        <f>_xlfn.IFERROR(VLOOKUP(B202,'ADP'!A1:G731,7,FALSE)/1000000,VLOOKUP(B202,'ADP'!A1:G731,7,FALSE))</f>
        <v>3</v>
      </c>
      <c r="I202" s="44">
        <f>IF('Settings'!$E$15="POINTS",((R202*Q202)*'Settings'!$B$12)+(S202*'Settings'!$B$2)+(T202*'Settings'!$B$3)+(U202*'Settings'!$B$4)+(V202*'Settings'!$B$5)+(X202*'Settings'!$B$9)+(AA202*'Settings'!$B$6)+(W202*'Settings'!$B$8)+(AB202*'Settings'!$B$7)+(AC202*'Settings'!$B$14)+(AD202*'Settings'!$B$15)+(AE202*'Settings'!$B$16)+(AF202*'Settings'!$B$17)+(AG202*'Settings'!$B$18)+(Y202*'Settings'!$B$10)+(Z202*'Settings'!$B$11),VLOOKUP(B202,'Standard Deviations'!A1:C731,3,FALSE))</f>
        <v>294.814134078005</v>
      </c>
      <c r="J202" s="45">
        <f>IF(D202="G",I202/AJ202,I202/Q202)</f>
        <v>3.86357374398412</v>
      </c>
      <c r="K202" s="44">
        <f>IF('Settings'!$E$18="C/LW/RW",VLOOKUP(B202,'RW'!A1:F132,6,FALSE),VLOOKUP(B202,'F'!A1:F432,6,FALSE))</f>
        <v>-86.81442962835099</v>
      </c>
      <c r="L202" s="44">
        <f>_xlfn.IFERROR(K202/H202,"N/A")</f>
        <v>-28.9381432094503</v>
      </c>
      <c r="M202" s="46">
        <f>IF('Settings'!$E$9="YAHOO",VLOOKUP(B202,'ADP'!A1:E731,2,FALSE),IF('Settings'!$E$9="ESPN",VLOOKUP(B202,'ADP'!A1:E731,3,FALSE),IF('Settings'!$E$9="FANTRAX",VLOOKUP(B202,'ADP'!A1:E731,4,FALSE),VLOOKUP(B202,'ADP'!A1:E731,5,FALSE))))</f>
        <v>174.04</v>
      </c>
      <c r="N202" s="46">
        <f>_xlfn.IFERROR(M202-A202,"N/A")</f>
        <v>-58.96</v>
      </c>
      <c r="O202" s="46"/>
      <c r="P202" t="s" s="47">
        <f>IF('Settings'!$E$27="ON",VLOOKUP(B202,'ADP'!A1:H731,8,FALSE)," ")</f>
        <v>109</v>
      </c>
      <c r="Q202" s="48">
        <f>IF('Settings'!$E$12="YES",VLOOKUP(B202,'Player Data'!A1:E734,5,FALSE),82)</f>
        <v>76.3060714285714</v>
      </c>
      <c r="R202" s="46">
        <f>VLOOKUP(B202,'Player Data'!$A1:$AE734,6,FALSE)</f>
        <v>15.8014523746662</v>
      </c>
      <c r="S202" s="48">
        <f>VLOOKUP(B202,'Player Data'!$A1:$AE734,7,FALSE)*$Q202*_xlfn.IFERROR((VLOOKUP(P202,'Settings'!$E$28:$F$33,2,FALSE)+1),1)</f>
        <v>22.9003762867699</v>
      </c>
      <c r="T202" s="48">
        <f>VLOOKUP(B202,'Player Data'!$A1:$AE734,8,FALSE)*$Q202*_xlfn.IFERROR((VLOOKUP(P202,'Settings'!$E$28:$F$33,2,FALSE)+1),1)</f>
        <v>29.7945787154829</v>
      </c>
      <c r="U202" s="48">
        <f>SUM(S202:T202)</f>
        <v>52.6949550022528</v>
      </c>
      <c r="V202" s="48">
        <f>VLOOKUP(B202,'Player Data'!$A1:$AE734,10,FALSE)*$Q202*_xlfn.IFERROR(((VLOOKUP(P202,'Settings'!$E$28:$F$33,2,FALSE)/2)+1),1)</f>
        <v>160.177139973651</v>
      </c>
      <c r="W202" s="48">
        <f>VLOOKUP(B202,'Player Data'!$A1:$AE734,11,FALSE)*$Q202*_xlfn.IFERROR((VLOOKUP(P202,'Settings'!$E$28:$F$33,2,FALSE)+1),1)</f>
        <v>5.24103313574686</v>
      </c>
      <c r="X202" s="48">
        <f>VLOOKUP(B202,'Player Data'!$A1:$AE734,12,FALSE)*$Q202*_xlfn.IFERROR((VLOOKUP(P202,'Settings'!$E$28:$F$33,2,FALSE)+1),1)</f>
        <v>11.5910350820221</v>
      </c>
      <c r="Y202" s="48">
        <f>VLOOKUP(B202,'Player Data'!$A1:$AE734,13,FALSE)*$Q202</f>
        <v>0.008564970339893519</v>
      </c>
      <c r="Z202" s="48">
        <f>VLOOKUP(B202,'Player Data'!$A1:$AE734,14,FALSE)*$Q202</f>
        <v>0.0157579284626834</v>
      </c>
      <c r="AA202" s="48">
        <f>VLOOKUP(B202,'Player Data'!$A1:$AE734,15,FALSE)*$Q202</f>
        <v>28.5507869529446</v>
      </c>
      <c r="AB202" s="48">
        <f>VLOOKUP(B202,'Player Data'!$A1:$AE734,16,FALSE)*$Q202</f>
        <v>31.9329012834752</v>
      </c>
      <c r="AC202" s="48">
        <f>VLOOKUP(B202,'Player Data'!$A1:$AE734,17,FALSE)*$Q202*_xlfn.IFERROR((VLOOKUP(P202,'Settings'!$E$28:$F$33,2,FALSE)+1),1)</f>
        <v>5.20743591903825</v>
      </c>
      <c r="AD202" s="48">
        <f>VLOOKUP(B202,'Player Data'!$A1:$AE734,18,FALSE)*$Q202</f>
        <v>24.9299305312585</v>
      </c>
      <c r="AE202" s="48">
        <f>VLOOKUP(B202,'Player Data'!$A1:$AE734,19,FALSE)*$Q202*_xlfn.IFERROR((VLOOKUP(P202,'Settings'!$E$28:$F$33,2,FALSE)+1),1)</f>
        <v>3.66389786386858</v>
      </c>
      <c r="AF202" s="48">
        <f>VLOOKUP(B202,'Player Data'!$A1:$AE734,20,FALSE)*$Q202</f>
        <v>137.816849176967</v>
      </c>
      <c r="AG202" s="48">
        <f>VLOOKUP(B202,'Player Data'!$A1:$AE734,21,FALSE)*$Q202</f>
        <v>119.710833934002</v>
      </c>
      <c r="AH202" s="49">
        <f>VLOOKUP(B202,'Player Data'!$A1:$AE734,22,FALSE)</f>
        <v>0.535153531892652</v>
      </c>
      <c r="AI202" s="46"/>
      <c r="AJ202" s="50"/>
      <c r="AK202" s="48"/>
      <c r="AL202" s="48"/>
      <c r="AM202" s="48"/>
      <c r="AN202" s="48"/>
      <c r="AO202" s="48"/>
      <c r="AP202" s="48"/>
      <c r="AQ202" s="51"/>
      <c r="AR202" s="52"/>
      <c r="AS202" s="50"/>
    </row>
    <row r="203" ht="21.25" customHeight="1">
      <c r="A203" s="53">
        <f>RANK(K203,K2:K730)</f>
        <v>276</v>
      </c>
      <c r="B203" t="s" s="8">
        <v>355</v>
      </c>
      <c r="C203" t="s" s="39">
        <v>106</v>
      </c>
      <c r="D203" t="s" s="40">
        <f>VLOOKUP(B203,'Player Data'!A1:D734,4,FALSE)</f>
        <v>129</v>
      </c>
      <c r="E203" s="56">
        <f>VLOOKUP(B203,'D'!A1:C228,3,FALSE)</f>
        <v>79</v>
      </c>
      <c r="F203" t="s" s="42">
        <f>VLOOKUP(B203,'Player Data'!A1:B734,2,FALSE)</f>
        <v>136</v>
      </c>
      <c r="G203" s="9">
        <f>VLOOKUP(B203,'Player Data'!A1:D734,3,FALSE)</f>
        <v>22</v>
      </c>
      <c r="H203" s="43">
        <f>_xlfn.IFERROR(VLOOKUP(B203,'ADP'!A1:G731,7,FALSE)/1000000,VLOOKUP(B203,'ADP'!A1:G731,7,FALSE))</f>
        <v>0.863</v>
      </c>
      <c r="I203" s="44">
        <f>IF('Settings'!$E$15="POINTS",((R203*Q203)*'Settings'!$B$12)+(S203*'Settings'!$B$2)+(T203*'Settings'!$B$3)+(U203*'Settings'!$B$4)+(V203*'Settings'!$B$5)+(X203*'Settings'!$B$9)+(AA203*'Settings'!$B$6)+(W203*'Settings'!$B$8)+(AB203*'Settings'!$B$7)+(AC203*'Settings'!$B$14)+(AD203*'Settings'!$B$15)+(AE203*'Settings'!$B$16)+(AF203*'Settings'!$B$17)+(AG203*'Settings'!$B$18)+(U203*'Settings'!$B$13)+(Y203*'Settings'!$B$10)+(Z203*'Settings'!$B$11),VLOOKUP(B203,'Standard Deviations'!A1:C731,3,FALSE))</f>
        <v>236.020366283028</v>
      </c>
      <c r="J203" s="45">
        <f>IF(D203="G",I203/AJ203,I203/Q203)</f>
        <v>3.20353398416054</v>
      </c>
      <c r="K203" s="44">
        <f>VLOOKUP(B203,'D'!A1:F228,6,FALSE)</f>
        <v>-104.714772363495</v>
      </c>
      <c r="L203" s="44">
        <f>_xlfn.IFERROR(K203/H203,"N/A")</f>
        <v>-121.338090803586</v>
      </c>
      <c r="M203" t="s" s="61">
        <f>IF('Settings'!$E$9="YAHOO",VLOOKUP(B203,'ADP'!A1:E731,2,FALSE),IF('Settings'!$E$9="ESPN",VLOOKUP(B203,'ADP'!A1:E731,3,FALSE),IF('Settings'!$E$9="FANTRAX",VLOOKUP(B203,'ADP'!A1:E731,4,FALSE),VLOOKUP(B203,'ADP'!A1:E731,5,FALSE))))</f>
        <v>329</v>
      </c>
      <c r="N203" t="s" s="61">
        <f>_xlfn.IFERROR(M203-A203,"N/A")</f>
        <v>158</v>
      </c>
      <c r="O203" s="46"/>
      <c r="P203" t="s" s="47">
        <f>IF('Settings'!$E$27="ON",VLOOKUP(B203,'ADP'!A1:H731,8,FALSE)," ")</f>
        <v>109</v>
      </c>
      <c r="Q203" s="48">
        <f>IF('Settings'!$E$12="YES",VLOOKUP(B203,'Player Data'!A1:E734,5,FALSE),82)</f>
        <v>73.675</v>
      </c>
      <c r="R203" s="46">
        <f>VLOOKUP(B203,'Player Data'!$A1:$AE734,6,FALSE)</f>
        <v>20.3589067745283</v>
      </c>
      <c r="S203" s="48">
        <f>VLOOKUP(B203,'Player Data'!$A1:$AE734,7,FALSE)*$Q203*_xlfn.IFERROR((VLOOKUP(P203,'Settings'!$E$28:$F$33,2,FALSE)+1),1)</f>
        <v>6.46472478605039</v>
      </c>
      <c r="T203" s="48">
        <f>VLOOKUP(B203,'Player Data'!$A1:$AE734,8,FALSE)*$Q203*_xlfn.IFERROR((VLOOKUP(P203,'Settings'!$E$28:$F$33,2,FALSE)+1),1)</f>
        <v>25.1998500856501</v>
      </c>
      <c r="U203" s="48">
        <f>SUM(S203:T203)</f>
        <v>31.6645748717005</v>
      </c>
      <c r="V203" s="48">
        <f>VLOOKUP(B203,'Player Data'!$A1:$AE734,10,FALSE)*$Q203*_xlfn.IFERROR(((VLOOKUP(P203,'Settings'!$E$28:$F$33,2,FALSE)/2)+1),1)</f>
        <v>130.285005931254</v>
      </c>
      <c r="W203" s="48">
        <f>VLOOKUP(B203,'Player Data'!$A1:$AE734,11,FALSE)*$Q203*_xlfn.IFERROR((VLOOKUP(P203,'Settings'!$E$28:$F$33,2,FALSE)+1),1)</f>
        <v>1.62263525229843</v>
      </c>
      <c r="X203" s="48">
        <f>VLOOKUP(B203,'Player Data'!$A1:$AE734,12,FALSE)*$Q203*_xlfn.IFERROR((VLOOKUP(P203,'Settings'!$E$28:$F$33,2,FALSE)+1),1)</f>
        <v>8.721040714838249</v>
      </c>
      <c r="Y203" s="48">
        <f>VLOOKUP(B203,'Player Data'!$A1:$AE734,13,FALSE)*$Q203</f>
        <v>0.0163618156712828</v>
      </c>
      <c r="Z203" s="48">
        <f>VLOOKUP(B203,'Player Data'!$A1:$AE734,14,FALSE)*$Q203</f>
        <v>0.0605264007786549</v>
      </c>
      <c r="AA203" s="48">
        <f>VLOOKUP(B203,'Player Data'!$A1:$AE734,15,FALSE)*$Q203</f>
        <v>96.7856681051385</v>
      </c>
      <c r="AB203" s="48">
        <f>VLOOKUP(B203,'Player Data'!$A1:$AE734,16,FALSE)*$Q203</f>
        <v>70.69265867638821</v>
      </c>
      <c r="AC203" s="48">
        <f>VLOOKUP(B203,'Player Data'!$A1:$AE734,17,FALSE)*$Q203*_xlfn.IFERROR((VLOOKUP(P203,'Settings'!$E$28:$F$33,2,FALSE)+1),1)</f>
        <v>4.79098130718451</v>
      </c>
      <c r="AD203" s="48">
        <f>VLOOKUP(B203,'Player Data'!$A1:$AE734,18,FALSE)*$Q203</f>
        <v>30.7789069668085</v>
      </c>
      <c r="AE203" s="48">
        <f>VLOOKUP(B203,'Player Data'!$A1:$AE734,19,FALSE)*$Q203*_xlfn.IFERROR((VLOOKUP(P203,'Settings'!$E$28:$F$33,2,FALSE)+1),1)</f>
        <v>1.034310136982</v>
      </c>
      <c r="AF203" s="48">
        <f>VLOOKUP(B203,'Player Data'!$A1:$AE734,20,FALSE)*$Q203</f>
        <v>0</v>
      </c>
      <c r="AG203" s="48">
        <f>VLOOKUP(B203,'Player Data'!$A1:$AE734,21,FALSE)*$Q203</f>
        <v>0</v>
      </c>
      <c r="AH203" s="49">
        <f>VLOOKUP(B203,'Player Data'!$A1:$AE734,22,FALSE)</f>
        <v>0</v>
      </c>
      <c r="AI203" s="46"/>
      <c r="AJ203" s="50"/>
      <c r="AK203" s="48"/>
      <c r="AL203" s="48"/>
      <c r="AM203" s="48"/>
      <c r="AN203" s="48"/>
      <c r="AO203" s="48"/>
      <c r="AP203" s="48"/>
      <c r="AQ203" s="51"/>
      <c r="AR203" s="52"/>
      <c r="AS203" s="46"/>
    </row>
    <row r="204" ht="21.25" customHeight="1">
      <c r="A204" s="53">
        <f>RANK(K204,K2:K730)</f>
        <v>285</v>
      </c>
      <c r="B204" t="s" s="8">
        <v>356</v>
      </c>
      <c r="C204" t="s" s="39">
        <v>106</v>
      </c>
      <c r="D204" t="s" s="40">
        <f>VLOOKUP(B204,'Player Data'!A1:D734,4,FALSE)</f>
        <v>107</v>
      </c>
      <c r="E204" s="41">
        <f>VLOOKUP(B204,'C'!A1:C218,3,FALSE)</f>
        <v>75</v>
      </c>
      <c r="F204" t="s" s="42">
        <f>VLOOKUP(B204,'Player Data'!A1:B734,2,FALSE)</f>
        <v>139</v>
      </c>
      <c r="G204" s="9">
        <f>VLOOKUP(B204,'Player Data'!A1:D734,3,FALSE)</f>
        <v>24</v>
      </c>
      <c r="H204" s="43">
        <f>_xlfn.IFERROR(VLOOKUP(B204,'ADP'!A1:G731,7,FALSE)/1000000,VLOOKUP(B204,'ADP'!A1:G731,7,FALSE))</f>
        <v>2.5</v>
      </c>
      <c r="I204" s="44">
        <f>IF('Settings'!$E$15="POINTS",((R204*Q204)*'Settings'!$B$12)+(S204*'Settings'!$B$2)+(T204*'Settings'!$B$3)+(U204*'Settings'!$B$4)+(V204*'Settings'!$B$5)+(X204*'Settings'!$B$9)+(AA204*'Settings'!$B$6)+(W204*'Settings'!$B$8)+(AB204*'Settings'!$B$7)+(AC204*'Settings'!$B$14)+(AD204*'Settings'!$B$15)+(AE204*'Settings'!$B$16)+(AF204*'Settings'!$B$17)+(AG204*'Settings'!$B$18)+(Y204*'Settings'!$B$10)+(Z204*'Settings'!$B$11),VLOOKUP(B204,'Standard Deviations'!A1:C731,3,FALSE))</f>
        <v>287.398662446365</v>
      </c>
      <c r="J204" s="45">
        <f>IF(D204="G",I204/AJ204,I204/Q204)</f>
        <v>3.66579926589751</v>
      </c>
      <c r="K204" s="44">
        <f>IF('Settings'!$E$18="C/LW/RW",VLOOKUP(B204,'C'!A1:F218,6,FALSE),VLOOKUP(B204,'F'!A1:F432,6,FALSE))</f>
        <v>-108.375539189650</v>
      </c>
      <c r="L204" s="44">
        <f>_xlfn.IFERROR(K204/H204,"N/A")</f>
        <v>-43.350215675860</v>
      </c>
      <c r="M204" s="46">
        <f>IF('Settings'!$E$9="YAHOO",VLOOKUP(B204,'ADP'!A1:E731,2,FALSE),IF('Settings'!$E$9="ESPN",VLOOKUP(B204,'ADP'!A1:E731,3,FALSE),IF('Settings'!$E$9="FANTRAX",VLOOKUP(B204,'ADP'!A1:E731,4,FALSE),VLOOKUP(B204,'ADP'!A1:E731,5,FALSE))))</f>
        <v>222.41</v>
      </c>
      <c r="N204" s="46">
        <f>_xlfn.IFERROR(M204-A204,"N/A")</f>
        <v>-62.59</v>
      </c>
      <c r="O204" s="46"/>
      <c r="P204" t="s" s="47">
        <f>IF('Settings'!$E$27="ON",VLOOKUP(B204,'ADP'!A1:H731,8,FALSE)," ")</f>
        <v>116</v>
      </c>
      <c r="Q204" s="48">
        <f>IF('Settings'!$E$12="YES",VLOOKUP(B204,'Player Data'!A1:E734,5,FALSE),82)</f>
        <v>78.40000000000001</v>
      </c>
      <c r="R204" s="46">
        <f>VLOOKUP(B204,'Player Data'!$A1:$AE734,6,FALSE)</f>
        <v>16.5202961431006</v>
      </c>
      <c r="S204" s="48">
        <f>VLOOKUP(B204,'Player Data'!$A1:$AE734,7,FALSE)*$Q204*_xlfn.IFERROR((VLOOKUP(P204,'Settings'!$E$28:$F$33,2,FALSE)+1),1)</f>
        <v>17.1660555714387</v>
      </c>
      <c r="T204" s="48">
        <f>VLOOKUP(B204,'Player Data'!$A1:$AE734,8,FALSE)*$Q204*_xlfn.IFERROR((VLOOKUP(P204,'Settings'!$E$28:$F$33,2,FALSE)+1),1)</f>
        <v>39.6954714854946</v>
      </c>
      <c r="U204" s="48">
        <f>SUM(S204:T204)</f>
        <v>56.8615270569333</v>
      </c>
      <c r="V204" s="48">
        <f>VLOOKUP(B204,'Player Data'!$A1:$AE734,10,FALSE)*$Q204*_xlfn.IFERROR(((VLOOKUP(P204,'Settings'!$E$28:$F$33,2,FALSE)/2)+1),1)</f>
        <v>142.698061041847</v>
      </c>
      <c r="W204" s="48">
        <f>VLOOKUP(B204,'Player Data'!$A1:$AE734,11,FALSE)*$Q204*_xlfn.IFERROR((VLOOKUP(P204,'Settings'!$E$28:$F$33,2,FALSE)+1),1)</f>
        <v>4.46242012545284</v>
      </c>
      <c r="X204" s="48">
        <f>VLOOKUP(B204,'Player Data'!$A1:$AE734,12,FALSE)*$Q204*_xlfn.IFERROR((VLOOKUP(P204,'Settings'!$E$28:$F$33,2,FALSE)+1),1)</f>
        <v>15.4722864079424</v>
      </c>
      <c r="Y204" s="48">
        <f>VLOOKUP(B204,'Player Data'!$A1:$AE734,13,FALSE)*$Q204</f>
        <v>0.247944368224032</v>
      </c>
      <c r="Z204" s="48">
        <f>VLOOKUP(B204,'Player Data'!$A1:$AE734,14,FALSE)*$Q204</f>
        <v>0.327923476673659</v>
      </c>
      <c r="AA204" s="48">
        <f>VLOOKUP(B204,'Player Data'!$A1:$AE734,15,FALSE)*$Q204</f>
        <v>19.4210561451386</v>
      </c>
      <c r="AB204" s="48">
        <f>VLOOKUP(B204,'Player Data'!$A1:$AE734,16,FALSE)*$Q204</f>
        <v>37.3983694862662</v>
      </c>
      <c r="AC204" s="48">
        <f>VLOOKUP(B204,'Player Data'!$A1:$AE734,17,FALSE)*$Q204*_xlfn.IFERROR((VLOOKUP(P204,'Settings'!$E$28:$F$33,2,FALSE)+1),1)</f>
        <v>-2.38826305974369</v>
      </c>
      <c r="AD204" s="48">
        <f>VLOOKUP(B204,'Player Data'!$A1:$AE734,18,FALSE)*$Q204</f>
        <v>16.7325761856807</v>
      </c>
      <c r="AE204" s="48">
        <f>VLOOKUP(B204,'Player Data'!$A1:$AE734,19,FALSE)*$Q204*_xlfn.IFERROR((VLOOKUP(P204,'Settings'!$E$28:$F$33,2,FALSE)+1),1)</f>
        <v>2.19758223820773</v>
      </c>
      <c r="AF204" s="48">
        <f>VLOOKUP(B204,'Player Data'!$A1:$AE734,20,FALSE)*$Q204</f>
        <v>353.275857320107</v>
      </c>
      <c r="AG204" s="48">
        <f>VLOOKUP(B204,'Player Data'!$A1:$AE734,21,FALSE)*$Q204</f>
        <v>412.132277815310</v>
      </c>
      <c r="AH204" s="49">
        <f>VLOOKUP(B204,'Player Data'!$A1:$AE734,22,FALSE)</f>
        <v>0.461552263561459</v>
      </c>
      <c r="AI204" s="46"/>
      <c r="AJ204" s="48"/>
      <c r="AK204" s="48"/>
      <c r="AL204" s="48"/>
      <c r="AM204" s="48"/>
      <c r="AN204" s="48"/>
      <c r="AO204" s="48"/>
      <c r="AP204" s="48"/>
      <c r="AQ204" s="51"/>
      <c r="AR204" s="52"/>
      <c r="AS204" s="46"/>
    </row>
    <row r="205" ht="21.25" customHeight="1">
      <c r="A205" s="53">
        <f>RANK(K205,K2:K730)</f>
        <v>241</v>
      </c>
      <c r="B205" t="s" s="8">
        <v>357</v>
      </c>
      <c r="C205" t="s" s="39">
        <v>106</v>
      </c>
      <c r="D205" t="s" s="40">
        <f>VLOOKUP(B205,'Player Data'!A1:D734,4,FALSE)</f>
        <v>129</v>
      </c>
      <c r="E205" s="56">
        <f>VLOOKUP(B205,'D'!A1:C228,3,FALSE)</f>
        <v>65</v>
      </c>
      <c r="F205" t="s" s="42">
        <f>VLOOKUP(B205,'Player Data'!A1:B734,2,FALSE)</f>
        <v>196</v>
      </c>
      <c r="G205" s="9">
        <f>VLOOKUP(B205,'Player Data'!A1:D734,3,FALSE)</f>
        <v>23</v>
      </c>
      <c r="H205" s="43">
        <f>_xlfn.IFERROR(VLOOKUP(B205,'ADP'!A1:G731,7,FALSE)/1000000,VLOOKUP(B205,'ADP'!A1:G731,7,FALSE))</f>
        <v>0.886667</v>
      </c>
      <c r="I205" s="44">
        <f>IF('Settings'!$E$15="POINTS",((R205*Q205)*'Settings'!$B$12)+(S205*'Settings'!$B$2)+(T205*'Settings'!$B$3)+(U205*'Settings'!$B$4)+(V205*'Settings'!$B$5)+(X205*'Settings'!$B$9)+(AA205*'Settings'!$B$6)+(W205*'Settings'!$B$8)+(AB205*'Settings'!$B$7)+(AC205*'Settings'!$B$14)+(AD205*'Settings'!$B$15)+(AE205*'Settings'!$B$16)+(AF205*'Settings'!$B$17)+(AG205*'Settings'!$B$18)+(U205*'Settings'!$B$13)+(Y205*'Settings'!$B$10)+(Z205*'Settings'!$B$11),VLOOKUP(B205,'Standard Deviations'!A1:C731,3,FALSE))</f>
        <v>251.600023594446</v>
      </c>
      <c r="J205" s="45">
        <f>IF(D205="G",I205/AJ205,I205/Q205)</f>
        <v>3.24571901305442</v>
      </c>
      <c r="K205" s="44">
        <f>VLOOKUP(B205,'D'!A1:F228,6,FALSE)</f>
        <v>-89.135115052077</v>
      </c>
      <c r="L205" s="44">
        <f>_xlfn.IFERROR(K205/H205,"N/A")</f>
        <v>-100.528287454114</v>
      </c>
      <c r="M205" s="46">
        <f>IF('Settings'!$E$9="YAHOO",VLOOKUP(B205,'ADP'!A1:E731,2,FALSE),IF('Settings'!$E$9="ESPN",VLOOKUP(B205,'ADP'!A1:E731,3,FALSE),IF('Settings'!$E$9="FANTRAX",VLOOKUP(B205,'ADP'!A1:E731,4,FALSE),VLOOKUP(B205,'ADP'!A1:E731,5,FALSE))))</f>
        <v>400.07</v>
      </c>
      <c r="N205" s="46">
        <f>_xlfn.IFERROR(M205-A205,"N/A")</f>
        <v>159.07</v>
      </c>
      <c r="O205" s="46"/>
      <c r="P205" t="s" s="47">
        <f>IF('Settings'!$E$27="ON",VLOOKUP(B205,'ADP'!A1:H731,8,FALSE)," ")</f>
        <v>109</v>
      </c>
      <c r="Q205" s="48">
        <f>IF('Settings'!$E$12="YES",VLOOKUP(B205,'Player Data'!A1:E734,5,FALSE),82)</f>
        <v>77.5175</v>
      </c>
      <c r="R205" s="46">
        <f>VLOOKUP(B205,'Player Data'!$A1:$AE734,6,FALSE)</f>
        <v>22.4097931543804</v>
      </c>
      <c r="S205" s="48">
        <f>VLOOKUP(B205,'Player Data'!$A1:$AE734,7,FALSE)*$Q205*_xlfn.IFERROR((VLOOKUP(P205,'Settings'!$E$28:$F$33,2,FALSE)+1),1)</f>
        <v>7.74495702260392</v>
      </c>
      <c r="T205" s="48">
        <f>VLOOKUP(B205,'Player Data'!$A1:$AE734,8,FALSE)*$Q205*_xlfn.IFERROR((VLOOKUP(P205,'Settings'!$E$28:$F$33,2,FALSE)+1),1)</f>
        <v>25.7653163338223</v>
      </c>
      <c r="U205" s="48">
        <f>SUM(S205:T205)</f>
        <v>33.5102733564262</v>
      </c>
      <c r="V205" s="48">
        <f>VLOOKUP(B205,'Player Data'!$A1:$AE734,10,FALSE)*$Q205*_xlfn.IFERROR(((VLOOKUP(P205,'Settings'!$E$28:$F$33,2,FALSE)/2)+1),1)</f>
        <v>98.5436213637098</v>
      </c>
      <c r="W205" s="48">
        <f>VLOOKUP(B205,'Player Data'!$A1:$AE734,11,FALSE)*$Q205*_xlfn.IFERROR((VLOOKUP(P205,'Settings'!$E$28:$F$33,2,FALSE)+1),1)</f>
        <v>2.66472339816158</v>
      </c>
      <c r="X205" s="48">
        <f>VLOOKUP(B205,'Player Data'!$A1:$AE734,12,FALSE)*$Q205*_xlfn.IFERROR((VLOOKUP(P205,'Settings'!$E$28:$F$33,2,FALSE)+1),1)</f>
        <v>9.68211858009184</v>
      </c>
      <c r="Y205" s="48">
        <f>VLOOKUP(B205,'Player Data'!$A1:$AE734,13,FALSE)*$Q205</f>
        <v>0.0308566773272903</v>
      </c>
      <c r="Z205" s="48">
        <f>VLOOKUP(B205,'Player Data'!$A1:$AE734,14,FALSE)*$Q205</f>
        <v>0.162673606193872</v>
      </c>
      <c r="AA205" s="48">
        <f>VLOOKUP(B205,'Player Data'!$A1:$AE734,15,FALSE)*$Q205</f>
        <v>134.367502847185</v>
      </c>
      <c r="AB205" s="48">
        <f>VLOOKUP(B205,'Player Data'!$A1:$AE734,16,FALSE)*$Q205</f>
        <v>90.6834346937039</v>
      </c>
      <c r="AC205" s="48">
        <f>VLOOKUP(B205,'Player Data'!$A1:$AE734,17,FALSE)*$Q205*_xlfn.IFERROR((VLOOKUP(P205,'Settings'!$E$28:$F$33,2,FALSE)+1),1)</f>
        <v>-4.97421107032316</v>
      </c>
      <c r="AD205" s="48">
        <f>VLOOKUP(B205,'Player Data'!$A1:$AE734,18,FALSE)*$Q205</f>
        <v>36.7713197670963</v>
      </c>
      <c r="AE205" s="48">
        <f>VLOOKUP(B205,'Player Data'!$A1:$AE734,19,FALSE)*$Q205*_xlfn.IFERROR((VLOOKUP(P205,'Settings'!$E$28:$F$33,2,FALSE)+1),1)</f>
        <v>0.977387227094019</v>
      </c>
      <c r="AF205" s="48">
        <f>VLOOKUP(B205,'Player Data'!$A1:$AE734,20,FALSE)*$Q205</f>
        <v>0</v>
      </c>
      <c r="AG205" s="48">
        <f>VLOOKUP(B205,'Player Data'!$A1:$AE734,21,FALSE)*$Q205</f>
        <v>0</v>
      </c>
      <c r="AH205" s="49">
        <f>VLOOKUP(B205,'Player Data'!$A1:$AE734,22,FALSE)</f>
        <v>0</v>
      </c>
      <c r="AI205" s="46"/>
      <c r="AJ205" s="48"/>
      <c r="AK205" s="48"/>
      <c r="AL205" s="48"/>
      <c r="AM205" s="48"/>
      <c r="AN205" s="48"/>
      <c r="AO205" s="48"/>
      <c r="AP205" s="48"/>
      <c r="AQ205" s="51"/>
      <c r="AR205" s="52"/>
      <c r="AS205" s="46"/>
    </row>
    <row r="206" ht="21.25" customHeight="1">
      <c r="A206" s="53">
        <f>RANK(K206,K2:K730)</f>
        <v>291</v>
      </c>
      <c r="B206" t="s" s="8">
        <v>358</v>
      </c>
      <c r="C206" t="s" s="39">
        <v>106</v>
      </c>
      <c r="D206" t="s" s="40">
        <f>VLOOKUP(B206,'Player Data'!A1:D734,4,FALSE)</f>
        <v>129</v>
      </c>
      <c r="E206" s="56">
        <f>VLOOKUP(B206,'D'!A1:C228,3,FALSE)</f>
        <v>88</v>
      </c>
      <c r="F206" t="s" s="42">
        <f>VLOOKUP(B206,'Player Data'!A1:B734,2,FALSE)</f>
        <v>184</v>
      </c>
      <c r="G206" s="9">
        <f>VLOOKUP(B206,'Player Data'!A1:D734,3,FALSE)</f>
        <v>30</v>
      </c>
      <c r="H206" s="43">
        <f>_xlfn.IFERROR(VLOOKUP(B206,'ADP'!A1:G731,7,FALSE)/1000000,VLOOKUP(B206,'ADP'!A1:G731,7,FALSE))</f>
        <v>4.125</v>
      </c>
      <c r="I206" s="44">
        <f>IF('Settings'!$E$15="POINTS",((R206*Q206)*'Settings'!$B$12)+(S206*'Settings'!$B$2)+(T206*'Settings'!$B$3)+(U206*'Settings'!$B$4)+(V206*'Settings'!$B$5)+(X206*'Settings'!$B$9)+(AA206*'Settings'!$B$6)+(W206*'Settings'!$B$8)+(AB206*'Settings'!$B$7)+(AC206*'Settings'!$B$14)+(AD206*'Settings'!$B$15)+(AE206*'Settings'!$B$16)+(AF206*'Settings'!$B$17)+(AG206*'Settings'!$B$18)+(U206*'Settings'!$B$13)+(Y206*'Settings'!$B$10)+(Z206*'Settings'!$B$11),VLOOKUP(B206,'Standard Deviations'!A1:C731,3,FALSE))</f>
        <v>229.587469227767</v>
      </c>
      <c r="J206" s="45">
        <f>IF(D206="G",I206/AJ206,I206/Q206)</f>
        <v>2.92129201262297</v>
      </c>
      <c r="K206" s="44">
        <f>VLOOKUP(B206,'D'!A1:F228,6,FALSE)</f>
        <v>-111.147669418756</v>
      </c>
      <c r="L206" s="44">
        <f>_xlfn.IFERROR(K206/H206,"N/A")</f>
        <v>-26.9448895560621</v>
      </c>
      <c r="M206" s="46">
        <f>IF('Settings'!$E$9="YAHOO",VLOOKUP(B206,'ADP'!A1:E731,2,FALSE),IF('Settings'!$E$9="ESPN",VLOOKUP(B206,'ADP'!A1:E731,3,FALSE),IF('Settings'!$E$9="FANTRAX",VLOOKUP(B206,'ADP'!A1:E731,4,FALSE),VLOOKUP(B206,'ADP'!A1:E731,5,FALSE))))</f>
        <v>161.16</v>
      </c>
      <c r="N206" s="46">
        <f>_xlfn.IFERROR(M206-A206,"N/A")</f>
        <v>-129.84</v>
      </c>
      <c r="O206" s="46"/>
      <c r="P206" t="s" s="47">
        <f>IF('Settings'!$E$27="ON",VLOOKUP(B206,'ADP'!A1:H731,8,FALSE)," ")</f>
        <v>109</v>
      </c>
      <c r="Q206" s="48">
        <f>IF('Settings'!$E$12="YES",VLOOKUP(B206,'Player Data'!A1:E734,5,FALSE),82)</f>
        <v>78.5910714285714</v>
      </c>
      <c r="R206" s="46">
        <f>VLOOKUP(B206,'Player Data'!$A1:$AE734,6,FALSE)</f>
        <v>17.5118288729951</v>
      </c>
      <c r="S206" s="48">
        <f>VLOOKUP(B206,'Player Data'!$A1:$AE734,7,FALSE)*$Q206*_xlfn.IFERROR((VLOOKUP(P206,'Settings'!$E$28:$F$33,2,FALSE)+1),1)</f>
        <v>9.70986904217648</v>
      </c>
      <c r="T206" s="48">
        <f>VLOOKUP(B206,'Player Data'!$A1:$AE734,8,FALSE)*$Q206*_xlfn.IFERROR((VLOOKUP(P206,'Settings'!$E$28:$F$33,2,FALSE)+1),1)</f>
        <v>22.7393001831333</v>
      </c>
      <c r="U206" s="48">
        <f>SUM(S206:T206)</f>
        <v>32.4491692253098</v>
      </c>
      <c r="V206" s="48">
        <f>VLOOKUP(B206,'Player Data'!$A1:$AE734,10,FALSE)*$Q206*_xlfn.IFERROR(((VLOOKUP(P206,'Settings'!$E$28:$F$33,2,FALSE)/2)+1),1)</f>
        <v>122.817856263786</v>
      </c>
      <c r="W206" s="48">
        <f>VLOOKUP(B206,'Player Data'!$A1:$AE734,11,FALSE)*$Q206*_xlfn.IFERROR((VLOOKUP(P206,'Settings'!$E$28:$F$33,2,FALSE)+1),1)</f>
        <v>2.59653344706117</v>
      </c>
      <c r="X206" s="48">
        <f>VLOOKUP(B206,'Player Data'!$A1:$AE734,12,FALSE)*$Q206*_xlfn.IFERROR((VLOOKUP(P206,'Settings'!$E$28:$F$33,2,FALSE)+1),1)</f>
        <v>9.665234905180039</v>
      </c>
      <c r="Y206" s="48">
        <f>VLOOKUP(B206,'Player Data'!$A1:$AE734,13,FALSE)*$Q206</f>
        <v>0.260568991355565</v>
      </c>
      <c r="Z206" s="48">
        <f>VLOOKUP(B206,'Player Data'!$A1:$AE734,14,FALSE)*$Q206</f>
        <v>0.285992964612704</v>
      </c>
      <c r="AA206" s="48">
        <f>VLOOKUP(B206,'Player Data'!$A1:$AE734,15,FALSE)*$Q206</f>
        <v>84.0188134295386</v>
      </c>
      <c r="AB206" s="48">
        <f>VLOOKUP(B206,'Player Data'!$A1:$AE734,16,FALSE)*$Q206</f>
        <v>54.7393488507411</v>
      </c>
      <c r="AC206" s="48">
        <f>VLOOKUP(B206,'Player Data'!$A1:$AE734,17,FALSE)*$Q206*_xlfn.IFERROR((VLOOKUP(P206,'Settings'!$E$28:$F$33,2,FALSE)+1),1)</f>
        <v>-2.21331542843584</v>
      </c>
      <c r="AD206" s="48">
        <f>VLOOKUP(B206,'Player Data'!$A1:$AE734,18,FALSE)*$Q206</f>
        <v>20.5379829363999</v>
      </c>
      <c r="AE206" s="48">
        <f>VLOOKUP(B206,'Player Data'!$A1:$AE734,19,FALSE)*$Q206*_xlfn.IFERROR((VLOOKUP(P206,'Settings'!$E$28:$F$33,2,FALSE)+1),1)</f>
        <v>1.28496386812121</v>
      </c>
      <c r="AF206" s="48">
        <f>VLOOKUP(B206,'Player Data'!$A1:$AE734,20,FALSE)*$Q206</f>
        <v>0</v>
      </c>
      <c r="AG206" s="48">
        <f>VLOOKUP(B206,'Player Data'!$A1:$AE734,21,FALSE)*$Q206</f>
        <v>0</v>
      </c>
      <c r="AH206" s="49">
        <f>VLOOKUP(B206,'Player Data'!$A1:$AE734,22,FALSE)</f>
        <v>0</v>
      </c>
      <c r="AI206" s="46"/>
      <c r="AJ206" s="50"/>
      <c r="AK206" s="48"/>
      <c r="AL206" s="48"/>
      <c r="AM206" s="48"/>
      <c r="AN206" s="48"/>
      <c r="AO206" s="48"/>
      <c r="AP206" s="48"/>
      <c r="AQ206" s="51"/>
      <c r="AR206" s="52"/>
      <c r="AS206" s="46"/>
    </row>
    <row r="207" ht="21.25" customHeight="1">
      <c r="A207" s="53">
        <f>RANK(K207,K2:K730)</f>
        <v>121</v>
      </c>
      <c r="B207" t="s" s="8">
        <v>359</v>
      </c>
      <c r="C207" t="s" s="39">
        <v>106</v>
      </c>
      <c r="D207" t="s" s="40">
        <f>VLOOKUP(B207,'Player Data'!A1:D734,4,FALSE)</f>
        <v>146</v>
      </c>
      <c r="E207" s="58">
        <f>VLOOKUP(B207,'G'!A1:D75,3,FALSE)</f>
        <v>24</v>
      </c>
      <c r="F207" t="s" s="42">
        <f>VLOOKUP(B207,'Player Data'!A1:B734,2,FALSE)</f>
        <v>248</v>
      </c>
      <c r="G207" s="9">
        <f>VLOOKUP(B207,'Player Data'!A1:D734,3,FALSE)</f>
        <v>31</v>
      </c>
      <c r="H207" s="43">
        <f>_xlfn.IFERROR(VLOOKUP(B207,'ADP'!A1:G731,7,FALSE)/1000000,VLOOKUP(B207,'ADP'!A1:G731,7,FALSE))</f>
        <v>5.9</v>
      </c>
      <c r="I207" s="44">
        <f>IF('Settings'!$E$15="POINTS",(AJ207*'Settings'!$B$29)+(AK207*'Settings'!$B$21)+(AL207*'Settings'!$B$22)+(AN207*'Settings'!$B$24)+(AO207*'Settings'!$B$25)+(AP207*'Settings'!$B$27)+(AM207*'Settings'!$B$23),VLOOKUP(B207,'Standard Deviations'!A1:C731,3,FALSE))</f>
        <v>260.795211721021</v>
      </c>
      <c r="J207" s="45">
        <f>IF(D207="G",I207/AJ207,I207/Q207)</f>
        <v>5.54883429193662</v>
      </c>
      <c r="K207" s="44">
        <f>VLOOKUP(B207,'G'!A1:F75,6,FALSE)</f>
        <v>-4.508009778667</v>
      </c>
      <c r="L207" s="44">
        <f>_xlfn.IFERROR(K207/H207,"N/A")</f>
        <v>-0.764069454011356</v>
      </c>
      <c r="M207" s="46">
        <f>IF('Settings'!$E$9="YAHOO",VLOOKUP(B207,'ADP'!A1:E731,2,FALSE),IF('Settings'!$E$9="ESPN",VLOOKUP(B207,'ADP'!A1:E731,3,FALSE),IF('Settings'!$E$9="FANTRAX",VLOOKUP(B207,'ADP'!A1:E731,4,FALSE),VLOOKUP(B207,'ADP'!A1:E731,5,FALSE))))</f>
        <v>205.53</v>
      </c>
      <c r="N207" s="46">
        <f>_xlfn.IFERROR(M207-A207,"N/A")</f>
        <v>84.53</v>
      </c>
      <c r="O207" s="46"/>
      <c r="P207" t="s" s="47">
        <f>IF('Settings'!$E$27="ON",VLOOKUP(B207,'ADP'!A1:H731,8,FALSE)," ")</f>
        <v>116</v>
      </c>
      <c r="Q207" s="48"/>
      <c r="R207" s="59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9"/>
      <c r="AI207" s="46"/>
      <c r="AJ207" s="50">
        <f>VLOOKUP(B207,'Player Data'!$A1:$AE734,24,FALSE)</f>
        <v>47</v>
      </c>
      <c r="AK207" s="48">
        <f>VLOOKUP(B207,'Player Data'!$A1:$AE734,25,FALSE)*$AJ207*_xlfn.IFERROR((VLOOKUP(P207,'Settings'!$E$28:$F$33,2,FALSE)+1),1)</f>
        <v>24.4644702684675</v>
      </c>
      <c r="AL207" s="48">
        <f>AJ207-AK207-AM207</f>
        <v>16.6605297315325</v>
      </c>
      <c r="AM207" s="48">
        <f>VLOOKUP(B207,'Player Data'!$A1:$AE734,27,FALSE)*$AJ207</f>
        <v>5.875</v>
      </c>
      <c r="AN207" s="48">
        <f>VLOOKUP(B207,'Player Data'!$A1:$AE734,28,FALSE)*AJ207</f>
        <v>2.5101718470208</v>
      </c>
      <c r="AO207" s="48">
        <f>VLOOKUP(B207,'Player Data'!$A1:$AE734,29,FALSE)*$AJ207*_xlfn.IFERROR((VLOOKUP(P207,'Settings'!$E$28:$F$33,2,FALSE)/4)+1,1)</f>
        <v>1259.892306030390</v>
      </c>
      <c r="AP207" s="48">
        <f>VLOOKUP(B207,'Player Data'!$A1:$AE734,31,FALSE)*$AJ207*(_xlfn.IFERROR(1-(VLOOKUP(P207,'Settings'!$E$28:$F$33,2,FALSE)/4),1))</f>
        <v>132.064270956374</v>
      </c>
      <c r="AQ207" s="51">
        <f>1-(AP207/(AO207+AP207))</f>
        <v>0.905123282478926</v>
      </c>
      <c r="AR207" s="52">
        <f>AP207/AJ207</f>
        <v>2.80987810545477</v>
      </c>
      <c r="AS207" s="46"/>
    </row>
    <row r="208" ht="21.25" customHeight="1">
      <c r="A208" s="53">
        <f>RANK(K208,K2:K730)</f>
        <v>207</v>
      </c>
      <c r="B208" t="s" s="8">
        <v>360</v>
      </c>
      <c r="C208" t="s" s="39">
        <v>106</v>
      </c>
      <c r="D208" t="s" s="40">
        <f>VLOOKUP(B208,'Player Data'!A1:D734,4,FALSE)</f>
        <v>129</v>
      </c>
      <c r="E208" s="56">
        <f>VLOOKUP(B208,'D'!A1:C228,3,FALSE)</f>
        <v>51</v>
      </c>
      <c r="F208" t="s" s="42">
        <f>VLOOKUP(B208,'Player Data'!A1:B734,2,FALSE)</f>
        <v>170</v>
      </c>
      <c r="G208" s="9">
        <f>VLOOKUP(B208,'Player Data'!A1:D734,3,FALSE)</f>
        <v>35</v>
      </c>
      <c r="H208" s="43">
        <f>_xlfn.IFERROR(VLOOKUP(B208,'ADP'!A1:G731,7,FALSE)/1000000,VLOOKUP(B208,'ADP'!A1:G731,7,FALSE))</f>
        <v>6.25</v>
      </c>
      <c r="I208" s="44">
        <f>IF('Settings'!$E$15="POINTS",((R208*Q208)*'Settings'!$B$12)+(S208*'Settings'!$B$2)+(T208*'Settings'!$B$3)+(U208*'Settings'!$B$4)+(V208*'Settings'!$B$5)+(X208*'Settings'!$B$9)+(AA208*'Settings'!$B$6)+(W208*'Settings'!$B$8)+(AB208*'Settings'!$B$7)+(AC208*'Settings'!$B$14)+(AD208*'Settings'!$B$15)+(AE208*'Settings'!$B$16)+(AF208*'Settings'!$B$17)+(AG208*'Settings'!$B$18)+(U208*'Settings'!$B$13)+(Y208*'Settings'!$B$10)+(Z208*'Settings'!$B$11),VLOOKUP(B208,'Standard Deviations'!A1:C731,3,FALSE))</f>
        <v>268.825948808939</v>
      </c>
      <c r="J208" s="45">
        <f>IF(D208="G",I208/AJ208,I208/Q208)</f>
        <v>3.52646163527728</v>
      </c>
      <c r="K208" s="44">
        <f>VLOOKUP(B208,'D'!A1:F228,6,FALSE)</f>
        <v>-71.90918983758399</v>
      </c>
      <c r="L208" s="44">
        <f>_xlfn.IFERROR(K208/H208,"N/A")</f>
        <v>-11.5054703740134</v>
      </c>
      <c r="M208" s="46">
        <f>IF('Settings'!$E$9="YAHOO",VLOOKUP(B208,'ADP'!A1:E731,2,FALSE),IF('Settings'!$E$9="ESPN",VLOOKUP(B208,'ADP'!A1:E731,3,FALSE),IF('Settings'!$E$9="FANTRAX",VLOOKUP(B208,'ADP'!A1:E731,4,FALSE),VLOOKUP(B208,'ADP'!A1:E731,5,FALSE))))</f>
        <v>208.82</v>
      </c>
      <c r="N208" s="46">
        <f>_xlfn.IFERROR(M208-A208,"N/A")</f>
        <v>1.82</v>
      </c>
      <c r="O208" s="46"/>
      <c r="P208" t="s" s="47">
        <f>IF('Settings'!$E$27="ON",VLOOKUP(B208,'ADP'!A1:H731,8,FALSE)," ")</f>
        <v>109</v>
      </c>
      <c r="Q208" s="48">
        <f>IF('Settings'!$E$12="YES",VLOOKUP(B208,'Player Data'!A1:E734,5,FALSE),82)</f>
        <v>76.2310714285714</v>
      </c>
      <c r="R208" s="46">
        <f>VLOOKUP(B208,'Player Data'!$A1:$AE734,6,FALSE)</f>
        <v>19.9386875110429</v>
      </c>
      <c r="S208" s="48">
        <f>VLOOKUP(B208,'Player Data'!$A1:$AE734,7,FALSE)*$Q208*_xlfn.IFERROR((VLOOKUP(P208,'Settings'!$E$28:$F$33,2,FALSE)+1),1)</f>
        <v>6.57693255636199</v>
      </c>
      <c r="T208" s="48">
        <f>VLOOKUP(B208,'Player Data'!$A1:$AE734,8,FALSE)*$Q208*_xlfn.IFERROR((VLOOKUP(P208,'Settings'!$E$28:$F$33,2,FALSE)+1),1)</f>
        <v>24.5458104302299</v>
      </c>
      <c r="U208" s="48">
        <f>SUM(S208:T208)</f>
        <v>31.1227429865919</v>
      </c>
      <c r="V208" s="48">
        <f>VLOOKUP(B208,'Player Data'!$A1:$AE734,10,FALSE)*$Q208*_xlfn.IFERROR(((VLOOKUP(P208,'Settings'!$E$28:$F$33,2,FALSE)/2)+1),1)</f>
        <v>126.718395145449</v>
      </c>
      <c r="W208" s="48">
        <f>VLOOKUP(B208,'Player Data'!$A1:$AE734,11,FALSE)*$Q208*_xlfn.IFERROR((VLOOKUP(P208,'Settings'!$E$28:$F$33,2,FALSE)+1),1)</f>
        <v>1.46512827437687</v>
      </c>
      <c r="X208" s="48">
        <f>VLOOKUP(B208,'Player Data'!$A1:$AE734,12,FALSE)*$Q208*_xlfn.IFERROR((VLOOKUP(P208,'Settings'!$E$28:$F$33,2,FALSE)+1),1)</f>
        <v>7.06973682443419</v>
      </c>
      <c r="Y208" s="48">
        <f>VLOOKUP(B208,'Player Data'!$A1:$AE734,13,FALSE)*$Q208</f>
        <v>0.0231848044877991</v>
      </c>
      <c r="Z208" s="48">
        <f>VLOOKUP(B208,'Player Data'!$A1:$AE734,14,FALSE)*$Q208</f>
        <v>0.430696329217805</v>
      </c>
      <c r="AA208" s="48">
        <f>VLOOKUP(B208,'Player Data'!$A1:$AE734,15,FALSE)*$Q208</f>
        <v>117.288761909168</v>
      </c>
      <c r="AB208" s="48">
        <f>VLOOKUP(B208,'Player Data'!$A1:$AE734,16,FALSE)*$Q208</f>
        <v>170.909399315505</v>
      </c>
      <c r="AC208" s="48">
        <f>VLOOKUP(B208,'Player Data'!$A1:$AE734,17,FALSE)*$Q208*_xlfn.IFERROR((VLOOKUP(P208,'Settings'!$E$28:$F$33,2,FALSE)+1),1)</f>
        <v>-0.761922662354136</v>
      </c>
      <c r="AD208" s="48">
        <f>VLOOKUP(B208,'Player Data'!$A1:$AE734,18,FALSE)*$Q208</f>
        <v>31.6258675078096</v>
      </c>
      <c r="AE208" s="48">
        <f>VLOOKUP(B208,'Player Data'!$A1:$AE734,19,FALSE)*$Q208*_xlfn.IFERROR((VLOOKUP(P208,'Settings'!$E$28:$F$33,2,FALSE)+1),1)</f>
        <v>1.0557293680403</v>
      </c>
      <c r="AF208" s="48">
        <f>VLOOKUP(B208,'Player Data'!$A1:$AE734,20,FALSE)*$Q208</f>
        <v>0</v>
      </c>
      <c r="AG208" s="48">
        <f>VLOOKUP(B208,'Player Data'!$A1:$AE734,21,FALSE)*$Q208</f>
        <v>0</v>
      </c>
      <c r="AH208" s="49">
        <f>VLOOKUP(B208,'Player Data'!$A1:$AE734,22,FALSE)</f>
        <v>0</v>
      </c>
      <c r="AI208" s="46"/>
      <c r="AJ208" s="50"/>
      <c r="AK208" s="48"/>
      <c r="AL208" s="48"/>
      <c r="AM208" s="48"/>
      <c r="AN208" s="48"/>
      <c r="AO208" s="48"/>
      <c r="AP208" s="48"/>
      <c r="AQ208" s="51"/>
      <c r="AR208" s="52"/>
      <c r="AS208" s="46"/>
    </row>
    <row r="209" ht="21.25" customHeight="1">
      <c r="A209" s="53">
        <f>RANK(K209,K2:K730)</f>
        <v>287</v>
      </c>
      <c r="B209" t="s" s="8">
        <v>361</v>
      </c>
      <c r="C209" t="s" s="39">
        <v>106</v>
      </c>
      <c r="D209" t="s" s="40">
        <f>VLOOKUP(B209,'Player Data'!A1:D734,4,FALSE)</f>
        <v>129</v>
      </c>
      <c r="E209" s="56">
        <f>VLOOKUP(B209,'D'!A1:C228,3,FALSE)</f>
        <v>85</v>
      </c>
      <c r="F209" t="s" s="42">
        <f>VLOOKUP(B209,'Player Data'!A1:B734,2,FALSE)</f>
        <v>234</v>
      </c>
      <c r="G209" s="9">
        <f>VLOOKUP(B209,'Player Data'!A1:D734,3,FALSE)</f>
        <v>21</v>
      </c>
      <c r="H209" s="43">
        <f>_xlfn.IFERROR(VLOOKUP(B209,'ADP'!A1:G731,7,FALSE)/1000000,VLOOKUP(B209,'ADP'!A1:G731,7,FALSE))</f>
        <v>0</v>
      </c>
      <c r="I209" s="44">
        <f>IF('Settings'!$E$15="POINTS",((R209*Q209)*'Settings'!$B$12)+(S209*'Settings'!$B$2)+(T209*'Settings'!$B$3)+(U209*'Settings'!$B$4)+(V209*'Settings'!$B$5)+(X209*'Settings'!$B$9)+(AA209*'Settings'!$B$6)+(W209*'Settings'!$B$8)+(AB209*'Settings'!$B$7)+(AC209*'Settings'!$B$14)+(AD209*'Settings'!$B$15)+(AE209*'Settings'!$B$16)+(AF209*'Settings'!$B$17)+(AG209*'Settings'!$B$18)+(U209*'Settings'!$B$13)+(Y209*'Settings'!$B$10)+(Z209*'Settings'!$B$11),VLOOKUP(B209,'Standard Deviations'!A1:C731,3,FALSE))</f>
        <v>231.423625796781</v>
      </c>
      <c r="J209" s="45">
        <f>IF(D209="G",I209/AJ209,I209/Q209)</f>
        <v>3.17249928877208</v>
      </c>
      <c r="K209" s="44">
        <f>VLOOKUP(B209,'D'!A1:F228,6,FALSE)</f>
        <v>-109.311512849742</v>
      </c>
      <c r="L209" t="s" s="60">
        <f>_xlfn.IFERROR(K209/H209,"N/A")</f>
        <v>158</v>
      </c>
      <c r="M209" s="46">
        <f>IF('Settings'!$E$9="YAHOO",VLOOKUP(B209,'ADP'!A1:E731,2,FALSE),IF('Settings'!$E$9="ESPN",VLOOKUP(B209,'ADP'!A1:E731,3,FALSE),IF('Settings'!$E$9="FANTRAX",VLOOKUP(B209,'ADP'!A1:E731,4,FALSE),VLOOKUP(B209,'ADP'!A1:E731,5,FALSE))))</f>
        <v>220.36</v>
      </c>
      <c r="N209" s="46">
        <f>_xlfn.IFERROR(M209-A209,"N/A")</f>
        <v>-66.64</v>
      </c>
      <c r="O209" s="46"/>
      <c r="P209" t="s" s="47">
        <f>IF('Settings'!$E$27="ON",VLOOKUP(B209,'ADP'!A1:H731,8,FALSE)," ")</f>
        <v>116</v>
      </c>
      <c r="Q209" s="48">
        <f>IF('Settings'!$E$12="YES",VLOOKUP(B209,'Player Data'!A1:E734,5,FALSE),82)</f>
        <v>72.9467857142857</v>
      </c>
      <c r="R209" s="46">
        <f>VLOOKUP(B209,'Player Data'!$A1:$AE734,6,FALSE)</f>
        <v>21.8423006121808</v>
      </c>
      <c r="S209" s="48">
        <f>VLOOKUP(B209,'Player Data'!$A1:$AE734,7,FALSE)*$Q209*_xlfn.IFERROR((VLOOKUP(P209,'Settings'!$E$28:$F$33,2,FALSE)+1),1)</f>
        <v>5.60300062043363</v>
      </c>
      <c r="T209" s="48">
        <f>VLOOKUP(B209,'Player Data'!$A1:$AE734,8,FALSE)*$Q209*_xlfn.IFERROR((VLOOKUP(P209,'Settings'!$E$28:$F$33,2,FALSE)+1),1)</f>
        <v>25.3878972067762</v>
      </c>
      <c r="U209" s="48">
        <f>SUM(S209:T209)</f>
        <v>30.9908978272098</v>
      </c>
      <c r="V209" s="48">
        <f>VLOOKUP(B209,'Player Data'!$A1:$AE734,10,FALSE)*$Q209*_xlfn.IFERROR(((VLOOKUP(P209,'Settings'!$E$28:$F$33,2,FALSE)/2)+1),1)</f>
        <v>122.987922637301</v>
      </c>
      <c r="W209" s="48">
        <f>VLOOKUP(B209,'Player Data'!$A1:$AE734,11,FALSE)*$Q209*_xlfn.IFERROR((VLOOKUP(P209,'Settings'!$E$28:$F$33,2,FALSE)+1),1)</f>
        <v>0.477963678231358</v>
      </c>
      <c r="X209" s="48">
        <f>VLOOKUP(B209,'Player Data'!$A1:$AE734,12,FALSE)*$Q209*_xlfn.IFERROR((VLOOKUP(P209,'Settings'!$E$28:$F$33,2,FALSE)+1),1)</f>
        <v>9.93233565310954</v>
      </c>
      <c r="Y209" s="48">
        <f>VLOOKUP(B209,'Player Data'!$A1:$AE734,13,FALSE)*$Q209</f>
        <v>0.117691750385198</v>
      </c>
      <c r="Z209" s="48">
        <f>VLOOKUP(B209,'Player Data'!$A1:$AE734,14,FALSE)*$Q209</f>
        <v>0.442023920914034</v>
      </c>
      <c r="AA209" s="48">
        <f>VLOOKUP(B209,'Player Data'!$A1:$AE734,15,FALSE)*$Q209</f>
        <v>96.856733986739</v>
      </c>
      <c r="AB209" s="48">
        <f>VLOOKUP(B209,'Player Data'!$A1:$AE734,16,FALSE)*$Q209</f>
        <v>76.9602209226119</v>
      </c>
      <c r="AC209" s="48">
        <f>VLOOKUP(B209,'Player Data'!$A1:$AE734,17,FALSE)*$Q209*_xlfn.IFERROR((VLOOKUP(P209,'Settings'!$E$28:$F$33,2,FALSE)+1),1)</f>
        <v>-9.03054167336467</v>
      </c>
      <c r="AD209" s="48">
        <f>VLOOKUP(B209,'Player Data'!$A1:$AE734,18,FALSE)*$Q209</f>
        <v>24.0907167218463</v>
      </c>
      <c r="AE209" s="48">
        <f>VLOOKUP(B209,'Player Data'!$A1:$AE734,19,FALSE)*$Q209*_xlfn.IFERROR((VLOOKUP(P209,'Settings'!$E$28:$F$33,2,FALSE)+1),1)</f>
        <v>0.537120592294698</v>
      </c>
      <c r="AF209" s="48">
        <f>VLOOKUP(B209,'Player Data'!$A1:$AE734,20,FALSE)*$Q209</f>
        <v>0</v>
      </c>
      <c r="AG209" s="48">
        <f>VLOOKUP(B209,'Player Data'!$A1:$AE734,21,FALSE)*$Q209</f>
        <v>0</v>
      </c>
      <c r="AH209" s="49">
        <f>VLOOKUP(B209,'Player Data'!$A1:$AE734,22,FALSE)</f>
        <v>0</v>
      </c>
      <c r="AI209" s="46"/>
      <c r="AJ209" s="50"/>
      <c r="AK209" s="48"/>
      <c r="AL209" s="48"/>
      <c r="AM209" s="48"/>
      <c r="AN209" s="48"/>
      <c r="AO209" s="48"/>
      <c r="AP209" s="48"/>
      <c r="AQ209" s="51"/>
      <c r="AR209" s="52"/>
      <c r="AS209" s="46"/>
    </row>
    <row r="210" ht="21.25" customHeight="1">
      <c r="A210" s="53">
        <f>RANK(K210,K2:K730)</f>
        <v>237</v>
      </c>
      <c r="B210" t="s" s="8">
        <v>362</v>
      </c>
      <c r="C210" t="s" s="39">
        <v>106</v>
      </c>
      <c r="D210" t="s" s="40">
        <f>VLOOKUP(B210,'Player Data'!A1:D734,4,FALSE)</f>
        <v>133</v>
      </c>
      <c r="E210" s="57">
        <f>VLOOKUP(B210,'LW'!A1:C156,3,FALSE)</f>
        <v>60</v>
      </c>
      <c r="F210" t="s" s="42">
        <f>VLOOKUP(B210,'Player Data'!A1:B734,2,FALSE)</f>
        <v>225</v>
      </c>
      <c r="G210" s="9">
        <f>VLOOKUP(B210,'Player Data'!A1:D734,3,FALSE)</f>
        <v>21</v>
      </c>
      <c r="H210" s="43">
        <f>_xlfn.IFERROR(VLOOKUP(B210,'ADP'!A1:G731,7,FALSE)/1000000,VLOOKUP(B210,'ADP'!A1:G731,7,FALSE))</f>
        <v>0</v>
      </c>
      <c r="I210" s="44">
        <f>IF('Settings'!$E$15="POINTS",((R210*Q210)*'Settings'!$B$12)+(S210*'Settings'!$B$2)+(T210*'Settings'!$B$3)+(U210*'Settings'!$B$4)+(V210*'Settings'!$B$5)+(X210*'Settings'!$B$9)+(AA210*'Settings'!$B$6)+(W210*'Settings'!$B$8)+(AB210*'Settings'!$B$7)+(AC210*'Settings'!$B$14)+(AD210*'Settings'!$B$15)+(AE210*'Settings'!$B$16)+(AF210*'Settings'!$B$17)+(AG210*'Settings'!$B$18)+(Y210*'Settings'!$B$10)+(Z210*'Settings'!$B$11),VLOOKUP(B210,'Standard Deviations'!A1:C731,3,FALSE))</f>
        <v>292.917159483350</v>
      </c>
      <c r="J210" s="45">
        <f>IF(D210="G",I210/AJ210,I210/Q210)</f>
        <v>3.9920566880184</v>
      </c>
      <c r="K210" s="44">
        <f>IF('Settings'!$E$18="C/LW/RW",VLOOKUP(B210,'LW'!A1:F156,6,FALSE),VLOOKUP(B210,'F'!A1:F432,6,FALSE))</f>
        <v>-88.711404223006</v>
      </c>
      <c r="L210" t="s" s="60">
        <f>_xlfn.IFERROR(K210/H210,"N/A")</f>
        <v>158</v>
      </c>
      <c r="M210" s="46">
        <f>IF('Settings'!$E$9="YAHOO",VLOOKUP(B210,'ADP'!A1:E731,2,FALSE),IF('Settings'!$E$9="ESPN",VLOOKUP(B210,'ADP'!A1:E731,3,FALSE),IF('Settings'!$E$9="FANTRAX",VLOOKUP(B210,'ADP'!A1:E731,4,FALSE),VLOOKUP(B210,'ADP'!A1:E731,5,FALSE))))</f>
        <v>212.66</v>
      </c>
      <c r="N210" s="46">
        <f>_xlfn.IFERROR(M210-A210,"N/A")</f>
        <v>-24.34</v>
      </c>
      <c r="O210" s="46"/>
      <c r="P210" t="s" s="47">
        <f>IF('Settings'!$E$27="ON",VLOOKUP(B210,'ADP'!A1:H731,8,FALSE)," ")</f>
        <v>109</v>
      </c>
      <c r="Q210" s="48">
        <f>IF('Settings'!$E$12="YES",VLOOKUP(B210,'Player Data'!A1:E734,5,FALSE),82)</f>
        <v>73.375</v>
      </c>
      <c r="R210" s="46">
        <f>VLOOKUP(B210,'Player Data'!$A1:$AE734,6,FALSE)</f>
        <v>17.1941798142972</v>
      </c>
      <c r="S210" s="48">
        <f>VLOOKUP(B210,'Player Data'!$A1:$AE734,7,FALSE)*$Q210*_xlfn.IFERROR((VLOOKUP(P210,'Settings'!$E$28:$F$33,2,FALSE)+1),1)</f>
        <v>21.661114184417</v>
      </c>
      <c r="T210" s="48">
        <f>VLOOKUP(B210,'Player Data'!$A1:$AE734,8,FALSE)*$Q210*_xlfn.IFERROR((VLOOKUP(P210,'Settings'!$E$28:$F$33,2,FALSE)+1),1)</f>
        <v>29.6496606224428</v>
      </c>
      <c r="U210" s="48">
        <f>SUM(S210:T210)</f>
        <v>51.3107748068598</v>
      </c>
      <c r="V210" s="48">
        <f>VLOOKUP(B210,'Player Data'!$A1:$AE734,10,FALSE)*$Q210*_xlfn.IFERROR(((VLOOKUP(P210,'Settings'!$E$28:$F$33,2,FALSE)/2)+1),1)</f>
        <v>152.431246207519</v>
      </c>
      <c r="W210" s="48">
        <f>VLOOKUP(B210,'Player Data'!$A1:$AE734,11,FALSE)*$Q210*_xlfn.IFERROR((VLOOKUP(P210,'Settings'!$E$28:$F$33,2,FALSE)+1),1)</f>
        <v>3.61107662172493</v>
      </c>
      <c r="X210" s="48">
        <f>VLOOKUP(B210,'Player Data'!$A1:$AE734,12,FALSE)*$Q210*_xlfn.IFERROR((VLOOKUP(P210,'Settings'!$E$28:$F$33,2,FALSE)+1),1)</f>
        <v>14.3871155212424</v>
      </c>
      <c r="Y210" s="48">
        <f>VLOOKUP(B210,'Player Data'!$A1:$AE734,13,FALSE)*$Q210</f>
        <v>0.00136066674819713</v>
      </c>
      <c r="Z210" s="48">
        <f>VLOOKUP(B210,'Player Data'!$A1:$AE734,14,FALSE)*$Q210</f>
        <v>0.00246855181405267</v>
      </c>
      <c r="AA210" s="48">
        <f>VLOOKUP(B210,'Player Data'!$A1:$AE734,15,FALSE)*$Q210</f>
        <v>41.0469845212969</v>
      </c>
      <c r="AB210" s="48">
        <f>VLOOKUP(B210,'Player Data'!$A1:$AE734,16,FALSE)*$Q210</f>
        <v>38.9964452724355</v>
      </c>
      <c r="AC210" s="48">
        <f>VLOOKUP(B210,'Player Data'!$A1:$AE734,17,FALSE)*$Q210*_xlfn.IFERROR((VLOOKUP(P210,'Settings'!$E$28:$F$33,2,FALSE)+1),1)</f>
        <v>-6.06829820394153</v>
      </c>
      <c r="AD210" s="48">
        <f>VLOOKUP(B210,'Player Data'!$A1:$AE734,18,FALSE)*$Q210</f>
        <v>24.3771552509296</v>
      </c>
      <c r="AE210" s="48">
        <f>VLOOKUP(B210,'Player Data'!$A1:$AE734,19,FALSE)*$Q210*_xlfn.IFERROR((VLOOKUP(P210,'Settings'!$E$28:$F$33,2,FALSE)+1),1)</f>
        <v>2.53828297713923</v>
      </c>
      <c r="AF210" s="48">
        <f>VLOOKUP(B210,'Player Data'!$A1:$AE734,20,FALSE)*$Q210</f>
        <v>26.2153965461697</v>
      </c>
      <c r="AG210" s="48">
        <f>VLOOKUP(B210,'Player Data'!$A1:$AE734,21,FALSE)*$Q210</f>
        <v>43.5620059410377</v>
      </c>
      <c r="AH210" s="49">
        <f>VLOOKUP(B210,'Player Data'!$A1:$AE734,22,FALSE)</f>
        <v>0.375700378800657</v>
      </c>
      <c r="AI210" s="46"/>
      <c r="AJ210" s="50"/>
      <c r="AK210" s="48"/>
      <c r="AL210" s="48"/>
      <c r="AM210" s="48"/>
      <c r="AN210" s="48"/>
      <c r="AO210" s="48"/>
      <c r="AP210" s="48"/>
      <c r="AQ210" s="51"/>
      <c r="AR210" s="52"/>
      <c r="AS210" s="46"/>
    </row>
    <row r="211" ht="21.25" customHeight="1">
      <c r="A211" s="53">
        <f>RANK(K211,K2:K730)</f>
        <v>129</v>
      </c>
      <c r="B211" t="s" s="8">
        <v>363</v>
      </c>
      <c r="C211" t="s" s="39">
        <v>106</v>
      </c>
      <c r="D211" t="s" s="40">
        <f>VLOOKUP(B211,'Player Data'!A1:D734,4,FALSE)</f>
        <v>146</v>
      </c>
      <c r="E211" s="58">
        <f>VLOOKUP(B211,'G'!A1:D75,3,FALSE)</f>
        <v>25</v>
      </c>
      <c r="F211" t="s" s="42">
        <f>VLOOKUP(B211,'Player Data'!A1:B734,2,FALSE)</f>
        <v>173</v>
      </c>
      <c r="G211" s="9">
        <f>VLOOKUP(B211,'Player Data'!A1:D734,3,FALSE)</f>
        <v>29</v>
      </c>
      <c r="H211" s="43">
        <f>_xlfn.IFERROR(VLOOKUP(B211,'ADP'!A1:G731,7,FALSE)/1000000,VLOOKUP(B211,'ADP'!A1:G731,7,FALSE))</f>
        <v>0</v>
      </c>
      <c r="I211" s="44">
        <f>IF('Settings'!$E$15="POINTS",(AJ211*'Settings'!$B$29)+(AK211*'Settings'!$B$21)+(AL211*'Settings'!$B$22)+(AN211*'Settings'!$B$24)+(AO211*'Settings'!$B$25)+(AP211*'Settings'!$B$27)+(AM211*'Settings'!$B$23),VLOOKUP(B211,'Standard Deviations'!A1:C731,3,FALSE))</f>
        <v>255.129276140326</v>
      </c>
      <c r="J211" s="45">
        <f>IF(D211="G",I211/AJ211,I211/Q211)</f>
        <v>5.79839263955286</v>
      </c>
      <c r="K211" s="44">
        <f>VLOOKUP(B211,'G'!A1:F75,6,FALSE)</f>
        <v>-10.173945359362</v>
      </c>
      <c r="L211" t="s" s="60">
        <f>_xlfn.IFERROR(K211/H211,"N/A")</f>
        <v>158</v>
      </c>
      <c r="M211" s="46">
        <f>IF('Settings'!$E$9="YAHOO",VLOOKUP(B211,'ADP'!A1:E731,2,FALSE),IF('Settings'!$E$9="ESPN",VLOOKUP(B211,'ADP'!A1:E731,3,FALSE),IF('Settings'!$E$9="FANTRAX",VLOOKUP(B211,'ADP'!A1:E731,4,FALSE),VLOOKUP(B211,'ADP'!A1:E731,5,FALSE))))</f>
        <v>178.36</v>
      </c>
      <c r="N211" s="46">
        <f>_xlfn.IFERROR(M211-A211,"N/A")</f>
        <v>49.36</v>
      </c>
      <c r="O211" s="46"/>
      <c r="P211" t="s" s="47">
        <f>IF('Settings'!$E$27="ON",VLOOKUP(B211,'ADP'!A1:H731,8,FALSE)," ")</f>
        <v>109</v>
      </c>
      <c r="Q211" s="48"/>
      <c r="R211" s="59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9"/>
      <c r="AI211" s="46"/>
      <c r="AJ211" s="50">
        <f>VLOOKUP(B211,'Player Data'!$A1:$AE734,24,FALSE)</f>
        <v>44</v>
      </c>
      <c r="AK211" s="48">
        <f>VLOOKUP(B211,'Player Data'!$A1:$AE734,25,FALSE)*$AJ211*_xlfn.IFERROR((VLOOKUP(P211,'Settings'!$E$28:$F$33,2,FALSE)+1),1)</f>
        <v>23.0242880427856</v>
      </c>
      <c r="AL211" s="48">
        <f>AJ211-AK211-AM211</f>
        <v>15.4757119572144</v>
      </c>
      <c r="AM211" s="48">
        <f>VLOOKUP(B211,'Player Data'!$A1:$AE734,27,FALSE)*$AJ211</f>
        <v>5.5</v>
      </c>
      <c r="AN211" s="48">
        <f>VLOOKUP(B211,'Player Data'!$A1:$AE734,28,FALSE)*AJ211</f>
        <v>2.32306099112923</v>
      </c>
      <c r="AO211" s="48">
        <f>VLOOKUP(B211,'Player Data'!$A1:$AE734,29,FALSE)*$AJ211*_xlfn.IFERROR((VLOOKUP(P211,'Settings'!$E$28:$F$33,2,FALSE)/4)+1,1)</f>
        <v>1224.715218667270</v>
      </c>
      <c r="AP211" s="48">
        <f>VLOOKUP(B211,'Player Data'!$A1:$AE734,31,FALSE)*$AJ211*(_xlfn.IFERROR(1-(VLOOKUP(P211,'Settings'!$E$28:$F$33,2,FALSE)/4),1))</f>
        <v>125.551557707733</v>
      </c>
      <c r="AQ211" s="51">
        <f>1-(AP211/(AO211+AP211))</f>
        <v>0.907017220667463</v>
      </c>
      <c r="AR211" s="52">
        <f>AP211/AJ211</f>
        <v>2.85344449335757</v>
      </c>
      <c r="AS211" s="46"/>
    </row>
    <row r="212" ht="21.25" customHeight="1">
      <c r="A212" s="53">
        <f>RANK(K212,K2:K730)</f>
        <v>211</v>
      </c>
      <c r="B212" t="s" s="8">
        <v>364</v>
      </c>
      <c r="C212" t="s" s="39">
        <v>106</v>
      </c>
      <c r="D212" t="s" s="40">
        <f>VLOOKUP(B212,'Player Data'!A1:D734,4,FALSE)</f>
        <v>129</v>
      </c>
      <c r="E212" s="56">
        <f>VLOOKUP(B212,'D'!A1:C228,3,FALSE)</f>
        <v>54</v>
      </c>
      <c r="F212" t="s" s="42">
        <f>VLOOKUP(B212,'Player Data'!A1:B734,2,FALSE)</f>
        <v>194</v>
      </c>
      <c r="G212" s="9">
        <f>VLOOKUP(B212,'Player Data'!A1:D734,3,FALSE)</f>
        <v>30</v>
      </c>
      <c r="H212" s="43">
        <f>_xlfn.IFERROR(VLOOKUP(B212,'ADP'!A1:G731,7,FALSE)/1000000,VLOOKUP(B212,'ADP'!A1:G731,7,FALSE))</f>
        <v>6.5</v>
      </c>
      <c r="I212" s="44">
        <f>IF('Settings'!$E$15="POINTS",((R212*Q212)*'Settings'!$B$12)+(S212*'Settings'!$B$2)+(T212*'Settings'!$B$3)+(U212*'Settings'!$B$4)+(V212*'Settings'!$B$5)+(X212*'Settings'!$B$9)+(AA212*'Settings'!$B$6)+(W212*'Settings'!$B$8)+(AB212*'Settings'!$B$7)+(AC212*'Settings'!$B$14)+(AD212*'Settings'!$B$15)+(AE212*'Settings'!$B$16)+(AF212*'Settings'!$B$17)+(AG212*'Settings'!$B$18)+(U212*'Settings'!$B$13)+(Y212*'Settings'!$B$10)+(Z212*'Settings'!$B$11),VLOOKUP(B212,'Standard Deviations'!A1:C731,3,FALSE))</f>
        <v>266.688817143408</v>
      </c>
      <c r="J212" s="45">
        <f>IF(D212="G",I212/AJ212,I212/Q212)</f>
        <v>3.3999084286513</v>
      </c>
      <c r="K212" s="44">
        <f>VLOOKUP(B212,'D'!A1:F228,6,FALSE)</f>
        <v>-74.046321503115</v>
      </c>
      <c r="L212" s="44">
        <f>_xlfn.IFERROR(K212/H212,"N/A")</f>
        <v>-11.391741769710</v>
      </c>
      <c r="M212" s="46">
        <f>IF('Settings'!$E$9="YAHOO",VLOOKUP(B212,'ADP'!A1:E731,2,FALSE),IF('Settings'!$E$9="ESPN",VLOOKUP(B212,'ADP'!A1:E731,3,FALSE),IF('Settings'!$E$9="FANTRAX",VLOOKUP(B212,'ADP'!A1:E731,4,FALSE),VLOOKUP(B212,'ADP'!A1:E731,5,FALSE))))</f>
        <v>434.62</v>
      </c>
      <c r="N212" s="46">
        <f>_xlfn.IFERROR(M212-A212,"N/A")</f>
        <v>223.62</v>
      </c>
      <c r="O212" s="46"/>
      <c r="P212" t="s" s="47">
        <f>IF('Settings'!$E$27="ON",VLOOKUP(B212,'ADP'!A1:H731,8,FALSE)," ")</f>
        <v>109</v>
      </c>
      <c r="Q212" s="48">
        <f>IF('Settings'!$E$12="YES",VLOOKUP(B212,'Player Data'!A1:E734,5,FALSE),82)</f>
        <v>78.44</v>
      </c>
      <c r="R212" s="46">
        <f>VLOOKUP(B212,'Player Data'!$A1:$AE734,6,FALSE)</f>
        <v>23.0827304398059</v>
      </c>
      <c r="S212" s="48">
        <f>VLOOKUP(B212,'Player Data'!$A1:$AE734,7,FALSE)*$Q212*_xlfn.IFERROR((VLOOKUP(P212,'Settings'!$E$28:$F$33,2,FALSE)+1),1)</f>
        <v>5.15767241321225</v>
      </c>
      <c r="T212" s="48">
        <f>VLOOKUP(B212,'Player Data'!$A1:$AE734,8,FALSE)*$Q212*_xlfn.IFERROR((VLOOKUP(P212,'Settings'!$E$28:$F$33,2,FALSE)+1),1)</f>
        <v>25.7144122151551</v>
      </c>
      <c r="U212" s="48">
        <f>SUM(S212:T212)</f>
        <v>30.8720846283674</v>
      </c>
      <c r="V212" s="48">
        <f>VLOOKUP(B212,'Player Data'!$A1:$AE734,10,FALSE)*$Q212*_xlfn.IFERROR(((VLOOKUP(P212,'Settings'!$E$28:$F$33,2,FALSE)/2)+1),1)</f>
        <v>133.371633959987</v>
      </c>
      <c r="W212" s="48">
        <f>VLOOKUP(B212,'Player Data'!$A1:$AE734,11,FALSE)*$Q212*_xlfn.IFERROR((VLOOKUP(P212,'Settings'!$E$28:$F$33,2,FALSE)+1),1)</f>
        <v>0.09811961789952039</v>
      </c>
      <c r="X212" s="48">
        <f>VLOOKUP(B212,'Player Data'!$A1:$AE734,12,FALSE)*$Q212*_xlfn.IFERROR((VLOOKUP(P212,'Settings'!$E$28:$F$33,2,FALSE)+1),1)</f>
        <v>1.59679406250478</v>
      </c>
      <c r="Y212" s="48">
        <f>VLOOKUP(B212,'Player Data'!$A1:$AE734,13,FALSE)*$Q212</f>
        <v>0.023904457383589</v>
      </c>
      <c r="Z212" s="48">
        <f>VLOOKUP(B212,'Player Data'!$A1:$AE734,14,FALSE)*$Q212</f>
        <v>0.6213763267854659</v>
      </c>
      <c r="AA212" s="48">
        <f>VLOOKUP(B212,'Player Data'!$A1:$AE734,15,FALSE)*$Q212</f>
        <v>146.332115678083</v>
      </c>
      <c r="AB212" s="48">
        <f>VLOOKUP(B212,'Player Data'!$A1:$AE734,16,FALSE)*$Q212</f>
        <v>100.965708663526</v>
      </c>
      <c r="AC212" s="48">
        <f>VLOOKUP(B212,'Player Data'!$A1:$AE734,17,FALSE)*$Q212*_xlfn.IFERROR((VLOOKUP(P212,'Settings'!$E$28:$F$33,2,FALSE)+1),1)</f>
        <v>-6.19864810157257</v>
      </c>
      <c r="AD212" s="48">
        <f>VLOOKUP(B212,'Player Data'!$A1:$AE734,18,FALSE)*$Q212</f>
        <v>29.2020101750499</v>
      </c>
      <c r="AE212" s="48">
        <f>VLOOKUP(B212,'Player Data'!$A1:$AE734,19,FALSE)*$Q212*_xlfn.IFERROR((VLOOKUP(P212,'Settings'!$E$28:$F$33,2,FALSE)+1),1)</f>
        <v>0.593507453616717</v>
      </c>
      <c r="AF212" s="48">
        <f>VLOOKUP(B212,'Player Data'!$A1:$AE734,20,FALSE)*$Q212</f>
        <v>0</v>
      </c>
      <c r="AG212" s="48">
        <f>VLOOKUP(B212,'Player Data'!$A1:$AE734,21,FALSE)*$Q212</f>
        <v>0</v>
      </c>
      <c r="AH212" s="49">
        <f>VLOOKUP(B212,'Player Data'!$A1:$AE734,22,FALSE)</f>
        <v>0</v>
      </c>
      <c r="AI212" s="46"/>
      <c r="AJ212" s="50"/>
      <c r="AK212" s="48"/>
      <c r="AL212" s="48"/>
      <c r="AM212" s="48"/>
      <c r="AN212" s="48"/>
      <c r="AO212" s="48"/>
      <c r="AP212" s="48"/>
      <c r="AQ212" s="51"/>
      <c r="AR212" s="52"/>
      <c r="AS212" s="46"/>
    </row>
    <row r="213" ht="21.25" customHeight="1">
      <c r="A213" s="53">
        <f>RANK(K213,K2:K730)</f>
        <v>266</v>
      </c>
      <c r="B213" t="s" s="8">
        <v>365</v>
      </c>
      <c r="C213" t="s" s="39">
        <v>106</v>
      </c>
      <c r="D213" t="s" s="40">
        <f>VLOOKUP(B213,'Player Data'!A1:D734,4,FALSE)</f>
        <v>129</v>
      </c>
      <c r="E213" s="56">
        <f>VLOOKUP(B213,'D'!A1:C228,3,FALSE)</f>
        <v>75</v>
      </c>
      <c r="F213" t="s" s="42">
        <f>VLOOKUP(B213,'Player Data'!A1:B734,2,FALSE)</f>
        <v>202</v>
      </c>
      <c r="G213" s="9">
        <f>VLOOKUP(B213,'Player Data'!A1:D734,3,FALSE)</f>
        <v>28</v>
      </c>
      <c r="H213" s="43">
        <f>_xlfn.IFERROR(VLOOKUP(B213,'ADP'!A1:G731,7,FALSE)/1000000,VLOOKUP(B213,'ADP'!A1:G731,7,FALSE))</f>
        <v>4.025</v>
      </c>
      <c r="I213" s="44">
        <f>IF('Settings'!$E$15="POINTS",((R213*Q213)*'Settings'!$B$12)+(S213*'Settings'!$B$2)+(T213*'Settings'!$B$3)+(U213*'Settings'!$B$4)+(V213*'Settings'!$B$5)+(X213*'Settings'!$B$9)+(AA213*'Settings'!$B$6)+(W213*'Settings'!$B$8)+(AB213*'Settings'!$B$7)+(AC213*'Settings'!$B$14)+(AD213*'Settings'!$B$15)+(AE213*'Settings'!$B$16)+(AF213*'Settings'!$B$17)+(AG213*'Settings'!$B$18)+(U213*'Settings'!$B$13)+(Y213*'Settings'!$B$10)+(Z213*'Settings'!$B$11),VLOOKUP(B213,'Standard Deviations'!A1:C731,3,FALSE))</f>
        <v>240.687703984277</v>
      </c>
      <c r="J213" s="45">
        <f>IF(D213="G",I213/AJ213,I213/Q213)</f>
        <v>2.99983784466769</v>
      </c>
      <c r="K213" s="44">
        <f>VLOOKUP(B213,'D'!A1:F228,6,FALSE)</f>
        <v>-100.047434662246</v>
      </c>
      <c r="L213" s="44">
        <f>_xlfn.IFERROR(K213/H213,"N/A")</f>
        <v>-24.8565055061481</v>
      </c>
      <c r="M213" t="s" s="61">
        <f>IF('Settings'!$E$9="YAHOO",VLOOKUP(B213,'ADP'!A1:E731,2,FALSE),IF('Settings'!$E$9="ESPN",VLOOKUP(B213,'ADP'!A1:E731,3,FALSE),IF('Settings'!$E$9="FANTRAX",VLOOKUP(B213,'ADP'!A1:E731,4,FALSE),VLOOKUP(B213,'ADP'!A1:E731,5,FALSE))))</f>
        <v>329</v>
      </c>
      <c r="N213" t="s" s="61">
        <f>_xlfn.IFERROR(M213-A213,"N/A")</f>
        <v>158</v>
      </c>
      <c r="O213" s="46"/>
      <c r="P213" t="s" s="47">
        <f>IF('Settings'!$E$27="ON",VLOOKUP(B213,'ADP'!A1:H731,8,FALSE)," ")</f>
        <v>109</v>
      </c>
      <c r="Q213" s="48">
        <f>IF('Settings'!$E$12="YES",VLOOKUP(B213,'Player Data'!A1:E734,5,FALSE),82)</f>
        <v>80.23357142857139</v>
      </c>
      <c r="R213" s="46">
        <f>VLOOKUP(B213,'Player Data'!$A1:$AE734,6,FALSE)</f>
        <v>21.342498913872</v>
      </c>
      <c r="S213" s="48">
        <f>VLOOKUP(B213,'Player Data'!$A1:$AE734,7,FALSE)*$Q213*_xlfn.IFERROR((VLOOKUP(P213,'Settings'!$E$28:$F$33,2,FALSE)+1),1)</f>
        <v>5.89344330301218</v>
      </c>
      <c r="T213" s="48">
        <f>VLOOKUP(B213,'Player Data'!$A1:$AE734,8,FALSE)*$Q213*_xlfn.IFERROR((VLOOKUP(P213,'Settings'!$E$28:$F$33,2,FALSE)+1),1)</f>
        <v>24.5250850553306</v>
      </c>
      <c r="U213" s="48">
        <f>SUM(S213:T213)</f>
        <v>30.4185283583428</v>
      </c>
      <c r="V213" s="48">
        <f>VLOOKUP(B213,'Player Data'!$A1:$AE734,10,FALSE)*$Q213*_xlfn.IFERROR(((VLOOKUP(P213,'Settings'!$E$28:$F$33,2,FALSE)/2)+1),1)</f>
        <v>142.264698843223</v>
      </c>
      <c r="W213" s="48">
        <f>VLOOKUP(B213,'Player Data'!$A1:$AE734,11,FALSE)*$Q213*_xlfn.IFERROR((VLOOKUP(P213,'Settings'!$E$28:$F$33,2,FALSE)+1),1)</f>
        <v>0.564054679502334</v>
      </c>
      <c r="X213" s="48">
        <f>VLOOKUP(B213,'Player Data'!$A1:$AE734,12,FALSE)*$Q213*_xlfn.IFERROR((VLOOKUP(P213,'Settings'!$E$28:$F$33,2,FALSE)+1),1)</f>
        <v>2.44962481918925</v>
      </c>
      <c r="Y213" s="48">
        <f>VLOOKUP(B213,'Player Data'!$A1:$AE734,13,FALSE)*$Q213</f>
        <v>0.0214303320188244</v>
      </c>
      <c r="Z213" s="48">
        <f>VLOOKUP(B213,'Player Data'!$A1:$AE734,14,FALSE)*$Q213</f>
        <v>0.97794643143038</v>
      </c>
      <c r="AA213" s="48">
        <f>VLOOKUP(B213,'Player Data'!$A1:$AE734,15,FALSE)*$Q213</f>
        <v>111.168883027754</v>
      </c>
      <c r="AB213" s="48">
        <f>VLOOKUP(B213,'Player Data'!$A1:$AE734,16,FALSE)*$Q213</f>
        <v>47.6770806255259</v>
      </c>
      <c r="AC213" s="48">
        <f>VLOOKUP(B213,'Player Data'!$A1:$AE734,17,FALSE)*$Q213*_xlfn.IFERROR((VLOOKUP(P213,'Settings'!$E$28:$F$33,2,FALSE)+1),1)</f>
        <v>7.20307578629507</v>
      </c>
      <c r="AD213" s="48">
        <f>VLOOKUP(B213,'Player Data'!$A1:$AE734,18,FALSE)*$Q213</f>
        <v>32.5631954778219</v>
      </c>
      <c r="AE213" s="48">
        <f>VLOOKUP(B213,'Player Data'!$A1:$AE734,19,FALSE)*$Q213*_xlfn.IFERROR((VLOOKUP(P213,'Settings'!$E$28:$F$33,2,FALSE)+1),1)</f>
        <v>1.05741569273556</v>
      </c>
      <c r="AF213" s="48">
        <f>VLOOKUP(B213,'Player Data'!$A1:$AE734,20,FALSE)*$Q213</f>
        <v>0</v>
      </c>
      <c r="AG213" s="48">
        <f>VLOOKUP(B213,'Player Data'!$A1:$AE734,21,FALSE)*$Q213</f>
        <v>0</v>
      </c>
      <c r="AH213" s="49">
        <f>VLOOKUP(B213,'Player Data'!$A1:$AE734,22,FALSE)</f>
        <v>0</v>
      </c>
      <c r="AI213" s="46"/>
      <c r="AJ213" s="50"/>
      <c r="AK213" s="48"/>
      <c r="AL213" s="48"/>
      <c r="AM213" s="48"/>
      <c r="AN213" s="48"/>
      <c r="AO213" s="48"/>
      <c r="AP213" s="48"/>
      <c r="AQ213" s="51"/>
      <c r="AR213" s="52"/>
      <c r="AS213" s="46"/>
    </row>
    <row r="214" ht="21.25" customHeight="1">
      <c r="A214" s="53">
        <f>RANK(K214,K2:K730)</f>
        <v>231</v>
      </c>
      <c r="B214" t="s" s="8">
        <v>366</v>
      </c>
      <c r="C214" t="s" s="39">
        <v>106</v>
      </c>
      <c r="D214" t="s" s="40">
        <f>VLOOKUP(B214,'Player Data'!A1:D734,4,FALSE)</f>
        <v>121</v>
      </c>
      <c r="E214" s="55">
        <f>VLOOKUP(B214,'RW'!A1:F132,3,FALSE)</f>
        <v>54</v>
      </c>
      <c r="F214" t="s" s="42">
        <f>VLOOKUP(B214,'Player Data'!A1:B734,2,FALSE)</f>
        <v>248</v>
      </c>
      <c r="G214" s="9">
        <f>VLOOKUP(B214,'Player Data'!A1:D734,3,FALSE)</f>
        <v>28</v>
      </c>
      <c r="H214" s="43">
        <f>_xlfn.IFERROR(VLOOKUP(B214,'ADP'!A1:G731,7,FALSE)/1000000,VLOOKUP(B214,'ADP'!A1:G731,7,FALSE))</f>
        <v>5.4</v>
      </c>
      <c r="I214" s="44">
        <f>IF('Settings'!$E$15="POINTS",((R214*Q214)*'Settings'!$B$12)+(S214*'Settings'!$B$2)+(T214*'Settings'!$B$3)+(U214*'Settings'!$B$4)+(V214*'Settings'!$B$5)+(X214*'Settings'!$B$9)+(AA214*'Settings'!$B$6)+(W214*'Settings'!$B$8)+(AB214*'Settings'!$B$7)+(AC214*'Settings'!$B$14)+(AD214*'Settings'!$B$15)+(AE214*'Settings'!$B$16)+(AF214*'Settings'!$B$17)+(AG214*'Settings'!$B$18)+(Y214*'Settings'!$B$10)+(Z214*'Settings'!$B$11),VLOOKUP(B214,'Standard Deviations'!A1:C731,3,FALSE))</f>
        <v>295.902264363848</v>
      </c>
      <c r="J214" s="45">
        <f>IF(D214="G",I214/AJ214,I214/Q214)</f>
        <v>3.64860991817322</v>
      </c>
      <c r="K214" s="44">
        <f>IF('Settings'!$E$18="C/LW/RW",VLOOKUP(B214,'RW'!A1:F132,6,FALSE),VLOOKUP(B214,'F'!A1:F432,6,FALSE))</f>
        <v>-85.726299342508</v>
      </c>
      <c r="L214" s="44">
        <f>_xlfn.IFERROR(K214/H214,"N/A")</f>
        <v>-15.875240618983</v>
      </c>
      <c r="M214" s="46">
        <f>IF('Settings'!$E$9="YAHOO",VLOOKUP(B214,'ADP'!A1:E731,2,FALSE),IF('Settings'!$E$9="ESPN",VLOOKUP(B214,'ADP'!A1:E731,3,FALSE),IF('Settings'!$E$9="FANTRAX",VLOOKUP(B214,'ADP'!A1:E731,4,FALSE),VLOOKUP(B214,'ADP'!A1:E731,5,FALSE))))</f>
        <v>218.25</v>
      </c>
      <c r="N214" s="46">
        <f>_xlfn.IFERROR(M214-A214,"N/A")</f>
        <v>-12.75</v>
      </c>
      <c r="O214" s="46"/>
      <c r="P214" t="s" s="47">
        <f>IF('Settings'!$E$27="ON",VLOOKUP(B214,'ADP'!A1:H731,8,FALSE)," ")</f>
        <v>109</v>
      </c>
      <c r="Q214" s="48">
        <f>IF('Settings'!$E$12="YES",VLOOKUP(B214,'Player Data'!A1:E734,5,FALSE),82)</f>
        <v>81.09999999999999</v>
      </c>
      <c r="R214" s="46">
        <f>VLOOKUP(B214,'Player Data'!$A1:$AE734,6,FALSE)</f>
        <v>15.2982097371024</v>
      </c>
      <c r="S214" s="48">
        <f>VLOOKUP(B214,'Player Data'!$A1:$AE734,7,FALSE)*$Q214*_xlfn.IFERROR((VLOOKUP(P214,'Settings'!$E$28:$F$33,2,FALSE)+1),1)</f>
        <v>20.4637009559626</v>
      </c>
      <c r="T214" s="48">
        <f>VLOOKUP(B214,'Player Data'!$A1:$AE734,8,FALSE)*$Q214*_xlfn.IFERROR((VLOOKUP(P214,'Settings'!$E$28:$F$33,2,FALSE)+1),1)</f>
        <v>25.3357431363412</v>
      </c>
      <c r="U214" s="48">
        <f>SUM(S214:T214)</f>
        <v>45.7994440923038</v>
      </c>
      <c r="V214" s="48">
        <f>VLOOKUP(B214,'Player Data'!$A1:$AE734,10,FALSE)*$Q214*_xlfn.IFERROR(((VLOOKUP(P214,'Settings'!$E$28:$F$33,2,FALSE)/2)+1),1)</f>
        <v>185.865434426023</v>
      </c>
      <c r="W214" s="48">
        <f>VLOOKUP(B214,'Player Data'!$A1:$AE734,11,FALSE)*$Q214*_xlfn.IFERROR((VLOOKUP(P214,'Settings'!$E$28:$F$33,2,FALSE)+1),1)</f>
        <v>4.47705162324382</v>
      </c>
      <c r="X214" s="48">
        <f>VLOOKUP(B214,'Player Data'!$A1:$AE734,12,FALSE)*$Q214*_xlfn.IFERROR((VLOOKUP(P214,'Settings'!$E$28:$F$33,2,FALSE)+1),1)</f>
        <v>10.0269820512693</v>
      </c>
      <c r="Y214" s="48">
        <f>VLOOKUP(B214,'Player Data'!$A1:$AE734,13,FALSE)*$Q214</f>
        <v>0.00234788853485445</v>
      </c>
      <c r="Z214" s="48">
        <f>VLOOKUP(B214,'Player Data'!$A1:$AE734,14,FALSE)*$Q214</f>
        <v>0.00431027715778168</v>
      </c>
      <c r="AA214" s="48">
        <f>VLOOKUP(B214,'Player Data'!$A1:$AE734,15,FALSE)*$Q214</f>
        <v>35.1583401807193</v>
      </c>
      <c r="AB214" s="48">
        <f>VLOOKUP(B214,'Player Data'!$A1:$AE734,16,FALSE)*$Q214</f>
        <v>69.1514911812255</v>
      </c>
      <c r="AC214" s="48">
        <f>VLOOKUP(B214,'Player Data'!$A1:$AE734,17,FALSE)*$Q214*_xlfn.IFERROR((VLOOKUP(P214,'Settings'!$E$28:$F$33,2,FALSE)+1),1)</f>
        <v>-0.805162446760359</v>
      </c>
      <c r="AD214" s="48">
        <f>VLOOKUP(B214,'Player Data'!$A1:$AE734,18,FALSE)*$Q214</f>
        <v>17.7708316590794</v>
      </c>
      <c r="AE214" s="48">
        <f>VLOOKUP(B214,'Player Data'!$A1:$AE734,19,FALSE)*$Q214*_xlfn.IFERROR((VLOOKUP(P214,'Settings'!$E$28:$F$33,2,FALSE)+1),1)</f>
        <v>2.87639778236254</v>
      </c>
      <c r="AF214" s="48">
        <f>VLOOKUP(B214,'Player Data'!$A1:$AE734,20,FALSE)*$Q214</f>
        <v>17.3966938447416</v>
      </c>
      <c r="AG214" s="48">
        <f>VLOOKUP(B214,'Player Data'!$A1:$AE734,21,FALSE)*$Q214</f>
        <v>28.4389260998568</v>
      </c>
      <c r="AH214" s="49">
        <f>VLOOKUP(B214,'Player Data'!$A1:$AE734,22,FALSE)</f>
        <v>0.379545293938841</v>
      </c>
      <c r="AI214" s="46"/>
      <c r="AJ214" s="50"/>
      <c r="AK214" s="48"/>
      <c r="AL214" s="48"/>
      <c r="AM214" s="48"/>
      <c r="AN214" s="48"/>
      <c r="AO214" s="48"/>
      <c r="AP214" s="48"/>
      <c r="AQ214" s="51"/>
      <c r="AR214" s="52"/>
      <c r="AS214" s="46"/>
    </row>
    <row r="215" ht="21.25" customHeight="1">
      <c r="A215" s="53">
        <f>RANK(K215,K2:K730)</f>
        <v>267</v>
      </c>
      <c r="B215" t="s" s="8">
        <v>367</v>
      </c>
      <c r="C215" t="s" s="39">
        <v>106</v>
      </c>
      <c r="D215" t="s" s="40">
        <f>VLOOKUP(B215,'Player Data'!A1:D734,4,FALSE)</f>
        <v>129</v>
      </c>
      <c r="E215" s="56">
        <f>VLOOKUP(B215,'D'!A1:C228,3,FALSE)</f>
        <v>76</v>
      </c>
      <c r="F215" t="s" s="42">
        <f>VLOOKUP(B215,'Player Data'!A1:B734,2,FALSE)</f>
        <v>113</v>
      </c>
      <c r="G215" s="9">
        <f>VLOOKUP(B215,'Player Data'!A1:D734,3,FALSE)</f>
        <v>25</v>
      </c>
      <c r="H215" s="43">
        <f>_xlfn.IFERROR(VLOOKUP(B215,'ADP'!A1:G731,7,FALSE)/1000000,VLOOKUP(B215,'ADP'!A1:G731,7,FALSE))</f>
        <v>5</v>
      </c>
      <c r="I215" s="44">
        <f>IF('Settings'!$E$15="POINTS",((R215*Q215)*'Settings'!$B$12)+(S215*'Settings'!$B$2)+(T215*'Settings'!$B$3)+(U215*'Settings'!$B$4)+(V215*'Settings'!$B$5)+(X215*'Settings'!$B$9)+(AA215*'Settings'!$B$6)+(W215*'Settings'!$B$8)+(AB215*'Settings'!$B$7)+(AC215*'Settings'!$B$14)+(AD215*'Settings'!$B$15)+(AE215*'Settings'!$B$16)+(AF215*'Settings'!$B$17)+(AG215*'Settings'!$B$18)+(U215*'Settings'!$B$13)+(Y215*'Settings'!$B$10)+(Z215*'Settings'!$B$11),VLOOKUP(B215,'Standard Deviations'!A1:C731,3,FALSE))</f>
        <v>240.542570320656</v>
      </c>
      <c r="J215" s="45">
        <f>IF(D215="G",I215/AJ215,I215/Q215)</f>
        <v>3.09454849778695</v>
      </c>
      <c r="K215" s="44">
        <f>VLOOKUP(B215,'D'!A1:F228,6,FALSE)</f>
        <v>-100.192568325867</v>
      </c>
      <c r="L215" s="44">
        <f>_xlfn.IFERROR(K215/H215,"N/A")</f>
        <v>-20.0385136651734</v>
      </c>
      <c r="M215" s="46">
        <f>IF('Settings'!$E$9="YAHOO",VLOOKUP(B215,'ADP'!A1:E731,2,FALSE),IF('Settings'!$E$9="ESPN",VLOOKUP(B215,'ADP'!A1:E731,3,FALSE),IF('Settings'!$E$9="FANTRAX",VLOOKUP(B215,'ADP'!A1:E731,4,FALSE),VLOOKUP(B215,'ADP'!A1:E731,5,FALSE))))</f>
        <v>321.65</v>
      </c>
      <c r="N215" s="46">
        <f>_xlfn.IFERROR(M215-A215,"N/A")</f>
        <v>54.65</v>
      </c>
      <c r="O215" s="46"/>
      <c r="P215" t="s" s="47">
        <f>IF('Settings'!$E$27="ON",VLOOKUP(B215,'ADP'!A1:H731,8,FALSE)," ")</f>
        <v>109</v>
      </c>
      <c r="Q215" s="48">
        <f>IF('Settings'!$E$12="YES",VLOOKUP(B215,'Player Data'!A1:E734,5,FALSE),82)</f>
        <v>77.7310714285714</v>
      </c>
      <c r="R215" s="46">
        <f>VLOOKUP(B215,'Player Data'!$A1:$AE734,6,FALSE)</f>
        <v>20.3114556754053</v>
      </c>
      <c r="S215" s="48">
        <f>VLOOKUP(B215,'Player Data'!$A1:$AE734,7,FALSE)*$Q215*_xlfn.IFERROR((VLOOKUP(P215,'Settings'!$E$28:$F$33,2,FALSE)+1),1)</f>
        <v>6.02102823010683</v>
      </c>
      <c r="T215" s="48">
        <f>VLOOKUP(B215,'Player Data'!$A1:$AE734,8,FALSE)*$Q215*_xlfn.IFERROR((VLOOKUP(P215,'Settings'!$E$28:$F$33,2,FALSE)+1),1)</f>
        <v>27.5527005650888</v>
      </c>
      <c r="U215" s="48">
        <f>SUM(S215:T215)</f>
        <v>33.5737287951956</v>
      </c>
      <c r="V215" s="48">
        <f>VLOOKUP(B215,'Player Data'!$A1:$AE734,10,FALSE)*$Q215*_xlfn.IFERROR(((VLOOKUP(P215,'Settings'!$E$28:$F$33,2,FALSE)/2)+1),1)</f>
        <v>108.536682627949</v>
      </c>
      <c r="W215" s="48">
        <f>VLOOKUP(B215,'Player Data'!$A1:$AE734,11,FALSE)*$Q215*_xlfn.IFERROR((VLOOKUP(P215,'Settings'!$E$28:$F$33,2,FALSE)+1),1)</f>
        <v>0.388317045226497</v>
      </c>
      <c r="X215" s="48">
        <f>VLOOKUP(B215,'Player Data'!$A1:$AE734,12,FALSE)*$Q215*_xlfn.IFERROR((VLOOKUP(P215,'Settings'!$E$28:$F$33,2,FALSE)+1),1)</f>
        <v>5.80297522667304</v>
      </c>
      <c r="Y215" s="48">
        <f>VLOOKUP(B215,'Player Data'!$A1:$AE734,13,FALSE)*$Q215</f>
        <v>0.033340957276229</v>
      </c>
      <c r="Z215" s="48">
        <f>VLOOKUP(B215,'Player Data'!$A1:$AE734,14,FALSE)*$Q215</f>
        <v>0.62021953567809</v>
      </c>
      <c r="AA215" s="48">
        <f>VLOOKUP(B215,'Player Data'!$A1:$AE734,15,FALSE)*$Q215</f>
        <v>111.868385063010</v>
      </c>
      <c r="AB215" s="48">
        <f>VLOOKUP(B215,'Player Data'!$A1:$AE734,16,FALSE)*$Q215</f>
        <v>77.38747469229151</v>
      </c>
      <c r="AC215" s="48">
        <f>VLOOKUP(B215,'Player Data'!$A1:$AE734,17,FALSE)*$Q215*_xlfn.IFERROR((VLOOKUP(P215,'Settings'!$E$28:$F$33,2,FALSE)+1),1)</f>
        <v>2.91784434276589</v>
      </c>
      <c r="AD215" s="48">
        <f>VLOOKUP(B215,'Player Data'!$A1:$AE734,18,FALSE)*$Q215</f>
        <v>21.8626505198049</v>
      </c>
      <c r="AE215" s="48">
        <f>VLOOKUP(B215,'Player Data'!$A1:$AE734,19,FALSE)*$Q215*_xlfn.IFERROR((VLOOKUP(P215,'Settings'!$E$28:$F$33,2,FALSE)+1),1)</f>
        <v>0.952617383269089</v>
      </c>
      <c r="AF215" s="48">
        <f>VLOOKUP(B215,'Player Data'!$A1:$AE734,20,FALSE)*$Q215</f>
        <v>0</v>
      </c>
      <c r="AG215" s="48">
        <f>VLOOKUP(B215,'Player Data'!$A1:$AE734,21,FALSE)*$Q215</f>
        <v>0</v>
      </c>
      <c r="AH215" s="49">
        <f>VLOOKUP(B215,'Player Data'!$A1:$AE734,22,FALSE)</f>
        <v>0</v>
      </c>
      <c r="AI215" s="46"/>
      <c r="AJ215" s="50"/>
      <c r="AK215" s="48"/>
      <c r="AL215" s="48"/>
      <c r="AM215" s="48"/>
      <c r="AN215" s="48"/>
      <c r="AO215" s="48"/>
      <c r="AP215" s="48"/>
      <c r="AQ215" s="51"/>
      <c r="AR215" s="52"/>
      <c r="AS215" s="46"/>
    </row>
    <row r="216" ht="21.25" customHeight="1">
      <c r="A216" s="53">
        <f>RANK(K216,K2:K730)</f>
        <v>258</v>
      </c>
      <c r="B216" t="s" s="8">
        <v>368</v>
      </c>
      <c r="C216" t="s" s="39">
        <v>106</v>
      </c>
      <c r="D216" t="s" s="40">
        <f>VLOOKUP(B216,'Player Data'!A1:D734,4,FALSE)</f>
        <v>121</v>
      </c>
      <c r="E216" s="55">
        <f>VLOOKUP(B216,'RW'!A1:F132,3,FALSE)</f>
        <v>60</v>
      </c>
      <c r="F216" t="s" s="42">
        <f>VLOOKUP(B216,'Player Data'!A1:B734,2,FALSE)</f>
        <v>131</v>
      </c>
      <c r="G216" s="9">
        <f>VLOOKUP(B216,'Player Data'!A1:D734,3,FALSE)</f>
        <v>21</v>
      </c>
      <c r="H216" s="43">
        <f>_xlfn.IFERROR(VLOOKUP(B216,'ADP'!A1:G731,7,FALSE)/1000000,VLOOKUP(B216,'ADP'!A1:G731,7,FALSE))</f>
        <v>0.7975</v>
      </c>
      <c r="I216" s="44">
        <f>IF('Settings'!$E$15="POINTS",((R216*Q216)*'Settings'!$B$12)+(S216*'Settings'!$B$2)+(T216*'Settings'!$B$3)+(U216*'Settings'!$B$4)+(V216*'Settings'!$B$5)+(X216*'Settings'!$B$9)+(AA216*'Settings'!$B$6)+(W216*'Settings'!$B$8)+(AB216*'Settings'!$B$7)+(AC216*'Settings'!$B$14)+(AD216*'Settings'!$B$15)+(AE216*'Settings'!$B$16)+(AF216*'Settings'!$B$17)+(AG216*'Settings'!$B$18)+(Y216*'Settings'!$B$10)+(Z216*'Settings'!$B$11),VLOOKUP(B216,'Standard Deviations'!A1:C731,3,FALSE))</f>
        <v>284.668111747721</v>
      </c>
      <c r="J216" s="45">
        <f>IF(D216="G",I216/AJ216,I216/Q216)</f>
        <v>3.90491236965324</v>
      </c>
      <c r="K216" s="44">
        <f>IF('Settings'!$E$18="C/LW/RW",VLOOKUP(B216,'RW'!A1:F132,6,FALSE),VLOOKUP(B216,'F'!A1:F432,6,FALSE))</f>
        <v>-96.96045195863501</v>
      </c>
      <c r="L216" s="44">
        <f>_xlfn.IFERROR(K216/H216,"N/A")</f>
        <v>-121.580504023367</v>
      </c>
      <c r="M216" s="46">
        <f>IF('Settings'!$E$9="YAHOO",VLOOKUP(B216,'ADP'!A1:E731,2,FALSE),IF('Settings'!$E$9="ESPN",VLOOKUP(B216,'ADP'!A1:E731,3,FALSE),IF('Settings'!$E$9="FANTRAX",VLOOKUP(B216,'ADP'!A1:E731,4,FALSE),VLOOKUP(B216,'ADP'!A1:E731,5,FALSE))))</f>
        <v>346.8</v>
      </c>
      <c r="N216" s="46">
        <f>_xlfn.IFERROR(M216-A216,"N/A")</f>
        <v>88.8</v>
      </c>
      <c r="O216" s="46"/>
      <c r="P216" t="s" s="47">
        <f>IF('Settings'!$E$27="ON",VLOOKUP(B216,'ADP'!A1:H731,8,FALSE)," ")</f>
        <v>175</v>
      </c>
      <c r="Q216" s="48">
        <f>IF('Settings'!$E$12="YES",VLOOKUP(B216,'Player Data'!A1:E734,5,FALSE),82)</f>
        <v>72.90000000000001</v>
      </c>
      <c r="R216" s="46">
        <f>VLOOKUP(B216,'Player Data'!$A1:$AE734,6,FALSE)</f>
        <v>16.6149850521549</v>
      </c>
      <c r="S216" s="48">
        <f>VLOOKUP(B216,'Player Data'!$A1:$AE734,7,FALSE)*$Q216*_xlfn.IFERROR((VLOOKUP(P216,'Settings'!$E$28:$F$33,2,FALSE)+1),1)</f>
        <v>21.6583826045033</v>
      </c>
      <c r="T216" s="48">
        <f>VLOOKUP(B216,'Player Data'!$A1:$AE734,8,FALSE)*$Q216*_xlfn.IFERROR((VLOOKUP(P216,'Settings'!$E$28:$F$33,2,FALSE)+1),1)</f>
        <v>27.8501292406688</v>
      </c>
      <c r="U216" s="48">
        <f>SUM(S216:T216)</f>
        <v>49.5085118451721</v>
      </c>
      <c r="V216" s="48">
        <f>VLOOKUP(B216,'Player Data'!$A1:$AE734,10,FALSE)*$Q216*_xlfn.IFERROR(((VLOOKUP(P216,'Settings'!$E$28:$F$33,2,FALSE)/2)+1),1)</f>
        <v>161.877531880935</v>
      </c>
      <c r="W216" s="48">
        <f>VLOOKUP(B216,'Player Data'!$A1:$AE734,11,FALSE)*$Q216*_xlfn.IFERROR((VLOOKUP(P216,'Settings'!$E$28:$F$33,2,FALSE)+1),1)</f>
        <v>3.2339725672551</v>
      </c>
      <c r="X216" s="48">
        <f>VLOOKUP(B216,'Player Data'!$A1:$AE734,12,FALSE)*$Q216*_xlfn.IFERROR((VLOOKUP(P216,'Settings'!$E$28:$F$33,2,FALSE)+1),1)</f>
        <v>11.3335503049464</v>
      </c>
      <c r="Y216" s="48">
        <f>VLOOKUP(B216,'Player Data'!$A1:$AE734,13,FALSE)*$Q216</f>
        <v>0.00177453718694075</v>
      </c>
      <c r="Z216" s="48">
        <f>VLOOKUP(B216,'Player Data'!$A1:$AE734,14,FALSE)*$Q216</f>
        <v>0.00322592536221389</v>
      </c>
      <c r="AA216" s="48">
        <f>VLOOKUP(B216,'Player Data'!$A1:$AE734,15,FALSE)*$Q216</f>
        <v>23.4065890170302</v>
      </c>
      <c r="AB216" s="48">
        <f>VLOOKUP(B216,'Player Data'!$A1:$AE734,16,FALSE)*$Q216</f>
        <v>44.0259600229728</v>
      </c>
      <c r="AC216" s="48">
        <f>VLOOKUP(B216,'Player Data'!$A1:$AE734,17,FALSE)*$Q216*_xlfn.IFERROR((VLOOKUP(P216,'Settings'!$E$28:$F$33,2,FALSE)+1),1)</f>
        <v>-0.19923938450158</v>
      </c>
      <c r="AD216" s="48">
        <f>VLOOKUP(B216,'Player Data'!$A1:$AE734,18,FALSE)*$Q216</f>
        <v>25.4512746361882</v>
      </c>
      <c r="AE216" s="48">
        <f>VLOOKUP(B216,'Player Data'!$A1:$AE734,19,FALSE)*$Q216*_xlfn.IFERROR((VLOOKUP(P216,'Settings'!$E$28:$F$33,2,FALSE)+1),1)</f>
        <v>3.16269031527056</v>
      </c>
      <c r="AF216" s="48">
        <f>VLOOKUP(B216,'Player Data'!$A1:$AE734,20,FALSE)*$Q216</f>
        <v>0</v>
      </c>
      <c r="AG216" s="48">
        <f>VLOOKUP(B216,'Player Data'!$A1:$AE734,21,FALSE)*$Q216</f>
        <v>0</v>
      </c>
      <c r="AH216" s="49">
        <f>VLOOKUP(B216,'Player Data'!$A1:$AE734,22,FALSE)</f>
        <v>0</v>
      </c>
      <c r="AI216" s="46"/>
      <c r="AJ216" s="48"/>
      <c r="AK216" s="48"/>
      <c r="AL216" s="48"/>
      <c r="AM216" s="48"/>
      <c r="AN216" s="48"/>
      <c r="AO216" s="48"/>
      <c r="AP216" s="48"/>
      <c r="AQ216" s="51"/>
      <c r="AR216" s="52"/>
      <c r="AS216" s="46"/>
    </row>
    <row r="217" ht="21.25" customHeight="1">
      <c r="A217" s="53">
        <f>RANK(K217,K2:K730)</f>
        <v>215</v>
      </c>
      <c r="B217" t="s" s="8">
        <v>369</v>
      </c>
      <c r="C217" t="s" s="39">
        <v>106</v>
      </c>
      <c r="D217" t="s" s="40">
        <f>VLOOKUP(B217,'Player Data'!A1:D734,4,FALSE)</f>
        <v>129</v>
      </c>
      <c r="E217" s="56">
        <f>VLOOKUP(B217,'D'!A1:C228,3,FALSE)</f>
        <v>56</v>
      </c>
      <c r="F217" t="s" s="42">
        <f>VLOOKUP(B217,'Player Data'!A1:B734,2,FALSE)</f>
        <v>141</v>
      </c>
      <c r="G217" s="9">
        <f>VLOOKUP(B217,'Player Data'!A1:D734,3,FALSE)</f>
        <v>24</v>
      </c>
      <c r="H217" s="43">
        <f>_xlfn.IFERROR(VLOOKUP(B217,'ADP'!A1:G731,7,FALSE)/1000000,VLOOKUP(B217,'ADP'!A1:G731,7,FALSE))</f>
        <v>3.25</v>
      </c>
      <c r="I217" s="44">
        <f>IF('Settings'!$E$15="POINTS",((R217*Q217)*'Settings'!$B$12)+(S217*'Settings'!$B$2)+(T217*'Settings'!$B$3)+(U217*'Settings'!$B$4)+(V217*'Settings'!$B$5)+(X217*'Settings'!$B$9)+(AA217*'Settings'!$B$6)+(W217*'Settings'!$B$8)+(AB217*'Settings'!$B$7)+(AC217*'Settings'!$B$14)+(AD217*'Settings'!$B$15)+(AE217*'Settings'!$B$16)+(AF217*'Settings'!$B$17)+(AG217*'Settings'!$B$18)+(U217*'Settings'!$B$13)+(Y217*'Settings'!$B$10)+(Z217*'Settings'!$B$11),VLOOKUP(B217,'Standard Deviations'!A1:C731,3,FALSE))</f>
        <v>265.641998101903</v>
      </c>
      <c r="J217" s="45">
        <f>IF(D217="G",I217/AJ217,I217/Q217)</f>
        <v>3.46791120237471</v>
      </c>
      <c r="K217" s="44">
        <f>VLOOKUP(B217,'D'!A1:F228,6,FALSE)</f>
        <v>-75.093140544620</v>
      </c>
      <c r="L217" s="44">
        <f>_xlfn.IFERROR(K217/H217,"N/A")</f>
        <v>-23.1055817060369</v>
      </c>
      <c r="M217" t="s" s="61">
        <f>IF('Settings'!$E$9="YAHOO",VLOOKUP(B217,'ADP'!A1:E731,2,FALSE),IF('Settings'!$E$9="ESPN",VLOOKUP(B217,'ADP'!A1:E731,3,FALSE),IF('Settings'!$E$9="FANTRAX",VLOOKUP(B217,'ADP'!A1:E731,4,FALSE),VLOOKUP(B217,'ADP'!A1:E731,5,FALSE))))</f>
        <v>329</v>
      </c>
      <c r="N217" t="s" s="61">
        <f>_xlfn.IFERROR(M217-A217,"N/A")</f>
        <v>158</v>
      </c>
      <c r="O217" s="46"/>
      <c r="P217" t="s" s="47">
        <f>IF('Settings'!$E$27="ON",VLOOKUP(B217,'ADP'!A1:H731,8,FALSE)," ")</f>
        <v>109</v>
      </c>
      <c r="Q217" s="48">
        <f>IF('Settings'!$E$12="YES",VLOOKUP(B217,'Player Data'!A1:E734,5,FALSE),82)</f>
        <v>76.59999999999999</v>
      </c>
      <c r="R217" s="46">
        <f>VLOOKUP(B217,'Player Data'!$A1:$AE734,6,FALSE)</f>
        <v>25.8324009612213</v>
      </c>
      <c r="S217" s="48">
        <f>VLOOKUP(B217,'Player Data'!$A1:$AE734,7,FALSE)*$Q217*_xlfn.IFERROR((VLOOKUP(P217,'Settings'!$E$28:$F$33,2,FALSE)+1),1)</f>
        <v>5.19008663063919</v>
      </c>
      <c r="T217" s="48">
        <f>VLOOKUP(B217,'Player Data'!$A1:$AE734,8,FALSE)*$Q217*_xlfn.IFERROR((VLOOKUP(P217,'Settings'!$E$28:$F$33,2,FALSE)+1),1)</f>
        <v>22.6386316810323</v>
      </c>
      <c r="U217" s="48">
        <f>SUM(S217:T217)</f>
        <v>27.8287183116715</v>
      </c>
      <c r="V217" s="48">
        <f>VLOOKUP(B217,'Player Data'!$A1:$AE734,10,FALSE)*$Q217*_xlfn.IFERROR(((VLOOKUP(P217,'Settings'!$E$28:$F$33,2,FALSE)/2)+1),1)</f>
        <v>100.562174486406</v>
      </c>
      <c r="W217" s="48">
        <f>VLOOKUP(B217,'Player Data'!$A1:$AE734,11,FALSE)*$Q217*_xlfn.IFERROR((VLOOKUP(P217,'Settings'!$E$28:$F$33,2,FALSE)+1),1)</f>
        <v>0.84698700718784</v>
      </c>
      <c r="X217" s="48">
        <f>VLOOKUP(B217,'Player Data'!$A1:$AE734,12,FALSE)*$Q217*_xlfn.IFERROR((VLOOKUP(P217,'Settings'!$E$28:$F$33,2,FALSE)+1),1)</f>
        <v>10.0217773725556</v>
      </c>
      <c r="Y217" s="48">
        <f>VLOOKUP(B217,'Player Data'!$A1:$AE734,13,FALSE)*$Q217</f>
        <v>0.0278595657320502</v>
      </c>
      <c r="Z217" s="48">
        <f>VLOOKUP(B217,'Player Data'!$A1:$AE734,14,FALSE)*$Q217</f>
        <v>0.138288667173769</v>
      </c>
      <c r="AA217" s="48">
        <f>VLOOKUP(B217,'Player Data'!$A1:$AE734,15,FALSE)*$Q217</f>
        <v>171.631346487401</v>
      </c>
      <c r="AB217" s="48">
        <f>VLOOKUP(B217,'Player Data'!$A1:$AE734,16,FALSE)*$Q217</f>
        <v>151.989501598713</v>
      </c>
      <c r="AC217" s="48">
        <f>VLOOKUP(B217,'Player Data'!$A1:$AE734,17,FALSE)*$Q217*_xlfn.IFERROR((VLOOKUP(P217,'Settings'!$E$28:$F$33,2,FALSE)+1),1)</f>
        <v>-1.98812762372681</v>
      </c>
      <c r="AD217" s="48">
        <f>VLOOKUP(B217,'Player Data'!$A1:$AE734,18,FALSE)*$Q217</f>
        <v>31.7524465703209</v>
      </c>
      <c r="AE217" s="48">
        <f>VLOOKUP(B217,'Player Data'!$A1:$AE734,19,FALSE)*$Q217*_xlfn.IFERROR((VLOOKUP(P217,'Settings'!$E$28:$F$33,2,FALSE)+1),1)</f>
        <v>0.644379121149621</v>
      </c>
      <c r="AF217" s="48">
        <f>VLOOKUP(B217,'Player Data'!$A1:$AE734,20,FALSE)*$Q217</f>
        <v>0</v>
      </c>
      <c r="AG217" s="48">
        <f>VLOOKUP(B217,'Player Data'!$A1:$AE734,21,FALSE)*$Q217</f>
        <v>0.936691198085714</v>
      </c>
      <c r="AH217" s="49">
        <f>VLOOKUP(B217,'Player Data'!$A1:$AE734,22,FALSE)</f>
        <v>0</v>
      </c>
      <c r="AI217" s="46"/>
      <c r="AJ217" s="50"/>
      <c r="AK217" s="48"/>
      <c r="AL217" s="48"/>
      <c r="AM217" s="48"/>
      <c r="AN217" s="48"/>
      <c r="AO217" s="48"/>
      <c r="AP217" s="48"/>
      <c r="AQ217" s="51"/>
      <c r="AR217" s="52"/>
      <c r="AS217" s="46"/>
    </row>
    <row r="218" ht="21.25" customHeight="1">
      <c r="A218" s="53">
        <f>RANK(K218,K2:K730)</f>
        <v>250</v>
      </c>
      <c r="B218" t="s" s="8">
        <v>370</v>
      </c>
      <c r="C218" t="s" s="39">
        <v>106</v>
      </c>
      <c r="D218" t="s" s="40">
        <f>VLOOKUP(B218,'Player Data'!A1:D734,4,FALSE)</f>
        <v>118</v>
      </c>
      <c r="E218" s="54">
        <f>VLOOKUP(B218,'LW'!A1:C156,3,FALSE)</f>
        <v>63</v>
      </c>
      <c r="F218" t="s" s="42">
        <f>VLOOKUP(B218,'Player Data'!A1:B734,2,FALSE)</f>
        <v>156</v>
      </c>
      <c r="G218" s="9">
        <f>VLOOKUP(B218,'Player Data'!A1:D734,3,FALSE)</f>
        <v>26</v>
      </c>
      <c r="H218" s="43">
        <f>_xlfn.IFERROR(VLOOKUP(B218,'ADP'!A1:G731,7,FALSE)/1000000,VLOOKUP(B218,'ADP'!A1:G731,7,FALSE))</f>
        <v>4.15</v>
      </c>
      <c r="I218" s="44">
        <f>IF('Settings'!$E$15="POINTS",((R218*Q218)*'Settings'!$B$12)+(S218*'Settings'!$B$2)+(T218*'Settings'!$B$3)+(U218*'Settings'!$B$4)+(V218*'Settings'!$B$5)+(X218*'Settings'!$B$9)+(AA218*'Settings'!$B$6)+(W218*'Settings'!$B$8)+(AB218*'Settings'!$B$7)+(AC218*'Settings'!$B$14)+(AD218*'Settings'!$B$15)+(AE218*'Settings'!$B$16)+(AF218*'Settings'!$B$17)+(AG218*'Settings'!$B$18)+(Y218*'Settings'!$B$10)+(Z218*'Settings'!$B$11),VLOOKUP(B218,'Standard Deviations'!A1:C731,3,FALSE))</f>
        <v>287.099241610952</v>
      </c>
      <c r="J218" s="45">
        <f>IF(D218="G",I218/AJ218,I218/Q218)</f>
        <v>3.6000066122583</v>
      </c>
      <c r="K218" s="44">
        <f>IF('Settings'!$E$18="C/LW/RW",VLOOKUP(B218,'RW'!A1:F132,6,FALSE),VLOOKUP(B218,'F'!A1:F432,6,FALSE))</f>
        <v>-94.529322095404</v>
      </c>
      <c r="L218" s="44">
        <f>_xlfn.IFERROR(K218/H218,"N/A")</f>
        <v>-22.778149902507</v>
      </c>
      <c r="M218" s="46">
        <f>IF('Settings'!$E$9="YAHOO",VLOOKUP(B218,'ADP'!A1:E731,2,FALSE),IF('Settings'!$E$9="ESPN",VLOOKUP(B218,'ADP'!A1:E731,3,FALSE),IF('Settings'!$E$9="FANTRAX",VLOOKUP(B218,'ADP'!A1:E731,4,FALSE),VLOOKUP(B218,'ADP'!A1:E731,5,FALSE))))</f>
        <v>226.35</v>
      </c>
      <c r="N218" s="46">
        <f>_xlfn.IFERROR(M218-A218,"N/A")</f>
        <v>-23.65</v>
      </c>
      <c r="O218" s="46"/>
      <c r="P218" t="s" s="47">
        <f>IF('Settings'!$E$27="ON",VLOOKUP(B218,'ADP'!A1:H731,8,FALSE)," ")</f>
        <v>109</v>
      </c>
      <c r="Q218" s="48">
        <f>IF('Settings'!$E$12="YES",VLOOKUP(B218,'Player Data'!A1:E734,5,FALSE),82)</f>
        <v>79.7496428571429</v>
      </c>
      <c r="R218" s="46">
        <f>VLOOKUP(B218,'Player Data'!$A1:$AE734,6,FALSE)</f>
        <v>17.0438159986662</v>
      </c>
      <c r="S218" s="48">
        <f>VLOOKUP(B218,'Player Data'!$A1:$AE734,7,FALSE)*$Q218*_xlfn.IFERROR((VLOOKUP(P218,'Settings'!$E$28:$F$33,2,FALSE)+1),1)</f>
        <v>19.6019042816576</v>
      </c>
      <c r="T218" s="48">
        <f>VLOOKUP(B218,'Player Data'!$A1:$AE734,8,FALSE)*$Q218*_xlfn.IFERROR((VLOOKUP(P218,'Settings'!$E$28:$F$33,2,FALSE)+1),1)</f>
        <v>25.497169852687</v>
      </c>
      <c r="U218" s="48">
        <f>SUM(S218:T218)</f>
        <v>45.0990741343446</v>
      </c>
      <c r="V218" s="48">
        <f>VLOOKUP(B218,'Player Data'!$A1:$AE734,10,FALSE)*$Q218*_xlfn.IFERROR(((VLOOKUP(P218,'Settings'!$E$28:$F$33,2,FALSE)/2)+1),1)</f>
        <v>183.317184478812</v>
      </c>
      <c r="W218" s="48">
        <f>VLOOKUP(B218,'Player Data'!$A1:$AE734,11,FALSE)*$Q218*_xlfn.IFERROR((VLOOKUP(P218,'Settings'!$E$28:$F$33,2,FALSE)+1),1)</f>
        <v>6.16042732002544</v>
      </c>
      <c r="X218" s="48">
        <f>VLOOKUP(B218,'Player Data'!$A1:$AE734,12,FALSE)*$Q218*_xlfn.IFERROR((VLOOKUP(P218,'Settings'!$E$28:$F$33,2,FALSE)+1),1)</f>
        <v>11.7010559374372</v>
      </c>
      <c r="Y218" s="48">
        <f>VLOOKUP(B218,'Player Data'!$A1:$AE734,13,FALSE)*$Q218</f>
        <v>0.0591689236834016</v>
      </c>
      <c r="Z218" s="48">
        <f>VLOOKUP(B218,'Player Data'!$A1:$AE734,14,FALSE)*$Q218</f>
        <v>0.108297559732477</v>
      </c>
      <c r="AA218" s="48">
        <f>VLOOKUP(B218,'Player Data'!$A1:$AE734,15,FALSE)*$Q218</f>
        <v>27.2633442566815</v>
      </c>
      <c r="AB218" s="48">
        <f>VLOOKUP(B218,'Player Data'!$A1:$AE734,16,FALSE)*$Q218</f>
        <v>67.5692131928805</v>
      </c>
      <c r="AC218" s="48">
        <f>VLOOKUP(B218,'Player Data'!$A1:$AE734,17,FALSE)*$Q218*_xlfn.IFERROR((VLOOKUP(P218,'Settings'!$E$28:$F$33,2,FALSE)+1),1)</f>
        <v>-0.380198958277974</v>
      </c>
      <c r="AD218" s="48">
        <f>VLOOKUP(B218,'Player Data'!$A1:$AE734,18,FALSE)*$Q218</f>
        <v>22.4565282479695</v>
      </c>
      <c r="AE218" s="48">
        <f>VLOOKUP(B218,'Player Data'!$A1:$AE734,19,FALSE)*$Q218*_xlfn.IFERROR((VLOOKUP(P218,'Settings'!$E$28:$F$33,2,FALSE)+1),1)</f>
        <v>2.77483868894117</v>
      </c>
      <c r="AF218" s="48">
        <f>VLOOKUP(B218,'Player Data'!$A1:$AE734,20,FALSE)*$Q218</f>
        <v>3.86674372077502</v>
      </c>
      <c r="AG218" s="48">
        <f>VLOOKUP(B218,'Player Data'!$A1:$AE734,21,FALSE)*$Q218</f>
        <v>8.93328045993003</v>
      </c>
      <c r="AH218" s="49">
        <f>VLOOKUP(B218,'Player Data'!$A1:$AE734,22,FALSE)</f>
        <v>0.302088782504319</v>
      </c>
      <c r="AI218" s="46"/>
      <c r="AJ218" s="50"/>
      <c r="AK218" s="48"/>
      <c r="AL218" s="48"/>
      <c r="AM218" s="48"/>
      <c r="AN218" s="48"/>
      <c r="AO218" s="48"/>
      <c r="AP218" s="48"/>
      <c r="AQ218" s="51"/>
      <c r="AR218" s="52"/>
      <c r="AS218" s="46"/>
    </row>
    <row r="219" ht="21.25" customHeight="1">
      <c r="A219" s="53">
        <f>RANK(K219,K2:K730)</f>
        <v>181</v>
      </c>
      <c r="B219" t="s" s="8">
        <v>371</v>
      </c>
      <c r="C219" t="s" s="39">
        <v>106</v>
      </c>
      <c r="D219" t="s" s="40">
        <f>VLOOKUP(B219,'Player Data'!A1:D734,4,FALSE)</f>
        <v>111</v>
      </c>
      <c r="E219" s="54">
        <f>VLOOKUP(B219,'LW'!A1:C156,3,FALSE)</f>
        <v>49</v>
      </c>
      <c r="F219" t="s" s="42">
        <f>VLOOKUP(B219,'Player Data'!A1:B734,2,FALSE)</f>
        <v>189</v>
      </c>
      <c r="G219" s="9">
        <f>VLOOKUP(B219,'Player Data'!A1:D734,3,FALSE)</f>
        <v>30</v>
      </c>
      <c r="H219" s="43">
        <f>_xlfn.IFERROR(VLOOKUP(B219,'ADP'!A1:G731,7,FALSE)/1000000,VLOOKUP(B219,'ADP'!A1:G731,7,FALSE))</f>
        <v>3.75</v>
      </c>
      <c r="I219" s="44">
        <f>IF('Settings'!$E$15="POINTS",((R219*Q219)*'Settings'!$B$12)+(S219*'Settings'!$B$2)+(T219*'Settings'!$B$3)+(U219*'Settings'!$B$4)+(V219*'Settings'!$B$5)+(X219*'Settings'!$B$9)+(AA219*'Settings'!$B$6)+(W219*'Settings'!$B$8)+(AB219*'Settings'!$B$7)+(AC219*'Settings'!$B$14)+(AD219*'Settings'!$B$15)+(AE219*'Settings'!$B$16)+(AF219*'Settings'!$B$17)+(AG219*'Settings'!$B$18)+(Y219*'Settings'!$B$10)+(Z219*'Settings'!$B$11),VLOOKUP(B219,'Standard Deviations'!A1:C731,3,FALSE))</f>
        <v>329.658701122838</v>
      </c>
      <c r="J219" s="45">
        <f>IF(D219="G",I219/AJ219,I219/Q219)</f>
        <v>4.42554304098319</v>
      </c>
      <c r="K219" s="44">
        <f>IF('Settings'!$E$18="C/LW/RW",VLOOKUP(B219,'LW'!A1:F156,6,FALSE),VLOOKUP(B219,'F'!A1:F432,6,FALSE))</f>
        <v>-51.969862583518</v>
      </c>
      <c r="L219" s="44">
        <f>_xlfn.IFERROR(K219/H219,"N/A")</f>
        <v>-13.8586300222715</v>
      </c>
      <c r="M219" s="46">
        <f>IF('Settings'!$E$9="YAHOO",VLOOKUP(B219,'ADP'!A1:E731,2,FALSE),IF('Settings'!$E$9="ESPN",VLOOKUP(B219,'ADP'!A1:E731,3,FALSE),IF('Settings'!$E$9="FANTRAX",VLOOKUP(B219,'ADP'!A1:E731,4,FALSE),VLOOKUP(B219,'ADP'!A1:E731,5,FALSE))))</f>
        <v>144.63</v>
      </c>
      <c r="N219" s="46">
        <f>_xlfn.IFERROR(M219-A219,"N/A")</f>
        <v>-36.37</v>
      </c>
      <c r="O219" s="46"/>
      <c r="P219" t="s" s="47">
        <f>IF('Settings'!$E$27="ON",VLOOKUP(B219,'ADP'!A1:H731,8,FALSE)," ")</f>
        <v>109</v>
      </c>
      <c r="Q219" s="48">
        <f>IF('Settings'!$E$12="YES",VLOOKUP(B219,'Player Data'!A1:E734,5,FALSE),82)</f>
        <v>74.48999999999999</v>
      </c>
      <c r="R219" s="46">
        <f>VLOOKUP(B219,'Player Data'!$A1:$AE734,6,FALSE)</f>
        <v>18.1728210281077</v>
      </c>
      <c r="S219" s="48">
        <f>VLOOKUP(B219,'Player Data'!$A1:$AE734,7,FALSE)*$Q219*_xlfn.IFERROR((VLOOKUP(P219,'Settings'!$E$28:$F$33,2,FALSE)+1),1)</f>
        <v>23.0780138487558</v>
      </c>
      <c r="T219" s="48">
        <f>VLOOKUP(B219,'Player Data'!$A1:$AE734,8,FALSE)*$Q219*_xlfn.IFERROR((VLOOKUP(P219,'Settings'!$E$28:$F$33,2,FALSE)+1),1)</f>
        <v>21.6102492407977</v>
      </c>
      <c r="U219" s="48">
        <f>SUM(S219:T219)</f>
        <v>44.6882630895535</v>
      </c>
      <c r="V219" s="48">
        <f>VLOOKUP(B219,'Player Data'!$A1:$AE734,10,FALSE)*$Q219*_xlfn.IFERROR(((VLOOKUP(P219,'Settings'!$E$28:$F$33,2,FALSE)/2)+1),1)</f>
        <v>197.013690578820</v>
      </c>
      <c r="W219" s="48">
        <f>VLOOKUP(B219,'Player Data'!$A1:$AE734,11,FALSE)*$Q219*_xlfn.IFERROR((VLOOKUP(P219,'Settings'!$E$28:$F$33,2,FALSE)+1),1)</f>
        <v>5.36508843635565</v>
      </c>
      <c r="X219" s="48">
        <f>VLOOKUP(B219,'Player Data'!$A1:$AE734,12,FALSE)*$Q219*_xlfn.IFERROR((VLOOKUP(P219,'Settings'!$E$28:$F$33,2,FALSE)+1),1)</f>
        <v>8.334094102274531</v>
      </c>
      <c r="Y219" s="48">
        <f>VLOOKUP(B219,'Player Data'!$A1:$AE734,13,FALSE)*$Q219</f>
        <v>0.178752174087417</v>
      </c>
      <c r="Z219" s="48">
        <f>VLOOKUP(B219,'Player Data'!$A1:$AE734,14,FALSE)*$Q219</f>
        <v>0.235796207524004</v>
      </c>
      <c r="AA219" s="48">
        <f>VLOOKUP(B219,'Player Data'!$A1:$AE734,15,FALSE)*$Q219</f>
        <v>65.66088804860161</v>
      </c>
      <c r="AB219" s="48">
        <f>VLOOKUP(B219,'Player Data'!$A1:$AE734,16,FALSE)*$Q219</f>
        <v>116.672037409139</v>
      </c>
      <c r="AC219" s="48">
        <f>VLOOKUP(B219,'Player Data'!$A1:$AE734,17,FALSE)*$Q219*_xlfn.IFERROR((VLOOKUP(P219,'Settings'!$E$28:$F$33,2,FALSE)+1),1)</f>
        <v>-5.75562098511463</v>
      </c>
      <c r="AD219" s="48">
        <f>VLOOKUP(B219,'Player Data'!$A1:$AE734,18,FALSE)*$Q219</f>
        <v>31.1677879180303</v>
      </c>
      <c r="AE219" s="48">
        <f>VLOOKUP(B219,'Player Data'!$A1:$AE734,19,FALSE)*$Q219*_xlfn.IFERROR((VLOOKUP(P219,'Settings'!$E$28:$F$33,2,FALSE)+1),1)</f>
        <v>2.47296808034127</v>
      </c>
      <c r="AF219" s="48">
        <f>VLOOKUP(B219,'Player Data'!$A1:$AE734,20,FALSE)*$Q219</f>
        <v>723.679408698735</v>
      </c>
      <c r="AG219" s="48">
        <f>VLOOKUP(B219,'Player Data'!$A1:$AE734,21,FALSE)*$Q219</f>
        <v>607.463799470005</v>
      </c>
      <c r="AH219" s="49">
        <f>VLOOKUP(B219,'Player Data'!$A1:$AE734,22,FALSE)</f>
        <v>0.54365255688327</v>
      </c>
      <c r="AI219" s="46"/>
      <c r="AJ219" s="50"/>
      <c r="AK219" s="48"/>
      <c r="AL219" s="48"/>
      <c r="AM219" s="48"/>
      <c r="AN219" s="48"/>
      <c r="AO219" s="48"/>
      <c r="AP219" s="48"/>
      <c r="AQ219" s="51"/>
      <c r="AR219" s="52"/>
      <c r="AS219" s="46"/>
    </row>
    <row r="220" ht="21.25" customHeight="1">
      <c r="A220" s="53">
        <f>RANK(K220,K2:K730)</f>
        <v>206</v>
      </c>
      <c r="B220" t="s" s="8">
        <v>372</v>
      </c>
      <c r="C220" t="s" s="39">
        <v>106</v>
      </c>
      <c r="D220" t="s" s="40">
        <f>VLOOKUP(B220,'Player Data'!A1:D734,4,FALSE)</f>
        <v>118</v>
      </c>
      <c r="E220" s="54">
        <f>VLOOKUP(B220,'LW'!A1:C156,3,FALSE)</f>
        <v>54</v>
      </c>
      <c r="F220" t="s" s="42">
        <f>VLOOKUP(B220,'Player Data'!A1:B734,2,FALSE)</f>
        <v>170</v>
      </c>
      <c r="G220" s="9">
        <f>VLOOKUP(B220,'Player Data'!A1:D734,3,FALSE)</f>
        <v>32</v>
      </c>
      <c r="H220" s="43">
        <f>_xlfn.IFERROR(VLOOKUP(B220,'ADP'!A1:G731,7,FALSE)/1000000,VLOOKUP(B220,'ADP'!A1:G731,7,FALSE))</f>
        <v>5</v>
      </c>
      <c r="I220" s="44">
        <f>IF('Settings'!$E$15="POINTS",((R220*Q220)*'Settings'!$B$12)+(S220*'Settings'!$B$2)+(T220*'Settings'!$B$3)+(U220*'Settings'!$B$4)+(V220*'Settings'!$B$5)+(X220*'Settings'!$B$9)+(AA220*'Settings'!$B$6)+(W220*'Settings'!$B$8)+(AB220*'Settings'!$B$7)+(AC220*'Settings'!$B$14)+(AD220*'Settings'!$B$15)+(AE220*'Settings'!$B$16)+(AF220*'Settings'!$B$17)+(AG220*'Settings'!$B$18)+(Y220*'Settings'!$B$10)+(Z220*'Settings'!$B$11),VLOOKUP(B220,'Standard Deviations'!A1:C731,3,FALSE))</f>
        <v>310.577739354740</v>
      </c>
      <c r="J220" s="45">
        <f>IF(D220="G",I220/AJ220,I220/Q220)</f>
        <v>4.0175262879905</v>
      </c>
      <c r="K220" s="44">
        <f>IF('Settings'!$E$18="C/LW/RW",VLOOKUP(B220,'RW'!A1:F132,6,FALSE),VLOOKUP(B220,'F'!A1:F432,6,FALSE))</f>
        <v>-71.050824351616</v>
      </c>
      <c r="L220" s="44">
        <f>_xlfn.IFERROR(K220/H220,"N/A")</f>
        <v>-14.2101648703232</v>
      </c>
      <c r="M220" s="46">
        <f>IF('Settings'!$E$9="YAHOO",VLOOKUP(B220,'ADP'!A1:E731,2,FALSE),IF('Settings'!$E$9="ESPN",VLOOKUP(B220,'ADP'!A1:E731,3,FALSE),IF('Settings'!$E$9="FANTRAX",VLOOKUP(B220,'ADP'!A1:E731,4,FALSE),VLOOKUP(B220,'ADP'!A1:E731,5,FALSE))))</f>
        <v>164.82</v>
      </c>
      <c r="N220" s="46">
        <f>_xlfn.IFERROR(M220-A220,"N/A")</f>
        <v>-41.18</v>
      </c>
      <c r="O220" s="46"/>
      <c r="P220" t="s" s="47">
        <f>IF('Settings'!$E$27="ON",VLOOKUP(B220,'ADP'!A1:H731,8,FALSE)," ")</f>
        <v>109</v>
      </c>
      <c r="Q220" s="48">
        <f>IF('Settings'!$E$12="YES",VLOOKUP(B220,'Player Data'!A1:E734,5,FALSE),82)</f>
        <v>77.3057142857143</v>
      </c>
      <c r="R220" s="46">
        <f>VLOOKUP(B220,'Player Data'!$A1:$AE734,6,FALSE)</f>
        <v>17.3725992812423</v>
      </c>
      <c r="S220" s="48">
        <f>VLOOKUP(B220,'Player Data'!$A1:$AE734,7,FALSE)*$Q220*_xlfn.IFERROR((VLOOKUP(P220,'Settings'!$E$28:$F$33,2,FALSE)+1),1)</f>
        <v>21.957758105006</v>
      </c>
      <c r="T220" s="48">
        <f>VLOOKUP(B220,'Player Data'!$A1:$AE734,8,FALSE)*$Q220*_xlfn.IFERROR((VLOOKUP(P220,'Settings'!$E$28:$F$33,2,FALSE)+1),1)</f>
        <v>26.6442453685077</v>
      </c>
      <c r="U220" s="48">
        <f>SUM(S220:T220)</f>
        <v>48.6020034735137</v>
      </c>
      <c r="V220" s="48">
        <f>VLOOKUP(B220,'Player Data'!$A1:$AE734,10,FALSE)*$Q220*_xlfn.IFERROR(((VLOOKUP(P220,'Settings'!$E$28:$F$33,2,FALSE)/2)+1),1)</f>
        <v>177.185118110469</v>
      </c>
      <c r="W220" s="48">
        <f>VLOOKUP(B220,'Player Data'!$A1:$AE734,11,FALSE)*$Q220*_xlfn.IFERROR((VLOOKUP(P220,'Settings'!$E$28:$F$33,2,FALSE)+1),1)</f>
        <v>3.62678235804947</v>
      </c>
      <c r="X220" s="48">
        <f>VLOOKUP(B220,'Player Data'!$A1:$AE734,12,FALSE)*$Q220*_xlfn.IFERROR((VLOOKUP(P220,'Settings'!$E$28:$F$33,2,FALSE)+1),1)</f>
        <v>6.89777695762987</v>
      </c>
      <c r="Y220" s="48">
        <f>VLOOKUP(B220,'Player Data'!$A1:$AE734,13,FALSE)*$Q220</f>
        <v>3.39438713568825</v>
      </c>
      <c r="Z220" s="48">
        <f>VLOOKUP(B220,'Player Data'!$A1:$AE734,14,FALSE)*$Q220</f>
        <v>4.22994247673547</v>
      </c>
      <c r="AA220" s="48">
        <f>VLOOKUP(B220,'Player Data'!$A1:$AE734,15,FALSE)*$Q220</f>
        <v>33.9717916558527</v>
      </c>
      <c r="AB220" s="48">
        <f>VLOOKUP(B220,'Player Data'!$A1:$AE734,16,FALSE)*$Q220</f>
        <v>71.1870077602306</v>
      </c>
      <c r="AC220" s="48">
        <f>VLOOKUP(B220,'Player Data'!$A1:$AE734,17,FALSE)*$Q220*_xlfn.IFERROR((VLOOKUP(P220,'Settings'!$E$28:$F$33,2,FALSE)+1),1)</f>
        <v>2.08841327109639</v>
      </c>
      <c r="AD220" s="48">
        <f>VLOOKUP(B220,'Player Data'!$A1:$AE734,18,FALSE)*$Q220</f>
        <v>19.7415366713026</v>
      </c>
      <c r="AE220" s="48">
        <f>VLOOKUP(B220,'Player Data'!$A1:$AE734,19,FALSE)*$Q220*_xlfn.IFERROR((VLOOKUP(P220,'Settings'!$E$28:$F$33,2,FALSE)+1),1)</f>
        <v>3.52465984547095</v>
      </c>
      <c r="AF220" s="48">
        <f>VLOOKUP(B220,'Player Data'!$A1:$AE734,20,FALSE)*$Q220</f>
        <v>3.1880074135702</v>
      </c>
      <c r="AG220" s="48">
        <f>VLOOKUP(B220,'Player Data'!$A1:$AE734,21,FALSE)*$Q220</f>
        <v>4.19123338312975</v>
      </c>
      <c r="AH220" s="49">
        <f>VLOOKUP(B220,'Player Data'!$A1:$AE734,22,FALSE)</f>
        <v>0.432023767945871</v>
      </c>
      <c r="AI220" s="46"/>
      <c r="AJ220" s="50"/>
      <c r="AK220" s="48"/>
      <c r="AL220" s="48"/>
      <c r="AM220" s="48"/>
      <c r="AN220" s="48"/>
      <c r="AO220" s="48"/>
      <c r="AP220" s="48"/>
      <c r="AQ220" s="51"/>
      <c r="AR220" s="52"/>
      <c r="AS220" s="46"/>
    </row>
    <row r="221" ht="21.25" customHeight="1">
      <c r="A221" s="53">
        <f>RANK(K221,K2:K730)</f>
        <v>255</v>
      </c>
      <c r="B221" t="s" s="8">
        <v>373</v>
      </c>
      <c r="C221" t="s" s="39">
        <v>106</v>
      </c>
      <c r="D221" t="s" s="40">
        <f>VLOOKUP(B221,'Player Data'!A1:D734,4,FALSE)</f>
        <v>129</v>
      </c>
      <c r="E221" s="56">
        <f>VLOOKUP(B221,'D'!A1:C228,3,FALSE)</f>
        <v>71</v>
      </c>
      <c r="F221" t="s" s="42">
        <f>VLOOKUP(B221,'Player Data'!A1:B734,2,FALSE)</f>
        <v>202</v>
      </c>
      <c r="G221" s="9">
        <f>VLOOKUP(B221,'Player Data'!A1:D734,3,FALSE)</f>
        <v>29</v>
      </c>
      <c r="H221" s="43">
        <f>_xlfn.IFERROR(VLOOKUP(B221,'ADP'!A1:G731,7,FALSE)/1000000,VLOOKUP(B221,'ADP'!A1:G731,7,FALSE))</f>
        <v>5.3</v>
      </c>
      <c r="I221" s="44">
        <f>IF('Settings'!$E$15="POINTS",((R221*Q221)*'Settings'!$B$12)+(S221*'Settings'!$B$2)+(T221*'Settings'!$B$3)+(U221*'Settings'!$B$4)+(V221*'Settings'!$B$5)+(X221*'Settings'!$B$9)+(AA221*'Settings'!$B$6)+(W221*'Settings'!$B$8)+(AB221*'Settings'!$B$7)+(AC221*'Settings'!$B$14)+(AD221*'Settings'!$B$15)+(AE221*'Settings'!$B$16)+(AF221*'Settings'!$B$17)+(AG221*'Settings'!$B$18)+(U221*'Settings'!$B$13)+(Y221*'Settings'!$B$10)+(Z221*'Settings'!$B$11),VLOOKUP(B221,'Standard Deviations'!A1:C731,3,FALSE))</f>
        <v>243.947869985769</v>
      </c>
      <c r="J221" s="45">
        <f>IF(D221="G",I221/AJ221,I221/Q221)</f>
        <v>3.05061492476856</v>
      </c>
      <c r="K221" s="44">
        <f>VLOOKUP(B221,'D'!A1:F228,6,FALSE)</f>
        <v>-96.78726866075399</v>
      </c>
      <c r="L221" s="44">
        <f>_xlfn.IFERROR(K221/H221,"N/A")</f>
        <v>-18.2617488039158</v>
      </c>
      <c r="M221" t="s" s="61">
        <f>IF('Settings'!$E$9="YAHOO",VLOOKUP(B221,'ADP'!A1:E731,2,FALSE),IF('Settings'!$E$9="ESPN",VLOOKUP(B221,'ADP'!A1:E731,3,FALSE),IF('Settings'!$E$9="FANTRAX",VLOOKUP(B221,'ADP'!A1:E731,4,FALSE),VLOOKUP(B221,'ADP'!A1:E731,5,FALSE))))</f>
        <v>329</v>
      </c>
      <c r="N221" t="s" s="61">
        <f>_xlfn.IFERROR(M221-A221,"N/A")</f>
        <v>158</v>
      </c>
      <c r="O221" s="46"/>
      <c r="P221" t="s" s="47">
        <f>IF('Settings'!$E$27="ON",VLOOKUP(B221,'ADP'!A1:H731,8,FALSE)," ")</f>
        <v>109</v>
      </c>
      <c r="Q221" s="48">
        <f>IF('Settings'!$E$12="YES",VLOOKUP(B221,'Player Data'!A1:E734,5,FALSE),82)</f>
        <v>79.96678571428571</v>
      </c>
      <c r="R221" s="46">
        <f>VLOOKUP(B221,'Player Data'!$A1:$AE734,6,FALSE)</f>
        <v>21.8995668675786</v>
      </c>
      <c r="S221" s="48">
        <f>VLOOKUP(B221,'Player Data'!$A1:$AE734,7,FALSE)*$Q221*_xlfn.IFERROR((VLOOKUP(P221,'Settings'!$E$28:$F$33,2,FALSE)+1),1)</f>
        <v>5.32463873099165</v>
      </c>
      <c r="T221" s="48">
        <f>VLOOKUP(B221,'Player Data'!$A1:$AE734,8,FALSE)*$Q221*_xlfn.IFERROR((VLOOKUP(P221,'Settings'!$E$28:$F$33,2,FALSE)+1),1)</f>
        <v>25.2485626298457</v>
      </c>
      <c r="U221" s="48">
        <f>SUM(S221:T221)</f>
        <v>30.5732013608374</v>
      </c>
      <c r="V221" s="48">
        <f>VLOOKUP(B221,'Player Data'!$A1:$AE734,10,FALSE)*$Q221*_xlfn.IFERROR(((VLOOKUP(P221,'Settings'!$E$28:$F$33,2,FALSE)/2)+1),1)</f>
        <v>142.807663415259</v>
      </c>
      <c r="W221" s="48">
        <f>VLOOKUP(B221,'Player Data'!$A1:$AE734,11,FALSE)*$Q221*_xlfn.IFERROR((VLOOKUP(P221,'Settings'!$E$28:$F$33,2,FALSE)+1),1)</f>
        <v>0.0589069419474088</v>
      </c>
      <c r="X221" s="48">
        <f>VLOOKUP(B221,'Player Data'!$A1:$AE734,12,FALSE)*$Q221*_xlfn.IFERROR((VLOOKUP(P221,'Settings'!$E$28:$F$33,2,FALSE)+1),1)</f>
        <v>0.377456031366619</v>
      </c>
      <c r="Y221" s="48">
        <f>VLOOKUP(B221,'Player Data'!$A1:$AE734,13,FALSE)*$Q221</f>
        <v>0.0221688425994355</v>
      </c>
      <c r="Z221" s="48">
        <f>VLOOKUP(B221,'Player Data'!$A1:$AE734,14,FALSE)*$Q221</f>
        <v>1.24207950082519</v>
      </c>
      <c r="AA221" s="48">
        <f>VLOOKUP(B221,'Player Data'!$A1:$AE734,15,FALSE)*$Q221</f>
        <v>115.033495521608</v>
      </c>
      <c r="AB221" s="48">
        <f>VLOOKUP(B221,'Player Data'!$A1:$AE734,16,FALSE)*$Q221</f>
        <v>51.3462773467436</v>
      </c>
      <c r="AC221" s="48">
        <f>VLOOKUP(B221,'Player Data'!$A1:$AE734,17,FALSE)*$Q221*_xlfn.IFERROR((VLOOKUP(P221,'Settings'!$E$28:$F$33,2,FALSE)+1),1)</f>
        <v>9.13880889496574</v>
      </c>
      <c r="AD221" s="48">
        <f>VLOOKUP(B221,'Player Data'!$A1:$AE734,18,FALSE)*$Q221</f>
        <v>12.4913417179383</v>
      </c>
      <c r="AE221" s="48">
        <f>VLOOKUP(B221,'Player Data'!$A1:$AE734,19,FALSE)*$Q221*_xlfn.IFERROR((VLOOKUP(P221,'Settings'!$E$28:$F$33,2,FALSE)+1),1)</f>
        <v>0.955359416017534</v>
      </c>
      <c r="AF221" s="48">
        <f>VLOOKUP(B221,'Player Data'!$A1:$AE734,20,FALSE)*$Q221</f>
        <v>0</v>
      </c>
      <c r="AG221" s="48">
        <f>VLOOKUP(B221,'Player Data'!$A1:$AE734,21,FALSE)*$Q221</f>
        <v>0</v>
      </c>
      <c r="AH221" s="49">
        <f>VLOOKUP(B221,'Player Data'!$A1:$AE734,22,FALSE)</f>
        <v>0</v>
      </c>
      <c r="AI221" s="46"/>
      <c r="AJ221" s="50"/>
      <c r="AK221" s="48"/>
      <c r="AL221" s="48"/>
      <c r="AM221" s="48"/>
      <c r="AN221" s="48"/>
      <c r="AO221" s="48"/>
      <c r="AP221" s="48"/>
      <c r="AQ221" s="51"/>
      <c r="AR221" s="52"/>
      <c r="AS221" s="46"/>
    </row>
    <row r="222" ht="21.25" customHeight="1">
      <c r="A222" s="53">
        <f>RANK(K222,K2:K730)</f>
        <v>169</v>
      </c>
      <c r="B222" t="s" s="8">
        <v>374</v>
      </c>
      <c r="C222" t="s" s="39">
        <v>106</v>
      </c>
      <c r="D222" t="s" s="40">
        <f>VLOOKUP(B222,'Player Data'!A1:D734,4,FALSE)</f>
        <v>129</v>
      </c>
      <c r="E222" s="56">
        <f>VLOOKUP(B222,'D'!A1:C228,3,FALSE)</f>
        <v>40</v>
      </c>
      <c r="F222" t="s" s="42">
        <f>VLOOKUP(B222,'Player Data'!A1:B734,2,FALSE)</f>
        <v>248</v>
      </c>
      <c r="G222" s="9">
        <f>VLOOKUP(B222,'Player Data'!A1:D734,3,FALSE)</f>
        <v>30</v>
      </c>
      <c r="H222" s="43">
        <f>_xlfn.IFERROR(VLOOKUP(B222,'ADP'!A1:G731,7,FALSE)/1000000,VLOOKUP(B222,'ADP'!A1:G731,7,FALSE))</f>
        <v>4</v>
      </c>
      <c r="I222" s="44">
        <f>IF('Settings'!$E$15="POINTS",((R222*Q222)*'Settings'!$B$12)+(S222*'Settings'!$B$2)+(T222*'Settings'!$B$3)+(U222*'Settings'!$B$4)+(V222*'Settings'!$B$5)+(X222*'Settings'!$B$9)+(AA222*'Settings'!$B$6)+(W222*'Settings'!$B$8)+(AB222*'Settings'!$B$7)+(AC222*'Settings'!$B$14)+(AD222*'Settings'!$B$15)+(AE222*'Settings'!$B$16)+(AF222*'Settings'!$B$17)+(AG222*'Settings'!$B$18)+(U222*'Settings'!$B$13)+(Y222*'Settings'!$B$10)+(Z222*'Settings'!$B$11),VLOOKUP(B222,'Standard Deviations'!A1:C731,3,FALSE))</f>
        <v>297.770679007216</v>
      </c>
      <c r="J222" s="45">
        <f>IF(D222="G",I222/AJ222,I222/Q222)</f>
        <v>3.63002168727558</v>
      </c>
      <c r="K222" s="44">
        <f>VLOOKUP(B222,'D'!A1:F228,6,FALSE)</f>
        <v>-42.964459639307</v>
      </c>
      <c r="L222" s="44">
        <f>_xlfn.IFERROR(K222/H222,"N/A")</f>
        <v>-10.7411149098268</v>
      </c>
      <c r="M222" s="46">
        <f>IF('Settings'!$E$9="YAHOO",VLOOKUP(B222,'ADP'!A1:E731,2,FALSE),IF('Settings'!$E$9="ESPN",VLOOKUP(B222,'ADP'!A1:E731,3,FALSE),IF('Settings'!$E$9="FANTRAX",VLOOKUP(B222,'ADP'!A1:E731,4,FALSE),VLOOKUP(B222,'ADP'!A1:E731,5,FALSE))))</f>
        <v>170.06</v>
      </c>
      <c r="N222" s="46">
        <f>_xlfn.IFERROR(M222-A222,"N/A")</f>
        <v>1.06</v>
      </c>
      <c r="O222" s="46"/>
      <c r="P222" t="s" s="47">
        <f>IF('Settings'!$E$27="ON",VLOOKUP(B222,'ADP'!A1:H731,8,FALSE)," ")</f>
        <v>109</v>
      </c>
      <c r="Q222" s="48">
        <f>IF('Settings'!$E$12="YES",VLOOKUP(B222,'Player Data'!A1:E734,5,FALSE),82)</f>
        <v>82.03</v>
      </c>
      <c r="R222" s="46">
        <f>VLOOKUP(B222,'Player Data'!$A1:$AE734,6,FALSE)</f>
        <v>23.7719653544207</v>
      </c>
      <c r="S222" s="48">
        <f>VLOOKUP(B222,'Player Data'!$A1:$AE734,7,FALSE)*$Q222*_xlfn.IFERROR((VLOOKUP(P222,'Settings'!$E$28:$F$33,2,FALSE)+1),1)</f>
        <v>7.78989353644898</v>
      </c>
      <c r="T222" s="48">
        <f>VLOOKUP(B222,'Player Data'!$A1:$AE734,8,FALSE)*$Q222*_xlfn.IFERROR((VLOOKUP(P222,'Settings'!$E$28:$F$33,2,FALSE)+1),1)</f>
        <v>20.5571129535883</v>
      </c>
      <c r="U222" s="48">
        <f>SUM(S222:T222)</f>
        <v>28.3470064900373</v>
      </c>
      <c r="V222" s="48">
        <f>VLOOKUP(B222,'Player Data'!$A1:$AE734,10,FALSE)*$Q222*_xlfn.IFERROR(((VLOOKUP(P222,'Settings'!$E$28:$F$33,2,FALSE)/2)+1),1)</f>
        <v>135.590652849816</v>
      </c>
      <c r="W222" s="48">
        <f>VLOOKUP(B222,'Player Data'!$A1:$AE734,11,FALSE)*$Q222*_xlfn.IFERROR((VLOOKUP(P222,'Settings'!$E$28:$F$33,2,FALSE)+1),1)</f>
        <v>0.035706813599337</v>
      </c>
      <c r="X222" s="48">
        <f>VLOOKUP(B222,'Player Data'!$A1:$AE734,12,FALSE)*$Q222*_xlfn.IFERROR((VLOOKUP(P222,'Settings'!$E$28:$F$33,2,FALSE)+1),1)</f>
        <v>0.328099237875365</v>
      </c>
      <c r="Y222" s="48">
        <f>VLOOKUP(B222,'Player Data'!$A1:$AE734,13,FALSE)*$Q222</f>
        <v>0.0261999629723836</v>
      </c>
      <c r="Z222" s="48">
        <f>VLOOKUP(B222,'Player Data'!$A1:$AE734,14,FALSE)*$Q222</f>
        <v>0.140106196890771</v>
      </c>
      <c r="AA222" s="48">
        <f>VLOOKUP(B222,'Player Data'!$A1:$AE734,15,FALSE)*$Q222</f>
        <v>166.378655042306</v>
      </c>
      <c r="AB222" s="48">
        <f>VLOOKUP(B222,'Player Data'!$A1:$AE734,16,FALSE)*$Q222</f>
        <v>199.119811570353</v>
      </c>
      <c r="AC222" s="48">
        <f>VLOOKUP(B222,'Player Data'!$A1:$AE734,17,FALSE)*$Q222*_xlfn.IFERROR((VLOOKUP(P222,'Settings'!$E$28:$F$33,2,FALSE)+1),1)</f>
        <v>0.1488514906512</v>
      </c>
      <c r="AD222" s="48">
        <f>VLOOKUP(B222,'Player Data'!$A1:$AE734,18,FALSE)*$Q222</f>
        <v>51.0985285071851</v>
      </c>
      <c r="AE222" s="48">
        <f>VLOOKUP(B222,'Player Data'!$A1:$AE734,19,FALSE)*$Q222*_xlfn.IFERROR((VLOOKUP(P222,'Settings'!$E$28:$F$33,2,FALSE)+1),1)</f>
        <v>1.09495503972137</v>
      </c>
      <c r="AF222" s="48">
        <f>VLOOKUP(B222,'Player Data'!$A1:$AE734,20,FALSE)*$Q222</f>
        <v>0.0249314329008912</v>
      </c>
      <c r="AG222" s="48">
        <f>VLOOKUP(B222,'Player Data'!$A1:$AE734,21,FALSE)*$Q222</f>
        <v>0.133046403219251</v>
      </c>
      <c r="AH222" s="49">
        <f>VLOOKUP(B222,'Player Data'!$A1:$AE734,22,FALSE)</f>
        <v>0.157816017190733</v>
      </c>
      <c r="AI222" s="46"/>
      <c r="AJ222" s="50"/>
      <c r="AK222" s="48"/>
      <c r="AL222" s="48"/>
      <c r="AM222" s="48"/>
      <c r="AN222" s="48"/>
      <c r="AO222" s="48"/>
      <c r="AP222" s="48"/>
      <c r="AQ222" s="51"/>
      <c r="AR222" s="52"/>
      <c r="AS222" s="46"/>
    </row>
    <row r="223" ht="21.25" customHeight="1">
      <c r="A223" s="53">
        <f>RANK(K223,K2:K730)</f>
        <v>274</v>
      </c>
      <c r="B223" t="s" s="8">
        <v>375</v>
      </c>
      <c r="C223" t="s" s="39">
        <v>106</v>
      </c>
      <c r="D223" t="s" s="40">
        <f>VLOOKUP(B223,'Player Data'!A1:D734,4,FALSE)</f>
        <v>129</v>
      </c>
      <c r="E223" s="56">
        <f>VLOOKUP(B223,'D'!A1:C228,3,FALSE)</f>
        <v>78</v>
      </c>
      <c r="F223" t="s" s="42">
        <f>VLOOKUP(B223,'Player Data'!A1:B734,2,FALSE)</f>
        <v>202</v>
      </c>
      <c r="G223" s="9">
        <f>VLOOKUP(B223,'Player Data'!A1:D734,3,FALSE)</f>
        <v>29</v>
      </c>
      <c r="H223" s="43">
        <f>_xlfn.IFERROR(VLOOKUP(B223,'ADP'!A1:G731,7,FALSE)/1000000,VLOOKUP(B223,'ADP'!A1:G731,7,FALSE))</f>
        <v>5.25</v>
      </c>
      <c r="I223" s="44">
        <f>IF('Settings'!$E$15="POINTS",((R223*Q223)*'Settings'!$B$12)+(S223*'Settings'!$B$2)+(T223*'Settings'!$B$3)+(U223*'Settings'!$B$4)+(V223*'Settings'!$B$5)+(X223*'Settings'!$B$9)+(AA223*'Settings'!$B$6)+(W223*'Settings'!$B$8)+(AB223*'Settings'!$B$7)+(AC223*'Settings'!$B$14)+(AD223*'Settings'!$B$15)+(AE223*'Settings'!$B$16)+(AF223*'Settings'!$B$17)+(AG223*'Settings'!$B$18)+(U223*'Settings'!$B$13)+(Y223*'Settings'!$B$10)+(Z223*'Settings'!$B$11),VLOOKUP(B223,'Standard Deviations'!A1:C731,3,FALSE))</f>
        <v>237.687433756691</v>
      </c>
      <c r="J223" s="45">
        <f>IF(D223="G",I223/AJ223,I223/Q223)</f>
        <v>2.94897560492172</v>
      </c>
      <c r="K223" s="44">
        <f>VLOOKUP(B223,'D'!A1:F228,6,FALSE)</f>
        <v>-103.047704889832</v>
      </c>
      <c r="L223" s="44">
        <f>_xlfn.IFERROR(K223/H223,"N/A")</f>
        <v>-19.6281342647299</v>
      </c>
      <c r="M223" s="46">
        <f>IF('Settings'!$E$9="YAHOO",VLOOKUP(B223,'ADP'!A1:E731,2,FALSE),IF('Settings'!$E$9="ESPN",VLOOKUP(B223,'ADP'!A1:E731,3,FALSE),IF('Settings'!$E$9="FANTRAX",VLOOKUP(B223,'ADP'!A1:E731,4,FALSE),VLOOKUP(B223,'ADP'!A1:E731,5,FALSE))))</f>
        <v>209.34</v>
      </c>
      <c r="N223" s="46">
        <f>_xlfn.IFERROR(M223-A223,"N/A")</f>
        <v>-64.66</v>
      </c>
      <c r="O223" s="46"/>
      <c r="P223" t="s" s="47">
        <f>IF('Settings'!$E$27="ON",VLOOKUP(B223,'ADP'!A1:H731,8,FALSE)," ")</f>
        <v>109</v>
      </c>
      <c r="Q223" s="48">
        <f>IF('Settings'!$E$12="YES",VLOOKUP(B223,'Player Data'!A1:E734,5,FALSE),82)</f>
        <v>80.59999999999999</v>
      </c>
      <c r="R223" s="46">
        <f>VLOOKUP(B223,'Player Data'!$A1:$AE734,6,FALSE)</f>
        <v>19.1642363178196</v>
      </c>
      <c r="S223" s="48">
        <f>VLOOKUP(B223,'Player Data'!$A1:$AE734,7,FALSE)*$Q223*_xlfn.IFERROR((VLOOKUP(P223,'Settings'!$E$28:$F$33,2,FALSE)+1),1)</f>
        <v>9.753193346930351</v>
      </c>
      <c r="T223" s="48">
        <f>VLOOKUP(B223,'Player Data'!$A1:$AE734,8,FALSE)*$Q223*_xlfn.IFERROR((VLOOKUP(P223,'Settings'!$E$28:$F$33,2,FALSE)+1),1)</f>
        <v>19.675356836166</v>
      </c>
      <c r="U223" s="48">
        <f>SUM(S223:T223)</f>
        <v>29.4285501830964</v>
      </c>
      <c r="V223" s="48">
        <f>VLOOKUP(B223,'Player Data'!$A1:$AE734,10,FALSE)*$Q223*_xlfn.IFERROR(((VLOOKUP(P223,'Settings'!$E$28:$F$33,2,FALSE)/2)+1),1)</f>
        <v>156.811217733204</v>
      </c>
      <c r="W223" s="48">
        <f>VLOOKUP(B223,'Player Data'!$A1:$AE734,11,FALSE)*$Q223*_xlfn.IFERROR((VLOOKUP(P223,'Settings'!$E$28:$F$33,2,FALSE)+1),1)</f>
        <v>1.35142524201136</v>
      </c>
      <c r="X223" s="48">
        <f>VLOOKUP(B223,'Player Data'!$A1:$AE734,12,FALSE)*$Q223*_xlfn.IFERROR((VLOOKUP(P223,'Settings'!$E$28:$F$33,2,FALSE)+1),1)</f>
        <v>2.86638484828407</v>
      </c>
      <c r="Y223" s="48">
        <f>VLOOKUP(B223,'Player Data'!$A1:$AE734,13,FALSE)*$Q223</f>
        <v>0.411547375441928</v>
      </c>
      <c r="Z223" s="48">
        <f>VLOOKUP(B223,'Player Data'!$A1:$AE734,14,FALSE)*$Q223</f>
        <v>0.638165258626001</v>
      </c>
      <c r="AA223" s="48">
        <f>VLOOKUP(B223,'Player Data'!$A1:$AE734,15,FALSE)*$Q223</f>
        <v>70.43355921358111</v>
      </c>
      <c r="AB223" s="48">
        <f>VLOOKUP(B223,'Player Data'!$A1:$AE734,16,FALSE)*$Q223</f>
        <v>79.4930967854478</v>
      </c>
      <c r="AC223" s="48">
        <f>VLOOKUP(B223,'Player Data'!$A1:$AE734,17,FALSE)*$Q223*_xlfn.IFERROR((VLOOKUP(P223,'Settings'!$E$28:$F$33,2,FALSE)+1),1)</f>
        <v>6.43640459440309</v>
      </c>
      <c r="AD223" s="48">
        <f>VLOOKUP(B223,'Player Data'!$A1:$AE734,18,FALSE)*$Q223</f>
        <v>39.7665177700106</v>
      </c>
      <c r="AE223" s="48">
        <f>VLOOKUP(B223,'Player Data'!$A1:$AE734,19,FALSE)*$Q223*_xlfn.IFERROR((VLOOKUP(P223,'Settings'!$E$28:$F$33,2,FALSE)+1),1)</f>
        <v>1.74994127695385</v>
      </c>
      <c r="AF223" s="48">
        <f>VLOOKUP(B223,'Player Data'!$A1:$AE734,20,FALSE)*$Q223</f>
        <v>0</v>
      </c>
      <c r="AG223" s="48">
        <f>VLOOKUP(B223,'Player Data'!$A1:$AE734,21,FALSE)*$Q223</f>
        <v>0</v>
      </c>
      <c r="AH223" s="49">
        <f>VLOOKUP(B223,'Player Data'!$A1:$AE734,22,FALSE)</f>
        <v>0</v>
      </c>
      <c r="AI223" s="46"/>
      <c r="AJ223" s="50"/>
      <c r="AK223" s="48"/>
      <c r="AL223" s="48"/>
      <c r="AM223" s="48"/>
      <c r="AN223" s="48"/>
      <c r="AO223" s="48"/>
      <c r="AP223" s="48"/>
      <c r="AQ223" s="51"/>
      <c r="AR223" s="52"/>
      <c r="AS223" s="46"/>
    </row>
    <row r="224" ht="21.25" customHeight="1">
      <c r="A224" s="53">
        <f>RANK(K224,K2:K730)</f>
        <v>308</v>
      </c>
      <c r="B224" t="s" s="8">
        <v>376</v>
      </c>
      <c r="C224" t="s" s="39">
        <v>106</v>
      </c>
      <c r="D224" t="s" s="40">
        <f>VLOOKUP(B224,'Player Data'!A1:D734,4,FALSE)</f>
        <v>129</v>
      </c>
      <c r="E224" s="56">
        <f>VLOOKUP(B224,'D'!A1:C228,3,FALSE)</f>
        <v>95</v>
      </c>
      <c r="F224" t="s" s="42">
        <f>VLOOKUP(B224,'Player Data'!A1:B734,2,FALSE)</f>
        <v>236</v>
      </c>
      <c r="G224" s="9">
        <f>VLOOKUP(B224,'Player Data'!A1:D734,3,FALSE)</f>
        <v>22</v>
      </c>
      <c r="H224" s="43">
        <f>_xlfn.IFERROR(VLOOKUP(B224,'ADP'!A1:G731,7,FALSE)/1000000,VLOOKUP(B224,'ADP'!A1:G731,7,FALSE))</f>
        <v>1.6</v>
      </c>
      <c r="I224" s="44">
        <f>IF('Settings'!$E$15="POINTS",((R224*Q224)*'Settings'!$B$12)+(S224*'Settings'!$B$2)+(T224*'Settings'!$B$3)+(U224*'Settings'!$B$4)+(V224*'Settings'!$B$5)+(X224*'Settings'!$B$9)+(AA224*'Settings'!$B$6)+(W224*'Settings'!$B$8)+(AB224*'Settings'!$B$7)+(AC224*'Settings'!$B$14)+(AD224*'Settings'!$B$15)+(AE224*'Settings'!$B$16)+(AF224*'Settings'!$B$17)+(AG224*'Settings'!$B$18)+(U224*'Settings'!$B$13)+(Y224*'Settings'!$B$10)+(Z224*'Settings'!$B$11),VLOOKUP(B224,'Standard Deviations'!A1:C731,3,FALSE))</f>
        <v>221.226321046591</v>
      </c>
      <c r="J224" s="45">
        <f>IF(D224="G",I224/AJ224,I224/Q224)</f>
        <v>3.14197303006094</v>
      </c>
      <c r="K224" s="44">
        <f>VLOOKUP(B224,'D'!A1:F228,6,FALSE)</f>
        <v>-119.508817599932</v>
      </c>
      <c r="L224" s="44">
        <f>_xlfn.IFERROR(K224/H224,"N/A")</f>
        <v>-74.69301099995749</v>
      </c>
      <c r="M224" s="46">
        <f>IF('Settings'!$E$9="YAHOO",VLOOKUP(B224,'ADP'!A1:E731,2,FALSE),IF('Settings'!$E$9="ESPN",VLOOKUP(B224,'ADP'!A1:E731,3,FALSE),IF('Settings'!$E$9="FANTRAX",VLOOKUP(B224,'ADP'!A1:E731,4,FALSE),VLOOKUP(B224,'ADP'!A1:E731,5,FALSE))))</f>
        <v>217.91</v>
      </c>
      <c r="N224" s="46">
        <f>_xlfn.IFERROR(M224-A224,"N/A")</f>
        <v>-90.09</v>
      </c>
      <c r="O224" s="46"/>
      <c r="P224" t="s" s="47">
        <f>IF('Settings'!$E$27="ON",VLOOKUP(B224,'ADP'!A1:H731,8,FALSE)," ")</f>
        <v>116</v>
      </c>
      <c r="Q224" s="48">
        <f>IF('Settings'!$E$12="YES",VLOOKUP(B224,'Player Data'!A1:E734,5,FALSE),82)</f>
        <v>70.41</v>
      </c>
      <c r="R224" s="46">
        <f>VLOOKUP(B224,'Player Data'!$A1:$AE734,6,FALSE)</f>
        <v>21.6064706247023</v>
      </c>
      <c r="S224" s="48">
        <f>VLOOKUP(B224,'Player Data'!$A1:$AE734,7,FALSE)*$Q224*_xlfn.IFERROR((VLOOKUP(P224,'Settings'!$E$28:$F$33,2,FALSE)+1),1)</f>
        <v>5.76103149536076</v>
      </c>
      <c r="T224" s="48">
        <f>VLOOKUP(B224,'Player Data'!$A1:$AE734,8,FALSE)*$Q224*_xlfn.IFERROR((VLOOKUP(P224,'Settings'!$E$28:$F$33,2,FALSE)+1),1)</f>
        <v>28.3612916802104</v>
      </c>
      <c r="U224" s="48">
        <f>SUM(S224:T224)</f>
        <v>34.1223231755712</v>
      </c>
      <c r="V224" s="48">
        <f>VLOOKUP(B224,'Player Data'!$A1:$AE734,10,FALSE)*$Q224*_xlfn.IFERROR(((VLOOKUP(P224,'Settings'!$E$28:$F$33,2,FALSE)/2)+1),1)</f>
        <v>83.62923772320489</v>
      </c>
      <c r="W224" s="48">
        <f>VLOOKUP(B224,'Player Data'!$A1:$AE734,11,FALSE)*$Q224*_xlfn.IFERROR((VLOOKUP(P224,'Settings'!$E$28:$F$33,2,FALSE)+1),1)</f>
        <v>1.48258600473597</v>
      </c>
      <c r="X224" s="48">
        <f>VLOOKUP(B224,'Player Data'!$A1:$AE734,12,FALSE)*$Q224*_xlfn.IFERROR((VLOOKUP(P224,'Settings'!$E$28:$F$33,2,FALSE)+1),1)</f>
        <v>11.2241595677786</v>
      </c>
      <c r="Y224" s="48">
        <f>VLOOKUP(B224,'Player Data'!$A1:$AE734,13,FALSE)*$Q224</f>
        <v>0.012995864042142</v>
      </c>
      <c r="Z224" s="48">
        <f>VLOOKUP(B224,'Player Data'!$A1:$AE734,14,FALSE)*$Q224</f>
        <v>0.238395027942131</v>
      </c>
      <c r="AA224" s="48">
        <f>VLOOKUP(B224,'Player Data'!$A1:$AE734,15,FALSE)*$Q224</f>
        <v>98.1968280385383</v>
      </c>
      <c r="AB224" s="48">
        <f>VLOOKUP(B224,'Player Data'!$A1:$AE734,16,FALSE)*$Q224</f>
        <v>75.311925360321</v>
      </c>
      <c r="AC224" s="48">
        <f>VLOOKUP(B224,'Player Data'!$A1:$AE734,17,FALSE)*$Q224*_xlfn.IFERROR((VLOOKUP(P224,'Settings'!$E$28:$F$33,2,FALSE)+1),1)</f>
        <v>-4.39473724077917</v>
      </c>
      <c r="AD224" s="48">
        <f>VLOOKUP(B224,'Player Data'!$A1:$AE734,18,FALSE)*$Q224</f>
        <v>26.8001591055835</v>
      </c>
      <c r="AE224" s="48">
        <f>VLOOKUP(B224,'Player Data'!$A1:$AE734,19,FALSE)*$Q224*_xlfn.IFERROR((VLOOKUP(P224,'Settings'!$E$28:$F$33,2,FALSE)+1),1)</f>
        <v>0.67718414802468</v>
      </c>
      <c r="AF224" s="48">
        <f>VLOOKUP(B224,'Player Data'!$A1:$AE734,20,FALSE)*$Q224</f>
        <v>0</v>
      </c>
      <c r="AG224" s="48">
        <f>VLOOKUP(B224,'Player Data'!$A1:$AE734,21,FALSE)*$Q224</f>
        <v>0</v>
      </c>
      <c r="AH224" s="49">
        <f>VLOOKUP(B224,'Player Data'!$A1:$AE734,22,FALSE)</f>
        <v>0</v>
      </c>
      <c r="AI224" s="46"/>
      <c r="AJ224" s="50"/>
      <c r="AK224" s="48"/>
      <c r="AL224" s="48"/>
      <c r="AM224" s="48"/>
      <c r="AN224" s="48"/>
      <c r="AO224" s="48"/>
      <c r="AP224" s="48"/>
      <c r="AQ224" s="51"/>
      <c r="AR224" s="52"/>
      <c r="AS224" s="46"/>
    </row>
    <row r="225" ht="21.25" customHeight="1">
      <c r="A225" s="53">
        <f>RANK(K225,K2:K730)</f>
        <v>196</v>
      </c>
      <c r="B225" t="s" s="8">
        <v>377</v>
      </c>
      <c r="C225" t="s" s="39">
        <v>106</v>
      </c>
      <c r="D225" t="s" s="40">
        <f>VLOOKUP(B225,'Player Data'!A1:D734,4,FALSE)</f>
        <v>187</v>
      </c>
      <c r="E225" s="54">
        <f>VLOOKUP(B225,'RW'!A1:F132,3,FALSE)</f>
        <v>49</v>
      </c>
      <c r="F225" t="s" s="42">
        <f>VLOOKUP(B225,'Player Data'!A1:B734,2,FALSE)</f>
        <v>134</v>
      </c>
      <c r="G225" s="9">
        <f>VLOOKUP(B225,'Player Data'!A1:D734,3,FALSE)</f>
        <v>28</v>
      </c>
      <c r="H225" s="43">
        <f>_xlfn.IFERROR(VLOOKUP(B225,'ADP'!A1:G731,7,FALSE)/1000000,VLOOKUP(B225,'ADP'!A1:G731,7,FALSE))</f>
        <v>1.7</v>
      </c>
      <c r="I225" s="44">
        <f>IF('Settings'!$E$15="POINTS",((R225*Q225)*'Settings'!$B$12)+(S225*'Settings'!$B$2)+(T225*'Settings'!$B$3)+(U225*'Settings'!$B$4)+(V225*'Settings'!$B$5)+(X225*'Settings'!$B$9)+(AA225*'Settings'!$B$6)+(W225*'Settings'!$B$8)+(AB225*'Settings'!$B$7)+(AC225*'Settings'!$B$14)+(AD225*'Settings'!$B$15)+(AE225*'Settings'!$B$16)+(AF225*'Settings'!$B$17)+(AG225*'Settings'!$B$18)+(Y225*'Settings'!$B$10)+(Z225*'Settings'!$B$11),VLOOKUP(B225,'Standard Deviations'!A1:C731,3,FALSE))</f>
        <v>316.521418207539</v>
      </c>
      <c r="J225" s="45">
        <f>IF(D225="G",I225/AJ225,I225/Q225)</f>
        <v>4.08942400784934</v>
      </c>
      <c r="K225" s="44">
        <f>IF('Settings'!$E$18="C/LW/RW",VLOOKUP(B225,'RW'!A1:F132,6,FALSE),VLOOKUP(B225,'F'!A1:F432,6,FALSE))</f>
        <v>-65.107145498817</v>
      </c>
      <c r="L225" s="44">
        <f>_xlfn.IFERROR(K225/H225,"N/A")</f>
        <v>-38.2983208816571</v>
      </c>
      <c r="M225" s="46">
        <f>IF('Settings'!$E$9="YAHOO",VLOOKUP(B225,'ADP'!A1:E731,2,FALSE),IF('Settings'!$E$9="ESPN",VLOOKUP(B225,'ADP'!A1:E731,3,FALSE),IF('Settings'!$E$9="FANTRAX",VLOOKUP(B225,'ADP'!A1:E731,4,FALSE),VLOOKUP(B225,'ADP'!A1:E731,5,FALSE))))</f>
        <v>175.12</v>
      </c>
      <c r="N225" s="46">
        <f>_xlfn.IFERROR(M225-A225,"N/A")</f>
        <v>-20.88</v>
      </c>
      <c r="O225" s="46"/>
      <c r="P225" t="s" s="47">
        <f>IF('Settings'!$E$27="ON",VLOOKUP(B225,'ADP'!A1:H731,8,FALSE)," ")</f>
        <v>109</v>
      </c>
      <c r="Q225" s="48">
        <f>IF('Settings'!$E$12="YES",VLOOKUP(B225,'Player Data'!A1:E734,5,FALSE),82)</f>
        <v>77.40000000000001</v>
      </c>
      <c r="R225" s="46">
        <f>VLOOKUP(B225,'Player Data'!$A1:$AE734,6,FALSE)</f>
        <v>16.2688006867739</v>
      </c>
      <c r="S225" s="48">
        <f>VLOOKUP(B225,'Player Data'!$A1:$AE734,7,FALSE)*$Q225*_xlfn.IFERROR((VLOOKUP(P225,'Settings'!$E$28:$F$33,2,FALSE)+1),1)</f>
        <v>21.7531466254505</v>
      </c>
      <c r="T225" s="48">
        <f>VLOOKUP(B225,'Player Data'!$A1:$AE734,8,FALSE)*$Q225*_xlfn.IFERROR((VLOOKUP(P225,'Settings'!$E$28:$F$33,2,FALSE)+1),1)</f>
        <v>26.3762597996211</v>
      </c>
      <c r="U225" s="48">
        <f>SUM(S225:T225)</f>
        <v>48.1294064250716</v>
      </c>
      <c r="V225" s="48">
        <f>VLOOKUP(B225,'Player Data'!$A1:$AE734,10,FALSE)*$Q225*_xlfn.IFERROR(((VLOOKUP(P225,'Settings'!$E$28:$F$33,2,FALSE)/2)+1),1)</f>
        <v>181.250827009242</v>
      </c>
      <c r="W225" s="48">
        <f>VLOOKUP(B225,'Player Data'!$A1:$AE734,11,FALSE)*$Q225*_xlfn.IFERROR((VLOOKUP(P225,'Settings'!$E$28:$F$33,2,FALSE)+1),1)</f>
        <v>0.915203211663266</v>
      </c>
      <c r="X225" s="48">
        <f>VLOOKUP(B225,'Player Data'!$A1:$AE734,12,FALSE)*$Q225*_xlfn.IFERROR((VLOOKUP(P225,'Settings'!$E$28:$F$33,2,FALSE)+1),1)</f>
        <v>4.17063095553471</v>
      </c>
      <c r="Y225" s="48">
        <f>VLOOKUP(B225,'Player Data'!$A1:$AE734,13,FALSE)*$Q225</f>
        <v>1.0565080367674</v>
      </c>
      <c r="Z225" s="48">
        <f>VLOOKUP(B225,'Player Data'!$A1:$AE734,14,FALSE)*$Q225</f>
        <v>1.700050191112</v>
      </c>
      <c r="AA225" s="48">
        <f>VLOOKUP(B225,'Player Data'!$A1:$AE734,15,FALSE)*$Q225</f>
        <v>53.1539446274995</v>
      </c>
      <c r="AB225" s="48">
        <f>VLOOKUP(B225,'Player Data'!$A1:$AE734,16,FALSE)*$Q225</f>
        <v>75.6039711742141</v>
      </c>
      <c r="AC225" s="48">
        <f>VLOOKUP(B225,'Player Data'!$A1:$AE734,17,FALSE)*$Q225*_xlfn.IFERROR((VLOOKUP(P225,'Settings'!$E$28:$F$33,2,FALSE)+1),1)</f>
        <v>3.53170544231032</v>
      </c>
      <c r="AD225" s="48">
        <f>VLOOKUP(B225,'Player Data'!$A1:$AE734,18,FALSE)*$Q225</f>
        <v>68.1614977980592</v>
      </c>
      <c r="AE225" s="48">
        <f>VLOOKUP(B225,'Player Data'!$A1:$AE734,19,FALSE)*$Q225*_xlfn.IFERROR((VLOOKUP(P225,'Settings'!$E$28:$F$33,2,FALSE)+1),1)</f>
        <v>3.4930423117143</v>
      </c>
      <c r="AF225" s="48">
        <f>VLOOKUP(B225,'Player Data'!$A1:$AE734,20,FALSE)*$Q225</f>
        <v>345.418862666347</v>
      </c>
      <c r="AG225" s="48">
        <f>VLOOKUP(B225,'Player Data'!$A1:$AE734,21,FALSE)*$Q225</f>
        <v>447.332020511601</v>
      </c>
      <c r="AH225" s="49">
        <f>VLOOKUP(B225,'Player Data'!$A1:$AE734,22,FALSE)</f>
        <v>0.43572182635943</v>
      </c>
      <c r="AI225" s="46"/>
      <c r="AJ225" s="50"/>
      <c r="AK225" s="48"/>
      <c r="AL225" s="48"/>
      <c r="AM225" s="48"/>
      <c r="AN225" s="48"/>
      <c r="AO225" s="48"/>
      <c r="AP225" s="48"/>
      <c r="AQ225" s="51"/>
      <c r="AR225" s="52"/>
      <c r="AS225" s="46"/>
    </row>
    <row r="226" ht="21.25" customHeight="1">
      <c r="A226" s="53">
        <f>RANK(K226,K2:K730)</f>
        <v>273</v>
      </c>
      <c r="B226" t="s" s="8">
        <v>378</v>
      </c>
      <c r="C226" t="s" s="39">
        <v>106</v>
      </c>
      <c r="D226" t="s" s="40">
        <f>VLOOKUP(B226,'Player Data'!A1:D734,4,FALSE)</f>
        <v>111</v>
      </c>
      <c r="E226" s="54">
        <f>VLOOKUP(B226,'LW'!A1:C156,3,FALSE)</f>
        <v>68</v>
      </c>
      <c r="F226" t="s" s="42">
        <f>VLOOKUP(B226,'Player Data'!A1:B734,2,FALSE)</f>
        <v>189</v>
      </c>
      <c r="G226" s="9">
        <f>VLOOKUP(B226,'Player Data'!A1:D734,3,FALSE)</f>
        <v>20</v>
      </c>
      <c r="H226" s="43">
        <f>_xlfn.IFERROR(VLOOKUP(B226,'ADP'!A1:G731,7,FALSE)/1000000,VLOOKUP(B226,'ADP'!A1:G731,7,FALSE))</f>
        <v>0.925</v>
      </c>
      <c r="I226" s="44">
        <f>IF('Settings'!$E$15="POINTS",((R226*Q226)*'Settings'!$B$12)+(S226*'Settings'!$B$2)+(T226*'Settings'!$B$3)+(U226*'Settings'!$B$4)+(V226*'Settings'!$B$5)+(X226*'Settings'!$B$9)+(AA226*'Settings'!$B$6)+(W226*'Settings'!$B$8)+(AB226*'Settings'!$B$7)+(AC226*'Settings'!$B$14)+(AD226*'Settings'!$B$15)+(AE226*'Settings'!$B$16)+(AF226*'Settings'!$B$17)+(AG226*'Settings'!$B$18)+(Y226*'Settings'!$B$10)+(Z226*'Settings'!$B$11),VLOOKUP(B226,'Standard Deviations'!A1:C731,3,FALSE))</f>
        <v>278.8344223246</v>
      </c>
      <c r="J226" s="45">
        <f>IF(D226="G",I226/AJ226,I226/Q226)</f>
        <v>3.45156182861422</v>
      </c>
      <c r="K226" s="44">
        <f>IF('Settings'!$E$18="C/LW/RW",VLOOKUP(B226,'LW'!A1:F156,6,FALSE),VLOOKUP(B226,'F'!A1:F432,6,FALSE))</f>
        <v>-102.794141381756</v>
      </c>
      <c r="L226" s="44">
        <f>_xlfn.IFERROR(K226/H226,"N/A")</f>
        <v>-111.128801493790</v>
      </c>
      <c r="M226" s="46">
        <f>IF('Settings'!$E$9="YAHOO",VLOOKUP(B226,'ADP'!A1:E731,2,FALSE),IF('Settings'!$E$9="ESPN",VLOOKUP(B226,'ADP'!A1:E731,3,FALSE),IF('Settings'!$E$9="FANTRAX",VLOOKUP(B226,'ADP'!A1:E731,4,FALSE),VLOOKUP(B226,'ADP'!A1:E731,5,FALSE))))</f>
        <v>225.65</v>
      </c>
      <c r="N226" s="46">
        <f>_xlfn.IFERROR(M226-A226,"N/A")</f>
        <v>-47.35</v>
      </c>
      <c r="O226" s="46"/>
      <c r="P226" t="s" s="47">
        <f>IF('Settings'!$E$27="ON",VLOOKUP(B226,'ADP'!A1:H731,8,FALSE)," ")</f>
        <v>116</v>
      </c>
      <c r="Q226" s="48">
        <f>IF('Settings'!$E$12="YES",VLOOKUP(B226,'Player Data'!A1:E734,5,FALSE),82)</f>
        <v>80.785</v>
      </c>
      <c r="R226" s="46">
        <f>VLOOKUP(B226,'Player Data'!$A1:$AE734,6,FALSE)</f>
        <v>15.9471803401116</v>
      </c>
      <c r="S226" s="48">
        <f>VLOOKUP(B226,'Player Data'!$A1:$AE734,7,FALSE)*$Q226*_xlfn.IFERROR((VLOOKUP(P226,'Settings'!$E$28:$F$33,2,FALSE)+1),1)</f>
        <v>20.2633371166991</v>
      </c>
      <c r="T226" s="48">
        <f>VLOOKUP(B226,'Player Data'!$A1:$AE734,8,FALSE)*$Q226*_xlfn.IFERROR((VLOOKUP(P226,'Settings'!$E$28:$F$33,2,FALSE)+1),1)</f>
        <v>30.2438057274282</v>
      </c>
      <c r="U226" s="48">
        <f>SUM(S226:T226)</f>
        <v>50.5071428441273</v>
      </c>
      <c r="V226" s="48">
        <f>VLOOKUP(B226,'Player Data'!$A1:$AE734,10,FALSE)*$Q226*_xlfn.IFERROR(((VLOOKUP(P226,'Settings'!$E$28:$F$33,2,FALSE)/2)+1),1)</f>
        <v>146.779784883850</v>
      </c>
      <c r="W226" s="48">
        <f>VLOOKUP(B226,'Player Data'!$A1:$AE734,11,FALSE)*$Q226*_xlfn.IFERROR((VLOOKUP(P226,'Settings'!$E$28:$F$33,2,FALSE)+1),1)</f>
        <v>4.79099780537073</v>
      </c>
      <c r="X226" s="48">
        <f>VLOOKUP(B226,'Player Data'!$A1:$AE734,12,FALSE)*$Q226*_xlfn.IFERROR((VLOOKUP(P226,'Settings'!$E$28:$F$33,2,FALSE)+1),1)</f>
        <v>14.6515544349114</v>
      </c>
      <c r="Y226" s="48">
        <f>VLOOKUP(B226,'Player Data'!$A1:$AE734,13,FALSE)*$Q226</f>
        <v>0.00455809204342237</v>
      </c>
      <c r="Z226" s="48">
        <f>VLOOKUP(B226,'Player Data'!$A1:$AE734,14,FALSE)*$Q226</f>
        <v>0.00823714365797625</v>
      </c>
      <c r="AA226" s="48">
        <f>VLOOKUP(B226,'Player Data'!$A1:$AE734,15,FALSE)*$Q226</f>
        <v>33.0692849582582</v>
      </c>
      <c r="AB226" s="48">
        <f>VLOOKUP(B226,'Player Data'!$A1:$AE734,16,FALSE)*$Q226</f>
        <v>27.9079156351961</v>
      </c>
      <c r="AC226" s="48">
        <f>VLOOKUP(B226,'Player Data'!$A1:$AE734,17,FALSE)*$Q226*_xlfn.IFERROR((VLOOKUP(P226,'Settings'!$E$28:$F$33,2,FALSE)+1),1)</f>
        <v>-6.17446230906637</v>
      </c>
      <c r="AD226" s="48">
        <f>VLOOKUP(B226,'Player Data'!$A1:$AE734,18,FALSE)*$Q226</f>
        <v>21.2985150990175</v>
      </c>
      <c r="AE226" s="48">
        <f>VLOOKUP(B226,'Player Data'!$A1:$AE734,19,FALSE)*$Q226*_xlfn.IFERROR((VLOOKUP(P226,'Settings'!$E$28:$F$33,2,FALSE)+1),1)</f>
        <v>2.171356088925</v>
      </c>
      <c r="AF226" s="48">
        <f>VLOOKUP(B226,'Player Data'!$A1:$AE734,20,FALSE)*$Q226</f>
        <v>41.7678940492689</v>
      </c>
      <c r="AG226" s="48">
        <f>VLOOKUP(B226,'Player Data'!$A1:$AE734,21,FALSE)*$Q226</f>
        <v>111.304077062931</v>
      </c>
      <c r="AH226" s="49">
        <f>VLOOKUP(B226,'Player Data'!$A1:$AE734,22,FALSE)</f>
        <v>0.272864416299008</v>
      </c>
      <c r="AI226" s="46"/>
      <c r="AJ226" s="50"/>
      <c r="AK226" s="48"/>
      <c r="AL226" s="48"/>
      <c r="AM226" s="48"/>
      <c r="AN226" s="48"/>
      <c r="AO226" s="48"/>
      <c r="AP226" s="48"/>
      <c r="AQ226" s="51"/>
      <c r="AR226" s="52"/>
      <c r="AS226" s="46"/>
    </row>
    <row r="227" ht="21.25" customHeight="1">
      <c r="A227" s="53">
        <f>RANK(K227,K2:K730)</f>
        <v>140</v>
      </c>
      <c r="B227" t="s" s="8">
        <v>379</v>
      </c>
      <c r="C227" t="s" s="39">
        <v>106</v>
      </c>
      <c r="D227" t="s" s="40">
        <f>VLOOKUP(B227,'Player Data'!A1:D734,4,FALSE)</f>
        <v>146</v>
      </c>
      <c r="E227" s="58">
        <f>VLOOKUP(B227,'G'!A1:D75,3,FALSE)</f>
        <v>27</v>
      </c>
      <c r="F227" t="s" s="42">
        <f>VLOOKUP(B227,'Player Data'!A1:B734,2,FALSE)</f>
        <v>184</v>
      </c>
      <c r="G227" s="9">
        <f>VLOOKUP(B227,'Player Data'!A1:D734,3,FALSE)</f>
        <v>28</v>
      </c>
      <c r="H227" s="43">
        <f>_xlfn.IFERROR(VLOOKUP(B227,'ADP'!A1:G731,7,FALSE)/1000000,VLOOKUP(B227,'ADP'!A1:G731,7,FALSE))</f>
        <v>4.75</v>
      </c>
      <c r="I227" s="44">
        <f>IF('Settings'!$E$15="POINTS",(AJ227*'Settings'!$B$29)+(AK227*'Settings'!$B$21)+(AL227*'Settings'!$B$22)+(AN227*'Settings'!$B$24)+(AO227*'Settings'!$B$25)+(AP227*'Settings'!$B$27)+(AM227*'Settings'!$B$23),VLOOKUP(B227,'Standard Deviations'!A1:C731,3,FALSE))</f>
        <v>247.549453148857</v>
      </c>
      <c r="J227" s="45">
        <f>IF(D227="G",I227/AJ227,I227/Q227)</f>
        <v>5.6261239352013</v>
      </c>
      <c r="K227" s="44">
        <f>VLOOKUP(B227,'G'!A1:F75,6,FALSE)</f>
        <v>-17.753768350831</v>
      </c>
      <c r="L227" s="44">
        <f>_xlfn.IFERROR(K227/H227,"N/A")</f>
        <v>-3.73763544228021</v>
      </c>
      <c r="M227" s="46">
        <f>IF('Settings'!$E$9="YAHOO",VLOOKUP(B227,'ADP'!A1:E731,2,FALSE),IF('Settings'!$E$9="ESPN",VLOOKUP(B227,'ADP'!A1:E731,3,FALSE),IF('Settings'!$E$9="FANTRAX",VLOOKUP(B227,'ADP'!A1:E731,4,FALSE),VLOOKUP(B227,'ADP'!A1:E731,5,FALSE))))</f>
        <v>188.75</v>
      </c>
      <c r="N227" s="46">
        <f>_xlfn.IFERROR(M227-A227,"N/A")</f>
        <v>48.75</v>
      </c>
      <c r="O227" s="46"/>
      <c r="P227" t="s" s="47">
        <f>IF('Settings'!$E$27="ON",VLOOKUP(B227,'ADP'!A1:H731,8,FALSE)," ")</f>
        <v>109</v>
      </c>
      <c r="Q227" s="48"/>
      <c r="R227" s="59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9"/>
      <c r="AI227" s="46"/>
      <c r="AJ227" s="50">
        <f>VLOOKUP(B227,'Player Data'!$A1:$AE734,24,FALSE)</f>
        <v>44</v>
      </c>
      <c r="AK227" s="48">
        <f>VLOOKUP(B227,'Player Data'!$A1:$AE734,25,FALSE)*$AJ227*_xlfn.IFERROR((VLOOKUP(P227,'Settings'!$E$28:$F$33,2,FALSE)+1),1)</f>
        <v>20.3260672989205</v>
      </c>
      <c r="AL227" s="48">
        <f>AJ227-AK227-AM227</f>
        <v>18.1739327010795</v>
      </c>
      <c r="AM227" s="48">
        <f>VLOOKUP(B227,'Player Data'!$A1:$AE734,27,FALSE)*$AJ227</f>
        <v>5.5</v>
      </c>
      <c r="AN227" s="48">
        <f>VLOOKUP(B227,'Player Data'!$A1:$AE734,28,FALSE)*AJ227</f>
        <v>2.57682708809438</v>
      </c>
      <c r="AO227" s="48">
        <f>VLOOKUP(B227,'Player Data'!$A1:$AE734,29,FALSE)*$AJ227*_xlfn.IFERROR((VLOOKUP(P227,'Settings'!$E$28:$F$33,2,FALSE)/4)+1,1)</f>
        <v>1207.285959639060</v>
      </c>
      <c r="AP227" s="48">
        <f>VLOOKUP(B227,'Player Data'!$A1:$AE734,31,FALSE)*$AJ227*(_xlfn.IFERROR(1-(VLOOKUP(P227,'Settings'!$E$28:$F$33,2,FALSE)/4),1))</f>
        <v>122.230011935937</v>
      </c>
      <c r="AQ227" s="51">
        <f>1-(AP227/(AO227+AP227))</f>
        <v>0.908064277113468</v>
      </c>
      <c r="AR227" s="52">
        <f>AP227/AJ227</f>
        <v>2.77795481672584</v>
      </c>
      <c r="AS227" s="46"/>
    </row>
    <row r="228" ht="21.25" customHeight="1">
      <c r="A228" s="53">
        <f>RANK(K228,K2:K730)</f>
        <v>305</v>
      </c>
      <c r="B228" t="s" s="8">
        <v>380</v>
      </c>
      <c r="C228" t="s" s="39">
        <v>106</v>
      </c>
      <c r="D228" t="s" s="40">
        <f>VLOOKUP(B228,'Player Data'!A1:D734,4,FALSE)</f>
        <v>129</v>
      </c>
      <c r="E228" s="56">
        <f>VLOOKUP(B228,'D'!A1:C228,3,FALSE)</f>
        <v>94</v>
      </c>
      <c r="F228" t="s" s="42">
        <f>VLOOKUP(B228,'Player Data'!A1:B734,2,FALSE)</f>
        <v>122</v>
      </c>
      <c r="G228" s="9">
        <f>VLOOKUP(B228,'Player Data'!A1:D734,3,FALSE)</f>
        <v>34</v>
      </c>
      <c r="H228" s="43">
        <f>_xlfn.IFERROR(VLOOKUP(B228,'ADP'!A1:G731,7,FALSE)/1000000,VLOOKUP(B228,'ADP'!A1:G731,7,FALSE))</f>
        <v>1</v>
      </c>
      <c r="I228" s="44">
        <f>IF('Settings'!$E$15="POINTS",((R228*Q228)*'Settings'!$B$12)+(S228*'Settings'!$B$2)+(T228*'Settings'!$B$3)+(U228*'Settings'!$B$4)+(V228*'Settings'!$B$5)+(X228*'Settings'!$B$9)+(AA228*'Settings'!$B$6)+(W228*'Settings'!$B$8)+(AB228*'Settings'!$B$7)+(AC228*'Settings'!$B$14)+(AD228*'Settings'!$B$15)+(AE228*'Settings'!$B$16)+(AF228*'Settings'!$B$17)+(AG228*'Settings'!$B$18)+(U228*'Settings'!$B$13)+(Y228*'Settings'!$B$10)+(Z228*'Settings'!$B$11),VLOOKUP(B228,'Standard Deviations'!A1:C731,3,FALSE))</f>
        <v>223.769428561212</v>
      </c>
      <c r="J228" s="45">
        <f>IF(D228="G",I228/AJ228,I228/Q228)</f>
        <v>2.77488164029936</v>
      </c>
      <c r="K228" s="44">
        <f>VLOOKUP(B228,'D'!A1:F228,6,FALSE)</f>
        <v>-116.965710085311</v>
      </c>
      <c r="L228" s="44">
        <f>_xlfn.IFERROR(K228/H228,"N/A")</f>
        <v>-116.965710085311</v>
      </c>
      <c r="M228" s="46">
        <f>IF('Settings'!$E$9="YAHOO",VLOOKUP(B228,'ADP'!A1:E731,2,FALSE),IF('Settings'!$E$9="ESPN",VLOOKUP(B228,'ADP'!A1:E731,3,FALSE),IF('Settings'!$E$9="FANTRAX",VLOOKUP(B228,'ADP'!A1:E731,4,FALSE),VLOOKUP(B228,'ADP'!A1:E731,5,FALSE))))</f>
        <v>384.65</v>
      </c>
      <c r="N228" s="46">
        <f>_xlfn.IFERROR(M228-A228,"N/A")</f>
        <v>79.65000000000001</v>
      </c>
      <c r="O228" s="46"/>
      <c r="P228" t="s" s="47">
        <f>IF('Settings'!$E$27="ON",VLOOKUP(B228,'ADP'!A1:H731,8,FALSE)," ")</f>
        <v>109</v>
      </c>
      <c r="Q228" s="48">
        <f>IF('Settings'!$E$12="YES",VLOOKUP(B228,'Player Data'!A1:E734,5,FALSE),82)</f>
        <v>80.64107142857139</v>
      </c>
      <c r="R228" s="46">
        <f>VLOOKUP(B228,'Player Data'!$A1:$AE734,6,FALSE)</f>
        <v>17.5353695124035</v>
      </c>
      <c r="S228" s="48">
        <f>VLOOKUP(B228,'Player Data'!$A1:$AE734,7,FALSE)*$Q228*_xlfn.IFERROR((VLOOKUP(P228,'Settings'!$E$28:$F$33,2,FALSE)+1),1)</f>
        <v>4.50467349260077</v>
      </c>
      <c r="T228" s="48">
        <f>VLOOKUP(B228,'Player Data'!$A1:$AE734,8,FALSE)*$Q228*_xlfn.IFERROR((VLOOKUP(P228,'Settings'!$E$28:$F$33,2,FALSE)+1),1)</f>
        <v>21.1510104776742</v>
      </c>
      <c r="U228" s="48">
        <f>SUM(S228:T228)</f>
        <v>25.655683970275</v>
      </c>
      <c r="V228" s="48">
        <f>VLOOKUP(B228,'Player Data'!$A1:$AE734,10,FALSE)*$Q228*_xlfn.IFERROR(((VLOOKUP(P228,'Settings'!$E$28:$F$33,2,FALSE)/2)+1),1)</f>
        <v>137.076854990618</v>
      </c>
      <c r="W228" s="48">
        <f>VLOOKUP(B228,'Player Data'!$A1:$AE734,11,FALSE)*$Q228*_xlfn.IFERROR((VLOOKUP(P228,'Settings'!$E$28:$F$33,2,FALSE)+1),1)</f>
        <v>1.02192958214439</v>
      </c>
      <c r="X228" s="48">
        <f>VLOOKUP(B228,'Player Data'!$A1:$AE734,12,FALSE)*$Q228*_xlfn.IFERROR((VLOOKUP(P228,'Settings'!$E$28:$F$33,2,FALSE)+1),1)</f>
        <v>9.57774096306369</v>
      </c>
      <c r="Y228" s="48">
        <f>VLOOKUP(B228,'Player Data'!$A1:$AE734,13,FALSE)*$Q228</f>
        <v>0.00925099689094052</v>
      </c>
      <c r="Z228" s="48">
        <f>VLOOKUP(B228,'Player Data'!$A1:$AE734,14,FALSE)*$Q228</f>
        <v>0.0364138806864545</v>
      </c>
      <c r="AA228" s="48">
        <f>VLOOKUP(B228,'Player Data'!$A1:$AE734,15,FALSE)*$Q228</f>
        <v>102.574682791954</v>
      </c>
      <c r="AB228" s="48">
        <f>VLOOKUP(B228,'Player Data'!$A1:$AE734,16,FALSE)*$Q228</f>
        <v>80.58707903530841</v>
      </c>
      <c r="AC228" s="48">
        <f>VLOOKUP(B228,'Player Data'!$A1:$AE734,17,FALSE)*$Q228*_xlfn.IFERROR((VLOOKUP(P228,'Settings'!$E$28:$F$33,2,FALSE)+1),1)</f>
        <v>2.33991010017128</v>
      </c>
      <c r="AD228" s="48">
        <f>VLOOKUP(B228,'Player Data'!$A1:$AE734,18,FALSE)*$Q228</f>
        <v>36.6465377292172</v>
      </c>
      <c r="AE228" s="48">
        <f>VLOOKUP(B228,'Player Data'!$A1:$AE734,19,FALSE)*$Q228*_xlfn.IFERROR((VLOOKUP(P228,'Settings'!$E$28:$F$33,2,FALSE)+1),1)</f>
        <v>0.7562460302244149</v>
      </c>
      <c r="AF228" s="48">
        <f>VLOOKUP(B228,'Player Data'!$A1:$AE734,20,FALSE)*$Q228</f>
        <v>0</v>
      </c>
      <c r="AG228" s="48">
        <f>VLOOKUP(B228,'Player Data'!$A1:$AE734,21,FALSE)*$Q228</f>
        <v>0.142238192344136</v>
      </c>
      <c r="AH228" s="49">
        <f>VLOOKUP(B228,'Player Data'!$A1:$AE734,22,FALSE)</f>
        <v>0</v>
      </c>
      <c r="AI228" s="46"/>
      <c r="AJ228" s="50"/>
      <c r="AK228" s="48"/>
      <c r="AL228" s="48"/>
      <c r="AM228" s="48"/>
      <c r="AN228" s="48"/>
      <c r="AO228" s="48"/>
      <c r="AP228" s="48"/>
      <c r="AQ228" s="51"/>
      <c r="AR228" s="52"/>
      <c r="AS228" s="46"/>
    </row>
    <row r="229" ht="21.25" customHeight="1">
      <c r="A229" s="53">
        <f>RANK(K229,K2:K730)</f>
        <v>225</v>
      </c>
      <c r="B229" t="s" s="8">
        <v>381</v>
      </c>
      <c r="C229" t="s" s="39">
        <v>106</v>
      </c>
      <c r="D229" t="s" s="40">
        <f>VLOOKUP(B229,'Player Data'!A1:D734,4,FALSE)</f>
        <v>107</v>
      </c>
      <c r="E229" s="41">
        <f>VLOOKUP(B229,'C'!A1:C218,3,FALSE)</f>
        <v>62</v>
      </c>
      <c r="F229" t="s" s="42">
        <f>VLOOKUP(B229,'Player Data'!A1:B734,2,FALSE)</f>
        <v>204</v>
      </c>
      <c r="G229" s="9">
        <f>VLOOKUP(B229,'Player Data'!A1:D734,3,FALSE)</f>
        <v>30</v>
      </c>
      <c r="H229" s="43">
        <f>_xlfn.IFERROR(VLOOKUP(B229,'ADP'!A1:G731,7,FALSE)/1000000,VLOOKUP(B229,'ADP'!A1:G731,7,FALSE))</f>
        <v>5.5</v>
      </c>
      <c r="I229" s="44">
        <f>IF('Settings'!$E$15="POINTS",((R229*Q229)*'Settings'!$B$12)+(S229*'Settings'!$B$2)+(T229*'Settings'!$B$3)+(U229*'Settings'!$B$4)+(V229*'Settings'!$B$5)+(X229*'Settings'!$B$9)+(AA229*'Settings'!$B$6)+(W229*'Settings'!$B$8)+(AB229*'Settings'!$B$7)+(AC229*'Settings'!$B$14)+(AD229*'Settings'!$B$15)+(AE229*'Settings'!$B$16)+(AF229*'Settings'!$B$17)+(AG229*'Settings'!$B$18)+(Y229*'Settings'!$B$10)+(Z229*'Settings'!$B$11),VLOOKUP(B229,'Standard Deviations'!A1:C731,3,FALSE))</f>
        <v>311.426822241602</v>
      </c>
      <c r="J229" s="45">
        <f>IF(D229="G",I229/AJ229,I229/Q229)</f>
        <v>3.83633496969404</v>
      </c>
      <c r="K229" s="44">
        <f>IF('Settings'!$E$18="C/LW/RW",VLOOKUP(B229,'C'!A1:F218,6,FALSE),VLOOKUP(B229,'F'!A1:F432,6,FALSE))</f>
        <v>-84.347379394413</v>
      </c>
      <c r="L229" s="44">
        <f>_xlfn.IFERROR(K229/H229,"N/A")</f>
        <v>-15.3358871626205</v>
      </c>
      <c r="M229" s="46">
        <f>IF('Settings'!$E$9="YAHOO",VLOOKUP(B229,'ADP'!A1:E731,2,FALSE),IF('Settings'!$E$9="ESPN",VLOOKUP(B229,'ADP'!A1:E731,3,FALSE),IF('Settings'!$E$9="FANTRAX",VLOOKUP(B229,'ADP'!A1:E731,4,FALSE),VLOOKUP(B229,'ADP'!A1:E731,5,FALSE))))</f>
        <v>226.95</v>
      </c>
      <c r="N229" s="46">
        <f>_xlfn.IFERROR(M229-A229,"N/A")</f>
        <v>1.95</v>
      </c>
      <c r="O229" s="46"/>
      <c r="P229" t="s" s="47">
        <f>IF('Settings'!$E$27="ON",VLOOKUP(B229,'ADP'!A1:H731,8,FALSE)," ")</f>
        <v>109</v>
      </c>
      <c r="Q229" s="48">
        <f>IF('Settings'!$E$12="YES",VLOOKUP(B229,'Player Data'!A1:E734,5,FALSE),82)</f>
        <v>81.1782142857143</v>
      </c>
      <c r="R229" s="46">
        <f>VLOOKUP(B229,'Player Data'!$A1:$AE734,6,FALSE)</f>
        <v>17.8654255515797</v>
      </c>
      <c r="S229" s="48">
        <f>VLOOKUP(B229,'Player Data'!$A1:$AE734,7,FALSE)*$Q229*_xlfn.IFERROR((VLOOKUP(P229,'Settings'!$E$28:$F$33,2,FALSE)+1),1)</f>
        <v>18.8699433146284</v>
      </c>
      <c r="T229" s="48">
        <f>VLOOKUP(B229,'Player Data'!$A1:$AE734,8,FALSE)*$Q229*_xlfn.IFERROR((VLOOKUP(P229,'Settings'!$E$28:$F$33,2,FALSE)+1),1)</f>
        <v>30.9473173089938</v>
      </c>
      <c r="U229" s="48">
        <f>SUM(S229:T229)</f>
        <v>49.8172606236222</v>
      </c>
      <c r="V229" s="48">
        <f>VLOOKUP(B229,'Player Data'!$A1:$AE734,10,FALSE)*$Q229*_xlfn.IFERROR(((VLOOKUP(P229,'Settings'!$E$28:$F$33,2,FALSE)/2)+1),1)</f>
        <v>156.935718776298</v>
      </c>
      <c r="W229" s="48">
        <f>VLOOKUP(B229,'Player Data'!$A1:$AE734,11,FALSE)*$Q229*_xlfn.IFERROR((VLOOKUP(P229,'Settings'!$E$28:$F$33,2,FALSE)+1),1)</f>
        <v>2.67242674628294</v>
      </c>
      <c r="X229" s="48">
        <f>VLOOKUP(B229,'Player Data'!$A1:$AE734,12,FALSE)*$Q229*_xlfn.IFERROR((VLOOKUP(P229,'Settings'!$E$28:$F$33,2,FALSE)+1),1)</f>
        <v>12.6643814384354</v>
      </c>
      <c r="Y229" s="48">
        <f>VLOOKUP(B229,'Player Data'!$A1:$AE734,13,FALSE)*$Q229</f>
        <v>0.115863616449248</v>
      </c>
      <c r="Z229" s="48">
        <f>VLOOKUP(B229,'Player Data'!$A1:$AE734,14,FALSE)*$Q229</f>
        <v>2.08999502114289</v>
      </c>
      <c r="AA229" s="48">
        <f>VLOOKUP(B229,'Player Data'!$A1:$AE734,15,FALSE)*$Q229</f>
        <v>62.5487347519354</v>
      </c>
      <c r="AB229" s="48">
        <f>VLOOKUP(B229,'Player Data'!$A1:$AE734,16,FALSE)*$Q229</f>
        <v>78.99163436956199</v>
      </c>
      <c r="AC229" s="48">
        <f>VLOOKUP(B229,'Player Data'!$A1:$AE734,17,FALSE)*$Q229*_xlfn.IFERROR((VLOOKUP(P229,'Settings'!$E$28:$F$33,2,FALSE)+1),1)</f>
        <v>0.66959051412821</v>
      </c>
      <c r="AD229" s="48">
        <f>VLOOKUP(B229,'Player Data'!$A1:$AE734,18,FALSE)*$Q229</f>
        <v>44.6800068251042</v>
      </c>
      <c r="AE229" s="48">
        <f>VLOOKUP(B229,'Player Data'!$A1:$AE734,19,FALSE)*$Q229*_xlfn.IFERROR((VLOOKUP(P229,'Settings'!$E$28:$F$33,2,FALSE)+1),1)</f>
        <v>2.79390372832074</v>
      </c>
      <c r="AF229" s="48">
        <f>VLOOKUP(B229,'Player Data'!$A1:$AE734,20,FALSE)*$Q229</f>
        <v>676.860011985676</v>
      </c>
      <c r="AG229" s="48">
        <f>VLOOKUP(B229,'Player Data'!$A1:$AE734,21,FALSE)*$Q229</f>
        <v>581.335031449667</v>
      </c>
      <c r="AH229" s="49">
        <f>VLOOKUP(B229,'Player Data'!$A1:$AE734,22,FALSE)</f>
        <v>0.537961117806978</v>
      </c>
      <c r="AI229" s="46"/>
      <c r="AJ229" s="50"/>
      <c r="AK229" s="48"/>
      <c r="AL229" s="48"/>
      <c r="AM229" s="48"/>
      <c r="AN229" s="48"/>
      <c r="AO229" s="48"/>
      <c r="AP229" s="48"/>
      <c r="AQ229" s="51"/>
      <c r="AR229" s="52"/>
      <c r="AS229" s="46"/>
    </row>
    <row r="230" ht="21.25" customHeight="1">
      <c r="A230" s="53">
        <f>RANK(K230,K2:K730)</f>
        <v>132</v>
      </c>
      <c r="B230" t="s" s="8">
        <v>382</v>
      </c>
      <c r="C230" t="s" s="39">
        <v>106</v>
      </c>
      <c r="D230" t="s" s="40">
        <f>VLOOKUP(B230,'Player Data'!A1:D734,4,FALSE)</f>
        <v>146</v>
      </c>
      <c r="E230" s="58">
        <f>VLOOKUP(B230,'G'!A1:D75,3,FALSE)</f>
        <v>26</v>
      </c>
      <c r="F230" t="s" s="42">
        <f>VLOOKUP(B230,'Player Data'!A1:B734,2,FALSE)</f>
        <v>202</v>
      </c>
      <c r="G230" s="9">
        <f>VLOOKUP(B230,'Player Data'!A1:D734,3,FALSE)</f>
        <v>33</v>
      </c>
      <c r="H230" s="43">
        <f>_xlfn.IFERROR(VLOOKUP(B230,'ADP'!A1:G731,7,FALSE)/1000000,VLOOKUP(B230,'ADP'!A1:G731,7,FALSE))</f>
        <v>3.4</v>
      </c>
      <c r="I230" s="44">
        <f>IF('Settings'!$E$15="POINTS",(AJ230*'Settings'!$B$29)+(AK230*'Settings'!$B$21)+(AL230*'Settings'!$B$22)+(AN230*'Settings'!$B$24)+(AO230*'Settings'!$B$25)+(AP230*'Settings'!$B$27)+(AM230*'Settings'!$B$23),VLOOKUP(B230,'Standard Deviations'!A1:C731,3,FALSE))</f>
        <v>250.870903957769</v>
      </c>
      <c r="J230" s="45">
        <f>IF(D230="G",I230/AJ230,I230/Q230)</f>
        <v>6.11880253555534</v>
      </c>
      <c r="K230" s="44">
        <f>VLOOKUP(B230,'G'!A1:F75,6,FALSE)</f>
        <v>-14.432317541919</v>
      </c>
      <c r="L230" s="44">
        <f>_xlfn.IFERROR(K230/H230,"N/A")</f>
        <v>-4.244799277035</v>
      </c>
      <c r="M230" s="46">
        <f>IF('Settings'!$E$9="YAHOO",VLOOKUP(B230,'ADP'!A1:E731,2,FALSE),IF('Settings'!$E$9="ESPN",VLOOKUP(B230,'ADP'!A1:E731,3,FALSE),IF('Settings'!$E$9="FANTRAX",VLOOKUP(B230,'ADP'!A1:E731,4,FALSE),VLOOKUP(B230,'ADP'!A1:E731,5,FALSE))))</f>
        <v>168.13</v>
      </c>
      <c r="N230" s="46">
        <f>_xlfn.IFERROR(M230-A230,"N/A")</f>
        <v>36.13</v>
      </c>
      <c r="O230" s="46"/>
      <c r="P230" t="s" s="47">
        <f>IF('Settings'!$E$27="ON",VLOOKUP(B230,'ADP'!A1:H731,8,FALSE)," ")</f>
        <v>109</v>
      </c>
      <c r="Q230" s="48"/>
      <c r="R230" s="59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9"/>
      <c r="AI230" s="46"/>
      <c r="AJ230" s="50">
        <f>VLOOKUP(B230,'Player Data'!$A1:$AE734,24,FALSE)</f>
        <v>41</v>
      </c>
      <c r="AK230" s="48">
        <f>VLOOKUP(B230,'Player Data'!$A1:$AE734,25,FALSE)*$AJ230*_xlfn.IFERROR((VLOOKUP(P230,'Settings'!$E$28:$F$33,2,FALSE)+1),1)</f>
        <v>25.993400886672</v>
      </c>
      <c r="AL230" s="48">
        <f>AJ230-AK230-AM230</f>
        <v>9.881599113328001</v>
      </c>
      <c r="AM230" s="48">
        <f>VLOOKUP(B230,'Player Data'!$A1:$AE734,27,FALSE)*$AJ230</f>
        <v>5.125</v>
      </c>
      <c r="AN230" s="48">
        <f>VLOOKUP(B230,'Player Data'!$A1:$AE734,28,FALSE)*AJ230</f>
        <v>2.58005655520016</v>
      </c>
      <c r="AO230" s="48">
        <f>VLOOKUP(B230,'Player Data'!$A1:$AE734,29,FALSE)*$AJ230*_xlfn.IFERROR((VLOOKUP(P230,'Settings'!$E$28:$F$33,2,FALSE)/4)+1,1)</f>
        <v>1108.272939960570</v>
      </c>
      <c r="AP230" s="48">
        <f>VLOOKUP(B230,'Player Data'!$A1:$AE734,31,FALSE)*$AJ230*(_xlfn.IFERROR(1-(VLOOKUP(P230,'Settings'!$E$28:$F$33,2,FALSE)/4),1))</f>
        <v>111.554233570679</v>
      </c>
      <c r="AQ230" s="51">
        <f>1-(AP230/(AO230+AP230))</f>
        <v>0.9085491486078781</v>
      </c>
      <c r="AR230" s="52">
        <f>AP230/AJ230</f>
        <v>2.72083496513851</v>
      </c>
      <c r="AS230" s="46"/>
    </row>
    <row r="231" ht="21.25" customHeight="1">
      <c r="A231" s="53">
        <f>RANK(K231,K2:K730)</f>
        <v>268</v>
      </c>
      <c r="B231" t="s" s="8">
        <v>383</v>
      </c>
      <c r="C231" t="s" s="39">
        <v>106</v>
      </c>
      <c r="D231" t="s" s="40">
        <f>VLOOKUP(B231,'Player Data'!A1:D734,4,FALSE)</f>
        <v>107</v>
      </c>
      <c r="E231" s="41">
        <f>VLOOKUP(B231,'C'!A1:C218,3,FALSE)</f>
        <v>67</v>
      </c>
      <c r="F231" t="s" s="42">
        <f>VLOOKUP(B231,'Player Data'!A1:B734,2,FALSE)</f>
        <v>189</v>
      </c>
      <c r="G231" s="9">
        <f>VLOOKUP(B231,'Player Data'!A1:D734,3,FALSE)</f>
        <v>18</v>
      </c>
      <c r="H231" s="43">
        <f>_xlfn.IFERROR(VLOOKUP(B231,'ADP'!A1:G731,7,FALSE)/1000000,VLOOKUP(B231,'ADP'!A1:G731,7,FALSE))</f>
        <v>0</v>
      </c>
      <c r="I231" s="44">
        <f>IF('Settings'!$E$15="POINTS",((R231*Q231)*'Settings'!$B$12)+(S231*'Settings'!$B$2)+(T231*'Settings'!$B$3)+(U231*'Settings'!$B$4)+(V231*'Settings'!$B$5)+(X231*'Settings'!$B$9)+(AA231*'Settings'!$B$6)+(W231*'Settings'!$B$8)+(AB231*'Settings'!$B$7)+(AC231*'Settings'!$B$14)+(AD231*'Settings'!$B$15)+(AE231*'Settings'!$B$16)+(AF231*'Settings'!$B$17)+(AG231*'Settings'!$B$18)+(Y231*'Settings'!$B$10)+(Z231*'Settings'!$B$11),VLOOKUP(B231,'Standard Deviations'!A1:C731,3,FALSE))</f>
        <v>295.271696404835</v>
      </c>
      <c r="J231" s="45">
        <f>IF(D231="G",I231/AJ231,I231/Q231)</f>
        <v>3.78553456929276</v>
      </c>
      <c r="K231" s="44">
        <f>IF('Settings'!$E$18="C/LW/RW",VLOOKUP(B231,'C'!A1:F218,6,FALSE),VLOOKUP(B231,'F'!A1:F432,6,FALSE))</f>
        <v>-100.502505231180</v>
      </c>
      <c r="L231" t="s" s="60">
        <f>_xlfn.IFERROR(K231/H231,"N/A")</f>
        <v>158</v>
      </c>
      <c r="M231" s="46">
        <f>IF('Settings'!$E$9="YAHOO",VLOOKUP(B231,'ADP'!A1:E731,2,FALSE),IF('Settings'!$E$9="ESPN",VLOOKUP(B231,'ADP'!A1:E731,3,FALSE),IF('Settings'!$E$9="FANTRAX",VLOOKUP(B231,'ADP'!A1:E731,4,FALSE),VLOOKUP(B231,'ADP'!A1:E731,5,FALSE))))</f>
        <v>222.26</v>
      </c>
      <c r="N231" s="46">
        <f>_xlfn.IFERROR(M231-A231,"N/A")</f>
        <v>-45.74</v>
      </c>
      <c r="O231" s="46"/>
      <c r="P231" t="s" s="47">
        <f>IF('Settings'!$E$27="ON",VLOOKUP(B231,'ADP'!A1:H731,8,FALSE)," ")</f>
        <v>109</v>
      </c>
      <c r="Q231" s="48">
        <f>IF('Settings'!$E$12="YES",VLOOKUP(B231,'Player Data'!A1:E734,5,FALSE),82)</f>
        <v>78</v>
      </c>
      <c r="R231" s="46">
        <f>VLOOKUP(B231,'Player Data'!$A1:$AE734,6,FALSE)</f>
        <v>16</v>
      </c>
      <c r="S231" s="48">
        <f>VLOOKUP(B231,'Player Data'!$A1:$AE734,7,FALSE)*$Q231*_xlfn.IFERROR((VLOOKUP(P231,'Settings'!$E$28:$F$33,2,FALSE)+1),1)</f>
        <v>20.9410100506777</v>
      </c>
      <c r="T231" s="48">
        <f>VLOOKUP(B231,'Player Data'!$A1:$AE734,8,FALSE)*$Q231*_xlfn.IFERROR((VLOOKUP(P231,'Settings'!$E$28:$F$33,2,FALSE)+1),1)</f>
        <v>29.8244461777677</v>
      </c>
      <c r="U231" s="48">
        <f>SUM(S231:T231)</f>
        <v>50.7654562284454</v>
      </c>
      <c r="V231" s="48">
        <f>VLOOKUP(B231,'Player Data'!$A1:$AE734,10,FALSE)*$Q231*_xlfn.IFERROR(((VLOOKUP(P231,'Settings'!$E$28:$F$33,2,FALSE)/2)+1),1)</f>
        <v>158.349576506477</v>
      </c>
      <c r="W231" s="48">
        <f>VLOOKUP(B231,'Player Data'!$A1:$AE734,11,FALSE)*$Q231*_xlfn.IFERROR((VLOOKUP(P231,'Settings'!$E$28:$F$33,2,FALSE)+1),1)</f>
        <v>5.62972366090455</v>
      </c>
      <c r="X231" s="48">
        <f>VLOOKUP(B231,'Player Data'!$A1:$AE734,12,FALSE)*$Q231*_xlfn.IFERROR((VLOOKUP(P231,'Settings'!$E$28:$F$33,2,FALSE)+1),1)</f>
        <v>13.6476459060123</v>
      </c>
      <c r="Y231" s="48">
        <f>VLOOKUP(B231,'Player Data'!$A1:$AE734,13,FALSE)*$Q231</f>
        <v>0</v>
      </c>
      <c r="Z231" s="48">
        <f>VLOOKUP(B231,'Player Data'!$A1:$AE734,14,FALSE)*$Q231</f>
        <v>0</v>
      </c>
      <c r="AA231" s="48">
        <f>VLOOKUP(B231,'Player Data'!$A1:$AE734,15,FALSE)*$Q231</f>
        <v>33.8634146341464</v>
      </c>
      <c r="AB231" s="48">
        <f>VLOOKUP(B231,'Player Data'!$A1:$AE734,16,FALSE)*$Q231</f>
        <v>61.8292682926829</v>
      </c>
      <c r="AC231" s="48">
        <f>VLOOKUP(B231,'Player Data'!$A1:$AE734,17,FALSE)*$Q231*_xlfn.IFERROR((VLOOKUP(P231,'Settings'!$E$28:$F$33,2,FALSE)+1),1)</f>
        <v>0.161707317073171</v>
      </c>
      <c r="AD231" s="48">
        <f>VLOOKUP(B231,'Player Data'!$A1:$AE734,18,FALSE)*$Q231</f>
        <v>36.1463414634146</v>
      </c>
      <c r="AE231" s="48">
        <f>VLOOKUP(B231,'Player Data'!$A1:$AE734,19,FALSE)*$Q231*_xlfn.IFERROR((VLOOKUP(P231,'Settings'!$E$28:$F$33,2,FALSE)+1),1)</f>
        <v>2.24397340970586</v>
      </c>
      <c r="AF231" s="48">
        <f>VLOOKUP(B231,'Player Data'!$A1:$AE734,20,FALSE)*$Q231</f>
        <v>369.302685017599</v>
      </c>
      <c r="AG231" s="48">
        <f>VLOOKUP(B231,'Player Data'!$A1:$AE734,21,FALSE)*$Q231</f>
        <v>509.989422167161</v>
      </c>
      <c r="AH231" s="49">
        <f>VLOOKUP(B231,'Player Data'!$A1:$AE734,22,FALSE)</f>
        <v>0.42</v>
      </c>
      <c r="AI231" s="46"/>
      <c r="AJ231" s="50"/>
      <c r="AK231" s="48"/>
      <c r="AL231" s="48"/>
      <c r="AM231" s="48"/>
      <c r="AN231" s="48"/>
      <c r="AO231" s="48"/>
      <c r="AP231" s="48"/>
      <c r="AQ231" s="51"/>
      <c r="AR231" s="52"/>
      <c r="AS231" s="46"/>
    </row>
    <row r="232" ht="21.25" customHeight="1">
      <c r="A232" s="53">
        <f>RANK(K232,K2:K730)</f>
        <v>208</v>
      </c>
      <c r="B232" t="s" s="8">
        <v>384</v>
      </c>
      <c r="C232" t="s" s="39">
        <v>106</v>
      </c>
      <c r="D232" t="s" s="40">
        <f>VLOOKUP(B232,'Player Data'!A1:D734,4,FALSE)</f>
        <v>129</v>
      </c>
      <c r="E232" s="56">
        <f>VLOOKUP(B232,'D'!A1:C228,3,FALSE)</f>
        <v>52</v>
      </c>
      <c r="F232" t="s" s="42">
        <f>VLOOKUP(B232,'Player Data'!A1:B734,2,FALSE)</f>
        <v>151</v>
      </c>
      <c r="G232" s="9">
        <f>VLOOKUP(B232,'Player Data'!A1:D734,3,FALSE)</f>
        <v>23</v>
      </c>
      <c r="H232" s="43">
        <f>_xlfn.IFERROR(VLOOKUP(B232,'ADP'!A1:G731,7,FALSE)/1000000,VLOOKUP(B232,'ADP'!A1:G731,7,FALSE))</f>
        <v>3.872</v>
      </c>
      <c r="I232" s="44">
        <f>IF('Settings'!$E$15="POINTS",((R232*Q232)*'Settings'!$B$12)+(S232*'Settings'!$B$2)+(T232*'Settings'!$B$3)+(U232*'Settings'!$B$4)+(V232*'Settings'!$B$5)+(X232*'Settings'!$B$9)+(AA232*'Settings'!$B$6)+(W232*'Settings'!$B$8)+(AB232*'Settings'!$B$7)+(AC232*'Settings'!$B$14)+(AD232*'Settings'!$B$15)+(AE232*'Settings'!$B$16)+(AF232*'Settings'!$B$17)+(AG232*'Settings'!$B$18)+(U232*'Settings'!$B$13)+(Y232*'Settings'!$B$10)+(Z232*'Settings'!$B$11),VLOOKUP(B232,'Standard Deviations'!A1:C731,3,FALSE))</f>
        <v>268.622361040353</v>
      </c>
      <c r="J232" s="45">
        <f>IF(D232="G",I232/AJ232,I232/Q232)</f>
        <v>3.31394373053312</v>
      </c>
      <c r="K232" s="44">
        <f>VLOOKUP(B232,'D'!A1:F228,6,FALSE)</f>
        <v>-72.112777606170</v>
      </c>
      <c r="L232" s="44">
        <f>_xlfn.IFERROR(K232/H232,"N/A")</f>
        <v>-18.6241677701885</v>
      </c>
      <c r="M232" s="46">
        <f>IF('Settings'!$E$9="YAHOO",VLOOKUP(B232,'ADP'!A1:E731,2,FALSE),IF('Settings'!$E$9="ESPN",VLOOKUP(B232,'ADP'!A1:E731,3,FALSE),IF('Settings'!$E$9="FANTRAX",VLOOKUP(B232,'ADP'!A1:E731,4,FALSE),VLOOKUP(B232,'ADP'!A1:E731,5,FALSE))))</f>
        <v>178.36</v>
      </c>
      <c r="N232" s="46">
        <f>_xlfn.IFERROR(M232-A232,"N/A")</f>
        <v>-29.64</v>
      </c>
      <c r="O232" s="46"/>
      <c r="P232" t="s" s="47">
        <f>IF('Settings'!$E$27="ON",VLOOKUP(B232,'ADP'!A1:H731,8,FALSE)," ")</f>
        <v>109</v>
      </c>
      <c r="Q232" s="48">
        <f>IF('Settings'!$E$12="YES",VLOOKUP(B232,'Player Data'!A1:E734,5,FALSE),82)</f>
        <v>81.0582142857143</v>
      </c>
      <c r="R232" s="46">
        <f>VLOOKUP(B232,'Player Data'!$A1:$AE734,6,FALSE)</f>
        <v>22.1019377100861</v>
      </c>
      <c r="S232" s="48">
        <f>VLOOKUP(B232,'Player Data'!$A1:$AE734,7,FALSE)*$Q232*_xlfn.IFERROR((VLOOKUP(P232,'Settings'!$E$28:$F$33,2,FALSE)+1),1)</f>
        <v>8.61396709957123</v>
      </c>
      <c r="T232" s="48">
        <f>VLOOKUP(B232,'Player Data'!$A1:$AE734,8,FALSE)*$Q232*_xlfn.IFERROR((VLOOKUP(P232,'Settings'!$E$28:$F$33,2,FALSE)+1),1)</f>
        <v>25.5041051152417</v>
      </c>
      <c r="U232" s="48">
        <f>SUM(S232:T232)</f>
        <v>34.1180722148129</v>
      </c>
      <c r="V232" s="48">
        <f>VLOOKUP(B232,'Player Data'!$A1:$AE734,10,FALSE)*$Q232*_xlfn.IFERROR(((VLOOKUP(P232,'Settings'!$E$28:$F$33,2,FALSE)/2)+1),1)</f>
        <v>114.862403123433</v>
      </c>
      <c r="W232" s="48">
        <f>VLOOKUP(B232,'Player Data'!$A1:$AE734,11,FALSE)*$Q232*_xlfn.IFERROR((VLOOKUP(P232,'Settings'!$E$28:$F$33,2,FALSE)+1),1)</f>
        <v>0.30631966463017</v>
      </c>
      <c r="X232" s="48">
        <f>VLOOKUP(B232,'Player Data'!$A1:$AE734,12,FALSE)*$Q232*_xlfn.IFERROR((VLOOKUP(P232,'Settings'!$E$28:$F$33,2,FALSE)+1),1)</f>
        <v>1.32193320680752</v>
      </c>
      <c r="Y232" s="48">
        <f>VLOOKUP(B232,'Player Data'!$A1:$AE734,13,FALSE)*$Q232</f>
        <v>0.0281352720025513</v>
      </c>
      <c r="Z232" s="48">
        <f>VLOOKUP(B232,'Player Data'!$A1:$AE734,14,FALSE)*$Q232</f>
        <v>0.905228890815693</v>
      </c>
      <c r="AA232" s="48">
        <f>VLOOKUP(B232,'Player Data'!$A1:$AE734,15,FALSE)*$Q232</f>
        <v>112.174073396330</v>
      </c>
      <c r="AB232" s="48">
        <f>VLOOKUP(B232,'Player Data'!$A1:$AE734,16,FALSE)*$Q232</f>
        <v>152.073990820177</v>
      </c>
      <c r="AC232" s="48">
        <f>VLOOKUP(B232,'Player Data'!$A1:$AE734,17,FALSE)*$Q232*_xlfn.IFERROR((VLOOKUP(P232,'Settings'!$E$28:$F$33,2,FALSE)+1),1)</f>
        <v>4.29147568372581</v>
      </c>
      <c r="AD232" s="48">
        <f>VLOOKUP(B232,'Player Data'!$A1:$AE734,18,FALSE)*$Q232</f>
        <v>34.4403611191023</v>
      </c>
      <c r="AE232" s="48">
        <f>VLOOKUP(B232,'Player Data'!$A1:$AE734,19,FALSE)*$Q232*_xlfn.IFERROR((VLOOKUP(P232,'Settings'!$E$28:$F$33,2,FALSE)+1),1)</f>
        <v>1.46780390827331</v>
      </c>
      <c r="AF232" s="48">
        <f>VLOOKUP(B232,'Player Data'!$A1:$AE734,20,FALSE)*$Q232</f>
        <v>0</v>
      </c>
      <c r="AG232" s="48">
        <f>VLOOKUP(B232,'Player Data'!$A1:$AE734,21,FALSE)*$Q232</f>
        <v>0</v>
      </c>
      <c r="AH232" s="49">
        <f>VLOOKUP(B232,'Player Data'!$A1:$AE734,22,FALSE)</f>
        <v>0</v>
      </c>
      <c r="AI232" s="46"/>
      <c r="AJ232" s="50"/>
      <c r="AK232" s="48"/>
      <c r="AL232" s="48"/>
      <c r="AM232" s="48"/>
      <c r="AN232" s="48"/>
      <c r="AO232" s="48"/>
      <c r="AP232" s="48"/>
      <c r="AQ232" s="51"/>
      <c r="AR232" s="52"/>
      <c r="AS232" s="46"/>
    </row>
    <row r="233" ht="21.25" customHeight="1">
      <c r="A233" s="53">
        <f>RANK(K233,K2:K730)</f>
        <v>270</v>
      </c>
      <c r="B233" t="s" s="8">
        <v>385</v>
      </c>
      <c r="C233" t="s" s="39">
        <v>106</v>
      </c>
      <c r="D233" t="s" s="40">
        <f>VLOOKUP(B233,'Player Data'!A1:D734,4,FALSE)</f>
        <v>121</v>
      </c>
      <c r="E233" s="55">
        <f>VLOOKUP(B233,'RW'!A1:F132,3,FALSE)</f>
        <v>64</v>
      </c>
      <c r="F233" t="s" s="42">
        <f>VLOOKUP(B233,'Player Data'!A1:B734,2,FALSE)</f>
        <v>156</v>
      </c>
      <c r="G233" s="9">
        <f>VLOOKUP(B233,'Player Data'!A1:D734,3,FALSE)</f>
        <v>27</v>
      </c>
      <c r="H233" s="43">
        <f>_xlfn.IFERROR(VLOOKUP(B233,'ADP'!A1:G731,7,FALSE)/1000000,VLOOKUP(B233,'ADP'!A1:G731,7,FALSE))</f>
        <v>4.95</v>
      </c>
      <c r="I233" s="44">
        <f>IF('Settings'!$E$15="POINTS",((R233*Q233)*'Settings'!$B$12)+(S233*'Settings'!$B$2)+(T233*'Settings'!$B$3)+(U233*'Settings'!$B$4)+(V233*'Settings'!$B$5)+(X233*'Settings'!$B$9)+(AA233*'Settings'!$B$6)+(W233*'Settings'!$B$8)+(AB233*'Settings'!$B$7)+(AC233*'Settings'!$B$14)+(AD233*'Settings'!$B$15)+(AE233*'Settings'!$B$16)+(AF233*'Settings'!$B$17)+(AG233*'Settings'!$B$18)+(Y233*'Settings'!$B$10)+(Z233*'Settings'!$B$11),VLOOKUP(B233,'Standard Deviations'!A1:C731,3,FALSE))</f>
        <v>280.423786864537</v>
      </c>
      <c r="J233" s="45">
        <f>IF(D233="G",I233/AJ233,I233/Q233)</f>
        <v>3.49917378168876</v>
      </c>
      <c r="K233" s="44">
        <f>IF('Settings'!$E$18="C/LW/RW",VLOOKUP(B233,'RW'!A1:F132,6,FALSE),VLOOKUP(B233,'F'!A1:F432,6,FALSE))</f>
        <v>-101.204776841819</v>
      </c>
      <c r="L233" s="44">
        <f>_xlfn.IFERROR(K233/H233,"N/A")</f>
        <v>-20.4454094629937</v>
      </c>
      <c r="M233" s="46">
        <f>IF('Settings'!$E$9="YAHOO",VLOOKUP(B233,'ADP'!A1:E731,2,FALSE),IF('Settings'!$E$9="ESPN",VLOOKUP(B233,'ADP'!A1:E731,3,FALSE),IF('Settings'!$E$9="FANTRAX",VLOOKUP(B233,'ADP'!A1:E731,4,FALSE),VLOOKUP(B233,'ADP'!A1:E731,5,FALSE))))</f>
        <v>1210.6</v>
      </c>
      <c r="N233" s="46">
        <f>_xlfn.IFERROR(M233-A233,"N/A")</f>
        <v>940.6</v>
      </c>
      <c r="O233" s="46"/>
      <c r="P233" t="s" s="47">
        <f>IF('Settings'!$E$27="ON",VLOOKUP(B233,'ADP'!A1:H731,8,FALSE)," ")</f>
        <v>109</v>
      </c>
      <c r="Q233" s="48">
        <f>IF('Settings'!$E$12="YES",VLOOKUP(B233,'Player Data'!A1:E734,5,FALSE),82)</f>
        <v>80.14</v>
      </c>
      <c r="R233" s="46">
        <f>VLOOKUP(B233,'Player Data'!$A1:$AE734,6,FALSE)</f>
        <v>15.157856458244</v>
      </c>
      <c r="S233" s="48">
        <f>VLOOKUP(B233,'Player Data'!$A1:$AE734,7,FALSE)*$Q233*_xlfn.IFERROR((VLOOKUP(P233,'Settings'!$E$28:$F$33,2,FALSE)+1),1)</f>
        <v>17.5065405046824</v>
      </c>
      <c r="T233" s="48">
        <f>VLOOKUP(B233,'Player Data'!$A1:$AE734,8,FALSE)*$Q233*_xlfn.IFERROR((VLOOKUP(P233,'Settings'!$E$28:$F$33,2,FALSE)+1),1)</f>
        <v>30.519730546004</v>
      </c>
      <c r="U233" s="48">
        <f>SUM(S233:T233)</f>
        <v>48.0262710506864</v>
      </c>
      <c r="V233" s="48">
        <f>VLOOKUP(B233,'Player Data'!$A1:$AE734,10,FALSE)*$Q233*_xlfn.IFERROR(((VLOOKUP(P233,'Settings'!$E$28:$F$33,2,FALSE)/2)+1),1)</f>
        <v>173.098194133084</v>
      </c>
      <c r="W233" s="48">
        <f>VLOOKUP(B233,'Player Data'!$A1:$AE734,11,FALSE)*$Q233*_xlfn.IFERROR((VLOOKUP(P233,'Settings'!$E$28:$F$33,2,FALSE)+1),1)</f>
        <v>2.09956285471658</v>
      </c>
      <c r="X233" s="48">
        <f>VLOOKUP(B233,'Player Data'!$A1:$AE734,12,FALSE)*$Q233*_xlfn.IFERROR((VLOOKUP(P233,'Settings'!$E$28:$F$33,2,FALSE)+1),1)</f>
        <v>8.57195556786751</v>
      </c>
      <c r="Y233" s="48">
        <f>VLOOKUP(B233,'Player Data'!$A1:$AE734,13,FALSE)*$Q233</f>
        <v>0.00544494055593329</v>
      </c>
      <c r="Z233" s="48">
        <f>VLOOKUP(B233,'Player Data'!$A1:$AE734,14,FALSE)*$Q233</f>
        <v>0.009982595711541481</v>
      </c>
      <c r="AA233" s="48">
        <f>VLOOKUP(B233,'Player Data'!$A1:$AE734,15,FALSE)*$Q233</f>
        <v>21.9451117448173</v>
      </c>
      <c r="AB233" s="48">
        <f>VLOOKUP(B233,'Player Data'!$A1:$AE734,16,FALSE)*$Q233</f>
        <v>50.1741793003225</v>
      </c>
      <c r="AC233" s="48">
        <f>VLOOKUP(B233,'Player Data'!$A1:$AE734,17,FALSE)*$Q233*_xlfn.IFERROR((VLOOKUP(P233,'Settings'!$E$28:$F$33,2,FALSE)+1),1)</f>
        <v>1.83619075578918</v>
      </c>
      <c r="AD233" s="48">
        <f>VLOOKUP(B233,'Player Data'!$A1:$AE734,18,FALSE)*$Q233</f>
        <v>26.1568229844121</v>
      </c>
      <c r="AE233" s="48">
        <f>VLOOKUP(B233,'Player Data'!$A1:$AE734,19,FALSE)*$Q233*_xlfn.IFERROR((VLOOKUP(P233,'Settings'!$E$28:$F$33,2,FALSE)+1),1)</f>
        <v>2.47821972824167</v>
      </c>
      <c r="AF233" s="48">
        <f>VLOOKUP(B233,'Player Data'!$A1:$AE734,20,FALSE)*$Q233</f>
        <v>5.1104948148321</v>
      </c>
      <c r="AG233" s="48">
        <f>VLOOKUP(B233,'Player Data'!$A1:$AE734,21,FALSE)*$Q233</f>
        <v>9.76180105956553</v>
      </c>
      <c r="AH233" s="49">
        <f>VLOOKUP(B233,'Player Data'!$A1:$AE734,22,FALSE)</f>
        <v>0.343625144227376</v>
      </c>
      <c r="AI233" s="46"/>
      <c r="AJ233" s="50"/>
      <c r="AK233" s="48"/>
      <c r="AL233" s="48"/>
      <c r="AM233" s="48"/>
      <c r="AN233" s="48"/>
      <c r="AO233" s="48"/>
      <c r="AP233" s="48"/>
      <c r="AQ233" s="51"/>
      <c r="AR233" s="52"/>
      <c r="AS233" s="46"/>
    </row>
    <row r="234" ht="21.25" customHeight="1">
      <c r="A234" s="53">
        <f>RANK(K234,K2:K730)</f>
        <v>325</v>
      </c>
      <c r="B234" t="s" s="8">
        <v>386</v>
      </c>
      <c r="C234" t="s" s="39">
        <v>106</v>
      </c>
      <c r="D234" t="s" s="40">
        <f>VLOOKUP(B234,'Player Data'!A1:D734,4,FALSE)</f>
        <v>129</v>
      </c>
      <c r="E234" s="56">
        <f>VLOOKUP(B234,'D'!A1:C228,3,FALSE)</f>
        <v>107</v>
      </c>
      <c r="F234" t="s" s="42">
        <f>VLOOKUP(B234,'Player Data'!A1:B734,2,FALSE)</f>
        <v>196</v>
      </c>
      <c r="G234" s="9">
        <f>VLOOKUP(B234,'Player Data'!A1:D734,3,FALSE)</f>
        <v>24</v>
      </c>
      <c r="H234" s="43">
        <f>_xlfn.IFERROR(VLOOKUP(B234,'ADP'!A1:G731,7,FALSE)/1000000,VLOOKUP(B234,'ADP'!A1:G731,7,FALSE))</f>
        <v>1</v>
      </c>
      <c r="I234" s="44">
        <f>IF('Settings'!$E$15="POINTS",((R234*Q234)*'Settings'!$B$12)+(S234*'Settings'!$B$2)+(T234*'Settings'!$B$3)+(U234*'Settings'!$B$4)+(V234*'Settings'!$B$5)+(X234*'Settings'!$B$9)+(AA234*'Settings'!$B$6)+(W234*'Settings'!$B$8)+(AB234*'Settings'!$B$7)+(AC234*'Settings'!$B$14)+(AD234*'Settings'!$B$15)+(AE234*'Settings'!$B$16)+(AF234*'Settings'!$B$17)+(AG234*'Settings'!$B$18)+(U234*'Settings'!$B$13)+(Y234*'Settings'!$B$10)+(Z234*'Settings'!$B$11),VLOOKUP(B234,'Standard Deviations'!A1:C731,3,FALSE))</f>
        <v>217.895599385562</v>
      </c>
      <c r="J234" s="45">
        <f>IF(D234="G",I234/AJ234,I234/Q234)</f>
        <v>2.85549388180142</v>
      </c>
      <c r="K234" s="44">
        <f>VLOOKUP(B234,'D'!A1:F228,6,FALSE)</f>
        <v>-122.839539260961</v>
      </c>
      <c r="L234" s="44">
        <f>_xlfn.IFERROR(K234/H234,"N/A")</f>
        <v>-122.839539260961</v>
      </c>
      <c r="M234" s="46">
        <f>IF('Settings'!$E$9="YAHOO",VLOOKUP(B234,'ADP'!A1:E731,2,FALSE),IF('Settings'!$E$9="ESPN",VLOOKUP(B234,'ADP'!A1:E731,3,FALSE),IF('Settings'!$E$9="FANTRAX",VLOOKUP(B234,'ADP'!A1:E731,4,FALSE),VLOOKUP(B234,'ADP'!A1:E731,5,FALSE))))</f>
        <v>228.68</v>
      </c>
      <c r="N234" s="46">
        <f>_xlfn.IFERROR(M234-A234,"N/A")</f>
        <v>-96.31999999999999</v>
      </c>
      <c r="O234" s="46"/>
      <c r="P234" t="s" s="47">
        <f>IF('Settings'!$E$27="ON",VLOOKUP(B234,'ADP'!A1:H731,8,FALSE)," ")</f>
        <v>109</v>
      </c>
      <c r="Q234" s="48">
        <f>IF('Settings'!$E$12="YES",VLOOKUP(B234,'Player Data'!A1:E734,5,FALSE),82)</f>
        <v>76.3075</v>
      </c>
      <c r="R234" s="46">
        <f>VLOOKUP(B234,'Player Data'!$A1:$AE734,6,FALSE)</f>
        <v>18.7356457577889</v>
      </c>
      <c r="S234" s="48">
        <f>VLOOKUP(B234,'Player Data'!$A1:$AE734,7,FALSE)*$Q234*_xlfn.IFERROR((VLOOKUP(P234,'Settings'!$E$28:$F$33,2,FALSE)+1),1)</f>
        <v>4.44610684720911</v>
      </c>
      <c r="T234" s="48">
        <f>VLOOKUP(B234,'Player Data'!$A1:$AE734,8,FALSE)*$Q234*_xlfn.IFERROR((VLOOKUP(P234,'Settings'!$E$28:$F$33,2,FALSE)+1),1)</f>
        <v>27.0882979190775</v>
      </c>
      <c r="U234" s="48">
        <f>SUM(S234:T234)</f>
        <v>31.5344047662866</v>
      </c>
      <c r="V234" s="48">
        <f>VLOOKUP(B234,'Player Data'!$A1:$AE734,10,FALSE)*$Q234*_xlfn.IFERROR(((VLOOKUP(P234,'Settings'!$E$28:$F$33,2,FALSE)/2)+1),1)</f>
        <v>101.160575945891</v>
      </c>
      <c r="W234" s="48">
        <f>VLOOKUP(B234,'Player Data'!$A1:$AE734,11,FALSE)*$Q234*_xlfn.IFERROR((VLOOKUP(P234,'Settings'!$E$28:$F$33,2,FALSE)+1),1)</f>
        <v>0.99605768910722</v>
      </c>
      <c r="X234" s="48">
        <f>VLOOKUP(B234,'Player Data'!$A1:$AE734,12,FALSE)*$Q234*_xlfn.IFERROR((VLOOKUP(P234,'Settings'!$E$28:$F$33,2,FALSE)+1),1)</f>
        <v>9.506517268663529</v>
      </c>
      <c r="Y234" s="48">
        <f>VLOOKUP(B234,'Player Data'!$A1:$AE734,13,FALSE)*$Q234</f>
        <v>0.0209510457627399</v>
      </c>
      <c r="Z234" s="48">
        <f>VLOOKUP(B234,'Player Data'!$A1:$AE734,14,FALSE)*$Q234</f>
        <v>0.0765875387613859</v>
      </c>
      <c r="AA234" s="48">
        <f>VLOOKUP(B234,'Player Data'!$A1:$AE734,15,FALSE)*$Q234</f>
        <v>96.94014443133879</v>
      </c>
      <c r="AB234" s="48">
        <f>VLOOKUP(B234,'Player Data'!$A1:$AE734,16,FALSE)*$Q234</f>
        <v>69.6787581990024</v>
      </c>
      <c r="AC234" s="48">
        <f>VLOOKUP(B234,'Player Data'!$A1:$AE734,17,FALSE)*$Q234*_xlfn.IFERROR((VLOOKUP(P234,'Settings'!$E$28:$F$33,2,FALSE)+1),1)</f>
        <v>-2.31237129069646</v>
      </c>
      <c r="AD234" s="48">
        <f>VLOOKUP(B234,'Player Data'!$A1:$AE734,18,FALSE)*$Q234</f>
        <v>48.5226528245283</v>
      </c>
      <c r="AE234" s="48">
        <f>VLOOKUP(B234,'Player Data'!$A1:$AE734,19,FALSE)*$Q234*_xlfn.IFERROR((VLOOKUP(P234,'Settings'!$E$28:$F$33,2,FALSE)+1),1)</f>
        <v>0.561083557994545</v>
      </c>
      <c r="AF234" s="48">
        <f>VLOOKUP(B234,'Player Data'!$A1:$AE734,20,FALSE)*$Q234</f>
        <v>0</v>
      </c>
      <c r="AG234" s="48">
        <f>VLOOKUP(B234,'Player Data'!$A1:$AE734,21,FALSE)*$Q234</f>
        <v>0</v>
      </c>
      <c r="AH234" s="49">
        <f>VLOOKUP(B234,'Player Data'!$A1:$AE734,22,FALSE)</f>
        <v>0</v>
      </c>
      <c r="AI234" s="46"/>
      <c r="AJ234" s="50"/>
      <c r="AK234" s="48"/>
      <c r="AL234" s="48"/>
      <c r="AM234" s="48"/>
      <c r="AN234" s="48"/>
      <c r="AO234" s="48"/>
      <c r="AP234" s="48"/>
      <c r="AQ234" s="51"/>
      <c r="AR234" s="52"/>
      <c r="AS234" s="46"/>
    </row>
    <row r="235" ht="21.25" customHeight="1">
      <c r="A235" s="53">
        <f>RANK(K235,K2:K730)</f>
        <v>357</v>
      </c>
      <c r="B235" t="s" s="8">
        <v>387</v>
      </c>
      <c r="C235" t="s" s="39">
        <v>106</v>
      </c>
      <c r="D235" t="s" s="40">
        <f>VLOOKUP(B235,'Player Data'!A1:D734,4,FALSE)</f>
        <v>129</v>
      </c>
      <c r="E235" s="56">
        <f>VLOOKUP(B235,'D'!A1:C228,3,FALSE)</f>
        <v>114</v>
      </c>
      <c r="F235" t="s" s="42">
        <f>VLOOKUP(B235,'Player Data'!A1:B734,2,FALSE)</f>
        <v>248</v>
      </c>
      <c r="G235" s="9">
        <f>VLOOKUP(B235,'Player Data'!A1:D734,3,FALSE)</f>
        <v>33</v>
      </c>
      <c r="H235" s="43">
        <f>_xlfn.IFERROR(VLOOKUP(B235,'ADP'!A1:G731,7,FALSE)/1000000,VLOOKUP(B235,'ADP'!A1:G731,7,FALSE))</f>
        <v>3</v>
      </c>
      <c r="I235" s="44">
        <f>IF('Settings'!$E$15="POINTS",((R235*Q235)*'Settings'!$B$12)+(S235*'Settings'!$B$2)+(T235*'Settings'!$B$3)+(U235*'Settings'!$B$4)+(V235*'Settings'!$B$5)+(X235*'Settings'!$B$9)+(AA235*'Settings'!$B$6)+(W235*'Settings'!$B$8)+(AB235*'Settings'!$B$7)+(AC235*'Settings'!$B$14)+(AD235*'Settings'!$B$15)+(AE235*'Settings'!$B$16)+(AF235*'Settings'!$B$17)+(AG235*'Settings'!$B$18)+(U235*'Settings'!$B$13)+(Y235*'Settings'!$B$10)+(Z235*'Settings'!$B$11),VLOOKUP(B235,'Standard Deviations'!A1:C731,3,FALSE))</f>
        <v>206.445941834738</v>
      </c>
      <c r="J235" s="45">
        <f>IF(D235="G",I235/AJ235,I235/Q235)</f>
        <v>2.65122224425548</v>
      </c>
      <c r="K235" s="44">
        <f>VLOOKUP(B235,'D'!A1:F228,6,FALSE)</f>
        <v>-134.289196811785</v>
      </c>
      <c r="L235" s="44">
        <f>_xlfn.IFERROR(K235/H235,"N/A")</f>
        <v>-44.7630656039283</v>
      </c>
      <c r="M235" s="46">
        <f>IF('Settings'!$E$9="YAHOO",VLOOKUP(B235,'ADP'!A1:E731,2,FALSE),IF('Settings'!$E$9="ESPN",VLOOKUP(B235,'ADP'!A1:E731,3,FALSE),IF('Settings'!$E$9="FANTRAX",VLOOKUP(B235,'ADP'!A1:E731,4,FALSE),VLOOKUP(B235,'ADP'!A1:E731,5,FALSE))))</f>
        <v>480.5</v>
      </c>
      <c r="N235" s="46">
        <f>_xlfn.IFERROR(M235-A235,"N/A")</f>
        <v>123.5</v>
      </c>
      <c r="O235" s="46"/>
      <c r="P235" t="s" s="47">
        <f>IF('Settings'!$E$27="ON",VLOOKUP(B235,'ADP'!A1:H731,8,FALSE)," ")</f>
        <v>109</v>
      </c>
      <c r="Q235" s="48">
        <f>IF('Settings'!$E$12="YES",VLOOKUP(B235,'Player Data'!A1:E734,5,FALSE),82)</f>
        <v>77.8682142857143</v>
      </c>
      <c r="R235" s="46">
        <f>VLOOKUP(B235,'Player Data'!$A1:$AE734,6,FALSE)</f>
        <v>17.4582225042108</v>
      </c>
      <c r="S235" s="48">
        <f>VLOOKUP(B235,'Player Data'!$A1:$AE734,7,FALSE)*$Q235*_xlfn.IFERROR((VLOOKUP(P235,'Settings'!$E$28:$F$33,2,FALSE)+1),1)</f>
        <v>5.11478580776329</v>
      </c>
      <c r="T235" s="48">
        <f>VLOOKUP(B235,'Player Data'!$A1:$AE734,8,FALSE)*$Q235*_xlfn.IFERROR((VLOOKUP(P235,'Settings'!$E$28:$F$33,2,FALSE)+1),1)</f>
        <v>25.9093344562346</v>
      </c>
      <c r="U235" s="48">
        <f>SUM(S235:T235)</f>
        <v>31.0241202639979</v>
      </c>
      <c r="V235" s="48">
        <f>VLOOKUP(B235,'Player Data'!$A1:$AE734,10,FALSE)*$Q235*_xlfn.IFERROR(((VLOOKUP(P235,'Settings'!$E$28:$F$33,2,FALSE)/2)+1),1)</f>
        <v>102.739191984436</v>
      </c>
      <c r="W235" s="48">
        <f>VLOOKUP(B235,'Player Data'!$A1:$AE734,11,FALSE)*$Q235*_xlfn.IFERROR((VLOOKUP(P235,'Settings'!$E$28:$F$33,2,FALSE)+1),1)</f>
        <v>1.26231125396062</v>
      </c>
      <c r="X235" s="48">
        <f>VLOOKUP(B235,'Player Data'!$A1:$AE734,12,FALSE)*$Q235*_xlfn.IFERROR((VLOOKUP(P235,'Settings'!$E$28:$F$33,2,FALSE)+1),1)</f>
        <v>10.6615753130915</v>
      </c>
      <c r="Y235" s="48">
        <f>VLOOKUP(B235,'Player Data'!$A1:$AE734,13,FALSE)*$Q235</f>
        <v>0.00454048968745409</v>
      </c>
      <c r="Z235" s="48">
        <f>VLOOKUP(B235,'Player Data'!$A1:$AE734,14,FALSE)*$Q235</f>
        <v>0.0176294804183945</v>
      </c>
      <c r="AA235" s="48">
        <f>VLOOKUP(B235,'Player Data'!$A1:$AE734,15,FALSE)*$Q235</f>
        <v>82.9985260191152</v>
      </c>
      <c r="AB235" s="48">
        <f>VLOOKUP(B235,'Player Data'!$A1:$AE734,16,FALSE)*$Q235</f>
        <v>51.1891374739496</v>
      </c>
      <c r="AC235" s="48">
        <f>VLOOKUP(B235,'Player Data'!$A1:$AE734,17,FALSE)*$Q235*_xlfn.IFERROR((VLOOKUP(P235,'Settings'!$E$28:$F$33,2,FALSE)+1),1)</f>
        <v>-0.292593010990403</v>
      </c>
      <c r="AD235" s="48">
        <f>VLOOKUP(B235,'Player Data'!$A1:$AE734,18,FALSE)*$Q235</f>
        <v>30.1870029379403</v>
      </c>
      <c r="AE235" s="48">
        <f>VLOOKUP(B235,'Player Data'!$A1:$AE734,19,FALSE)*$Q235*_xlfn.IFERROR((VLOOKUP(P235,'Settings'!$E$28:$F$33,2,FALSE)+1),1)</f>
        <v>0.718939286025044</v>
      </c>
      <c r="AF235" s="48">
        <f>VLOOKUP(B235,'Player Data'!$A1:$AE734,20,FALSE)*$Q235</f>
        <v>0</v>
      </c>
      <c r="AG235" s="48">
        <f>VLOOKUP(B235,'Player Data'!$A1:$AE734,21,FALSE)*$Q235</f>
        <v>0</v>
      </c>
      <c r="AH235" s="49">
        <f>VLOOKUP(B235,'Player Data'!$A1:$AE734,22,FALSE)</f>
        <v>0</v>
      </c>
      <c r="AI235" s="46"/>
      <c r="AJ235" s="50"/>
      <c r="AK235" s="48"/>
      <c r="AL235" s="48"/>
      <c r="AM235" s="48"/>
      <c r="AN235" s="48"/>
      <c r="AO235" s="48"/>
      <c r="AP235" s="48"/>
      <c r="AQ235" s="51"/>
      <c r="AR235" s="52"/>
      <c r="AS235" s="46"/>
    </row>
    <row r="236" ht="21.25" customHeight="1">
      <c r="A236" s="53">
        <f>RANK(K236,K2:K730)</f>
        <v>252</v>
      </c>
      <c r="B236" t="s" s="8">
        <v>388</v>
      </c>
      <c r="C236" t="s" s="39">
        <v>106</v>
      </c>
      <c r="D236" t="s" s="40">
        <f>VLOOKUP(B236,'Player Data'!A1:D734,4,FALSE)</f>
        <v>107</v>
      </c>
      <c r="E236" s="41">
        <f>VLOOKUP(B236,'C'!A1:C218,3,FALSE)</f>
        <v>66</v>
      </c>
      <c r="F236" t="s" s="42">
        <f>VLOOKUP(B236,'Player Data'!A1:B734,2,FALSE)</f>
        <v>136</v>
      </c>
      <c r="G236" s="9">
        <f>VLOOKUP(B236,'Player Data'!A1:D734,3,FALSE)</f>
        <v>20</v>
      </c>
      <c r="H236" s="43">
        <f>_xlfn.IFERROR(VLOOKUP(B236,'ADP'!A1:G731,7,FALSE)/1000000,VLOOKUP(B236,'ADP'!A1:G731,7,FALSE))</f>
        <v>0.894167</v>
      </c>
      <c r="I236" s="44">
        <f>IF('Settings'!$E$15="POINTS",((R236*Q236)*'Settings'!$B$12)+(S236*'Settings'!$B$2)+(T236*'Settings'!$B$3)+(U236*'Settings'!$B$4)+(V236*'Settings'!$B$5)+(X236*'Settings'!$B$9)+(AA236*'Settings'!$B$6)+(W236*'Settings'!$B$8)+(AB236*'Settings'!$B$7)+(AC236*'Settings'!$B$14)+(AD236*'Settings'!$B$15)+(AE236*'Settings'!$B$16)+(AF236*'Settings'!$B$17)+(AG236*'Settings'!$B$18)+(Y236*'Settings'!$B$10)+(Z236*'Settings'!$B$11),VLOOKUP(B236,'Standard Deviations'!A1:C731,3,FALSE))</f>
        <v>300.680135404697</v>
      </c>
      <c r="J236" s="45">
        <f>IF(D236="G",I236/AJ236,I236/Q236)</f>
        <v>3.71990765068288</v>
      </c>
      <c r="K236" s="44">
        <f>IF('Settings'!$E$18="C/LW/RW",VLOOKUP(B236,'C'!A1:F218,6,FALSE),VLOOKUP(B236,'F'!A1:F432,6,FALSE))</f>
        <v>-95.094066231318</v>
      </c>
      <c r="L236" s="44">
        <f>_xlfn.IFERROR(K236/H236,"N/A")</f>
        <v>-106.349335449998</v>
      </c>
      <c r="M236" s="46">
        <f>IF('Settings'!$E$9="YAHOO",VLOOKUP(B236,'ADP'!A1:E731,2,FALSE),IF('Settings'!$E$9="ESPN",VLOOKUP(B236,'ADP'!A1:E731,3,FALSE),IF('Settings'!$E$9="FANTRAX",VLOOKUP(B236,'ADP'!A1:E731,4,FALSE),VLOOKUP(B236,'ADP'!A1:E731,5,FALSE))))</f>
        <v>221.28</v>
      </c>
      <c r="N236" s="46">
        <f>_xlfn.IFERROR(M236-A236,"N/A")</f>
        <v>-30.72</v>
      </c>
      <c r="O236" s="46"/>
      <c r="P236" t="s" s="47">
        <f>IF('Settings'!$E$27="ON",VLOOKUP(B236,'ADP'!A1:H731,8,FALSE)," ")</f>
        <v>116</v>
      </c>
      <c r="Q236" s="48">
        <f>IF('Settings'!$E$12="YES",VLOOKUP(B236,'Player Data'!A1:E734,5,FALSE),82)</f>
        <v>80.83</v>
      </c>
      <c r="R236" s="46">
        <f>VLOOKUP(B236,'Player Data'!$A1:$AE734,6,FALSE)</f>
        <v>16.2827383766722</v>
      </c>
      <c r="S236" s="48">
        <f>VLOOKUP(B236,'Player Data'!$A1:$AE734,7,FALSE)*$Q236*_xlfn.IFERROR((VLOOKUP(P236,'Settings'!$E$28:$F$33,2,FALSE)+1),1)</f>
        <v>26.671271269207</v>
      </c>
      <c r="T236" s="48">
        <f>VLOOKUP(B236,'Player Data'!$A1:$AE734,8,FALSE)*$Q236*_xlfn.IFERROR((VLOOKUP(P236,'Settings'!$E$28:$F$33,2,FALSE)+1),1)</f>
        <v>23.5505281071068</v>
      </c>
      <c r="U236" s="48">
        <f>SUM(S236:T236)</f>
        <v>50.2217993763138</v>
      </c>
      <c r="V236" s="48">
        <f>VLOOKUP(B236,'Player Data'!$A1:$AE734,10,FALSE)*$Q236*_xlfn.IFERROR(((VLOOKUP(P236,'Settings'!$E$28:$F$33,2,FALSE)/2)+1),1)</f>
        <v>169.731401184988</v>
      </c>
      <c r="W236" s="48">
        <f>VLOOKUP(B236,'Player Data'!$A1:$AE734,11,FALSE)*$Q236*_xlfn.IFERROR((VLOOKUP(P236,'Settings'!$E$28:$F$33,2,FALSE)+1),1)</f>
        <v>3.84368852672689</v>
      </c>
      <c r="X236" s="48">
        <f>VLOOKUP(B236,'Player Data'!$A1:$AE734,12,FALSE)*$Q236*_xlfn.IFERROR((VLOOKUP(P236,'Settings'!$E$28:$F$33,2,FALSE)+1),1)</f>
        <v>9.29290990159749</v>
      </c>
      <c r="Y236" s="48">
        <f>VLOOKUP(B236,'Player Data'!$A1:$AE734,13,FALSE)*$Q236</f>
        <v>0.178107708063122</v>
      </c>
      <c r="Z236" s="48">
        <f>VLOOKUP(B236,'Player Data'!$A1:$AE734,14,FALSE)*$Q236</f>
        <v>0.328839775070295</v>
      </c>
      <c r="AA236" s="48">
        <f>VLOOKUP(B236,'Player Data'!$A1:$AE734,15,FALSE)*$Q236</f>
        <v>33.0961914015298</v>
      </c>
      <c r="AB236" s="48">
        <f>VLOOKUP(B236,'Player Data'!$A1:$AE734,16,FALSE)*$Q236</f>
        <v>31.7454181141805</v>
      </c>
      <c r="AC236" s="48">
        <f>VLOOKUP(B236,'Player Data'!$A1:$AE734,17,FALSE)*$Q236*_xlfn.IFERROR((VLOOKUP(P236,'Settings'!$E$28:$F$33,2,FALSE)+1),1)</f>
        <v>5.53961391216338</v>
      </c>
      <c r="AD236" s="48">
        <f>VLOOKUP(B236,'Player Data'!$A1:$AE734,18,FALSE)*$Q236</f>
        <v>24.5436526910315</v>
      </c>
      <c r="AE236" s="48">
        <f>VLOOKUP(B236,'Player Data'!$A1:$AE734,19,FALSE)*$Q236*_xlfn.IFERROR((VLOOKUP(P236,'Settings'!$E$28:$F$33,2,FALSE)+1),1)</f>
        <v>4.26721432897862</v>
      </c>
      <c r="AF236" s="48">
        <f>VLOOKUP(B236,'Player Data'!$A1:$AE734,20,FALSE)*$Q236</f>
        <v>150.326422003174</v>
      </c>
      <c r="AG236" s="48">
        <f>VLOOKUP(B236,'Player Data'!$A1:$AE734,21,FALSE)*$Q236</f>
        <v>196.979449521401</v>
      </c>
      <c r="AH236" s="49">
        <f>VLOOKUP(B236,'Player Data'!$A1:$AE734,22,FALSE)</f>
        <v>0.432835820895522</v>
      </c>
      <c r="AI236" s="46"/>
      <c r="AJ236" s="50"/>
      <c r="AK236" s="48"/>
      <c r="AL236" s="48"/>
      <c r="AM236" s="48"/>
      <c r="AN236" s="48"/>
      <c r="AO236" s="48"/>
      <c r="AP236" s="48"/>
      <c r="AQ236" s="51"/>
      <c r="AR236" s="52"/>
      <c r="AS236" s="46"/>
    </row>
    <row r="237" ht="21.25" customHeight="1">
      <c r="A237" s="53">
        <f>RANK(K237,K2:K730)</f>
        <v>221</v>
      </c>
      <c r="B237" t="s" s="8">
        <v>389</v>
      </c>
      <c r="C237" t="s" s="39">
        <v>106</v>
      </c>
      <c r="D237" t="s" s="40">
        <f>VLOOKUP(B237,'Player Data'!A1:D734,4,FALSE)</f>
        <v>129</v>
      </c>
      <c r="E237" s="56">
        <f>VLOOKUP(B237,'D'!A1:C228,3,FALSE)</f>
        <v>59</v>
      </c>
      <c r="F237" t="s" s="42">
        <f>VLOOKUP(B237,'Player Data'!A1:B734,2,FALSE)</f>
        <v>170</v>
      </c>
      <c r="G237" s="9">
        <f>VLOOKUP(B237,'Player Data'!A1:D734,3,FALSE)</f>
        <v>28</v>
      </c>
      <c r="H237" s="43">
        <f>_xlfn.IFERROR(VLOOKUP(B237,'ADP'!A1:G731,7,FALSE)/1000000,VLOOKUP(B237,'ADP'!A1:G731,7,FALSE))</f>
        <v>4.5</v>
      </c>
      <c r="I237" s="44">
        <f>IF('Settings'!$E$15="POINTS",((R237*Q237)*'Settings'!$B$12)+(S237*'Settings'!$B$2)+(T237*'Settings'!$B$3)+(U237*'Settings'!$B$4)+(V237*'Settings'!$B$5)+(X237*'Settings'!$B$9)+(AA237*'Settings'!$B$6)+(W237*'Settings'!$B$8)+(AB237*'Settings'!$B$7)+(AC237*'Settings'!$B$14)+(AD237*'Settings'!$B$15)+(AE237*'Settings'!$B$16)+(AF237*'Settings'!$B$17)+(AG237*'Settings'!$B$18)+(U237*'Settings'!$B$13)+(Y237*'Settings'!$B$10)+(Z237*'Settings'!$B$11),VLOOKUP(B237,'Standard Deviations'!A1:C731,3,FALSE))</f>
        <v>259.908722934395</v>
      </c>
      <c r="J237" s="45">
        <f>IF(D237="G",I237/AJ237,I237/Q237)</f>
        <v>3.24623596208557</v>
      </c>
      <c r="K237" s="44">
        <f>VLOOKUP(B237,'D'!A1:F228,6,FALSE)</f>
        <v>-80.826415712128</v>
      </c>
      <c r="L237" s="44">
        <f>_xlfn.IFERROR(K237/H237,"N/A")</f>
        <v>-17.9614257138062</v>
      </c>
      <c r="M237" s="46">
        <f>IF('Settings'!$E$9="YAHOO",VLOOKUP(B237,'ADP'!A1:E731,2,FALSE),IF('Settings'!$E$9="ESPN",VLOOKUP(B237,'ADP'!A1:E731,3,FALSE),IF('Settings'!$E$9="FANTRAX",VLOOKUP(B237,'ADP'!A1:E731,4,FALSE),VLOOKUP(B237,'ADP'!A1:E731,5,FALSE))))</f>
        <v>432.1</v>
      </c>
      <c r="N237" s="46">
        <f>_xlfn.IFERROR(M237-A237,"N/A")</f>
        <v>211.1</v>
      </c>
      <c r="O237" s="46"/>
      <c r="P237" t="s" s="47">
        <f>IF('Settings'!$E$27="ON",VLOOKUP(B237,'ADP'!A1:H731,8,FALSE)," ")</f>
        <v>109</v>
      </c>
      <c r="Q237" s="48">
        <f>IF('Settings'!$E$12="YES",VLOOKUP(B237,'Player Data'!A1:E734,5,FALSE),82)</f>
        <v>80.0646428571429</v>
      </c>
      <c r="R237" s="46">
        <f>VLOOKUP(B237,'Player Data'!$A1:$AE734,6,FALSE)</f>
        <v>20.0840416037368</v>
      </c>
      <c r="S237" s="48">
        <f>VLOOKUP(B237,'Player Data'!$A1:$AE734,7,FALSE)*$Q237*_xlfn.IFERROR((VLOOKUP(P237,'Settings'!$E$28:$F$33,2,FALSE)+1),1)</f>
        <v>6.32923280429323</v>
      </c>
      <c r="T237" s="48">
        <f>VLOOKUP(B237,'Player Data'!$A1:$AE734,8,FALSE)*$Q237*_xlfn.IFERROR((VLOOKUP(P237,'Settings'!$E$28:$F$33,2,FALSE)+1),1)</f>
        <v>20.908019507082</v>
      </c>
      <c r="U237" s="48">
        <f>SUM(S237:T237)</f>
        <v>27.2372523113752</v>
      </c>
      <c r="V237" s="48">
        <f>VLOOKUP(B237,'Player Data'!$A1:$AE734,10,FALSE)*$Q237*_xlfn.IFERROR(((VLOOKUP(P237,'Settings'!$E$28:$F$33,2,FALSE)/2)+1),1)</f>
        <v>135.709417670732</v>
      </c>
      <c r="W237" s="48">
        <f>VLOOKUP(B237,'Player Data'!$A1:$AE734,11,FALSE)*$Q237*_xlfn.IFERROR((VLOOKUP(P237,'Settings'!$E$28:$F$33,2,FALSE)+1),1)</f>
        <v>0.0244310649374159</v>
      </c>
      <c r="X237" s="48">
        <f>VLOOKUP(B237,'Player Data'!$A1:$AE734,12,FALSE)*$Q237*_xlfn.IFERROR((VLOOKUP(P237,'Settings'!$E$28:$F$33,2,FALSE)+1),1)</f>
        <v>0.166926942463305</v>
      </c>
      <c r="Y237" s="48">
        <f>VLOOKUP(B237,'Player Data'!$A1:$AE734,13,FALSE)*$Q237</f>
        <v>0.0245114679107379</v>
      </c>
      <c r="Z237" s="48">
        <f>VLOOKUP(B237,'Player Data'!$A1:$AE734,14,FALSE)*$Q237</f>
        <v>1.11254258337158</v>
      </c>
      <c r="AA237" s="48">
        <f>VLOOKUP(B237,'Player Data'!$A1:$AE734,15,FALSE)*$Q237</f>
        <v>149.077702816839</v>
      </c>
      <c r="AB237" s="48">
        <f>VLOOKUP(B237,'Player Data'!$A1:$AE734,16,FALSE)*$Q237</f>
        <v>96.33788553320301</v>
      </c>
      <c r="AC237" s="48">
        <f>VLOOKUP(B237,'Player Data'!$A1:$AE734,17,FALSE)*$Q237*_xlfn.IFERROR((VLOOKUP(P237,'Settings'!$E$28:$F$33,2,FALSE)+1),1)</f>
        <v>2.07482963974543</v>
      </c>
      <c r="AD237" s="48">
        <f>VLOOKUP(B237,'Player Data'!$A1:$AE734,18,FALSE)*$Q237</f>
        <v>34.0636875846104</v>
      </c>
      <c r="AE237" s="48">
        <f>VLOOKUP(B237,'Player Data'!$A1:$AE734,19,FALSE)*$Q237*_xlfn.IFERROR((VLOOKUP(P237,'Settings'!$E$28:$F$33,2,FALSE)+1),1)</f>
        <v>1.01596859803478</v>
      </c>
      <c r="AF237" s="48">
        <f>VLOOKUP(B237,'Player Data'!$A1:$AE734,20,FALSE)*$Q237</f>
        <v>0</v>
      </c>
      <c r="AG237" s="48">
        <f>VLOOKUP(B237,'Player Data'!$A1:$AE734,21,FALSE)*$Q237</f>
        <v>0</v>
      </c>
      <c r="AH237" s="49">
        <f>VLOOKUP(B237,'Player Data'!$A1:$AE734,22,FALSE)</f>
        <v>0</v>
      </c>
      <c r="AI237" s="46"/>
      <c r="AJ237" s="50"/>
      <c r="AK237" s="48"/>
      <c r="AL237" s="48"/>
      <c r="AM237" s="48"/>
      <c r="AN237" s="48"/>
      <c r="AO237" s="48"/>
      <c r="AP237" s="48"/>
      <c r="AQ237" s="51"/>
      <c r="AR237" s="52"/>
      <c r="AS237" s="46"/>
    </row>
    <row r="238" ht="21.25" customHeight="1">
      <c r="A238" s="53">
        <f>RANK(K238,K2:K730)</f>
        <v>234</v>
      </c>
      <c r="B238" t="s" s="8">
        <v>390</v>
      </c>
      <c r="C238" t="s" s="39">
        <v>106</v>
      </c>
      <c r="D238" t="s" s="40">
        <f>VLOOKUP(B238,'Player Data'!A1:D734,4,FALSE)</f>
        <v>111</v>
      </c>
      <c r="E238" s="54">
        <f>VLOOKUP(B238,'LW'!A1:C156,3,FALSE)</f>
        <v>57</v>
      </c>
      <c r="F238" t="s" s="42">
        <f>VLOOKUP(B238,'Player Data'!A1:B734,2,FALSE)</f>
        <v>234</v>
      </c>
      <c r="G238" s="9">
        <f>VLOOKUP(B238,'Player Data'!A1:D734,3,FALSE)</f>
        <v>33</v>
      </c>
      <c r="H238" s="43">
        <f>_xlfn.IFERROR(VLOOKUP(B238,'ADP'!A1:G731,7,FALSE)/1000000,VLOOKUP(B238,'ADP'!A1:G731,7,FALSE))</f>
        <v>5.825</v>
      </c>
      <c r="I238" s="44">
        <f>IF('Settings'!$E$15="POINTS",((R238*Q238)*'Settings'!$B$12)+(S238*'Settings'!$B$2)+(T238*'Settings'!$B$3)+(U238*'Settings'!$B$4)+(V238*'Settings'!$B$5)+(X238*'Settings'!$B$9)+(AA238*'Settings'!$B$6)+(W238*'Settings'!$B$8)+(AB238*'Settings'!$B$7)+(AC238*'Settings'!$B$14)+(AD238*'Settings'!$B$15)+(AE238*'Settings'!$B$16)+(AF238*'Settings'!$B$17)+(AG238*'Settings'!$B$18)+(Y238*'Settings'!$B$10)+(Z238*'Settings'!$B$11),VLOOKUP(B238,'Standard Deviations'!A1:C731,3,FALSE))</f>
        <v>294.557117842121</v>
      </c>
      <c r="J238" s="45">
        <f>IF(D238="G",I238/AJ238,I238/Q238)</f>
        <v>3.95856898054188</v>
      </c>
      <c r="K238" s="44">
        <f>IF('Settings'!$E$18="C/LW/RW",VLOOKUP(B238,'LW'!A1:F156,6,FALSE),VLOOKUP(B238,'F'!A1:F432,6,FALSE))</f>
        <v>-87.071445864235</v>
      </c>
      <c r="L238" s="44">
        <f>_xlfn.IFERROR(K238/H238,"N/A")</f>
        <v>-14.9478877020146</v>
      </c>
      <c r="M238" s="46">
        <f>IF('Settings'!$E$9="YAHOO",VLOOKUP(B238,'ADP'!A1:E731,2,FALSE),IF('Settings'!$E$9="ESPN",VLOOKUP(B238,'ADP'!A1:E731,3,FALSE),IF('Settings'!$E$9="FANTRAX",VLOOKUP(B238,'ADP'!A1:E731,4,FALSE),VLOOKUP(B238,'ADP'!A1:E731,5,FALSE))))</f>
        <v>350.23</v>
      </c>
      <c r="N238" s="46">
        <f>_xlfn.IFERROR(M238-A238,"N/A")</f>
        <v>116.23</v>
      </c>
      <c r="O238" s="46"/>
      <c r="P238" t="s" s="47">
        <f>IF('Settings'!$E$27="ON",VLOOKUP(B238,'ADP'!A1:H731,8,FALSE)," ")</f>
        <v>109</v>
      </c>
      <c r="Q238" s="48">
        <f>IF('Settings'!$E$12="YES",VLOOKUP(B238,'Player Data'!A1:E734,5,FALSE),82)</f>
        <v>74.41</v>
      </c>
      <c r="R238" s="46">
        <f>VLOOKUP(B238,'Player Data'!$A1:$AE734,6,FALSE)</f>
        <v>19.0852706462533</v>
      </c>
      <c r="S238" s="48">
        <f>VLOOKUP(B238,'Player Data'!$A1:$AE734,7,FALSE)*$Q238*_xlfn.IFERROR((VLOOKUP(P238,'Settings'!$E$28:$F$33,2,FALSE)+1),1)</f>
        <v>23.0102691116224</v>
      </c>
      <c r="T238" s="48">
        <f>VLOOKUP(B238,'Player Data'!$A1:$AE734,8,FALSE)*$Q238*_xlfn.IFERROR((VLOOKUP(P238,'Settings'!$E$28:$F$33,2,FALSE)+1),1)</f>
        <v>22.7719145254681</v>
      </c>
      <c r="U238" s="48">
        <f>SUM(S238:T238)</f>
        <v>45.7821836370905</v>
      </c>
      <c r="V238" s="48">
        <f>VLOOKUP(B238,'Player Data'!$A1:$AE734,10,FALSE)*$Q238*_xlfn.IFERROR(((VLOOKUP(P238,'Settings'!$E$28:$F$33,2,FALSE)/2)+1),1)</f>
        <v>165.399349233836</v>
      </c>
      <c r="W238" s="48">
        <f>VLOOKUP(B238,'Player Data'!$A1:$AE734,11,FALSE)*$Q238*_xlfn.IFERROR((VLOOKUP(P238,'Settings'!$E$28:$F$33,2,FALSE)+1),1)</f>
        <v>4.98745815157834</v>
      </c>
      <c r="X238" s="48">
        <f>VLOOKUP(B238,'Player Data'!$A1:$AE734,12,FALSE)*$Q238*_xlfn.IFERROR((VLOOKUP(P238,'Settings'!$E$28:$F$33,2,FALSE)+1),1)</f>
        <v>11.1798066306025</v>
      </c>
      <c r="Y238" s="48">
        <f>VLOOKUP(B238,'Player Data'!$A1:$AE734,13,FALSE)*$Q238</f>
        <v>0.120189874264276</v>
      </c>
      <c r="Z238" s="48">
        <f>VLOOKUP(B238,'Player Data'!$A1:$AE734,14,FALSE)*$Q238</f>
        <v>0.524099811340711</v>
      </c>
      <c r="AA238" s="48">
        <f>VLOOKUP(B238,'Player Data'!$A1:$AE734,15,FALSE)*$Q238</f>
        <v>57.6153692794024</v>
      </c>
      <c r="AB238" s="48">
        <f>VLOOKUP(B238,'Player Data'!$A1:$AE734,16,FALSE)*$Q238</f>
        <v>40.5584175364603</v>
      </c>
      <c r="AC238" s="48">
        <f>VLOOKUP(B238,'Player Data'!$A1:$AE734,17,FALSE)*$Q238*_xlfn.IFERROR((VLOOKUP(P238,'Settings'!$E$28:$F$33,2,FALSE)+1),1)</f>
        <v>-5.89032215283199</v>
      </c>
      <c r="AD238" s="48">
        <f>VLOOKUP(B238,'Player Data'!$A1:$AE734,18,FALSE)*$Q238</f>
        <v>26.3473724436754</v>
      </c>
      <c r="AE238" s="48">
        <f>VLOOKUP(B238,'Player Data'!$A1:$AE734,19,FALSE)*$Q238*_xlfn.IFERROR((VLOOKUP(P238,'Settings'!$E$28:$F$33,2,FALSE)+1),1)</f>
        <v>2.20583401847608</v>
      </c>
      <c r="AF238" s="48">
        <f>VLOOKUP(B238,'Player Data'!$A1:$AE734,20,FALSE)*$Q238</f>
        <v>0.377663167702078</v>
      </c>
      <c r="AG238" s="48">
        <f>VLOOKUP(B238,'Player Data'!$A1:$AE734,21,FALSE)*$Q238</f>
        <v>0.329662957003101</v>
      </c>
      <c r="AH238" s="49">
        <f>VLOOKUP(B238,'Player Data'!$A1:$AE734,22,FALSE)</f>
        <v>0.533930749213445</v>
      </c>
      <c r="AI238" s="46"/>
      <c r="AJ238" s="48"/>
      <c r="AK238" s="48"/>
      <c r="AL238" s="48"/>
      <c r="AM238" s="48"/>
      <c r="AN238" s="48"/>
      <c r="AO238" s="48"/>
      <c r="AP238" s="48"/>
      <c r="AQ238" s="51"/>
      <c r="AR238" s="52"/>
      <c r="AS238" s="46"/>
    </row>
    <row r="239" ht="21.25" customHeight="1">
      <c r="A239" s="53">
        <f>RANK(K239,K2:K730)</f>
        <v>228</v>
      </c>
      <c r="B239" t="s" s="8">
        <v>391</v>
      </c>
      <c r="C239" t="s" s="39">
        <v>106</v>
      </c>
      <c r="D239" t="s" s="40">
        <f>VLOOKUP(B239,'Player Data'!A1:D734,4,FALSE)</f>
        <v>129</v>
      </c>
      <c r="E239" s="56">
        <f>VLOOKUP(B239,'D'!A1:C228,3,FALSE)</f>
        <v>60</v>
      </c>
      <c r="F239" t="s" s="42">
        <f>VLOOKUP(B239,'Player Data'!A1:B734,2,FALSE)</f>
        <v>189</v>
      </c>
      <c r="G239" s="9">
        <f>VLOOKUP(B239,'Player Data'!A1:D734,3,FALSE)</f>
        <v>26</v>
      </c>
      <c r="H239" s="43">
        <f>_xlfn.IFERROR(VLOOKUP(B239,'ADP'!A1:G731,7,FALSE)/1000000,VLOOKUP(B239,'ADP'!A1:G731,7,FALSE))</f>
        <v>4.725</v>
      </c>
      <c r="I239" s="44">
        <f>IF('Settings'!$E$15="POINTS",((R239*Q239)*'Settings'!$B$12)+(S239*'Settings'!$B$2)+(T239*'Settings'!$B$3)+(U239*'Settings'!$B$4)+(V239*'Settings'!$B$5)+(X239*'Settings'!$B$9)+(AA239*'Settings'!$B$6)+(W239*'Settings'!$B$8)+(AB239*'Settings'!$B$7)+(AC239*'Settings'!$B$14)+(AD239*'Settings'!$B$15)+(AE239*'Settings'!$B$16)+(AF239*'Settings'!$B$17)+(AG239*'Settings'!$B$18)+(U239*'Settings'!$B$13)+(Y239*'Settings'!$B$10)+(Z239*'Settings'!$B$11),VLOOKUP(B239,'Standard Deviations'!A1:C731,3,FALSE))</f>
        <v>255.785602615015</v>
      </c>
      <c r="J239" s="45">
        <f>IF(D239="G",I239/AJ239,I239/Q239)</f>
        <v>3.13395537249995</v>
      </c>
      <c r="K239" s="44">
        <f>VLOOKUP(B239,'D'!A1:F228,6,FALSE)</f>
        <v>-84.949536031508</v>
      </c>
      <c r="L239" s="44">
        <f>_xlfn.IFERROR(K239/H239,"N/A")</f>
        <v>-17.9787377844461</v>
      </c>
      <c r="M239" s="46">
        <f>IF('Settings'!$E$9="YAHOO",VLOOKUP(B239,'ADP'!A1:E731,2,FALSE),IF('Settings'!$E$9="ESPN",VLOOKUP(B239,'ADP'!A1:E731,3,FALSE),IF('Settings'!$E$9="FANTRAX",VLOOKUP(B239,'ADP'!A1:E731,4,FALSE),VLOOKUP(B239,'ADP'!A1:E731,5,FALSE))))</f>
        <v>323.82</v>
      </c>
      <c r="N239" s="46">
        <f>_xlfn.IFERROR(M239-A239,"N/A")</f>
        <v>95.81999999999999</v>
      </c>
      <c r="O239" s="46"/>
      <c r="P239" t="s" s="47">
        <f>IF('Settings'!$E$27="ON",VLOOKUP(B239,'ADP'!A1:H731,8,FALSE)," ")</f>
        <v>109</v>
      </c>
      <c r="Q239" s="48">
        <f>IF('Settings'!$E$12="YES",VLOOKUP(B239,'Player Data'!A1:E734,5,FALSE),82)</f>
        <v>81.61750000000001</v>
      </c>
      <c r="R239" s="46">
        <f>VLOOKUP(B239,'Player Data'!$A1:$AE734,6,FALSE)</f>
        <v>21.6247563504729</v>
      </c>
      <c r="S239" s="48">
        <f>VLOOKUP(B239,'Player Data'!$A1:$AE734,7,FALSE)*$Q239*_xlfn.IFERROR((VLOOKUP(P239,'Settings'!$E$28:$F$33,2,FALSE)+1),1)</f>
        <v>7.22701719478452</v>
      </c>
      <c r="T239" s="48">
        <f>VLOOKUP(B239,'Player Data'!$A1:$AE734,8,FALSE)*$Q239*_xlfn.IFERROR((VLOOKUP(P239,'Settings'!$E$28:$F$33,2,FALSE)+1),1)</f>
        <v>19.6172116426559</v>
      </c>
      <c r="U239" s="48">
        <f>SUM(S239:T239)</f>
        <v>26.8442288374404</v>
      </c>
      <c r="V239" s="48">
        <f>VLOOKUP(B239,'Player Data'!$A1:$AE734,10,FALSE)*$Q239*_xlfn.IFERROR(((VLOOKUP(P239,'Settings'!$E$28:$F$33,2,FALSE)/2)+1),1)</f>
        <v>122.965147702538</v>
      </c>
      <c r="W239" s="48">
        <f>VLOOKUP(B239,'Player Data'!$A1:$AE734,11,FALSE)*$Q239*_xlfn.IFERROR((VLOOKUP(P239,'Settings'!$E$28:$F$33,2,FALSE)+1),1)</f>
        <v>0.199423276583276</v>
      </c>
      <c r="X239" s="48">
        <f>VLOOKUP(B239,'Player Data'!$A1:$AE734,12,FALSE)*$Q239*_xlfn.IFERROR((VLOOKUP(P239,'Settings'!$E$28:$F$33,2,FALSE)+1),1)</f>
        <v>2.84986724225327</v>
      </c>
      <c r="Y239" s="48">
        <f>VLOOKUP(B239,'Player Data'!$A1:$AE734,13,FALSE)*$Q239</f>
        <v>0.0244134921161781</v>
      </c>
      <c r="Z239" s="48">
        <f>VLOOKUP(B239,'Player Data'!$A1:$AE734,14,FALSE)*$Q239</f>
        <v>1.66590513835066</v>
      </c>
      <c r="AA239" s="48">
        <f>VLOOKUP(B239,'Player Data'!$A1:$AE734,15,FALSE)*$Q239</f>
        <v>152.903910232879</v>
      </c>
      <c r="AB239" s="48">
        <f>VLOOKUP(B239,'Player Data'!$A1:$AE734,16,FALSE)*$Q239</f>
        <v>92.5842042644272</v>
      </c>
      <c r="AC239" s="48">
        <f>VLOOKUP(B239,'Player Data'!$A1:$AE734,17,FALSE)*$Q239*_xlfn.IFERROR((VLOOKUP(P239,'Settings'!$E$28:$F$33,2,FALSE)+1),1)</f>
        <v>-6.73100075705577</v>
      </c>
      <c r="AD239" s="48">
        <f>VLOOKUP(B239,'Player Data'!$A1:$AE734,18,FALSE)*$Q239</f>
        <v>30.2034188829268</v>
      </c>
      <c r="AE239" s="48">
        <f>VLOOKUP(B239,'Player Data'!$A1:$AE734,19,FALSE)*$Q239*_xlfn.IFERROR((VLOOKUP(P239,'Settings'!$E$28:$F$33,2,FALSE)+1),1)</f>
        <v>0.774424651787925</v>
      </c>
      <c r="AF239" s="48">
        <f>VLOOKUP(B239,'Player Data'!$A1:$AE734,20,FALSE)*$Q239</f>
        <v>0</v>
      </c>
      <c r="AG239" s="48">
        <f>VLOOKUP(B239,'Player Data'!$A1:$AE734,21,FALSE)*$Q239</f>
        <v>0</v>
      </c>
      <c r="AH239" s="49">
        <f>VLOOKUP(B239,'Player Data'!$A1:$AE734,22,FALSE)</f>
        <v>0</v>
      </c>
      <c r="AI239" s="46"/>
      <c r="AJ239" s="50"/>
      <c r="AK239" s="48"/>
      <c r="AL239" s="48"/>
      <c r="AM239" s="48"/>
      <c r="AN239" s="48"/>
      <c r="AO239" s="48"/>
      <c r="AP239" s="48"/>
      <c r="AQ239" s="51"/>
      <c r="AR239" s="52"/>
      <c r="AS239" s="46"/>
    </row>
    <row r="240" ht="21.25" customHeight="1">
      <c r="A240" s="53">
        <f>RANK(K240,K2:K730)</f>
        <v>310</v>
      </c>
      <c r="B240" t="s" s="8">
        <v>392</v>
      </c>
      <c r="C240" t="s" s="39">
        <v>106</v>
      </c>
      <c r="D240" t="s" s="40">
        <f>VLOOKUP(B240,'Player Data'!A1:D734,4,FALSE)</f>
        <v>129</v>
      </c>
      <c r="E240" s="56">
        <f>VLOOKUP(B240,'D'!A1:C228,3,FALSE)</f>
        <v>97</v>
      </c>
      <c r="F240" t="s" s="42">
        <f>VLOOKUP(B240,'Player Data'!A1:B734,2,FALSE)</f>
        <v>234</v>
      </c>
      <c r="G240" s="9">
        <f>VLOOKUP(B240,'Player Data'!A1:D734,3,FALSE)</f>
        <v>19</v>
      </c>
      <c r="H240" s="43">
        <f>_xlfn.IFERROR(VLOOKUP(B240,'ADP'!A1:G731,7,FALSE)/1000000,VLOOKUP(B240,'ADP'!A1:G731,7,FALSE))</f>
        <v>0.918333</v>
      </c>
      <c r="I240" s="44">
        <f>IF('Settings'!$E$15="POINTS",((R240*Q240)*'Settings'!$B$12)+(S240*'Settings'!$B$2)+(T240*'Settings'!$B$3)+(U240*'Settings'!$B$4)+(V240*'Settings'!$B$5)+(X240*'Settings'!$B$9)+(AA240*'Settings'!$B$6)+(W240*'Settings'!$B$8)+(AB240*'Settings'!$B$7)+(AC240*'Settings'!$B$14)+(AD240*'Settings'!$B$15)+(AE240*'Settings'!$B$16)+(AF240*'Settings'!$B$17)+(AG240*'Settings'!$B$18)+(Y240*'Settings'!$B$10)+(Z240*'Settings'!$B$11),VLOOKUP(B240,'Standard Deviations'!A1:C731,3,FALSE))</f>
        <v>221.025375214585</v>
      </c>
      <c r="J240" s="45">
        <f>IF(D240="G",I240/AJ240,I240/Q240)</f>
        <v>3.34886932143311</v>
      </c>
      <c r="K240" s="44">
        <f>VLOOKUP(B240,'D'!A1:F228,6,FALSE)</f>
        <v>-119.709763431938</v>
      </c>
      <c r="L240" s="44">
        <f>_xlfn.IFERROR(K240/H240,"N/A")</f>
        <v>-130.355506588501</v>
      </c>
      <c r="M240" t="s" s="61">
        <f>IF('Settings'!$E$9="YAHOO",VLOOKUP(B240,'ADP'!A1:E731,2,FALSE),IF('Settings'!$E$9="ESPN",VLOOKUP(B240,'ADP'!A1:E731,3,FALSE),IF('Settings'!$E$9="FANTRAX",VLOOKUP(B240,'ADP'!A1:E731,4,FALSE),VLOOKUP(B240,'ADP'!A1:E731,5,FALSE))))</f>
        <v>329</v>
      </c>
      <c r="N240" t="s" s="61">
        <f>_xlfn.IFERROR(M240-A240,"N/A")</f>
        <v>158</v>
      </c>
      <c r="O240" s="46"/>
      <c r="P240" t="s" s="47">
        <f>IF('Settings'!$E$27="ON",VLOOKUP(B240,'ADP'!A1:H731,8,FALSE)," ")</f>
        <v>109</v>
      </c>
      <c r="Q240" s="48">
        <f>IF('Settings'!$E$12="YES",VLOOKUP(B240,'Player Data'!A1:E734,5,FALSE),82)</f>
        <v>66</v>
      </c>
      <c r="R240" s="46">
        <f>VLOOKUP(B240,'Player Data'!$A1:$AE734,6,FALSE)</f>
        <v>19</v>
      </c>
      <c r="S240" s="48">
        <f>VLOOKUP(B240,'Player Data'!$A1:$AE734,7,FALSE)*$Q240*_xlfn.IFERROR((VLOOKUP(P240,'Settings'!$E$28:$F$33,2,FALSE)+1),1)</f>
        <v>6.91454611374978</v>
      </c>
      <c r="T240" s="48">
        <f>VLOOKUP(B240,'Player Data'!$A1:$AE734,8,FALSE)*$Q240*_xlfn.IFERROR((VLOOKUP(P240,'Settings'!$E$28:$F$33,2,FALSE)+1),1)</f>
        <v>22.5734238300162</v>
      </c>
      <c r="U240" s="48">
        <f>SUM(S240:T240)</f>
        <v>29.487969943766</v>
      </c>
      <c r="V240" s="48">
        <f>VLOOKUP(B240,'Player Data'!$A1:$AE734,10,FALSE)*$Q240*_xlfn.IFERROR(((VLOOKUP(P240,'Settings'!$E$28:$F$33,2,FALSE)/2)+1),1)</f>
        <v>120.997926571666</v>
      </c>
      <c r="W240" s="48">
        <f>VLOOKUP(B240,'Player Data'!$A1:$AE734,11,FALSE)*$Q240*_xlfn.IFERROR((VLOOKUP(P240,'Settings'!$E$28:$F$33,2,FALSE)+1),1)</f>
        <v>1.44468427573658</v>
      </c>
      <c r="X240" s="48">
        <f>VLOOKUP(B240,'Player Data'!$A1:$AE734,12,FALSE)*$Q240*_xlfn.IFERROR((VLOOKUP(P240,'Settings'!$E$28:$F$33,2,FALSE)+1),1)</f>
        <v>6.16104163604299</v>
      </c>
      <c r="Y240" s="48">
        <f>VLOOKUP(B240,'Player Data'!$A1:$AE734,13,FALSE)*$Q240</f>
        <v>0</v>
      </c>
      <c r="Z240" s="48">
        <f>VLOOKUP(B240,'Player Data'!$A1:$AE734,14,FALSE)*$Q240</f>
        <v>0</v>
      </c>
      <c r="AA240" s="48">
        <f>VLOOKUP(B240,'Player Data'!$A1:$AE734,15,FALSE)*$Q240</f>
        <v>82.1780487804877</v>
      </c>
      <c r="AB240" s="48">
        <f>VLOOKUP(B240,'Player Data'!$A1:$AE734,16,FALSE)*$Q240</f>
        <v>82.4066341463416</v>
      </c>
      <c r="AC240" s="48">
        <f>VLOOKUP(B240,'Player Data'!$A1:$AE734,17,FALSE)*$Q240*_xlfn.IFERROR((VLOOKUP(P240,'Settings'!$E$28:$F$33,2,FALSE)+1),1)</f>
        <v>0.523170731707317</v>
      </c>
      <c r="AD240" s="48">
        <f>VLOOKUP(B240,'Player Data'!$A1:$AE734,18,FALSE)*$Q240</f>
        <v>27.8165853658536</v>
      </c>
      <c r="AE240" s="48">
        <f>VLOOKUP(B240,'Player Data'!$A1:$AE734,19,FALSE)*$Q240*_xlfn.IFERROR((VLOOKUP(P240,'Settings'!$E$28:$F$33,2,FALSE)+1),1)</f>
        <v>0.6628493115852701</v>
      </c>
      <c r="AF240" s="48">
        <f>VLOOKUP(B240,'Player Data'!$A1:$AE734,20,FALSE)*$Q240</f>
        <v>0</v>
      </c>
      <c r="AG240" s="48">
        <f>VLOOKUP(B240,'Player Data'!$A1:$AE734,21,FALSE)*$Q240</f>
        <v>0</v>
      </c>
      <c r="AH240" s="49">
        <f>VLOOKUP(B240,'Player Data'!$A1:$AE734,22,FALSE)</f>
        <v>0</v>
      </c>
      <c r="AI240" s="46"/>
      <c r="AJ240" s="50"/>
      <c r="AK240" s="48"/>
      <c r="AL240" s="48"/>
      <c r="AM240" s="48"/>
      <c r="AN240" s="48"/>
      <c r="AO240" s="48"/>
      <c r="AP240" s="48"/>
      <c r="AQ240" s="51"/>
      <c r="AR240" s="52"/>
      <c r="AS240" s="46"/>
    </row>
    <row r="241" ht="21.25" customHeight="1">
      <c r="A241" s="53">
        <f>RANK(K241,K2:K730)</f>
        <v>326</v>
      </c>
      <c r="B241" t="s" s="8">
        <v>393</v>
      </c>
      <c r="C241" t="s" s="39">
        <v>106</v>
      </c>
      <c r="D241" t="s" s="40">
        <f>VLOOKUP(B241,'Player Data'!A1:D734,4,FALSE)</f>
        <v>133</v>
      </c>
      <c r="E241" s="57">
        <f>VLOOKUP(B241,'LW'!A1:C156,3,FALSE)</f>
        <v>74</v>
      </c>
      <c r="F241" t="s" s="42">
        <f>VLOOKUP(B241,'Player Data'!A1:B734,2,FALSE)</f>
        <v>196</v>
      </c>
      <c r="G241" s="9">
        <f>VLOOKUP(B241,'Player Data'!A1:D734,3,FALSE)</f>
        <v>22</v>
      </c>
      <c r="H241" s="43">
        <f>_xlfn.IFERROR(VLOOKUP(B241,'ADP'!A1:G731,7,FALSE)/1000000,VLOOKUP(B241,'ADP'!A1:G731,7,FALSE))</f>
        <v>3.425</v>
      </c>
      <c r="I241" s="44">
        <f>IF('Settings'!$E$15="POINTS",((R241*Q241)*'Settings'!$B$12)+(S241*'Settings'!$B$2)+(T241*'Settings'!$B$3)+(U241*'Settings'!$B$4)+(V241*'Settings'!$B$5)+(X241*'Settings'!$B$9)+(AA241*'Settings'!$B$6)+(W241*'Settings'!$B$8)+(AB241*'Settings'!$B$7)+(AC241*'Settings'!$B$14)+(AD241*'Settings'!$B$15)+(AE241*'Settings'!$B$16)+(AF241*'Settings'!$B$17)+(AG241*'Settings'!$B$18)+(Y241*'Settings'!$B$10)+(Z241*'Settings'!$B$11),VLOOKUP(B241,'Standard Deviations'!A1:C731,3,FALSE))</f>
        <v>258.589276325382</v>
      </c>
      <c r="J241" s="45">
        <f>IF(D241="G",I241/AJ241,I241/Q241)</f>
        <v>3.4682038133769</v>
      </c>
      <c r="K241" s="44">
        <f>IF('Settings'!$E$18="C/LW/RW",VLOOKUP(B241,'LW'!A1:F156,6,FALSE),VLOOKUP(B241,'F'!A1:F432,6,FALSE))</f>
        <v>-123.039287380974</v>
      </c>
      <c r="L241" s="44">
        <f>_xlfn.IFERROR(K241/H241,"N/A")</f>
        <v>-35.9238795272917</v>
      </c>
      <c r="M241" s="46">
        <f>IF('Settings'!$E$9="YAHOO",VLOOKUP(B241,'ADP'!A1:E731,2,FALSE),IF('Settings'!$E$9="ESPN",VLOOKUP(B241,'ADP'!A1:E731,3,FALSE),IF('Settings'!$E$9="FANTRAX",VLOOKUP(B241,'ADP'!A1:E731,4,FALSE),VLOOKUP(B241,'ADP'!A1:E731,5,FALSE))))</f>
        <v>294.7</v>
      </c>
      <c r="N241" s="46">
        <f>_xlfn.IFERROR(M241-A241,"N/A")</f>
        <v>-31.3</v>
      </c>
      <c r="O241" s="46"/>
      <c r="P241" t="s" s="47">
        <f>IF('Settings'!$E$27="ON",VLOOKUP(B241,'ADP'!A1:H731,8,FALSE)," ")</f>
        <v>109</v>
      </c>
      <c r="Q241" s="48">
        <f>IF('Settings'!$E$12="YES",VLOOKUP(B241,'Player Data'!A1:E734,5,FALSE),82)</f>
        <v>74.56</v>
      </c>
      <c r="R241" s="46">
        <f>VLOOKUP(B241,'Player Data'!$A1:$AE734,6,FALSE)</f>
        <v>16.532772008532</v>
      </c>
      <c r="S241" s="48">
        <f>VLOOKUP(B241,'Player Data'!$A1:$AE734,7,FALSE)*$Q241*_xlfn.IFERROR((VLOOKUP(P241,'Settings'!$E$28:$F$33,2,FALSE)+1),1)</f>
        <v>14.8737949999989</v>
      </c>
      <c r="T241" s="48">
        <f>VLOOKUP(B241,'Player Data'!$A1:$AE734,8,FALSE)*$Q241*_xlfn.IFERROR((VLOOKUP(P241,'Settings'!$E$28:$F$33,2,FALSE)+1),1)</f>
        <v>41.2962372047736</v>
      </c>
      <c r="U241" s="48">
        <f>SUM(S241:T241)</f>
        <v>56.1700322047725</v>
      </c>
      <c r="V241" s="48">
        <f>VLOOKUP(B241,'Player Data'!$A1:$AE734,10,FALSE)*$Q241*_xlfn.IFERROR(((VLOOKUP(P241,'Settings'!$E$28:$F$33,2,FALSE)/2)+1),1)</f>
        <v>89.47860661892349</v>
      </c>
      <c r="W241" s="48">
        <f>VLOOKUP(B241,'Player Data'!$A1:$AE734,11,FALSE)*$Q241*_xlfn.IFERROR((VLOOKUP(P241,'Settings'!$E$28:$F$33,2,FALSE)+1),1)</f>
        <v>2.42991900173339</v>
      </c>
      <c r="X241" s="48">
        <f>VLOOKUP(B241,'Player Data'!$A1:$AE734,12,FALSE)*$Q241*_xlfn.IFERROR((VLOOKUP(P241,'Settings'!$E$28:$F$33,2,FALSE)+1),1)</f>
        <v>16.6627059488565</v>
      </c>
      <c r="Y241" s="48">
        <f>VLOOKUP(B241,'Player Data'!$A1:$AE734,13,FALSE)*$Q241</f>
        <v>0.0887137384512299</v>
      </c>
      <c r="Z241" s="48">
        <f>VLOOKUP(B241,'Player Data'!$A1:$AE734,14,FALSE)*$Q241</f>
        <v>0.156551837134869</v>
      </c>
      <c r="AA241" s="48">
        <f>VLOOKUP(B241,'Player Data'!$A1:$AE734,15,FALSE)*$Q241</f>
        <v>26.3714394208801</v>
      </c>
      <c r="AB241" s="48">
        <f>VLOOKUP(B241,'Player Data'!$A1:$AE734,16,FALSE)*$Q241</f>
        <v>38.1214420675778</v>
      </c>
      <c r="AC241" s="48">
        <f>VLOOKUP(B241,'Player Data'!$A1:$AE734,17,FALSE)*$Q241*_xlfn.IFERROR((VLOOKUP(P241,'Settings'!$E$28:$F$33,2,FALSE)+1),1)</f>
        <v>-2.23246223513459</v>
      </c>
      <c r="AD241" s="48">
        <f>VLOOKUP(B241,'Player Data'!$A1:$AE734,18,FALSE)*$Q241</f>
        <v>23.9821214046129</v>
      </c>
      <c r="AE241" s="48">
        <f>VLOOKUP(B241,'Player Data'!$A1:$AE734,19,FALSE)*$Q241*_xlfn.IFERROR((VLOOKUP(P241,'Settings'!$E$28:$F$33,2,FALSE)+1),1)</f>
        <v>1.87702232678449</v>
      </c>
      <c r="AF241" s="48">
        <f>VLOOKUP(B241,'Player Data'!$A1:$AE734,20,FALSE)*$Q241</f>
        <v>1.81312631362392</v>
      </c>
      <c r="AG241" s="48">
        <f>VLOOKUP(B241,'Player Data'!$A1:$AE734,21,FALSE)*$Q241</f>
        <v>6.71876272676438</v>
      </c>
      <c r="AH241" s="49">
        <f>VLOOKUP(B241,'Player Data'!$A1:$AE734,22,FALSE)</f>
        <v>0.212511708138834</v>
      </c>
      <c r="AI241" s="46"/>
      <c r="AJ241" s="50"/>
      <c r="AK241" s="48"/>
      <c r="AL241" s="48"/>
      <c r="AM241" s="48"/>
      <c r="AN241" s="48"/>
      <c r="AO241" s="48"/>
      <c r="AP241" s="48"/>
      <c r="AQ241" s="51"/>
      <c r="AR241" s="52"/>
      <c r="AS241" s="46"/>
    </row>
    <row r="242" ht="21.25" customHeight="1">
      <c r="A242" s="53">
        <f>RANK(K242,K2:K730)</f>
        <v>246</v>
      </c>
      <c r="B242" t="s" s="8">
        <v>394</v>
      </c>
      <c r="C242" t="s" s="39">
        <v>106</v>
      </c>
      <c r="D242" t="s" s="40">
        <f>VLOOKUP(B242,'Player Data'!A1:D734,4,FALSE)</f>
        <v>133</v>
      </c>
      <c r="E242" s="57">
        <f>VLOOKUP(B242,'LW'!A1:C156,3,FALSE)</f>
        <v>62</v>
      </c>
      <c r="F242" t="s" s="42">
        <f>VLOOKUP(B242,'Player Data'!A1:B734,2,FALSE)</f>
        <v>194</v>
      </c>
      <c r="G242" s="9">
        <f>VLOOKUP(B242,'Player Data'!A1:D734,3,FALSE)</f>
        <v>27</v>
      </c>
      <c r="H242" s="43">
        <f>_xlfn.IFERROR(VLOOKUP(B242,'ADP'!A1:G731,7,FALSE)/1000000,VLOOKUP(B242,'ADP'!A1:G731,7,FALSE))</f>
        <v>2.625</v>
      </c>
      <c r="I242" s="44">
        <f>IF('Settings'!$E$15="POINTS",((R242*Q242)*'Settings'!$B$12)+(S242*'Settings'!$B$2)+(T242*'Settings'!$B$3)+(U242*'Settings'!$B$4)+(V242*'Settings'!$B$5)+(X242*'Settings'!$B$9)+(AA242*'Settings'!$B$6)+(W242*'Settings'!$B$8)+(AB242*'Settings'!$B$7)+(AC242*'Settings'!$B$14)+(AD242*'Settings'!$B$15)+(AE242*'Settings'!$B$16)+(AF242*'Settings'!$B$17)+(AG242*'Settings'!$B$18)+(Y242*'Settings'!$B$10)+(Z242*'Settings'!$B$11),VLOOKUP(B242,'Standard Deviations'!A1:C731,3,FALSE))</f>
        <v>290.441231991163</v>
      </c>
      <c r="J242" s="45">
        <f>IF(D242="G",I242/AJ242,I242/Q242)</f>
        <v>4.1373394870536</v>
      </c>
      <c r="K242" s="44">
        <f>IF('Settings'!$E$18="C/LW/RW",VLOOKUP(B242,'LW'!A1:F156,6,FALSE),VLOOKUP(B242,'F'!A1:F432,6,FALSE))</f>
        <v>-91.187331715193</v>
      </c>
      <c r="L242" s="44">
        <f>_xlfn.IFERROR(K242/H242,"N/A")</f>
        <v>-34.7380311295973</v>
      </c>
      <c r="M242" s="46">
        <f>IF('Settings'!$E$9="YAHOO",VLOOKUP(B242,'ADP'!A1:E731,2,FALSE),IF('Settings'!$E$9="ESPN",VLOOKUP(B242,'ADP'!A1:E731,3,FALSE),IF('Settings'!$E$9="FANTRAX",VLOOKUP(B242,'ADP'!A1:E731,4,FALSE),VLOOKUP(B242,'ADP'!A1:E731,5,FALSE))))</f>
        <v>186.98</v>
      </c>
      <c r="N242" s="46">
        <f>_xlfn.IFERROR(M242-A242,"N/A")</f>
        <v>-59.02</v>
      </c>
      <c r="O242" s="46"/>
      <c r="P242" t="s" s="47">
        <f>IF('Settings'!$E$27="ON",VLOOKUP(B242,'ADP'!A1:H731,8,FALSE)," ")</f>
        <v>109</v>
      </c>
      <c r="Q242" s="48">
        <f>IF('Settings'!$E$12="YES",VLOOKUP(B242,'Player Data'!A1:E734,5,FALSE),82)</f>
        <v>70.2</v>
      </c>
      <c r="R242" s="46">
        <f>VLOOKUP(B242,'Player Data'!$A1:$AE734,6,FALSE)</f>
        <v>15.6422800341442</v>
      </c>
      <c r="S242" s="48">
        <f>VLOOKUP(B242,'Player Data'!$A1:$AE734,7,FALSE)*$Q242*_xlfn.IFERROR((VLOOKUP(P242,'Settings'!$E$28:$F$33,2,FALSE)+1),1)</f>
        <v>27.1708615245875</v>
      </c>
      <c r="T242" s="48">
        <f>VLOOKUP(B242,'Player Data'!$A1:$AE734,8,FALSE)*$Q242*_xlfn.IFERROR((VLOOKUP(P242,'Settings'!$E$28:$F$33,2,FALSE)+1),1)</f>
        <v>19.8449233649364</v>
      </c>
      <c r="U242" s="48">
        <f>SUM(S242:T242)</f>
        <v>47.0157848895239</v>
      </c>
      <c r="V242" s="48">
        <f>VLOOKUP(B242,'Player Data'!$A1:$AE734,10,FALSE)*$Q242*_xlfn.IFERROR(((VLOOKUP(P242,'Settings'!$E$28:$F$33,2,FALSE)/2)+1),1)</f>
        <v>167.473765027402</v>
      </c>
      <c r="W242" s="48">
        <f>VLOOKUP(B242,'Player Data'!$A1:$AE734,11,FALSE)*$Q242*_xlfn.IFERROR((VLOOKUP(P242,'Settings'!$E$28:$F$33,2,FALSE)+1),1)</f>
        <v>7.25744228739061</v>
      </c>
      <c r="X242" s="48">
        <f>VLOOKUP(B242,'Player Data'!$A1:$AE734,12,FALSE)*$Q242*_xlfn.IFERROR((VLOOKUP(P242,'Settings'!$E$28:$F$33,2,FALSE)+1),1)</f>
        <v>11.1914531892109</v>
      </c>
      <c r="Y242" s="48">
        <f>VLOOKUP(B242,'Player Data'!$A1:$AE734,13,FALSE)*$Q242</f>
        <v>0</v>
      </c>
      <c r="Z242" s="48">
        <f>VLOOKUP(B242,'Player Data'!$A1:$AE734,14,FALSE)*$Q242</f>
        <v>0</v>
      </c>
      <c r="AA242" s="48">
        <f>VLOOKUP(B242,'Player Data'!$A1:$AE734,15,FALSE)*$Q242</f>
        <v>23.0934819904746</v>
      </c>
      <c r="AB242" s="48">
        <f>VLOOKUP(B242,'Player Data'!$A1:$AE734,16,FALSE)*$Q242</f>
        <v>53.4158461070862</v>
      </c>
      <c r="AC242" s="48">
        <f>VLOOKUP(B242,'Player Data'!$A1:$AE734,17,FALSE)*$Q242*_xlfn.IFERROR((VLOOKUP(P242,'Settings'!$E$28:$F$33,2,FALSE)+1),1)</f>
        <v>-2.49968244566836</v>
      </c>
      <c r="AD242" s="48">
        <f>VLOOKUP(B242,'Player Data'!$A1:$AE734,18,FALSE)*$Q242</f>
        <v>22.9340250749643</v>
      </c>
      <c r="AE242" s="48">
        <f>VLOOKUP(B242,'Player Data'!$A1:$AE734,19,FALSE)*$Q242*_xlfn.IFERROR((VLOOKUP(P242,'Settings'!$E$28:$F$33,2,FALSE)+1),1)</f>
        <v>3.12662525730029</v>
      </c>
      <c r="AF242" s="48">
        <f>VLOOKUP(B242,'Player Data'!$A1:$AE734,20,FALSE)*$Q242</f>
        <v>6.2843519316663</v>
      </c>
      <c r="AG242" s="48">
        <f>VLOOKUP(B242,'Player Data'!$A1:$AE734,21,FALSE)*$Q242</f>
        <v>11.1009343584417</v>
      </c>
      <c r="AH242" s="49">
        <f>VLOOKUP(B242,'Player Data'!$A1:$AE734,22,FALSE)</f>
        <v>0.361475320382962</v>
      </c>
      <c r="AI242" s="46"/>
      <c r="AJ242" s="50"/>
      <c r="AK242" s="48"/>
      <c r="AL242" s="48"/>
      <c r="AM242" s="48"/>
      <c r="AN242" s="48"/>
      <c r="AO242" s="48"/>
      <c r="AP242" s="48"/>
      <c r="AQ242" s="51"/>
      <c r="AR242" s="52"/>
      <c r="AS242" s="46"/>
    </row>
    <row r="243" ht="21.25" customHeight="1">
      <c r="A243" s="53">
        <f>RANK(K243,K2:K730)</f>
        <v>330</v>
      </c>
      <c r="B243" t="s" s="8">
        <v>395</v>
      </c>
      <c r="C243" t="s" s="39">
        <v>106</v>
      </c>
      <c r="D243" t="s" s="40">
        <f>VLOOKUP(B243,'Player Data'!A1:D734,4,FALSE)</f>
        <v>118</v>
      </c>
      <c r="E243" s="54">
        <f>VLOOKUP(B243,'LW'!A1:C156,3,FALSE)</f>
        <v>77</v>
      </c>
      <c r="F243" t="s" s="42">
        <f>VLOOKUP(B243,'Player Data'!A1:B734,2,FALSE)</f>
        <v>202</v>
      </c>
      <c r="G243" s="9">
        <f>VLOOKUP(B243,'Player Data'!A1:D734,3,FALSE)</f>
        <v>28</v>
      </c>
      <c r="H243" s="43">
        <f>_xlfn.IFERROR(VLOOKUP(B243,'ADP'!A1:G731,7,FALSE)/1000000,VLOOKUP(B243,'ADP'!A1:G731,7,FALSE))</f>
        <v>5.4</v>
      </c>
      <c r="I243" s="44">
        <f>IF('Settings'!$E$15="POINTS",((R243*Q243)*'Settings'!$B$12)+(S243*'Settings'!$B$2)+(T243*'Settings'!$B$3)+(U243*'Settings'!$B$4)+(V243*'Settings'!$B$5)+(X243*'Settings'!$B$9)+(AA243*'Settings'!$B$6)+(W243*'Settings'!$B$8)+(AB243*'Settings'!$B$7)+(AC243*'Settings'!$B$14)+(AD243*'Settings'!$B$15)+(AE243*'Settings'!$B$16)+(AF243*'Settings'!$B$17)+(AG243*'Settings'!$B$18)+(Y243*'Settings'!$B$10)+(Z243*'Settings'!$B$11),VLOOKUP(B243,'Standard Deviations'!A1:C731,3,FALSE))</f>
        <v>257.799917332099</v>
      </c>
      <c r="J243" s="45">
        <f>IF(D243="G",I243/AJ243,I243/Q243)</f>
        <v>3.49642175881869</v>
      </c>
      <c r="K243" s="44">
        <f>IF('Settings'!$E$18="C/LW/RW",VLOOKUP(B243,'RW'!A1:F132,6,FALSE),VLOOKUP(B243,'F'!A1:F432,6,FALSE))</f>
        <v>-123.828646374257</v>
      </c>
      <c r="L243" s="44">
        <f>_xlfn.IFERROR(K243/H243,"N/A")</f>
        <v>-22.9312308100476</v>
      </c>
      <c r="M243" s="46">
        <f>IF('Settings'!$E$9="YAHOO",VLOOKUP(B243,'ADP'!A1:E731,2,FALSE),IF('Settings'!$E$9="ESPN",VLOOKUP(B243,'ADP'!A1:E731,3,FALSE),IF('Settings'!$E$9="FANTRAX",VLOOKUP(B243,'ADP'!A1:E731,4,FALSE),VLOOKUP(B243,'ADP'!A1:E731,5,FALSE))))</f>
        <v>217.68</v>
      </c>
      <c r="N243" s="46">
        <f>_xlfn.IFERROR(M243-A243,"N/A")</f>
        <v>-112.32</v>
      </c>
      <c r="O243" s="46"/>
      <c r="P243" t="s" s="47">
        <f>IF('Settings'!$E$27="ON",VLOOKUP(B243,'ADP'!A1:H731,8,FALSE)," ")</f>
        <v>109</v>
      </c>
      <c r="Q243" s="48">
        <f>IF('Settings'!$E$12="YES",VLOOKUP(B243,'Player Data'!A1:E734,5,FALSE),82)</f>
        <v>73.7325</v>
      </c>
      <c r="R243" s="46">
        <f>VLOOKUP(B243,'Player Data'!$A1:$AE734,6,FALSE)</f>
        <v>16.5909547670821</v>
      </c>
      <c r="S243" s="48">
        <f>VLOOKUP(B243,'Player Data'!$A1:$AE734,7,FALSE)*$Q243*_xlfn.IFERROR((VLOOKUP(P243,'Settings'!$E$28:$F$33,2,FALSE)+1),1)</f>
        <v>15.1168253335285</v>
      </c>
      <c r="T243" s="48">
        <f>VLOOKUP(B243,'Player Data'!$A1:$AE734,8,FALSE)*$Q243*_xlfn.IFERROR((VLOOKUP(P243,'Settings'!$E$28:$F$33,2,FALSE)+1),1)</f>
        <v>29.074514335993</v>
      </c>
      <c r="U243" s="48">
        <f>SUM(S243:T243)</f>
        <v>44.1913396695215</v>
      </c>
      <c r="V243" s="48">
        <f>VLOOKUP(B243,'Player Data'!$A1:$AE734,10,FALSE)*$Q243*_xlfn.IFERROR(((VLOOKUP(P243,'Settings'!$E$28:$F$33,2,FALSE)/2)+1),1)</f>
        <v>156.503641621730</v>
      </c>
      <c r="W243" s="48">
        <f>VLOOKUP(B243,'Player Data'!$A1:$AE734,11,FALSE)*$Q243*_xlfn.IFERROR((VLOOKUP(P243,'Settings'!$E$28:$F$33,2,FALSE)+1),1)</f>
        <v>4.94838549870364</v>
      </c>
      <c r="X243" s="48">
        <f>VLOOKUP(B243,'Player Data'!$A1:$AE734,12,FALSE)*$Q243*_xlfn.IFERROR((VLOOKUP(P243,'Settings'!$E$28:$F$33,2,FALSE)+1),1)</f>
        <v>14.0869468753964</v>
      </c>
      <c r="Y243" s="48">
        <f>VLOOKUP(B243,'Player Data'!$A1:$AE734,13,FALSE)*$Q243</f>
        <v>1.81650294232868</v>
      </c>
      <c r="Z243" s="48">
        <f>VLOOKUP(B243,'Player Data'!$A1:$AE734,14,FALSE)*$Q243</f>
        <v>2.80321102452329</v>
      </c>
      <c r="AA243" s="48">
        <f>VLOOKUP(B243,'Player Data'!$A1:$AE734,15,FALSE)*$Q243</f>
        <v>24.6507318789791</v>
      </c>
      <c r="AB243" s="48">
        <f>VLOOKUP(B243,'Player Data'!$A1:$AE734,16,FALSE)*$Q243</f>
        <v>25.4682060953642</v>
      </c>
      <c r="AC243" s="48">
        <f>VLOOKUP(B243,'Player Data'!$A1:$AE734,17,FALSE)*$Q243*_xlfn.IFERROR((VLOOKUP(P243,'Settings'!$E$28:$F$33,2,FALSE)+1),1)</f>
        <v>6.04008868993523</v>
      </c>
      <c r="AD243" s="48">
        <f>VLOOKUP(B243,'Player Data'!$A1:$AE734,18,FALSE)*$Q243</f>
        <v>21.5240539789455</v>
      </c>
      <c r="AE243" s="48">
        <f>VLOOKUP(B243,'Player Data'!$A1:$AE734,19,FALSE)*$Q243*_xlfn.IFERROR((VLOOKUP(P243,'Settings'!$E$28:$F$33,2,FALSE)+1),1)</f>
        <v>2.71229695615219</v>
      </c>
      <c r="AF243" s="48">
        <f>VLOOKUP(B243,'Player Data'!$A1:$AE734,20,FALSE)*$Q243</f>
        <v>31.1372205522457</v>
      </c>
      <c r="AG243" s="48">
        <f>VLOOKUP(B243,'Player Data'!$A1:$AE734,21,FALSE)*$Q243</f>
        <v>21.9632489096233</v>
      </c>
      <c r="AH243" s="49">
        <f>VLOOKUP(B243,'Player Data'!$A1:$AE734,22,FALSE)</f>
        <v>0.586383150051151</v>
      </c>
      <c r="AI243" s="46"/>
      <c r="AJ243" s="50"/>
      <c r="AK243" s="48"/>
      <c r="AL243" s="48"/>
      <c r="AM243" s="48"/>
      <c r="AN243" s="48"/>
      <c r="AO243" s="48"/>
      <c r="AP243" s="48"/>
      <c r="AQ243" s="51"/>
      <c r="AR243" s="52"/>
      <c r="AS243" s="46"/>
    </row>
    <row r="244" ht="21.25" customHeight="1">
      <c r="A244" s="53">
        <f>RANK(K244,K2:K730)</f>
        <v>456</v>
      </c>
      <c r="B244" t="s" s="8">
        <v>396</v>
      </c>
      <c r="C244" t="s" s="39">
        <v>106</v>
      </c>
      <c r="D244" t="s" s="40">
        <f>VLOOKUP(B244,'Player Data'!A1:D734,4,FALSE)</f>
        <v>129</v>
      </c>
      <c r="E244" s="56">
        <f>VLOOKUP(B244,'D'!A1:C228,3,FALSE)</f>
        <v>161</v>
      </c>
      <c r="F244" t="s" s="42">
        <f>VLOOKUP(B244,'Player Data'!A1:B734,2,FALSE)</f>
        <v>134</v>
      </c>
      <c r="G244" s="9">
        <f>VLOOKUP(B244,'Player Data'!A1:D734,3,FALSE)</f>
        <v>23</v>
      </c>
      <c r="H244" s="43">
        <f>_xlfn.IFERROR(VLOOKUP(B244,'ADP'!A1:G731,7,FALSE)/1000000,VLOOKUP(B244,'ADP'!A1:G731,7,FALSE))</f>
        <v>0</v>
      </c>
      <c r="I244" s="44">
        <f>IF('Settings'!$E$15="POINTS",((R244*Q244)*'Settings'!$B$12)+(S244*'Settings'!$B$2)+(T244*'Settings'!$B$3)+(U244*'Settings'!$B$4)+(V244*'Settings'!$B$5)+(X244*'Settings'!$B$9)+(AA244*'Settings'!$B$6)+(W244*'Settings'!$B$8)+(AB244*'Settings'!$B$7)+(AC244*'Settings'!$B$14)+(AD244*'Settings'!$B$15)+(AE244*'Settings'!$B$16)+(AF244*'Settings'!$B$17)+(AG244*'Settings'!$B$18)+(U244*'Settings'!$B$13)+(Y244*'Settings'!$B$10)+(Z244*'Settings'!$B$11),VLOOKUP(B244,'Standard Deviations'!A1:C731,3,FALSE))</f>
        <v>171.210391140424</v>
      </c>
      <c r="J244" s="45">
        <f>IF(D244="G",I244/AJ244,I244/Q244)</f>
        <v>2.6490854268981</v>
      </c>
      <c r="K244" s="44">
        <f>VLOOKUP(B244,'D'!A1:F228,6,FALSE)</f>
        <v>-169.524747506099</v>
      </c>
      <c r="L244" t="s" s="60">
        <f>_xlfn.IFERROR(K244/H244,"N/A")</f>
        <v>158</v>
      </c>
      <c r="M244" s="46">
        <f>IF('Settings'!$E$9="YAHOO",VLOOKUP(B244,'ADP'!A1:E731,2,FALSE),IF('Settings'!$E$9="ESPN",VLOOKUP(B244,'ADP'!A1:E731,3,FALSE),IF('Settings'!$E$9="FANTRAX",VLOOKUP(B244,'ADP'!A1:E731,4,FALSE),VLOOKUP(B244,'ADP'!A1:E731,5,FALSE))))</f>
        <v>227.49</v>
      </c>
      <c r="N244" s="46">
        <f>_xlfn.IFERROR(M244-A244,"N/A")</f>
        <v>-228.51</v>
      </c>
      <c r="O244" s="46"/>
      <c r="P244" t="s" s="47">
        <f>IF('Settings'!$E$27="ON",VLOOKUP(B244,'ADP'!A1:H731,8,FALSE)," ")</f>
        <v>109</v>
      </c>
      <c r="Q244" s="48">
        <f>IF('Settings'!$E$12="YES",VLOOKUP(B244,'Player Data'!A1:E734,5,FALSE),82)</f>
        <v>64.63</v>
      </c>
      <c r="R244" s="46">
        <f>VLOOKUP(B244,'Player Data'!$A1:$AE734,6,FALSE)</f>
        <v>16.1527448932349</v>
      </c>
      <c r="S244" s="48">
        <f>VLOOKUP(B244,'Player Data'!$A1:$AE734,7,FALSE)*$Q244*_xlfn.IFERROR((VLOOKUP(P244,'Settings'!$E$28:$F$33,2,FALSE)+1),1)</f>
        <v>3.83901471888681</v>
      </c>
      <c r="T244" s="48">
        <f>VLOOKUP(B244,'Player Data'!$A1:$AE734,8,FALSE)*$Q244*_xlfn.IFERROR((VLOOKUP(P244,'Settings'!$E$28:$F$33,2,FALSE)+1),1)</f>
        <v>25.8619027273258</v>
      </c>
      <c r="U244" s="48">
        <f>SUM(S244:T244)</f>
        <v>29.7009174462126</v>
      </c>
      <c r="V244" s="48">
        <f>VLOOKUP(B244,'Player Data'!$A1:$AE734,10,FALSE)*$Q244*_xlfn.IFERROR(((VLOOKUP(P244,'Settings'!$E$28:$F$33,2,FALSE)/2)+1),1)</f>
        <v>81.55007962446081</v>
      </c>
      <c r="W244" s="48">
        <f>VLOOKUP(B244,'Player Data'!$A1:$AE734,11,FALSE)*$Q244*_xlfn.IFERROR((VLOOKUP(P244,'Settings'!$E$28:$F$33,2,FALSE)+1),1)</f>
        <v>0.455478309360469</v>
      </c>
      <c r="X244" s="48">
        <f>VLOOKUP(B244,'Player Data'!$A1:$AE734,12,FALSE)*$Q244*_xlfn.IFERROR((VLOOKUP(P244,'Settings'!$E$28:$F$33,2,FALSE)+1),1)</f>
        <v>18.2065923854302</v>
      </c>
      <c r="Y244" s="48">
        <f>VLOOKUP(B244,'Player Data'!$A1:$AE734,13,FALSE)*$Q244</f>
        <v>0.00453028641098866</v>
      </c>
      <c r="Z244" s="48">
        <f>VLOOKUP(B244,'Player Data'!$A1:$AE734,14,FALSE)*$Q244</f>
        <v>0.0164383119293328</v>
      </c>
      <c r="AA244" s="48">
        <f>VLOOKUP(B244,'Player Data'!$A1:$AE734,15,FALSE)*$Q244</f>
        <v>48.3908880806439</v>
      </c>
      <c r="AB244" s="48">
        <f>VLOOKUP(B244,'Player Data'!$A1:$AE734,16,FALSE)*$Q244</f>
        <v>45.3830249881794</v>
      </c>
      <c r="AC244" s="48">
        <f>VLOOKUP(B244,'Player Data'!$A1:$AE734,17,FALSE)*$Q244*_xlfn.IFERROR((VLOOKUP(P244,'Settings'!$E$28:$F$33,2,FALSE)+1),1)</f>
        <v>0.156854426059374</v>
      </c>
      <c r="AD244" s="48">
        <f>VLOOKUP(B244,'Player Data'!$A1:$AE734,18,FALSE)*$Q244</f>
        <v>22.5260262270861</v>
      </c>
      <c r="AE244" s="48">
        <f>VLOOKUP(B244,'Player Data'!$A1:$AE734,19,FALSE)*$Q244*_xlfn.IFERROR((VLOOKUP(P244,'Settings'!$E$28:$F$33,2,FALSE)+1),1)</f>
        <v>0.616455222743568</v>
      </c>
      <c r="AF244" s="48">
        <f>VLOOKUP(B244,'Player Data'!$A1:$AE734,20,FALSE)*$Q244</f>
        <v>0</v>
      </c>
      <c r="AG244" s="48">
        <f>VLOOKUP(B244,'Player Data'!$A1:$AE734,21,FALSE)*$Q244</f>
        <v>0</v>
      </c>
      <c r="AH244" s="49">
        <f>VLOOKUP(B244,'Player Data'!$A1:$AE734,22,FALSE)</f>
        <v>0</v>
      </c>
      <c r="AI244" s="46"/>
      <c r="AJ244" s="50"/>
      <c r="AK244" s="48"/>
      <c r="AL244" s="48"/>
      <c r="AM244" s="48"/>
      <c r="AN244" s="48"/>
      <c r="AO244" s="48"/>
      <c r="AP244" s="48"/>
      <c r="AQ244" s="51"/>
      <c r="AR244" s="52"/>
      <c r="AS244" s="50"/>
    </row>
    <row r="245" ht="21.25" customHeight="1">
      <c r="A245" s="53">
        <f>RANK(K245,K2:K730)</f>
        <v>236</v>
      </c>
      <c r="B245" t="s" s="8">
        <v>397</v>
      </c>
      <c r="C245" t="s" s="39">
        <v>106</v>
      </c>
      <c r="D245" t="s" s="40">
        <f>VLOOKUP(B245,'Player Data'!A1:D734,4,FALSE)</f>
        <v>133</v>
      </c>
      <c r="E245" s="57">
        <f>VLOOKUP(B245,'LW'!A1:C156,3,FALSE)</f>
        <v>59</v>
      </c>
      <c r="F245" t="s" s="42">
        <f>VLOOKUP(B245,'Player Data'!A1:B734,2,FALSE)</f>
        <v>202</v>
      </c>
      <c r="G245" s="9">
        <f>VLOOKUP(B245,'Player Data'!A1:D734,3,FALSE)</f>
        <v>27</v>
      </c>
      <c r="H245" s="43">
        <f>_xlfn.IFERROR(VLOOKUP(B245,'ADP'!A1:G731,7,FALSE)/1000000,VLOOKUP(B245,'ADP'!A1:G731,7,FALSE))</f>
        <v>4.5</v>
      </c>
      <c r="I245" s="44">
        <f>IF('Settings'!$E$15="POINTS",((R245*Q245)*'Settings'!$B$12)+(S245*'Settings'!$B$2)+(T245*'Settings'!$B$3)+(U245*'Settings'!$B$4)+(V245*'Settings'!$B$5)+(X245*'Settings'!$B$9)+(AA245*'Settings'!$B$6)+(W245*'Settings'!$B$8)+(AB245*'Settings'!$B$7)+(AC245*'Settings'!$B$14)+(AD245*'Settings'!$B$15)+(AE245*'Settings'!$B$16)+(AF245*'Settings'!$B$17)+(AG245*'Settings'!$B$18)+(Y245*'Settings'!$B$10)+(Z245*'Settings'!$B$11),VLOOKUP(B245,'Standard Deviations'!A1:C731,3,FALSE))</f>
        <v>293.202872407773</v>
      </c>
      <c r="J245" s="45">
        <f>IF(D245="G",I245/AJ245,I245/Q245)</f>
        <v>3.83309307981532</v>
      </c>
      <c r="K245" s="44">
        <f>IF('Settings'!$E$18="C/LW/RW",VLOOKUP(B245,'LW'!A1:F156,6,FALSE),VLOOKUP(B245,'F'!A1:F432,6,FALSE))</f>
        <v>-88.425691298583</v>
      </c>
      <c r="L245" s="44">
        <f>_xlfn.IFERROR(K245/H245,"N/A")</f>
        <v>-19.6501536219073</v>
      </c>
      <c r="M245" s="46">
        <f>IF('Settings'!$E$9="YAHOO",VLOOKUP(B245,'ADP'!A1:E731,2,FALSE),IF('Settings'!$E$9="ESPN",VLOOKUP(B245,'ADP'!A1:E731,3,FALSE),IF('Settings'!$E$9="FANTRAX",VLOOKUP(B245,'ADP'!A1:E731,4,FALSE),VLOOKUP(B245,'ADP'!A1:E731,5,FALSE))))</f>
        <v>229.51</v>
      </c>
      <c r="N245" s="46">
        <f>_xlfn.IFERROR(M245-A245,"N/A")</f>
        <v>-6.49</v>
      </c>
      <c r="O245" s="46"/>
      <c r="P245" t="s" s="47">
        <f>IF('Settings'!$E$27="ON",VLOOKUP(B245,'ADP'!A1:H731,8,FALSE)," ")</f>
        <v>109</v>
      </c>
      <c r="Q245" s="48">
        <f>IF('Settings'!$E$12="YES",VLOOKUP(B245,'Player Data'!A1:E734,5,FALSE),82)</f>
        <v>76.49250000000001</v>
      </c>
      <c r="R245" s="46">
        <f>VLOOKUP(B245,'Player Data'!$A1:$AE734,6,FALSE)</f>
        <v>15.6598361464939</v>
      </c>
      <c r="S245" s="48">
        <f>VLOOKUP(B245,'Player Data'!$A1:$AE734,7,FALSE)*$Q245*_xlfn.IFERROR((VLOOKUP(P245,'Settings'!$E$28:$F$33,2,FALSE)+1),1)</f>
        <v>21.8058601998272</v>
      </c>
      <c r="T245" s="48">
        <f>VLOOKUP(B245,'Player Data'!$A1:$AE734,8,FALSE)*$Q245*_xlfn.IFERROR((VLOOKUP(P245,'Settings'!$E$28:$F$33,2,FALSE)+1),1)</f>
        <v>28.4771971096663</v>
      </c>
      <c r="U245" s="48">
        <f>SUM(S245:T245)</f>
        <v>50.2830573094935</v>
      </c>
      <c r="V245" s="48">
        <f>VLOOKUP(B245,'Player Data'!$A1:$AE734,10,FALSE)*$Q245*_xlfn.IFERROR(((VLOOKUP(P245,'Settings'!$E$28:$F$33,2,FALSE)/2)+1),1)</f>
        <v>160.576598897793</v>
      </c>
      <c r="W245" s="48">
        <f>VLOOKUP(B245,'Player Data'!$A1:$AE734,11,FALSE)*$Q245*_xlfn.IFERROR((VLOOKUP(P245,'Settings'!$E$28:$F$33,2,FALSE)+1),1)</f>
        <v>4.8386953829779</v>
      </c>
      <c r="X245" s="48">
        <f>VLOOKUP(B245,'Player Data'!$A1:$AE734,12,FALSE)*$Q245*_xlfn.IFERROR((VLOOKUP(P245,'Settings'!$E$28:$F$33,2,FALSE)+1),1)</f>
        <v>8.005878326472439</v>
      </c>
      <c r="Y245" s="48">
        <f>VLOOKUP(B245,'Player Data'!$A1:$AE734,13,FALSE)*$Q245</f>
        <v>0.00110200055286582</v>
      </c>
      <c r="Z245" s="48">
        <f>VLOOKUP(B245,'Player Data'!$A1:$AE734,14,FALSE)*$Q245</f>
        <v>0.00201612281342263</v>
      </c>
      <c r="AA245" s="48">
        <f>VLOOKUP(B245,'Player Data'!$A1:$AE734,15,FALSE)*$Q245</f>
        <v>19.1635647461494</v>
      </c>
      <c r="AB245" s="48">
        <f>VLOOKUP(B245,'Player Data'!$A1:$AE734,16,FALSE)*$Q245</f>
        <v>79.0831844478156</v>
      </c>
      <c r="AC245" s="48">
        <f>VLOOKUP(B245,'Player Data'!$A1:$AE734,17,FALSE)*$Q245*_xlfn.IFERROR((VLOOKUP(P245,'Settings'!$E$28:$F$33,2,FALSE)+1),1)</f>
        <v>8.30111239307559</v>
      </c>
      <c r="AD245" s="48">
        <f>VLOOKUP(B245,'Player Data'!$A1:$AE734,18,FALSE)*$Q245</f>
        <v>59.9843030183803</v>
      </c>
      <c r="AE245" s="48">
        <f>VLOOKUP(B245,'Player Data'!$A1:$AE734,19,FALSE)*$Q245*_xlfn.IFERROR((VLOOKUP(P245,'Settings'!$E$28:$F$33,2,FALSE)+1),1)</f>
        <v>3.91245958998369</v>
      </c>
      <c r="AF245" s="48">
        <f>VLOOKUP(B245,'Player Data'!$A1:$AE734,20,FALSE)*$Q245</f>
        <v>2.72896969555341</v>
      </c>
      <c r="AG245" s="48">
        <f>VLOOKUP(B245,'Player Data'!$A1:$AE734,21,FALSE)*$Q245</f>
        <v>3.75088999537451</v>
      </c>
      <c r="AH245" s="49">
        <f>VLOOKUP(B245,'Player Data'!$A1:$AE734,22,FALSE)</f>
        <v>0.421146417625999</v>
      </c>
      <c r="AI245" s="46"/>
      <c r="AJ245" s="48"/>
      <c r="AK245" s="48"/>
      <c r="AL245" s="48"/>
      <c r="AM245" s="48"/>
      <c r="AN245" s="48"/>
      <c r="AO245" s="48"/>
      <c r="AP245" s="48"/>
      <c r="AQ245" s="51"/>
      <c r="AR245" s="52"/>
      <c r="AS245" s="46"/>
    </row>
    <row r="246" ht="21.25" customHeight="1">
      <c r="A246" s="53">
        <f>RANK(K246,K2:K730)</f>
        <v>256</v>
      </c>
      <c r="B246" t="s" s="8">
        <v>398</v>
      </c>
      <c r="C246" t="s" s="39">
        <v>106</v>
      </c>
      <c r="D246" t="s" s="40">
        <f>VLOOKUP(B246,'Player Data'!A1:D734,4,FALSE)</f>
        <v>129</v>
      </c>
      <c r="E246" s="56">
        <f>VLOOKUP(B246,'D'!A1:C228,3,FALSE)</f>
        <v>72</v>
      </c>
      <c r="F246" t="s" s="42">
        <f>VLOOKUP(B246,'Player Data'!A1:B734,2,FALSE)</f>
        <v>236</v>
      </c>
      <c r="G246" s="9">
        <f>VLOOKUP(B246,'Player Data'!A1:D734,3,FALSE)</f>
        <v>27</v>
      </c>
      <c r="H246" s="43">
        <f>_xlfn.IFERROR(VLOOKUP(B246,'ADP'!A1:G731,7,FALSE)/1000000,VLOOKUP(B246,'ADP'!A1:G731,7,FALSE))</f>
        <v>6.25</v>
      </c>
      <c r="I246" s="44">
        <f>IF('Settings'!$E$15="POINTS",((R246*Q246)*'Settings'!$B$12)+(S246*'Settings'!$B$2)+(T246*'Settings'!$B$3)+(U246*'Settings'!$B$4)+(V246*'Settings'!$B$5)+(X246*'Settings'!$B$9)+(AA246*'Settings'!$B$6)+(W246*'Settings'!$B$8)+(AB246*'Settings'!$B$7)+(AC246*'Settings'!$B$14)+(AD246*'Settings'!$B$15)+(AE246*'Settings'!$B$16)+(AF246*'Settings'!$B$17)+(AG246*'Settings'!$B$18)+(U246*'Settings'!$B$13)+(Y246*'Settings'!$B$10)+(Z246*'Settings'!$B$11),VLOOKUP(B246,'Standard Deviations'!A1:C731,3,FALSE))</f>
        <v>243.821204864468</v>
      </c>
      <c r="J246" s="45">
        <f>IF(D246="G",I246/AJ246,I246/Q246)</f>
        <v>2.99420357103295</v>
      </c>
      <c r="K246" s="44">
        <f>VLOOKUP(B246,'D'!A1:F228,6,FALSE)</f>
        <v>-96.913933782055</v>
      </c>
      <c r="L246" s="44">
        <f>_xlfn.IFERROR(K246/H246,"N/A")</f>
        <v>-15.5062294051288</v>
      </c>
      <c r="M246" t="s" s="61">
        <f>IF('Settings'!$E$9="YAHOO",VLOOKUP(B246,'ADP'!A1:E731,2,FALSE),IF('Settings'!$E$9="ESPN",VLOOKUP(B246,'ADP'!A1:E731,3,FALSE),IF('Settings'!$E$9="FANTRAX",VLOOKUP(B246,'ADP'!A1:E731,4,FALSE),VLOOKUP(B246,'ADP'!A1:E731,5,FALSE))))</f>
        <v>329</v>
      </c>
      <c r="N246" t="s" s="61">
        <f>_xlfn.IFERROR(M246-A246,"N/A")</f>
        <v>158</v>
      </c>
      <c r="O246" s="46"/>
      <c r="P246" t="s" s="47">
        <f>IF('Settings'!$E$27="ON",VLOOKUP(B246,'ADP'!A1:H731,8,FALSE)," ")</f>
        <v>109</v>
      </c>
      <c r="Q246" s="48">
        <f>IF('Settings'!$E$12="YES",VLOOKUP(B246,'Player Data'!A1:E734,5,FALSE),82)</f>
        <v>81.4310714285714</v>
      </c>
      <c r="R246" s="46">
        <f>VLOOKUP(B246,'Player Data'!$A1:$AE734,6,FALSE)</f>
        <v>21.5624900763453</v>
      </c>
      <c r="S246" s="48">
        <f>VLOOKUP(B246,'Player Data'!$A1:$AE734,7,FALSE)*$Q246*_xlfn.IFERROR((VLOOKUP(P246,'Settings'!$E$28:$F$33,2,FALSE)+1),1)</f>
        <v>6.92003748623429</v>
      </c>
      <c r="T246" s="48">
        <f>VLOOKUP(B246,'Player Data'!$A1:$AE734,8,FALSE)*$Q246*_xlfn.IFERROR((VLOOKUP(P246,'Settings'!$E$28:$F$33,2,FALSE)+1),1)</f>
        <v>21.2103223695313</v>
      </c>
      <c r="U246" s="48">
        <f>SUM(S246:T246)</f>
        <v>28.1303598557656</v>
      </c>
      <c r="V246" s="48">
        <f>VLOOKUP(B246,'Player Data'!$A1:$AE734,10,FALSE)*$Q246*_xlfn.IFERROR(((VLOOKUP(P246,'Settings'!$E$28:$F$33,2,FALSE)/2)+1),1)</f>
        <v>123.059237810467</v>
      </c>
      <c r="W246" s="48">
        <f>VLOOKUP(B246,'Player Data'!$A1:$AE734,11,FALSE)*$Q246*_xlfn.IFERROR((VLOOKUP(P246,'Settings'!$E$28:$F$33,2,FALSE)+1),1)</f>
        <v>0.103584774329743</v>
      </c>
      <c r="X246" s="48">
        <f>VLOOKUP(B246,'Player Data'!$A1:$AE734,12,FALSE)*$Q246*_xlfn.IFERROR((VLOOKUP(P246,'Settings'!$E$28:$F$33,2,FALSE)+1),1)</f>
        <v>1.05782477151771</v>
      </c>
      <c r="Y246" s="48">
        <f>VLOOKUP(B246,'Player Data'!$A1:$AE734,13,FALSE)*$Q246</f>
        <v>0.48780556181684</v>
      </c>
      <c r="Z246" s="48">
        <f>VLOOKUP(B246,'Player Data'!$A1:$AE734,14,FALSE)*$Q246</f>
        <v>0.581349836624243</v>
      </c>
      <c r="AA246" s="48">
        <f>VLOOKUP(B246,'Player Data'!$A1:$AE734,15,FALSE)*$Q246</f>
        <v>137.800815329016</v>
      </c>
      <c r="AB246" s="48">
        <f>VLOOKUP(B246,'Player Data'!$A1:$AE734,16,FALSE)*$Q246</f>
        <v>69.82937129931921</v>
      </c>
      <c r="AC246" s="48">
        <f>VLOOKUP(B246,'Player Data'!$A1:$AE734,17,FALSE)*$Q246*_xlfn.IFERROR((VLOOKUP(P246,'Settings'!$E$28:$F$33,2,FALSE)+1),1)</f>
        <v>-5.80753314978461</v>
      </c>
      <c r="AD246" s="48">
        <f>VLOOKUP(B246,'Player Data'!$A1:$AE734,18,FALSE)*$Q246</f>
        <v>38.1195504750848</v>
      </c>
      <c r="AE246" s="48">
        <f>VLOOKUP(B246,'Player Data'!$A1:$AE734,19,FALSE)*$Q246*_xlfn.IFERROR((VLOOKUP(P246,'Settings'!$E$28:$F$33,2,FALSE)+1),1)</f>
        <v>0.813420251770549</v>
      </c>
      <c r="AF246" s="48">
        <f>VLOOKUP(B246,'Player Data'!$A1:$AE734,20,FALSE)*$Q246</f>
        <v>0</v>
      </c>
      <c r="AG246" s="48">
        <f>VLOOKUP(B246,'Player Data'!$A1:$AE734,21,FALSE)*$Q246</f>
        <v>0</v>
      </c>
      <c r="AH246" s="49">
        <f>VLOOKUP(B246,'Player Data'!$A1:$AE734,22,FALSE)</f>
        <v>0</v>
      </c>
      <c r="AI246" s="46"/>
      <c r="AJ246" s="50"/>
      <c r="AK246" s="48"/>
      <c r="AL246" s="48"/>
      <c r="AM246" s="48"/>
      <c r="AN246" s="48"/>
      <c r="AO246" s="48"/>
      <c r="AP246" s="48"/>
      <c r="AQ246" s="51"/>
      <c r="AR246" s="52"/>
      <c r="AS246" s="46"/>
    </row>
    <row r="247" ht="21.25" customHeight="1">
      <c r="A247" s="53">
        <f>RANK(K247,K2:K730)</f>
        <v>296</v>
      </c>
      <c r="B247" t="s" s="8">
        <v>399</v>
      </c>
      <c r="C247" t="s" s="39">
        <v>106</v>
      </c>
      <c r="D247" t="s" s="40">
        <f>VLOOKUP(B247,'Player Data'!A1:D734,4,FALSE)</f>
        <v>129</v>
      </c>
      <c r="E247" s="56">
        <f>VLOOKUP(B247,'D'!A1:C228,3,FALSE)</f>
        <v>90</v>
      </c>
      <c r="F247" t="s" s="42">
        <f>VLOOKUP(B247,'Player Data'!A1:B734,2,FALSE)</f>
        <v>134</v>
      </c>
      <c r="G247" s="9">
        <f>VLOOKUP(B247,'Player Data'!A1:D734,3,FALSE)</f>
        <v>20</v>
      </c>
      <c r="H247" s="43">
        <f>_xlfn.IFERROR(VLOOKUP(B247,'ADP'!A1:G731,7,FALSE)/1000000,VLOOKUP(B247,'ADP'!A1:G731,7,FALSE))</f>
        <v>0</v>
      </c>
      <c r="I247" s="44">
        <f>IF('Settings'!$E$15="POINTS",((R247*Q247)*'Settings'!$B$12)+(S247*'Settings'!$B$2)+(T247*'Settings'!$B$3)+(U247*'Settings'!$B$4)+(V247*'Settings'!$B$5)+(X247*'Settings'!$B$9)+(AA247*'Settings'!$B$6)+(W247*'Settings'!$B$8)+(AB247*'Settings'!$B$7)+(AC247*'Settings'!$B$14)+(AD247*'Settings'!$B$15)+(AE247*'Settings'!$B$16)+(AF247*'Settings'!$B$17)+(AG247*'Settings'!$B$18)+(U247*'Settings'!$B$13)+(Y247*'Settings'!$B$10)+(Z247*'Settings'!$B$11),VLOOKUP(B247,'Standard Deviations'!A1:C731,3,FALSE))</f>
        <v>226.496407620847</v>
      </c>
      <c r="J247" s="45">
        <f>IF(D247="G",I247/AJ247,I247/Q247)</f>
        <v>3.06076226514658</v>
      </c>
      <c r="K247" s="44">
        <f>VLOOKUP(B247,'D'!A1:F228,6,FALSE)</f>
        <v>-114.238731025676</v>
      </c>
      <c r="L247" t="s" s="60">
        <f>_xlfn.IFERROR(K247/H247,"N/A")</f>
        <v>158</v>
      </c>
      <c r="M247" t="s" s="61">
        <f>IF('Settings'!$E$9="YAHOO",VLOOKUP(B247,'ADP'!A1:E731,2,FALSE),IF('Settings'!$E$9="ESPN",VLOOKUP(B247,'ADP'!A1:E731,3,FALSE),IF('Settings'!$E$9="FANTRAX",VLOOKUP(B247,'ADP'!A1:E731,4,FALSE),VLOOKUP(B247,'ADP'!A1:E731,5,FALSE))))</f>
        <v>329</v>
      </c>
      <c r="N247" t="s" s="61">
        <f>_xlfn.IFERROR(M247-A247,"N/A")</f>
        <v>158</v>
      </c>
      <c r="O247" s="46"/>
      <c r="P247" t="s" s="47">
        <f>IF('Settings'!$E$27="ON",VLOOKUP(B247,'ADP'!A1:H731,8,FALSE)," ")</f>
        <v>109</v>
      </c>
      <c r="Q247" s="48">
        <f>IF('Settings'!$E$12="YES",VLOOKUP(B247,'Player Data'!A1:E734,5,FALSE),82)</f>
        <v>74</v>
      </c>
      <c r="R247" s="46">
        <f>VLOOKUP(B247,'Player Data'!$A1:$AE734,6,FALSE)</f>
        <v>20</v>
      </c>
      <c r="S247" s="48">
        <f>VLOOKUP(B247,'Player Data'!$A1:$AE734,7,FALSE)*$Q247*_xlfn.IFERROR((VLOOKUP(P247,'Settings'!$E$28:$F$33,2,FALSE)+1),1)</f>
        <v>5.72145187875229</v>
      </c>
      <c r="T247" s="48">
        <f>VLOOKUP(B247,'Player Data'!$A1:$AE734,8,FALSE)*$Q247*_xlfn.IFERROR((VLOOKUP(P247,'Settings'!$E$28:$F$33,2,FALSE)+1),1)</f>
        <v>23.5192567946156</v>
      </c>
      <c r="U247" s="48">
        <f>SUM(S247:T247)</f>
        <v>29.2407086733679</v>
      </c>
      <c r="V247" s="48">
        <f>VLOOKUP(B247,'Player Data'!$A1:$AE734,10,FALSE)*$Q247*_xlfn.IFERROR(((VLOOKUP(P247,'Settings'!$E$28:$F$33,2,FALSE)/2)+1),1)</f>
        <v>115.961497858044</v>
      </c>
      <c r="W247" s="48">
        <f>VLOOKUP(B247,'Player Data'!$A1:$AE734,11,FALSE)*$Q247*_xlfn.IFERROR((VLOOKUP(P247,'Settings'!$E$28:$F$33,2,FALSE)+1),1)</f>
        <v>1.05253580592074</v>
      </c>
      <c r="X247" s="48">
        <f>VLOOKUP(B247,'Player Data'!$A1:$AE734,12,FALSE)*$Q247*_xlfn.IFERROR((VLOOKUP(P247,'Settings'!$E$28:$F$33,2,FALSE)+1),1)</f>
        <v>5.37921029861547</v>
      </c>
      <c r="Y247" s="48">
        <f>VLOOKUP(B247,'Player Data'!$A1:$AE734,13,FALSE)*$Q247</f>
        <v>0</v>
      </c>
      <c r="Z247" s="48">
        <f>VLOOKUP(B247,'Player Data'!$A1:$AE734,14,FALSE)*$Q247</f>
        <v>0</v>
      </c>
      <c r="AA247" s="48">
        <f>VLOOKUP(B247,'Player Data'!$A1:$AE734,15,FALSE)*$Q247</f>
        <v>95.65853658536599</v>
      </c>
      <c r="AB247" s="48">
        <f>VLOOKUP(B247,'Player Data'!$A1:$AE734,16,FALSE)*$Q247</f>
        <v>97.52834624363901</v>
      </c>
      <c r="AC247" s="48">
        <f>VLOOKUP(B247,'Player Data'!$A1:$AE734,17,FALSE)*$Q247*_xlfn.IFERROR((VLOOKUP(P247,'Settings'!$E$28:$F$33,2,FALSE)+1),1)</f>
        <v>0.730975609756097</v>
      </c>
      <c r="AD247" s="48">
        <f>VLOOKUP(B247,'Player Data'!$A1:$AE734,18,FALSE)*$Q247</f>
        <v>34.8547420904041</v>
      </c>
      <c r="AE247" s="48">
        <f>VLOOKUP(B247,'Player Data'!$A1:$AE734,19,FALSE)*$Q247*_xlfn.IFERROR((VLOOKUP(P247,'Settings'!$E$28:$F$33,2,FALSE)+1),1)</f>
        <v>0.9187302343439721</v>
      </c>
      <c r="AF247" s="48">
        <f>VLOOKUP(B247,'Player Data'!$A1:$AE734,20,FALSE)*$Q247</f>
        <v>0</v>
      </c>
      <c r="AG247" s="48">
        <f>VLOOKUP(B247,'Player Data'!$A1:$AE734,21,FALSE)*$Q247</f>
        <v>0</v>
      </c>
      <c r="AH247" s="49">
        <f>VLOOKUP(B247,'Player Data'!$A1:$AE734,22,FALSE)</f>
        <v>0</v>
      </c>
      <c r="AI247" s="46"/>
      <c r="AJ247" s="50"/>
      <c r="AK247" s="48"/>
      <c r="AL247" s="48"/>
      <c r="AM247" s="48"/>
      <c r="AN247" s="48"/>
      <c r="AO247" s="48"/>
      <c r="AP247" s="48"/>
      <c r="AQ247" s="51"/>
      <c r="AR247" s="52"/>
      <c r="AS247" s="46"/>
    </row>
    <row r="248" ht="21.25" customHeight="1">
      <c r="A248" s="53">
        <f>RANK(K248,K2:K730)</f>
        <v>254</v>
      </c>
      <c r="B248" t="s" s="8">
        <v>400</v>
      </c>
      <c r="C248" t="s" s="39">
        <v>106</v>
      </c>
      <c r="D248" t="s" s="40">
        <f>VLOOKUP(B248,'Player Data'!A1:D734,4,FALSE)</f>
        <v>133</v>
      </c>
      <c r="E248" s="57">
        <f>VLOOKUP(B248,'LW'!A1:C156,3,FALSE)</f>
        <v>64</v>
      </c>
      <c r="F248" t="s" s="42">
        <f>VLOOKUP(B248,'Player Data'!A1:B734,2,FALSE)</f>
        <v>115</v>
      </c>
      <c r="G248" s="9">
        <f>VLOOKUP(B248,'Player Data'!A1:D734,3,FALSE)</f>
        <v>28</v>
      </c>
      <c r="H248" s="43">
        <f>_xlfn.IFERROR(VLOOKUP(B248,'ADP'!A1:G731,7,FALSE)/1000000,VLOOKUP(B248,'ADP'!A1:G731,7,FALSE))</f>
        <v>5.5</v>
      </c>
      <c r="I248" s="44">
        <f>IF('Settings'!$E$15="POINTS",((R248*Q248)*'Settings'!$B$12)+(S248*'Settings'!$B$2)+(T248*'Settings'!$B$3)+(U248*'Settings'!$B$4)+(V248*'Settings'!$B$5)+(X248*'Settings'!$B$9)+(AA248*'Settings'!$B$6)+(W248*'Settings'!$B$8)+(AB248*'Settings'!$B$7)+(AC248*'Settings'!$B$14)+(AD248*'Settings'!$B$15)+(AE248*'Settings'!$B$16)+(AF248*'Settings'!$B$17)+(AG248*'Settings'!$B$18)+(Y248*'Settings'!$B$10)+(Z248*'Settings'!$B$11),VLOOKUP(B248,'Standard Deviations'!A1:C731,3,FALSE))</f>
        <v>285.414926529710</v>
      </c>
      <c r="J248" s="45">
        <f>IF(D248="G",I248/AJ248,I248/Q248)</f>
        <v>4.22568630648894</v>
      </c>
      <c r="K248" s="44">
        <f>IF('Settings'!$E$18="C/LW/RW",VLOOKUP(B248,'LW'!A1:F156,6,FALSE),VLOOKUP(B248,'F'!A1:F432,6,FALSE))</f>
        <v>-96.213637176646</v>
      </c>
      <c r="L248" s="44">
        <f>_xlfn.IFERROR(K248/H248,"N/A")</f>
        <v>-17.493388577572</v>
      </c>
      <c r="M248" s="46">
        <f>IF('Settings'!$E$9="YAHOO",VLOOKUP(B248,'ADP'!A1:E731,2,FALSE),IF('Settings'!$E$9="ESPN",VLOOKUP(B248,'ADP'!A1:E731,3,FALSE),IF('Settings'!$E$9="FANTRAX",VLOOKUP(B248,'ADP'!A1:E731,4,FALSE),VLOOKUP(B248,'ADP'!A1:E731,5,FALSE))))</f>
        <v>135.4</v>
      </c>
      <c r="N248" s="46">
        <f>_xlfn.IFERROR(M248-A248,"N/A")</f>
        <v>-118.6</v>
      </c>
      <c r="O248" s="46"/>
      <c r="P248" t="s" s="47">
        <f>IF('Settings'!$E$27="ON",VLOOKUP(B248,'ADP'!A1:H731,8,FALSE)," ")</f>
        <v>159</v>
      </c>
      <c r="Q248" s="48">
        <f>IF('Settings'!$E$12="YES",VLOOKUP(B248,'Player Data'!A1:E734,5,FALSE),82)</f>
        <v>67.5428571428571</v>
      </c>
      <c r="R248" s="46">
        <f>VLOOKUP(B248,'Player Data'!$A1:$AE734,6,FALSE)</f>
        <v>15.7725961498048</v>
      </c>
      <c r="S248" s="48">
        <f>VLOOKUP(B248,'Player Data'!$A1:$AE734,7,FALSE)*$Q248*_xlfn.IFERROR((VLOOKUP(P248,'Settings'!$E$28:$F$33,2,FALSE)+1),1)</f>
        <v>19.5593862101897</v>
      </c>
      <c r="T248" s="48">
        <f>VLOOKUP(B248,'Player Data'!$A1:$AE734,8,FALSE)*$Q248*_xlfn.IFERROR((VLOOKUP(P248,'Settings'!$E$28:$F$33,2,FALSE)+1),1)</f>
        <v>29.7406263677612</v>
      </c>
      <c r="U248" s="48">
        <f>SUM(S248:T248)</f>
        <v>49.3000125779509</v>
      </c>
      <c r="V248" s="48">
        <f>VLOOKUP(B248,'Player Data'!$A1:$AE734,10,FALSE)*$Q248*_xlfn.IFERROR(((VLOOKUP(P248,'Settings'!$E$28:$F$33,2,FALSE)/2)+1),1)</f>
        <v>152.642798145752</v>
      </c>
      <c r="W248" s="48">
        <f>VLOOKUP(B248,'Player Data'!$A1:$AE734,11,FALSE)*$Q248*_xlfn.IFERROR((VLOOKUP(P248,'Settings'!$E$28:$F$33,2,FALSE)+1),1)</f>
        <v>4.2181866190017</v>
      </c>
      <c r="X248" s="48">
        <f>VLOOKUP(B248,'Player Data'!$A1:$AE734,12,FALSE)*$Q248*_xlfn.IFERROR((VLOOKUP(P248,'Settings'!$E$28:$F$33,2,FALSE)+1),1)</f>
        <v>10.1303161478454</v>
      </c>
      <c r="Y248" s="48">
        <f>VLOOKUP(B248,'Player Data'!$A1:$AE734,13,FALSE)*$Q248</f>
        <v>0.0118133422587543</v>
      </c>
      <c r="Z248" s="48">
        <f>VLOOKUP(B248,'Player Data'!$A1:$AE734,14,FALSE)*$Q248</f>
        <v>0.0233155564314706</v>
      </c>
      <c r="AA248" s="48">
        <f>VLOOKUP(B248,'Player Data'!$A1:$AE734,15,FALSE)*$Q248</f>
        <v>30.7945086437033</v>
      </c>
      <c r="AB248" s="48">
        <f>VLOOKUP(B248,'Player Data'!$A1:$AE734,16,FALSE)*$Q248</f>
        <v>65.6420998919294</v>
      </c>
      <c r="AC248" s="48">
        <f>VLOOKUP(B248,'Player Data'!$A1:$AE734,17,FALSE)*$Q248*_xlfn.IFERROR((VLOOKUP(P248,'Settings'!$E$28:$F$33,2,FALSE)+1),1)</f>
        <v>5.01275094212504</v>
      </c>
      <c r="AD248" s="48">
        <f>VLOOKUP(B248,'Player Data'!$A1:$AE734,18,FALSE)*$Q248</f>
        <v>26.9049059189285</v>
      </c>
      <c r="AE248" s="48">
        <f>VLOOKUP(B248,'Player Data'!$A1:$AE734,19,FALSE)*$Q248*_xlfn.IFERROR((VLOOKUP(P248,'Settings'!$E$28:$F$33,2,FALSE)+1),1)</f>
        <v>3.14221019586092</v>
      </c>
      <c r="AF248" s="48">
        <f>VLOOKUP(B248,'Player Data'!$A1:$AE734,20,FALSE)*$Q248</f>
        <v>5.44239909822256</v>
      </c>
      <c r="AG248" s="48">
        <f>VLOOKUP(B248,'Player Data'!$A1:$AE734,21,FALSE)*$Q248</f>
        <v>15.2764729159474</v>
      </c>
      <c r="AH248" s="49">
        <f>VLOOKUP(B248,'Player Data'!$A1:$AE734,22,FALSE)</f>
        <v>0.262678349212275</v>
      </c>
      <c r="AI248" s="46"/>
      <c r="AJ248" s="50"/>
      <c r="AK248" s="48"/>
      <c r="AL248" s="48"/>
      <c r="AM248" s="48"/>
      <c r="AN248" s="48"/>
      <c r="AO248" s="48"/>
      <c r="AP248" s="48"/>
      <c r="AQ248" s="51"/>
      <c r="AR248" s="52"/>
      <c r="AS248" s="46"/>
    </row>
    <row r="249" ht="21.25" customHeight="1">
      <c r="A249" s="53">
        <f>RANK(K249,K2:K730)</f>
        <v>242</v>
      </c>
      <c r="B249" t="s" s="8">
        <v>401</v>
      </c>
      <c r="C249" t="s" s="39">
        <v>106</v>
      </c>
      <c r="D249" t="s" s="40">
        <f>VLOOKUP(B249,'Player Data'!A1:D734,4,FALSE)</f>
        <v>129</v>
      </c>
      <c r="E249" s="56">
        <f>VLOOKUP(B249,'D'!A1:C228,3,FALSE)</f>
        <v>66</v>
      </c>
      <c r="F249" t="s" s="42">
        <f>VLOOKUP(B249,'Player Data'!A1:B734,2,FALSE)</f>
        <v>258</v>
      </c>
      <c r="G249" s="9">
        <f>VLOOKUP(B249,'Player Data'!A1:D734,3,FALSE)</f>
        <v>21</v>
      </c>
      <c r="H249" s="43">
        <f>_xlfn.IFERROR(VLOOKUP(B249,'ADP'!A1:G731,7,FALSE)/1000000,VLOOKUP(B249,'ADP'!A1:G731,7,FALSE))</f>
        <v>0.863333</v>
      </c>
      <c r="I249" s="44">
        <f>IF('Settings'!$E$15="POINTS",((R249*Q249)*'Settings'!$B$12)+(S249*'Settings'!$B$2)+(T249*'Settings'!$B$3)+(U249*'Settings'!$B$4)+(V249*'Settings'!$B$5)+(X249*'Settings'!$B$9)+(AA249*'Settings'!$B$6)+(W249*'Settings'!$B$8)+(AB249*'Settings'!$B$7)+(AC249*'Settings'!$B$14)+(AD249*'Settings'!$B$15)+(AE249*'Settings'!$B$16)+(AF249*'Settings'!$B$17)+(AG249*'Settings'!$B$18)+(U249*'Settings'!$B$13)+(Y249*'Settings'!$B$10)+(Z249*'Settings'!$B$11),VLOOKUP(B249,'Standard Deviations'!A1:C731,3,FALSE))</f>
        <v>250.240728564893</v>
      </c>
      <c r="J249" s="45">
        <f>IF(D249="G",I249/AJ249,I249/Q249)</f>
        <v>3.37251655747834</v>
      </c>
      <c r="K249" s="44">
        <f>VLOOKUP(B249,'D'!A1:F228,6,FALSE)</f>
        <v>-90.49441008162999</v>
      </c>
      <c r="L249" s="44">
        <f>_xlfn.IFERROR(K249/H249,"N/A")</f>
        <v>-104.819820488305</v>
      </c>
      <c r="M249" t="s" s="61">
        <f>IF('Settings'!$E$9="YAHOO",VLOOKUP(B249,'ADP'!A1:E731,2,FALSE),IF('Settings'!$E$9="ESPN",VLOOKUP(B249,'ADP'!A1:E731,3,FALSE),IF('Settings'!$E$9="FANTRAX",VLOOKUP(B249,'ADP'!A1:E731,4,FALSE),VLOOKUP(B249,'ADP'!A1:E731,5,FALSE))))</f>
        <v>329</v>
      </c>
      <c r="N249" t="s" s="61">
        <f>_xlfn.IFERROR(M249-A249,"N/A")</f>
        <v>158</v>
      </c>
      <c r="O249" s="46"/>
      <c r="P249" t="s" s="47">
        <f>IF('Settings'!$E$27="ON",VLOOKUP(B249,'ADP'!A1:H731,8,FALSE)," ")</f>
        <v>109</v>
      </c>
      <c r="Q249" s="48">
        <f>IF('Settings'!$E$12="YES",VLOOKUP(B249,'Player Data'!A1:E734,5,FALSE),82)</f>
        <v>74.2</v>
      </c>
      <c r="R249" s="46">
        <f>VLOOKUP(B249,'Player Data'!$A1:$AE734,6,FALSE)</f>
        <v>20.6045171823032</v>
      </c>
      <c r="S249" s="48">
        <f>VLOOKUP(B249,'Player Data'!$A1:$AE734,7,FALSE)*$Q249*_xlfn.IFERROR((VLOOKUP(P249,'Settings'!$E$28:$F$33,2,FALSE)+1),1)</f>
        <v>6.87685080548221</v>
      </c>
      <c r="T249" s="48">
        <f>VLOOKUP(B249,'Player Data'!$A1:$AE734,8,FALSE)*$Q249*_xlfn.IFERROR((VLOOKUP(P249,'Settings'!$E$28:$F$33,2,FALSE)+1),1)</f>
        <v>24.3740569470776</v>
      </c>
      <c r="U249" s="48">
        <f>SUM(S249:T249)</f>
        <v>31.2509077525598</v>
      </c>
      <c r="V249" s="48">
        <f>VLOOKUP(B249,'Player Data'!$A1:$AE734,10,FALSE)*$Q249*_xlfn.IFERROR(((VLOOKUP(P249,'Settings'!$E$28:$F$33,2,FALSE)/2)+1),1)</f>
        <v>102.304552371832</v>
      </c>
      <c r="W249" s="48">
        <f>VLOOKUP(B249,'Player Data'!$A1:$AE734,11,FALSE)*$Q249*_xlfn.IFERROR((VLOOKUP(P249,'Settings'!$E$28:$F$33,2,FALSE)+1),1)</f>
        <v>0.338156750033598</v>
      </c>
      <c r="X249" s="48">
        <f>VLOOKUP(B249,'Player Data'!$A1:$AE734,12,FALSE)*$Q249*_xlfn.IFERROR((VLOOKUP(P249,'Settings'!$E$28:$F$33,2,FALSE)+1),1)</f>
        <v>2.31655358661093</v>
      </c>
      <c r="Y249" s="48">
        <f>VLOOKUP(B249,'Player Data'!$A1:$AE734,13,FALSE)*$Q249</f>
        <v>0.0459662257985772</v>
      </c>
      <c r="Z249" s="48">
        <f>VLOOKUP(B249,'Player Data'!$A1:$AE734,14,FALSE)*$Q249</f>
        <v>0.245393817251392</v>
      </c>
      <c r="AA249" s="48">
        <f>VLOOKUP(B249,'Player Data'!$A1:$AE734,15,FALSE)*$Q249</f>
        <v>127.924352689013</v>
      </c>
      <c r="AB249" s="48">
        <f>VLOOKUP(B249,'Player Data'!$A1:$AE734,16,FALSE)*$Q249</f>
        <v>122.269955736261</v>
      </c>
      <c r="AC249" s="48">
        <f>VLOOKUP(B249,'Player Data'!$A1:$AE734,17,FALSE)*$Q249*_xlfn.IFERROR((VLOOKUP(P249,'Settings'!$E$28:$F$33,2,FALSE)+1),1)</f>
        <v>-8.70740824634229</v>
      </c>
      <c r="AD249" s="48">
        <f>VLOOKUP(B249,'Player Data'!$A1:$AE734,18,FALSE)*$Q249</f>
        <v>43.0096729236321</v>
      </c>
      <c r="AE249" s="48">
        <f>VLOOKUP(B249,'Player Data'!$A1:$AE734,19,FALSE)*$Q249*_xlfn.IFERROR((VLOOKUP(P249,'Settings'!$E$28:$F$33,2,FALSE)+1),1)</f>
        <v>0.704479138187832</v>
      </c>
      <c r="AF249" s="48">
        <f>VLOOKUP(B249,'Player Data'!$A1:$AE734,20,FALSE)*$Q249</f>
        <v>0</v>
      </c>
      <c r="AG249" s="48">
        <f>VLOOKUP(B249,'Player Data'!$A1:$AE734,21,FALSE)*$Q249</f>
        <v>0</v>
      </c>
      <c r="AH249" s="49">
        <f>VLOOKUP(B249,'Player Data'!$A1:$AE734,22,FALSE)</f>
        <v>0</v>
      </c>
      <c r="AI249" s="46"/>
      <c r="AJ249" s="50"/>
      <c r="AK249" s="48"/>
      <c r="AL249" s="48"/>
      <c r="AM249" s="48"/>
      <c r="AN249" s="48"/>
      <c r="AO249" s="48"/>
      <c r="AP249" s="48"/>
      <c r="AQ249" s="51"/>
      <c r="AR249" s="52"/>
      <c r="AS249" s="46"/>
    </row>
    <row r="250" ht="21.25" customHeight="1">
      <c r="A250" s="53">
        <f>RANK(K250,K2:K730)</f>
        <v>288</v>
      </c>
      <c r="B250" t="s" s="8">
        <v>402</v>
      </c>
      <c r="C250" t="s" s="39">
        <v>106</v>
      </c>
      <c r="D250" t="s" s="40">
        <f>VLOOKUP(B250,'Player Data'!A1:D734,4,FALSE)</f>
        <v>129</v>
      </c>
      <c r="E250" s="56">
        <f>VLOOKUP(B250,'D'!A1:C228,3,FALSE)</f>
        <v>86</v>
      </c>
      <c r="F250" t="s" s="42">
        <f>VLOOKUP(B250,'Player Data'!A1:B734,2,FALSE)</f>
        <v>113</v>
      </c>
      <c r="G250" s="9">
        <f>VLOOKUP(B250,'Player Data'!A1:D734,3,FALSE)</f>
        <v>22</v>
      </c>
      <c r="H250" s="43">
        <f>_xlfn.IFERROR(VLOOKUP(B250,'ADP'!A1:G731,7,FALSE)/1000000,VLOOKUP(B250,'ADP'!A1:G731,7,FALSE))</f>
        <v>3.85</v>
      </c>
      <c r="I250" s="44">
        <f>IF('Settings'!$E$15="POINTS",((R250*Q250)*'Settings'!$B$12)+(S250*'Settings'!$B$2)+(T250*'Settings'!$B$3)+(U250*'Settings'!$B$4)+(V250*'Settings'!$B$5)+(X250*'Settings'!$B$9)+(AA250*'Settings'!$B$6)+(W250*'Settings'!$B$8)+(AB250*'Settings'!$B$7)+(AC250*'Settings'!$B$14)+(AD250*'Settings'!$B$15)+(AE250*'Settings'!$B$16)+(AF250*'Settings'!$B$17)+(AG250*'Settings'!$B$18)+(U250*'Settings'!$B$13)+(Y250*'Settings'!$B$10)+(Z250*'Settings'!$B$11),VLOOKUP(B250,'Standard Deviations'!A1:C731,3,FALSE))</f>
        <v>231.076086555117</v>
      </c>
      <c r="J250" s="45">
        <f>IF(D250="G",I250/AJ250,I250/Q250)</f>
        <v>3.61028179915814</v>
      </c>
      <c r="K250" s="44">
        <f>VLOOKUP(B250,'D'!A1:F228,6,FALSE)</f>
        <v>-109.659052091406</v>
      </c>
      <c r="L250" s="44">
        <f>_xlfn.IFERROR(K250/H250,"N/A")</f>
        <v>-28.4828706730925</v>
      </c>
      <c r="M250" s="46">
        <f>IF('Settings'!$E$9="YAHOO",VLOOKUP(B250,'ADP'!A1:E731,2,FALSE),IF('Settings'!$E$9="ESPN",VLOOKUP(B250,'ADP'!A1:E731,3,FALSE),IF('Settings'!$E$9="FANTRAX",VLOOKUP(B250,'ADP'!A1:E731,4,FALSE),VLOOKUP(B250,'ADP'!A1:E731,5,FALSE))))</f>
        <v>162.66</v>
      </c>
      <c r="N250" s="46">
        <f>_xlfn.IFERROR(M250-A250,"N/A")</f>
        <v>-125.34</v>
      </c>
      <c r="O250" s="46"/>
      <c r="P250" t="s" s="47">
        <f>IF('Settings'!$E$27="ON",VLOOKUP(B250,'ADP'!A1:H731,8,FALSE)," ")</f>
        <v>109</v>
      </c>
      <c r="Q250" s="48">
        <f>IF('Settings'!$E$12="YES",VLOOKUP(B250,'Player Data'!A1:E734,5,FALSE),82)</f>
        <v>64.005</v>
      </c>
      <c r="R250" s="46">
        <f>VLOOKUP(B250,'Player Data'!$A1:$AE734,6,FALSE)</f>
        <v>20.4503001873904</v>
      </c>
      <c r="S250" s="48">
        <f>VLOOKUP(B250,'Player Data'!$A1:$AE734,7,FALSE)*$Q250*_xlfn.IFERROR((VLOOKUP(P250,'Settings'!$E$28:$F$33,2,FALSE)+1),1)</f>
        <v>10.4720705465537</v>
      </c>
      <c r="T250" s="48">
        <f>VLOOKUP(B250,'Player Data'!$A1:$AE734,8,FALSE)*$Q250*_xlfn.IFERROR((VLOOKUP(P250,'Settings'!$E$28:$F$33,2,FALSE)+1),1)</f>
        <v>21.5823647661873</v>
      </c>
      <c r="U250" s="48">
        <f>SUM(S250:T250)</f>
        <v>32.054435312741</v>
      </c>
      <c r="V250" s="48">
        <f>VLOOKUP(B250,'Player Data'!$A1:$AE734,10,FALSE)*$Q250*_xlfn.IFERROR(((VLOOKUP(P250,'Settings'!$E$28:$F$33,2,FALSE)/2)+1),1)</f>
        <v>97.9811212479802</v>
      </c>
      <c r="W250" s="48">
        <f>VLOOKUP(B250,'Player Data'!$A1:$AE734,11,FALSE)*$Q250*_xlfn.IFERROR((VLOOKUP(P250,'Settings'!$E$28:$F$33,2,FALSE)+1),1)</f>
        <v>2.2035176514491</v>
      </c>
      <c r="X250" s="48">
        <f>VLOOKUP(B250,'Player Data'!$A1:$AE734,12,FALSE)*$Q250*_xlfn.IFERROR((VLOOKUP(P250,'Settings'!$E$28:$F$33,2,FALSE)+1),1)</f>
        <v>6.65237865835982</v>
      </c>
      <c r="Y250" s="48">
        <f>VLOOKUP(B250,'Player Data'!$A1:$AE734,13,FALSE)*$Q250</f>
        <v>0.61610213613603</v>
      </c>
      <c r="Z250" s="48">
        <f>VLOOKUP(B250,'Player Data'!$A1:$AE734,14,FALSE)*$Q250</f>
        <v>0.7290938225545111</v>
      </c>
      <c r="AA250" s="48">
        <f>VLOOKUP(B250,'Player Data'!$A1:$AE734,15,FALSE)*$Q250</f>
        <v>82.13639950508519</v>
      </c>
      <c r="AB250" s="48">
        <f>VLOOKUP(B250,'Player Data'!$A1:$AE734,16,FALSE)*$Q250</f>
        <v>110.750907101686</v>
      </c>
      <c r="AC250" s="48">
        <f>VLOOKUP(B250,'Player Data'!$A1:$AE734,17,FALSE)*$Q250*_xlfn.IFERROR((VLOOKUP(P250,'Settings'!$E$28:$F$33,2,FALSE)+1),1)</f>
        <v>2.53123081264282</v>
      </c>
      <c r="AD250" s="48">
        <f>VLOOKUP(B250,'Player Data'!$A1:$AE734,18,FALSE)*$Q250</f>
        <v>46.7189294765635</v>
      </c>
      <c r="AE250" s="48">
        <f>VLOOKUP(B250,'Player Data'!$A1:$AE734,19,FALSE)*$Q250*_xlfn.IFERROR((VLOOKUP(P250,'Settings'!$E$28:$F$33,2,FALSE)+1),1)</f>
        <v>1.65683934042778</v>
      </c>
      <c r="AF250" s="48">
        <f>VLOOKUP(B250,'Player Data'!$A1:$AE734,20,FALSE)*$Q250</f>
        <v>0</v>
      </c>
      <c r="AG250" s="48">
        <f>VLOOKUP(B250,'Player Data'!$A1:$AE734,21,FALSE)*$Q250</f>
        <v>0</v>
      </c>
      <c r="AH250" s="49">
        <f>VLOOKUP(B250,'Player Data'!$A1:$AE734,22,FALSE)</f>
        <v>0</v>
      </c>
      <c r="AI250" s="46"/>
      <c r="AJ250" s="50"/>
      <c r="AK250" s="48"/>
      <c r="AL250" s="48"/>
      <c r="AM250" s="48"/>
      <c r="AN250" s="48"/>
      <c r="AO250" s="48"/>
      <c r="AP250" s="48"/>
      <c r="AQ250" s="51"/>
      <c r="AR250" s="52"/>
      <c r="AS250" s="46"/>
    </row>
    <row r="251" ht="21.25" customHeight="1">
      <c r="A251" s="53">
        <f>RANK(K251,K2:K730)</f>
        <v>261</v>
      </c>
      <c r="B251" t="s" s="8">
        <v>403</v>
      </c>
      <c r="C251" t="s" s="39">
        <v>106</v>
      </c>
      <c r="D251" t="s" s="40">
        <f>VLOOKUP(B251,'Player Data'!A1:D734,4,FALSE)</f>
        <v>121</v>
      </c>
      <c r="E251" s="55">
        <f>VLOOKUP(B251,'RW'!A1:F132,3,FALSE)</f>
        <v>61</v>
      </c>
      <c r="F251" t="s" s="42">
        <f>VLOOKUP(B251,'Player Data'!A1:B734,2,FALSE)</f>
        <v>189</v>
      </c>
      <c r="G251" s="9">
        <f>VLOOKUP(B251,'Player Data'!A1:D734,3,FALSE)</f>
        <v>23</v>
      </c>
      <c r="H251" s="43">
        <f>_xlfn.IFERROR(VLOOKUP(B251,'ADP'!A1:G731,7,FALSE)/1000000,VLOOKUP(B251,'ADP'!A1:G731,7,FALSE))</f>
        <v>0.925</v>
      </c>
      <c r="I251" s="44">
        <f>IF('Settings'!$E$15="POINTS",((R251*Q251)*'Settings'!$B$12)+(S251*'Settings'!$B$2)+(T251*'Settings'!$B$3)+(U251*'Settings'!$B$4)+(V251*'Settings'!$B$5)+(X251*'Settings'!$B$9)+(AA251*'Settings'!$B$6)+(W251*'Settings'!$B$8)+(AB251*'Settings'!$B$7)+(AC251*'Settings'!$B$14)+(AD251*'Settings'!$B$15)+(AE251*'Settings'!$B$16)+(AF251*'Settings'!$B$17)+(AG251*'Settings'!$B$18)+(Y251*'Settings'!$B$10)+(Z251*'Settings'!$B$11),VLOOKUP(B251,'Standard Deviations'!A1:C731,3,FALSE))</f>
        <v>283.971002275456</v>
      </c>
      <c r="J251" s="45">
        <f>IF(D251="G",I251/AJ251,I251/Q251)</f>
        <v>3.62485323302854</v>
      </c>
      <c r="K251" s="44">
        <f>IF('Settings'!$E$18="C/LW/RW",VLOOKUP(B251,'RW'!A1:F132,6,FALSE),VLOOKUP(B251,'F'!A1:F432,6,FALSE))</f>
        <v>-97.6575614309</v>
      </c>
      <c r="L251" s="44">
        <f>_xlfn.IFERROR(K251/H251,"N/A")</f>
        <v>-105.575742087459</v>
      </c>
      <c r="M251" s="46">
        <f>IF('Settings'!$E$9="YAHOO",VLOOKUP(B251,'ADP'!A1:E731,2,FALSE),IF('Settings'!$E$9="ESPN",VLOOKUP(B251,'ADP'!A1:E731,3,FALSE),IF('Settings'!$E$9="FANTRAX",VLOOKUP(B251,'ADP'!A1:E731,4,FALSE),VLOOKUP(B251,'ADP'!A1:E731,5,FALSE))))</f>
        <v>241.82</v>
      </c>
      <c r="N251" s="46">
        <f>_xlfn.IFERROR(M251-A251,"N/A")</f>
        <v>-19.18</v>
      </c>
      <c r="O251" s="46"/>
      <c r="P251" t="s" s="47">
        <f>IF('Settings'!$E$27="ON",VLOOKUP(B251,'ADP'!A1:H731,8,FALSE)," ")</f>
        <v>109</v>
      </c>
      <c r="Q251" s="48">
        <f>IF('Settings'!$E$12="YES",VLOOKUP(B251,'Player Data'!A1:E734,5,FALSE),82)</f>
        <v>78.34</v>
      </c>
      <c r="R251" s="46">
        <f>VLOOKUP(B251,'Player Data'!$A1:$AE734,6,FALSE)</f>
        <v>16.1156868027497</v>
      </c>
      <c r="S251" s="48">
        <f>VLOOKUP(B251,'Player Data'!$A1:$AE734,7,FALSE)*$Q251*_xlfn.IFERROR((VLOOKUP(P251,'Settings'!$E$28:$F$33,2,FALSE)+1),1)</f>
        <v>26.4884954817499</v>
      </c>
      <c r="T251" s="48">
        <f>VLOOKUP(B251,'Player Data'!$A1:$AE734,8,FALSE)*$Q251*_xlfn.IFERROR((VLOOKUP(P251,'Settings'!$E$28:$F$33,2,FALSE)+1),1)</f>
        <v>13.399154881213</v>
      </c>
      <c r="U251" s="48">
        <f>SUM(S251:T251)</f>
        <v>39.8876503629629</v>
      </c>
      <c r="V251" s="48">
        <f>VLOOKUP(B251,'Player Data'!$A1:$AE734,10,FALSE)*$Q251*_xlfn.IFERROR(((VLOOKUP(P251,'Settings'!$E$28:$F$33,2,FALSE)/2)+1),1)</f>
        <v>172.685618227256</v>
      </c>
      <c r="W251" s="48">
        <f>VLOOKUP(B251,'Player Data'!$A1:$AE734,11,FALSE)*$Q251*_xlfn.IFERROR((VLOOKUP(P251,'Settings'!$E$28:$F$33,2,FALSE)+1),1)</f>
        <v>8.8111575393295</v>
      </c>
      <c r="X251" s="48">
        <f>VLOOKUP(B251,'Player Data'!$A1:$AE734,12,FALSE)*$Q251*_xlfn.IFERROR((VLOOKUP(P251,'Settings'!$E$28:$F$33,2,FALSE)+1),1)</f>
        <v>13.1437065709207</v>
      </c>
      <c r="Y251" s="48">
        <f>VLOOKUP(B251,'Player Data'!$A1:$AE734,13,FALSE)*$Q251</f>
        <v>0.0329468000549193</v>
      </c>
      <c r="Z251" s="48">
        <f>VLOOKUP(B251,'Player Data'!$A1:$AE734,14,FALSE)*$Q251</f>
        <v>0.0612440270013398</v>
      </c>
      <c r="AA251" s="48">
        <f>VLOOKUP(B251,'Player Data'!$A1:$AE734,15,FALSE)*$Q251</f>
        <v>48.7349836764282</v>
      </c>
      <c r="AB251" s="48">
        <f>VLOOKUP(B251,'Player Data'!$A1:$AE734,16,FALSE)*$Q251</f>
        <v>54.9700758323889</v>
      </c>
      <c r="AC251" s="48">
        <f>VLOOKUP(B251,'Player Data'!$A1:$AE734,17,FALSE)*$Q251*_xlfn.IFERROR((VLOOKUP(P251,'Settings'!$E$28:$F$33,2,FALSE)+1),1)</f>
        <v>-5.79629023248998</v>
      </c>
      <c r="AD251" s="48">
        <f>VLOOKUP(B251,'Player Data'!$A1:$AE734,18,FALSE)*$Q251</f>
        <v>25.0982034403772</v>
      </c>
      <c r="AE251" s="48">
        <f>VLOOKUP(B251,'Player Data'!$A1:$AE734,19,FALSE)*$Q251*_xlfn.IFERROR((VLOOKUP(P251,'Settings'!$E$28:$F$33,2,FALSE)+1),1)</f>
        <v>2.83842466912129</v>
      </c>
      <c r="AF251" s="48">
        <f>VLOOKUP(B251,'Player Data'!$A1:$AE734,20,FALSE)*$Q251</f>
        <v>11.8958155481713</v>
      </c>
      <c r="AG251" s="48">
        <f>VLOOKUP(B251,'Player Data'!$A1:$AE734,21,FALSE)*$Q251</f>
        <v>9.252300981910979</v>
      </c>
      <c r="AH251" s="49">
        <f>VLOOKUP(B251,'Player Data'!$A1:$AE734,22,FALSE)</f>
        <v>0.5625</v>
      </c>
      <c r="AI251" s="46"/>
      <c r="AJ251" s="50"/>
      <c r="AK251" s="48"/>
      <c r="AL251" s="48"/>
      <c r="AM251" s="48"/>
      <c r="AN251" s="48"/>
      <c r="AO251" s="48"/>
      <c r="AP251" s="48"/>
      <c r="AQ251" s="51"/>
      <c r="AR251" s="52"/>
      <c r="AS251" s="46"/>
    </row>
    <row r="252" ht="21.25" customHeight="1">
      <c r="A252" s="53">
        <f>RANK(K252,K2:K730)</f>
        <v>311</v>
      </c>
      <c r="B252" t="s" s="8">
        <v>404</v>
      </c>
      <c r="C252" t="s" s="39">
        <v>106</v>
      </c>
      <c r="D252" t="s" s="40">
        <f>VLOOKUP(B252,'Player Data'!A1:D734,4,FALSE)</f>
        <v>107</v>
      </c>
      <c r="E252" s="41">
        <f>VLOOKUP(B252,'C'!A1:C218,3,FALSE)</f>
        <v>85</v>
      </c>
      <c r="F252" t="s" s="42">
        <f>VLOOKUP(B252,'Player Data'!A1:B734,2,FALSE)</f>
        <v>258</v>
      </c>
      <c r="G252" s="9">
        <f>VLOOKUP(B252,'Player Data'!A1:D734,3,FALSE)</f>
        <v>22</v>
      </c>
      <c r="H252" s="43">
        <f>_xlfn.IFERROR(VLOOKUP(B252,'ADP'!A1:G731,7,FALSE)/1000000,VLOOKUP(B252,'ADP'!A1:G731,7,FALSE))</f>
        <v>3.3625</v>
      </c>
      <c r="I252" s="44">
        <f>IF('Settings'!$E$15="POINTS",((R252*Q252)*'Settings'!$B$12)+(S252*'Settings'!$B$2)+(T252*'Settings'!$B$3)+(U252*'Settings'!$B$4)+(V252*'Settings'!$B$5)+(X252*'Settings'!$B$9)+(AA252*'Settings'!$B$6)+(W252*'Settings'!$B$8)+(AB252*'Settings'!$B$7)+(AC252*'Settings'!$B$14)+(AD252*'Settings'!$B$15)+(AE252*'Settings'!$B$16)+(AF252*'Settings'!$B$17)+(AG252*'Settings'!$B$18)+(Y252*'Settings'!$B$10)+(Z252*'Settings'!$B$11),VLOOKUP(B252,'Standard Deviations'!A1:C731,3,FALSE))</f>
        <v>275.685959845641</v>
      </c>
      <c r="J252" s="45">
        <f>IF(D252="G",I252/AJ252,I252/Q252)</f>
        <v>3.90735127036281</v>
      </c>
      <c r="K252" s="44">
        <f>IF('Settings'!$E$18="C/LW/RW",VLOOKUP(B252,'C'!A1:F218,6,FALSE),VLOOKUP(B252,'F'!A1:F432,6,FALSE))</f>
        <v>-120.088241790374</v>
      </c>
      <c r="L252" s="44">
        <f>_xlfn.IFERROR(K252/H252,"N/A")</f>
        <v>-35.7139752536428</v>
      </c>
      <c r="M252" s="46">
        <f>IF('Settings'!$E$9="YAHOO",VLOOKUP(B252,'ADP'!A1:E731,2,FALSE),IF('Settings'!$E$9="ESPN",VLOOKUP(B252,'ADP'!A1:E731,3,FALSE),IF('Settings'!$E$9="FANTRAX",VLOOKUP(B252,'ADP'!A1:E731,4,FALSE),VLOOKUP(B252,'ADP'!A1:E731,5,FALSE))))</f>
        <v>223.46</v>
      </c>
      <c r="N252" s="46">
        <f>_xlfn.IFERROR(M252-A252,"N/A")</f>
        <v>-87.54000000000001</v>
      </c>
      <c r="O252" s="46"/>
      <c r="P252" t="s" s="47">
        <f>IF('Settings'!$E$27="ON",VLOOKUP(B252,'ADP'!A1:H731,8,FALSE)," ")</f>
        <v>116</v>
      </c>
      <c r="Q252" s="48">
        <f>IF('Settings'!$E$12="YES",VLOOKUP(B252,'Player Data'!A1:E734,5,FALSE),82)</f>
        <v>70.5557142857143</v>
      </c>
      <c r="R252" s="46">
        <f>VLOOKUP(B252,'Player Data'!$A1:$AE734,6,FALSE)</f>
        <v>18.2523630306494</v>
      </c>
      <c r="S252" s="48">
        <f>VLOOKUP(B252,'Player Data'!$A1:$AE734,7,FALSE)*$Q252*_xlfn.IFERROR((VLOOKUP(P252,'Settings'!$E$28:$F$33,2,FALSE)+1),1)</f>
        <v>18.0745998905163</v>
      </c>
      <c r="T252" s="48">
        <f>VLOOKUP(B252,'Player Data'!$A1:$AE734,8,FALSE)*$Q252*_xlfn.IFERROR((VLOOKUP(P252,'Settings'!$E$28:$F$33,2,FALSE)+1),1)</f>
        <v>29.2510865028496</v>
      </c>
      <c r="U252" s="48">
        <f>SUM(S252:T252)</f>
        <v>47.3256863933659</v>
      </c>
      <c r="V252" s="48">
        <f>VLOOKUP(B252,'Player Data'!$A1:$AE734,10,FALSE)*$Q252*_xlfn.IFERROR(((VLOOKUP(P252,'Settings'!$E$28:$F$33,2,FALSE)/2)+1),1)</f>
        <v>137.314026211509</v>
      </c>
      <c r="W252" s="48">
        <f>VLOOKUP(B252,'Player Data'!$A1:$AE734,11,FALSE)*$Q252*_xlfn.IFERROR((VLOOKUP(P252,'Settings'!$E$28:$F$33,2,FALSE)+1),1)</f>
        <v>6.47285237461997</v>
      </c>
      <c r="X252" s="48">
        <f>VLOOKUP(B252,'Player Data'!$A1:$AE734,12,FALSE)*$Q252*_xlfn.IFERROR((VLOOKUP(P252,'Settings'!$E$28:$F$33,2,FALSE)+1),1)</f>
        <v>17.5152459351342</v>
      </c>
      <c r="Y252" s="48">
        <f>VLOOKUP(B252,'Player Data'!$A1:$AE734,13,FALSE)*$Q252</f>
        <v>0.0479988427364618</v>
      </c>
      <c r="Z252" s="48">
        <f>VLOOKUP(B252,'Player Data'!$A1:$AE734,14,FALSE)*$Q252</f>
        <v>0.665212859528435</v>
      </c>
      <c r="AA252" s="48">
        <f>VLOOKUP(B252,'Player Data'!$A1:$AE734,15,FALSE)*$Q252</f>
        <v>43.3308163086617</v>
      </c>
      <c r="AB252" s="48">
        <f>VLOOKUP(B252,'Player Data'!$A1:$AE734,16,FALSE)*$Q252</f>
        <v>59.7766154025072</v>
      </c>
      <c r="AC252" s="48">
        <f>VLOOKUP(B252,'Player Data'!$A1:$AE734,17,FALSE)*$Q252*_xlfn.IFERROR((VLOOKUP(P252,'Settings'!$E$28:$F$33,2,FALSE)+1),1)</f>
        <v>-5.81958793855255</v>
      </c>
      <c r="AD252" s="48">
        <f>VLOOKUP(B252,'Player Data'!$A1:$AE734,18,FALSE)*$Q252</f>
        <v>44.1816863078064</v>
      </c>
      <c r="AE252" s="48">
        <f>VLOOKUP(B252,'Player Data'!$A1:$AE734,19,FALSE)*$Q252*_xlfn.IFERROR((VLOOKUP(P252,'Settings'!$E$28:$F$33,2,FALSE)+1),1)</f>
        <v>1.85160023303252</v>
      </c>
      <c r="AF252" s="48">
        <f>VLOOKUP(B252,'Player Data'!$A1:$AE734,20,FALSE)*$Q252</f>
        <v>125.263911805119</v>
      </c>
      <c r="AG252" s="48">
        <f>VLOOKUP(B252,'Player Data'!$A1:$AE734,21,FALSE)*$Q252</f>
        <v>222.536606756915</v>
      </c>
      <c r="AH252" s="49">
        <f>VLOOKUP(B252,'Player Data'!$A1:$AE734,22,FALSE)</f>
        <v>0.360160221505757</v>
      </c>
      <c r="AI252" s="46"/>
      <c r="AJ252" s="50"/>
      <c r="AK252" s="48"/>
      <c r="AL252" s="48"/>
      <c r="AM252" s="48"/>
      <c r="AN252" s="48"/>
      <c r="AO252" s="48"/>
      <c r="AP252" s="48"/>
      <c r="AQ252" s="51"/>
      <c r="AR252" s="52"/>
      <c r="AS252" s="46"/>
    </row>
    <row r="253" ht="21.25" customHeight="1">
      <c r="A253" s="53">
        <f>RANK(K253,K2:K730)</f>
        <v>263</v>
      </c>
      <c r="B253" t="s" s="8">
        <v>405</v>
      </c>
      <c r="C253" t="s" s="39">
        <v>106</v>
      </c>
      <c r="D253" t="s" s="40">
        <f>VLOOKUP(B253,'Player Data'!A1:D734,4,FALSE)</f>
        <v>187</v>
      </c>
      <c r="E253" s="54">
        <f>VLOOKUP(B253,'RW'!A1:F132,3,FALSE)</f>
        <v>62</v>
      </c>
      <c r="F253" t="s" s="42">
        <f>VLOOKUP(B253,'Player Data'!A1:B734,2,FALSE)</f>
        <v>136</v>
      </c>
      <c r="G253" s="9">
        <f>VLOOKUP(B253,'Player Data'!A1:D734,3,FALSE)</f>
        <v>31</v>
      </c>
      <c r="H253" s="43">
        <f>_xlfn.IFERROR(VLOOKUP(B253,'ADP'!A1:G731,7,FALSE)/1000000,VLOOKUP(B253,'ADP'!A1:G731,7,FALSE))</f>
        <v>9.85</v>
      </c>
      <c r="I253" s="44">
        <f>IF('Settings'!$E$15="POINTS",((R253*Q253)*'Settings'!$B$12)+(S253*'Settings'!$B$2)+(T253*'Settings'!$B$3)+(U253*'Settings'!$B$4)+(V253*'Settings'!$B$5)+(X253*'Settings'!$B$9)+(AA253*'Settings'!$B$6)+(W253*'Settings'!$B$8)+(AB253*'Settings'!$B$7)+(AC253*'Settings'!$B$14)+(AD253*'Settings'!$B$15)+(AE253*'Settings'!$B$16)+(AF253*'Settings'!$B$17)+(AG253*'Settings'!$B$18)+(Y253*'Settings'!$B$10)+(Z253*'Settings'!$B$11),VLOOKUP(B253,'Standard Deviations'!A1:C731,3,FALSE))</f>
        <v>282.829170552147</v>
      </c>
      <c r="J253" s="45">
        <f>IF(D253="G",I253/AJ253,I253/Q253)</f>
        <v>3.87083088146369</v>
      </c>
      <c r="K253" s="44">
        <f>IF('Settings'!$E$18="C/LW/RW",VLOOKUP(B253,'RW'!A1:F132,6,FALSE),VLOOKUP(B253,'F'!A1:F432,6,FALSE))</f>
        <v>-98.799393154209</v>
      </c>
      <c r="L253" s="44">
        <f>_xlfn.IFERROR(K253/H253,"N/A")</f>
        <v>-10.0303952440821</v>
      </c>
      <c r="M253" s="46">
        <f>IF('Settings'!$E$9="YAHOO",VLOOKUP(B253,'ADP'!A1:E731,2,FALSE),IF('Settings'!$E$9="ESPN",VLOOKUP(B253,'ADP'!A1:E731,3,FALSE),IF('Settings'!$E$9="FANTRAX",VLOOKUP(B253,'ADP'!A1:E731,4,FALSE),VLOOKUP(B253,'ADP'!A1:E731,5,FALSE))))</f>
        <v>220.86</v>
      </c>
      <c r="N253" s="46">
        <f>_xlfn.IFERROR(M253-A253,"N/A")</f>
        <v>-42.14</v>
      </c>
      <c r="O253" s="46"/>
      <c r="P253" t="s" s="47">
        <f>IF('Settings'!$E$27="ON",VLOOKUP(B253,'ADP'!A1:H731,8,FALSE)," ")</f>
        <v>109</v>
      </c>
      <c r="Q253" s="48">
        <f>IF('Settings'!$E$12="YES",VLOOKUP(B253,'Player Data'!A1:E734,5,FALSE),82)</f>
        <v>73.0667857142857</v>
      </c>
      <c r="R253" s="46">
        <f>VLOOKUP(B253,'Player Data'!$A1:$AE734,6,FALSE)</f>
        <v>16.8141752110077</v>
      </c>
      <c r="S253" s="48">
        <f>VLOOKUP(B253,'Player Data'!$A1:$AE734,7,FALSE)*$Q253*_xlfn.IFERROR((VLOOKUP(P253,'Settings'!$E$28:$F$33,2,FALSE)+1),1)</f>
        <v>19.0467757354264</v>
      </c>
      <c r="T253" s="48">
        <f>VLOOKUP(B253,'Player Data'!$A1:$AE734,8,FALSE)*$Q253*_xlfn.IFERROR((VLOOKUP(P253,'Settings'!$E$28:$F$33,2,FALSE)+1),1)</f>
        <v>23.9185551684496</v>
      </c>
      <c r="U253" s="48">
        <f>SUM(S253:T253)</f>
        <v>42.965330903876</v>
      </c>
      <c r="V253" s="48">
        <f>VLOOKUP(B253,'Player Data'!$A1:$AE734,10,FALSE)*$Q253*_xlfn.IFERROR(((VLOOKUP(P253,'Settings'!$E$28:$F$33,2,FALSE)/2)+1),1)</f>
        <v>177.232375002347</v>
      </c>
      <c r="W253" s="48">
        <f>VLOOKUP(B253,'Player Data'!$A1:$AE734,11,FALSE)*$Q253*_xlfn.IFERROR((VLOOKUP(P253,'Settings'!$E$28:$F$33,2,FALSE)+1),1)</f>
        <v>4.35626418931752</v>
      </c>
      <c r="X253" s="48">
        <f>VLOOKUP(B253,'Player Data'!$A1:$AE734,12,FALSE)*$Q253*_xlfn.IFERROR((VLOOKUP(P253,'Settings'!$E$28:$F$33,2,FALSE)+1),1)</f>
        <v>9.31690258302114</v>
      </c>
      <c r="Y253" s="48">
        <f>VLOOKUP(B253,'Player Data'!$A1:$AE734,13,FALSE)*$Q253</f>
        <v>0.9009786671840559</v>
      </c>
      <c r="Z253" s="48">
        <f>VLOOKUP(B253,'Player Data'!$A1:$AE734,14,FALSE)*$Q253</f>
        <v>1.79868623485636</v>
      </c>
      <c r="AA253" s="48">
        <f>VLOOKUP(B253,'Player Data'!$A1:$AE734,15,FALSE)*$Q253</f>
        <v>26.2497912931158</v>
      </c>
      <c r="AB253" s="48">
        <f>VLOOKUP(B253,'Player Data'!$A1:$AE734,16,FALSE)*$Q253</f>
        <v>80.0982344797393</v>
      </c>
      <c r="AC253" s="48">
        <f>VLOOKUP(B253,'Player Data'!$A1:$AE734,17,FALSE)*$Q253*_xlfn.IFERROR((VLOOKUP(P253,'Settings'!$E$28:$F$33,2,FALSE)+1),1)</f>
        <v>3.43000282863054</v>
      </c>
      <c r="AD253" s="48">
        <f>VLOOKUP(B253,'Player Data'!$A1:$AE734,18,FALSE)*$Q253</f>
        <v>25.374013873893</v>
      </c>
      <c r="AE253" s="48">
        <f>VLOOKUP(B253,'Player Data'!$A1:$AE734,19,FALSE)*$Q253*_xlfn.IFERROR((VLOOKUP(P253,'Settings'!$E$28:$F$33,2,FALSE)+1),1)</f>
        <v>3.04734909403778</v>
      </c>
      <c r="AF253" s="48">
        <f>VLOOKUP(B253,'Player Data'!$A1:$AE734,20,FALSE)*$Q253</f>
        <v>453.583803584113</v>
      </c>
      <c r="AG253" s="48">
        <f>VLOOKUP(B253,'Player Data'!$A1:$AE734,21,FALSE)*$Q253</f>
        <v>365.972465851026</v>
      </c>
      <c r="AH253" s="49">
        <f>VLOOKUP(B253,'Player Data'!$A1:$AE734,22,FALSE)</f>
        <v>0.553450471310207</v>
      </c>
      <c r="AI253" s="46"/>
      <c r="AJ253" s="50"/>
      <c r="AK253" s="48"/>
      <c r="AL253" s="48"/>
      <c r="AM253" s="48"/>
      <c r="AN253" s="48"/>
      <c r="AO253" s="48"/>
      <c r="AP253" s="48"/>
      <c r="AQ253" s="51"/>
      <c r="AR253" s="52"/>
      <c r="AS253" s="46"/>
    </row>
    <row r="254" ht="21.25" customHeight="1">
      <c r="A254" s="53">
        <f>RANK(K254,K2:K730)</f>
        <v>324</v>
      </c>
      <c r="B254" t="s" s="8">
        <v>406</v>
      </c>
      <c r="C254" t="s" s="39">
        <v>106</v>
      </c>
      <c r="D254" t="s" s="40">
        <f>VLOOKUP(B254,'Player Data'!A1:D734,4,FALSE)</f>
        <v>118</v>
      </c>
      <c r="E254" s="54">
        <f>VLOOKUP(B254,'LW'!A1:C156,3,FALSE)</f>
        <v>73</v>
      </c>
      <c r="F254" t="s" s="42">
        <f>VLOOKUP(B254,'Player Data'!A1:B734,2,FALSE)</f>
        <v>141</v>
      </c>
      <c r="G254" s="9">
        <f>VLOOKUP(B254,'Player Data'!A1:D734,3,FALSE)</f>
        <v>29</v>
      </c>
      <c r="H254" s="43">
        <f>_xlfn.IFERROR(VLOOKUP(B254,'ADP'!A1:G731,7,FALSE)/1000000,VLOOKUP(B254,'ADP'!A1:G731,7,FALSE))</f>
        <v>2.5</v>
      </c>
      <c r="I254" s="44">
        <f>IF('Settings'!$E$15="POINTS",((R254*Q254)*'Settings'!$B$12)+(S254*'Settings'!$B$2)+(T254*'Settings'!$B$3)+(U254*'Settings'!$B$4)+(V254*'Settings'!$B$5)+(X254*'Settings'!$B$9)+(AA254*'Settings'!$B$6)+(W254*'Settings'!$B$8)+(AB254*'Settings'!$B$7)+(AC254*'Settings'!$B$14)+(AD254*'Settings'!$B$15)+(AE254*'Settings'!$B$16)+(AF254*'Settings'!$B$17)+(AG254*'Settings'!$B$18)+(Y254*'Settings'!$B$10)+(Z254*'Settings'!$B$11),VLOOKUP(B254,'Standard Deviations'!A1:C731,3,FALSE))</f>
        <v>258.792705981474</v>
      </c>
      <c r="J254" s="45">
        <f>IF(D254="G",I254/AJ254,I254/Q254)</f>
        <v>3.54916869972536</v>
      </c>
      <c r="K254" s="44">
        <f>IF('Settings'!$E$18="C/LW/RW",VLOOKUP(B254,'RW'!A1:F132,6,FALSE),VLOOKUP(B254,'F'!A1:F432,6,FALSE))</f>
        <v>-122.835857724882</v>
      </c>
      <c r="L254" s="44">
        <f>_xlfn.IFERROR(K254/H254,"N/A")</f>
        <v>-49.1343430899528</v>
      </c>
      <c r="M254" s="46">
        <f>IF('Settings'!$E$9="YAHOO",VLOOKUP(B254,'ADP'!A1:E731,2,FALSE),IF('Settings'!$E$9="ESPN",VLOOKUP(B254,'ADP'!A1:E731,3,FALSE),IF('Settings'!$E$9="FANTRAX",VLOOKUP(B254,'ADP'!A1:E731,4,FALSE),VLOOKUP(B254,'ADP'!A1:E731,5,FALSE))))</f>
        <v>424.9</v>
      </c>
      <c r="N254" s="46">
        <f>_xlfn.IFERROR(M254-A254,"N/A")</f>
        <v>100.9</v>
      </c>
      <c r="O254" s="46"/>
      <c r="P254" t="s" s="47">
        <f>IF('Settings'!$E$27="ON",VLOOKUP(B254,'ADP'!A1:H731,8,FALSE)," ")</f>
        <v>109</v>
      </c>
      <c r="Q254" s="48">
        <f>IF('Settings'!$E$12="YES",VLOOKUP(B254,'Player Data'!A1:E734,5,FALSE),82)</f>
        <v>72.9164285714286</v>
      </c>
      <c r="R254" s="46">
        <f>VLOOKUP(B254,'Player Data'!$A1:$AE734,6,FALSE)</f>
        <v>17.4777316246812</v>
      </c>
      <c r="S254" s="48">
        <f>VLOOKUP(B254,'Player Data'!$A1:$AE734,7,FALSE)*$Q254*_xlfn.IFERROR((VLOOKUP(P254,'Settings'!$E$28:$F$33,2,FALSE)+1),1)</f>
        <v>14.7099858941893</v>
      </c>
      <c r="T254" s="48">
        <f>VLOOKUP(B254,'Player Data'!$A1:$AE734,8,FALSE)*$Q254*_xlfn.IFERROR((VLOOKUP(P254,'Settings'!$E$28:$F$33,2,FALSE)+1),1)</f>
        <v>32.4475171230538</v>
      </c>
      <c r="U254" s="48">
        <f>SUM(S254:T254)</f>
        <v>47.1575030172431</v>
      </c>
      <c r="V254" s="48">
        <f>VLOOKUP(B254,'Player Data'!$A1:$AE734,10,FALSE)*$Q254*_xlfn.IFERROR(((VLOOKUP(P254,'Settings'!$E$28:$F$33,2,FALSE)/2)+1),1)</f>
        <v>127.839287467930</v>
      </c>
      <c r="W254" s="48">
        <f>VLOOKUP(B254,'Player Data'!$A1:$AE734,11,FALSE)*$Q254*_xlfn.IFERROR((VLOOKUP(P254,'Settings'!$E$28:$F$33,2,FALSE)+1),1)</f>
        <v>3.83850048766735</v>
      </c>
      <c r="X254" s="48">
        <f>VLOOKUP(B254,'Player Data'!$A1:$AE734,12,FALSE)*$Q254*_xlfn.IFERROR((VLOOKUP(P254,'Settings'!$E$28:$F$33,2,FALSE)+1),1)</f>
        <v>13.906802172095</v>
      </c>
      <c r="Y254" s="48">
        <f>VLOOKUP(B254,'Player Data'!$A1:$AE734,13,FALSE)*$Q254</f>
        <v>0.0072985194875471</v>
      </c>
      <c r="Z254" s="48">
        <f>VLOOKUP(B254,'Player Data'!$A1:$AE734,14,FALSE)*$Q254</f>
        <v>0.0135915587323577</v>
      </c>
      <c r="AA254" s="48">
        <f>VLOOKUP(B254,'Player Data'!$A1:$AE734,15,FALSE)*$Q254</f>
        <v>38.396566724936</v>
      </c>
      <c r="AB254" s="48">
        <f>VLOOKUP(B254,'Player Data'!$A1:$AE734,16,FALSE)*$Q254</f>
        <v>48.4404314982528</v>
      </c>
      <c r="AC254" s="48">
        <f>VLOOKUP(B254,'Player Data'!$A1:$AE734,17,FALSE)*$Q254*_xlfn.IFERROR((VLOOKUP(P254,'Settings'!$E$28:$F$33,2,FALSE)+1),1)</f>
        <v>0.09188139246983359</v>
      </c>
      <c r="AD254" s="48">
        <f>VLOOKUP(B254,'Player Data'!$A1:$AE734,18,FALSE)*$Q254</f>
        <v>21.6111498367974</v>
      </c>
      <c r="AE254" s="48">
        <f>VLOOKUP(B254,'Player Data'!$A1:$AE734,19,FALSE)*$Q254*_xlfn.IFERROR((VLOOKUP(P254,'Settings'!$E$28:$F$33,2,FALSE)+1),1)</f>
        <v>1.82632939625011</v>
      </c>
      <c r="AF254" s="48">
        <f>VLOOKUP(B254,'Player Data'!$A1:$AE734,20,FALSE)*$Q254</f>
        <v>0.457957191417222</v>
      </c>
      <c r="AG254" s="48">
        <f>VLOOKUP(B254,'Player Data'!$A1:$AE734,21,FALSE)*$Q254</f>
        <v>2.21059749595754</v>
      </c>
      <c r="AH254" s="49">
        <f>VLOOKUP(B254,'Player Data'!$A1:$AE734,22,FALSE)</f>
        <v>0.171612443838558</v>
      </c>
      <c r="AI254" s="46"/>
      <c r="AJ254" s="50"/>
      <c r="AK254" s="48"/>
      <c r="AL254" s="48"/>
      <c r="AM254" s="48"/>
      <c r="AN254" s="48"/>
      <c r="AO254" s="48"/>
      <c r="AP254" s="48"/>
      <c r="AQ254" s="51"/>
      <c r="AR254" s="52"/>
      <c r="AS254" s="46"/>
    </row>
    <row r="255" ht="21.25" customHeight="1">
      <c r="A255" s="53">
        <f>RANK(K255,K2:K730)</f>
        <v>249</v>
      </c>
      <c r="B255" t="s" s="8">
        <v>407</v>
      </c>
      <c r="C255" t="s" s="39">
        <v>106</v>
      </c>
      <c r="D255" t="s" s="40">
        <f>VLOOKUP(B255,'Player Data'!A1:D734,4,FALSE)</f>
        <v>129</v>
      </c>
      <c r="E255" s="56">
        <f>VLOOKUP(B255,'D'!A1:C228,3,FALSE)</f>
        <v>69</v>
      </c>
      <c r="F255" t="s" s="42">
        <f>VLOOKUP(B255,'Player Data'!A1:B734,2,FALSE)</f>
        <v>149</v>
      </c>
      <c r="G255" s="9">
        <f>VLOOKUP(B255,'Player Data'!A1:D734,3,FALSE)</f>
        <v>28</v>
      </c>
      <c r="H255" s="43">
        <f>_xlfn.IFERROR(VLOOKUP(B255,'ADP'!A1:G731,7,FALSE)/1000000,VLOOKUP(B255,'ADP'!A1:G731,7,FALSE))</f>
        <v>6.15</v>
      </c>
      <c r="I255" s="44">
        <f>IF('Settings'!$E$15="POINTS",((R255*Q255)*'Settings'!$B$12)+(S255*'Settings'!$B$2)+(T255*'Settings'!$B$3)+(U255*'Settings'!$B$4)+(V255*'Settings'!$B$5)+(X255*'Settings'!$B$9)+(AA255*'Settings'!$B$6)+(W255*'Settings'!$B$8)+(AB255*'Settings'!$B$7)+(AC255*'Settings'!$B$14)+(AD255*'Settings'!$B$15)+(AE255*'Settings'!$B$16)+(AF255*'Settings'!$B$17)+(AG255*'Settings'!$B$18)+(U255*'Settings'!$B$13)+(Y255*'Settings'!$B$10)+(Z255*'Settings'!$B$11),VLOOKUP(B255,'Standard Deviations'!A1:C731,3,FALSE))</f>
        <v>246.803067241286</v>
      </c>
      <c r="J255" s="45">
        <f>IF(D255="G",I255/AJ255,I255/Q255)</f>
        <v>3.1457914376558</v>
      </c>
      <c r="K255" s="44">
        <f>VLOOKUP(B255,'D'!A1:F228,6,FALSE)</f>
        <v>-93.932071405237</v>
      </c>
      <c r="L255" s="44">
        <f>_xlfn.IFERROR(K255/H255,"N/A")</f>
        <v>-15.273507545567</v>
      </c>
      <c r="M255" s="46">
        <f>IF('Settings'!$E$9="YAHOO",VLOOKUP(B255,'ADP'!A1:E731,2,FALSE),IF('Settings'!$E$9="ESPN",VLOOKUP(B255,'ADP'!A1:E731,3,FALSE),IF('Settings'!$E$9="FANTRAX",VLOOKUP(B255,'ADP'!A1:E731,4,FALSE),VLOOKUP(B255,'ADP'!A1:E731,5,FALSE))))</f>
        <v>480.82</v>
      </c>
      <c r="N255" s="46">
        <f>_xlfn.IFERROR(M255-A255,"N/A")</f>
        <v>231.82</v>
      </c>
      <c r="O255" s="46"/>
      <c r="P255" t="s" s="47">
        <f>IF('Settings'!$E$27="ON",VLOOKUP(B255,'ADP'!A1:H731,8,FALSE)," ")</f>
        <v>109</v>
      </c>
      <c r="Q255" s="48">
        <f>IF('Settings'!$E$12="YES",VLOOKUP(B255,'Player Data'!A1:E734,5,FALSE),82)</f>
        <v>78.455</v>
      </c>
      <c r="R255" s="46">
        <f>VLOOKUP(B255,'Player Data'!$A1:$AE734,6,FALSE)</f>
        <v>20.7729202971418</v>
      </c>
      <c r="S255" s="48">
        <f>VLOOKUP(B255,'Player Data'!$A1:$AE734,7,FALSE)*$Q255*_xlfn.IFERROR((VLOOKUP(P255,'Settings'!$E$28:$F$33,2,FALSE)+1),1)</f>
        <v>4.70378402355118</v>
      </c>
      <c r="T255" s="48">
        <f>VLOOKUP(B255,'Player Data'!$A1:$AE734,8,FALSE)*$Q255*_xlfn.IFERROR((VLOOKUP(P255,'Settings'!$E$28:$F$33,2,FALSE)+1),1)</f>
        <v>19.9255202131689</v>
      </c>
      <c r="U255" s="48">
        <f>SUM(S255:T255)</f>
        <v>24.6293042367201</v>
      </c>
      <c r="V255" s="48">
        <f>VLOOKUP(B255,'Player Data'!$A1:$AE734,10,FALSE)*$Q255*_xlfn.IFERROR(((VLOOKUP(P255,'Settings'!$E$28:$F$33,2,FALSE)/2)+1),1)</f>
        <v>130.416225015414</v>
      </c>
      <c r="W255" s="48">
        <f>VLOOKUP(B255,'Player Data'!$A1:$AE734,11,FALSE)*$Q255*_xlfn.IFERROR((VLOOKUP(P255,'Settings'!$E$28:$F$33,2,FALSE)+1),1)</f>
        <v>0.723000853401192</v>
      </c>
      <c r="X255" s="48">
        <f>VLOOKUP(B255,'Player Data'!$A1:$AE734,12,FALSE)*$Q255*_xlfn.IFERROR((VLOOKUP(P255,'Settings'!$E$28:$F$33,2,FALSE)+1),1)</f>
        <v>3.20831964849548</v>
      </c>
      <c r="Y255" s="48">
        <f>VLOOKUP(B255,'Player Data'!$A1:$AE734,13,FALSE)*$Q255</f>
        <v>0.032020794501577</v>
      </c>
      <c r="Z255" s="48">
        <f>VLOOKUP(B255,'Player Data'!$A1:$AE734,14,FALSE)*$Q255</f>
        <v>0.406738512260124</v>
      </c>
      <c r="AA255" s="48">
        <f>VLOOKUP(B255,'Player Data'!$A1:$AE734,15,FALSE)*$Q255</f>
        <v>134.663778968397</v>
      </c>
      <c r="AB255" s="48">
        <f>VLOOKUP(B255,'Player Data'!$A1:$AE734,16,FALSE)*$Q255</f>
        <v>130.023997917493</v>
      </c>
      <c r="AC255" s="48">
        <f>VLOOKUP(B255,'Player Data'!$A1:$AE734,17,FALSE)*$Q255*_xlfn.IFERROR((VLOOKUP(P255,'Settings'!$E$28:$F$33,2,FALSE)+1),1)</f>
        <v>1.08255106725165</v>
      </c>
      <c r="AD255" s="48">
        <f>VLOOKUP(B255,'Player Data'!$A1:$AE734,18,FALSE)*$Q255</f>
        <v>14.4301080842318</v>
      </c>
      <c r="AE255" s="48">
        <f>VLOOKUP(B255,'Player Data'!$A1:$AE734,19,FALSE)*$Q255*_xlfn.IFERROR((VLOOKUP(P255,'Settings'!$E$28:$F$33,2,FALSE)+1),1)</f>
        <v>0.726837443857523</v>
      </c>
      <c r="AF255" s="48">
        <f>VLOOKUP(B255,'Player Data'!$A1:$AE734,20,FALSE)*$Q255</f>
        <v>0</v>
      </c>
      <c r="AG255" s="48">
        <f>VLOOKUP(B255,'Player Data'!$A1:$AE734,21,FALSE)*$Q255</f>
        <v>0</v>
      </c>
      <c r="AH255" s="49">
        <f>VLOOKUP(B255,'Player Data'!$A1:$AE734,22,FALSE)</f>
        <v>0</v>
      </c>
      <c r="AI255" s="46"/>
      <c r="AJ255" s="50"/>
      <c r="AK255" s="48"/>
      <c r="AL255" s="48"/>
      <c r="AM255" s="48"/>
      <c r="AN255" s="48"/>
      <c r="AO255" s="48"/>
      <c r="AP255" s="48"/>
      <c r="AQ255" s="51"/>
      <c r="AR255" s="52"/>
      <c r="AS255" s="46"/>
    </row>
    <row r="256" ht="21.25" customHeight="1">
      <c r="A256" s="53">
        <f>RANK(K256,K2:K730)</f>
        <v>185</v>
      </c>
      <c r="B256" t="s" s="8">
        <v>408</v>
      </c>
      <c r="C256" t="s" s="39">
        <v>106</v>
      </c>
      <c r="D256" t="s" s="40">
        <f>VLOOKUP(B256,'Player Data'!A1:D734,4,FALSE)</f>
        <v>121</v>
      </c>
      <c r="E256" s="55">
        <f>VLOOKUP(B256,'RW'!A1:F132,3,FALSE)</f>
        <v>43</v>
      </c>
      <c r="F256" t="s" s="42">
        <f>VLOOKUP(B256,'Player Data'!A1:B734,2,FALSE)</f>
        <v>166</v>
      </c>
      <c r="G256" s="9">
        <f>VLOOKUP(B256,'Player Data'!A1:D734,3,FALSE)</f>
        <v>29</v>
      </c>
      <c r="H256" s="43">
        <f>_xlfn.IFERROR(VLOOKUP(B256,'ADP'!A1:G731,7,FALSE)/1000000,VLOOKUP(B256,'ADP'!A1:G731,7,FALSE))</f>
        <v>6.34375</v>
      </c>
      <c r="I256" s="44">
        <f>IF('Settings'!$E$15="POINTS",((R256*Q256)*'Settings'!$B$12)+(S256*'Settings'!$B$2)+(T256*'Settings'!$B$3)+(U256*'Settings'!$B$4)+(V256*'Settings'!$B$5)+(X256*'Settings'!$B$9)+(AA256*'Settings'!$B$6)+(W256*'Settings'!$B$8)+(AB256*'Settings'!$B$7)+(AC256*'Settings'!$B$14)+(AD256*'Settings'!$B$15)+(AE256*'Settings'!$B$16)+(AF256*'Settings'!$B$17)+(AG256*'Settings'!$B$18)+(Y256*'Settings'!$B$10)+(Z256*'Settings'!$B$11),VLOOKUP(B256,'Standard Deviations'!A1:C731,3,FALSE))</f>
        <v>325.879595460918</v>
      </c>
      <c r="J256" s="45">
        <f>IF(D256="G",I256/AJ256,I256/Q256)</f>
        <v>4.61585829264756</v>
      </c>
      <c r="K256" s="44">
        <f>IF('Settings'!$E$18="C/LW/RW",VLOOKUP(B256,'RW'!A1:F132,6,FALSE),VLOOKUP(B256,'F'!A1:F432,6,FALSE))</f>
        <v>-55.748968245438</v>
      </c>
      <c r="L256" s="44">
        <f>_xlfn.IFERROR(K256/H256,"N/A")</f>
        <v>-8.78801469878826</v>
      </c>
      <c r="M256" s="46">
        <f>IF('Settings'!$E$9="YAHOO",VLOOKUP(B256,'ADP'!A1:E731,2,FALSE),IF('Settings'!$E$9="ESPN",VLOOKUP(B256,'ADP'!A1:E731,3,FALSE),IF('Settings'!$E$9="FANTRAX",VLOOKUP(B256,'ADP'!A1:E731,4,FALSE),VLOOKUP(B256,'ADP'!A1:E731,5,FALSE))))</f>
        <v>141.65</v>
      </c>
      <c r="N256" s="46">
        <f>_xlfn.IFERROR(M256-A256,"N/A")</f>
        <v>-43.35</v>
      </c>
      <c r="O256" s="46"/>
      <c r="P256" t="s" s="47">
        <f>IF('Settings'!$E$27="ON",VLOOKUP(B256,'ADP'!A1:H731,8,FALSE)," ")</f>
        <v>109</v>
      </c>
      <c r="Q256" s="48">
        <f>IF('Settings'!$E$12="YES",VLOOKUP(B256,'Player Data'!A1:E734,5,FALSE),82)</f>
        <v>70.59999999999999</v>
      </c>
      <c r="R256" s="46">
        <f>VLOOKUP(B256,'Player Data'!$A1:$AE734,6,FALSE)</f>
        <v>18.2572641035605</v>
      </c>
      <c r="S256" s="48">
        <f>VLOOKUP(B256,'Player Data'!$A1:$AE734,7,FALSE)*$Q256*_xlfn.IFERROR((VLOOKUP(P256,'Settings'!$E$28:$F$33,2,FALSE)+1),1)</f>
        <v>21.6967976810165</v>
      </c>
      <c r="T256" s="48">
        <f>VLOOKUP(B256,'Player Data'!$A1:$AE734,8,FALSE)*$Q256*_xlfn.IFERROR((VLOOKUP(P256,'Settings'!$E$28:$F$33,2,FALSE)+1),1)</f>
        <v>24.0033534205856</v>
      </c>
      <c r="U256" s="48">
        <f>SUM(S256:T256)</f>
        <v>45.7001511016021</v>
      </c>
      <c r="V256" s="48">
        <f>VLOOKUP(B256,'Player Data'!$A1:$AE734,10,FALSE)*$Q256*_xlfn.IFERROR(((VLOOKUP(P256,'Settings'!$E$28:$F$33,2,FALSE)/2)+1),1)</f>
        <v>154.361613904265</v>
      </c>
      <c r="W256" s="48">
        <f>VLOOKUP(B256,'Player Data'!$A1:$AE734,11,FALSE)*$Q256*_xlfn.IFERROR((VLOOKUP(P256,'Settings'!$E$28:$F$33,2,FALSE)+1),1)</f>
        <v>3.49182583950094</v>
      </c>
      <c r="X256" s="48">
        <f>VLOOKUP(B256,'Player Data'!$A1:$AE734,12,FALSE)*$Q256*_xlfn.IFERROR((VLOOKUP(P256,'Settings'!$E$28:$F$33,2,FALSE)+1),1)</f>
        <v>7.12131848618271</v>
      </c>
      <c r="Y256" s="48">
        <f>VLOOKUP(B256,'Player Data'!$A1:$AE734,13,FALSE)*$Q256</f>
        <v>1.26838321407935</v>
      </c>
      <c r="Z256" s="48">
        <f>VLOOKUP(B256,'Player Data'!$A1:$AE734,14,FALSE)*$Q256</f>
        <v>1.82792532232577</v>
      </c>
      <c r="AA256" s="48">
        <f>VLOOKUP(B256,'Player Data'!$A1:$AE734,15,FALSE)*$Q256</f>
        <v>56.3924846294283</v>
      </c>
      <c r="AB256" s="48">
        <f>VLOOKUP(B256,'Player Data'!$A1:$AE734,16,FALSE)*$Q256</f>
        <v>188.804182892357</v>
      </c>
      <c r="AC256" s="48">
        <f>VLOOKUP(B256,'Player Data'!$A1:$AE734,17,FALSE)*$Q256*_xlfn.IFERROR((VLOOKUP(P256,'Settings'!$E$28:$F$33,2,FALSE)+1),1)</f>
        <v>-2.80276622950777</v>
      </c>
      <c r="AD256" s="48">
        <f>VLOOKUP(B256,'Player Data'!$A1:$AE734,18,FALSE)*$Q256</f>
        <v>78.6840706742511</v>
      </c>
      <c r="AE256" s="48">
        <f>VLOOKUP(B256,'Player Data'!$A1:$AE734,19,FALSE)*$Q256*_xlfn.IFERROR((VLOOKUP(P256,'Settings'!$E$28:$F$33,2,FALSE)+1),1)</f>
        <v>2.66883383713929</v>
      </c>
      <c r="AF256" s="48">
        <f>VLOOKUP(B256,'Player Data'!$A1:$AE734,20,FALSE)*$Q256</f>
        <v>15.3917788924372</v>
      </c>
      <c r="AG256" s="48">
        <f>VLOOKUP(B256,'Player Data'!$A1:$AE734,21,FALSE)*$Q256</f>
        <v>23.1077058043075</v>
      </c>
      <c r="AH256" s="49">
        <f>VLOOKUP(B256,'Player Data'!$A1:$AE734,22,FALSE)</f>
        <v>0.39979181575224</v>
      </c>
      <c r="AI256" s="46"/>
      <c r="AJ256" s="50"/>
      <c r="AK256" s="48"/>
      <c r="AL256" s="48"/>
      <c r="AM256" s="48"/>
      <c r="AN256" s="48"/>
      <c r="AO256" s="48"/>
      <c r="AP256" s="48"/>
      <c r="AQ256" s="51"/>
      <c r="AR256" s="52"/>
      <c r="AS256" s="46"/>
    </row>
    <row r="257" ht="21.25" customHeight="1">
      <c r="A257" s="53">
        <f>RANK(K257,K2:K730)</f>
        <v>213</v>
      </c>
      <c r="B257" t="s" s="8">
        <v>409</v>
      </c>
      <c r="C257" t="s" s="39">
        <v>106</v>
      </c>
      <c r="D257" t="s" s="40">
        <f>VLOOKUP(B257,'Player Data'!A1:D734,4,FALSE)</f>
        <v>121</v>
      </c>
      <c r="E257" s="55">
        <f>VLOOKUP(B257,'RW'!A1:F132,3,FALSE)</f>
        <v>52</v>
      </c>
      <c r="F257" t="s" s="42">
        <f>VLOOKUP(B257,'Player Data'!A1:B734,2,FALSE)</f>
        <v>164</v>
      </c>
      <c r="G257" s="9">
        <f>VLOOKUP(B257,'Player Data'!A1:D734,3,FALSE)</f>
        <v>30</v>
      </c>
      <c r="H257" s="43">
        <f>_xlfn.IFERROR(VLOOKUP(B257,'ADP'!A1:G731,7,FALSE)/1000000,VLOOKUP(B257,'ADP'!A1:G731,7,FALSE))</f>
        <v>4</v>
      </c>
      <c r="I257" s="44">
        <f>IF('Settings'!$E$15="POINTS",((R257*Q257)*'Settings'!$B$12)+(S257*'Settings'!$B$2)+(T257*'Settings'!$B$3)+(U257*'Settings'!$B$4)+(V257*'Settings'!$B$5)+(X257*'Settings'!$B$9)+(AA257*'Settings'!$B$6)+(W257*'Settings'!$B$8)+(AB257*'Settings'!$B$7)+(AC257*'Settings'!$B$14)+(AD257*'Settings'!$B$15)+(AE257*'Settings'!$B$16)+(AF257*'Settings'!$B$17)+(AG257*'Settings'!$B$18)+(Y257*'Settings'!$B$10)+(Z257*'Settings'!$B$11),VLOOKUP(B257,'Standard Deviations'!A1:C731,3,FALSE))</f>
        <v>307.221007291473</v>
      </c>
      <c r="J257" s="45">
        <f>IF(D257="G",I257/AJ257,I257/Q257)</f>
        <v>3.85956039310896</v>
      </c>
      <c r="K257" s="44">
        <f>IF('Settings'!$E$18="C/LW/RW",VLOOKUP(B257,'RW'!A1:F132,6,FALSE),VLOOKUP(B257,'F'!A1:F432,6,FALSE))</f>
        <v>-74.407556414883</v>
      </c>
      <c r="L257" s="44">
        <f>_xlfn.IFERROR(K257/H257,"N/A")</f>
        <v>-18.6018891037208</v>
      </c>
      <c r="M257" s="46">
        <f>IF('Settings'!$E$9="YAHOO",VLOOKUP(B257,'ADP'!A1:E731,2,FALSE),IF('Settings'!$E$9="ESPN",VLOOKUP(B257,'ADP'!A1:E731,3,FALSE),IF('Settings'!$E$9="FANTRAX",VLOOKUP(B257,'ADP'!A1:E731,4,FALSE),VLOOKUP(B257,'ADP'!A1:E731,5,FALSE))))</f>
        <v>231.82</v>
      </c>
      <c r="N257" s="46">
        <f>_xlfn.IFERROR(M257-A257,"N/A")</f>
        <v>18.82</v>
      </c>
      <c r="O257" s="46"/>
      <c r="P257" t="s" s="47">
        <f>IF('Settings'!$E$27="ON",VLOOKUP(B257,'ADP'!A1:H731,8,FALSE)," ")</f>
        <v>109</v>
      </c>
      <c r="Q257" s="48">
        <f>IF('Settings'!$E$12="YES",VLOOKUP(B257,'Player Data'!A1:E734,5,FALSE),82)</f>
        <v>79.59999999999999</v>
      </c>
      <c r="R257" s="46">
        <f>VLOOKUP(B257,'Player Data'!$A1:$AE734,6,FALSE)</f>
        <v>15.9395245149761</v>
      </c>
      <c r="S257" s="48">
        <f>VLOOKUP(B257,'Player Data'!$A1:$AE734,7,FALSE)*$Q257*_xlfn.IFERROR((VLOOKUP(P257,'Settings'!$E$28:$F$33,2,FALSE)+1),1)</f>
        <v>23.9069231300421</v>
      </c>
      <c r="T257" s="48">
        <f>VLOOKUP(B257,'Player Data'!$A1:$AE734,8,FALSE)*$Q257*_xlfn.IFERROR((VLOOKUP(P257,'Settings'!$E$28:$F$33,2,FALSE)+1),1)</f>
        <v>20.0496507458411</v>
      </c>
      <c r="U257" s="48">
        <f>SUM(S257:T257)</f>
        <v>43.9565738758832</v>
      </c>
      <c r="V257" s="48">
        <f>VLOOKUP(B257,'Player Data'!$A1:$AE734,10,FALSE)*$Q257*_xlfn.IFERROR(((VLOOKUP(P257,'Settings'!$E$28:$F$33,2,FALSE)/2)+1),1)</f>
        <v>176.507597604703</v>
      </c>
      <c r="W257" s="48">
        <f>VLOOKUP(B257,'Player Data'!$A1:$AE734,11,FALSE)*$Q257*_xlfn.IFERROR((VLOOKUP(P257,'Settings'!$E$28:$F$33,2,FALSE)+1),1)</f>
        <v>3.79006297097595</v>
      </c>
      <c r="X257" s="48">
        <f>VLOOKUP(B257,'Player Data'!$A1:$AE734,12,FALSE)*$Q257*_xlfn.IFERROR((VLOOKUP(P257,'Settings'!$E$28:$F$33,2,FALSE)+1),1)</f>
        <v>6.63127878287234</v>
      </c>
      <c r="Y257" s="48">
        <f>VLOOKUP(B257,'Player Data'!$A1:$AE734,13,FALSE)*$Q257</f>
        <v>0.00968704096815925</v>
      </c>
      <c r="Z257" s="48">
        <f>VLOOKUP(B257,'Player Data'!$A1:$AE734,14,FALSE)*$Q257</f>
        <v>0.0176595203895223</v>
      </c>
      <c r="AA257" s="48">
        <f>VLOOKUP(B257,'Player Data'!$A1:$AE734,15,FALSE)*$Q257</f>
        <v>29.8394684737995</v>
      </c>
      <c r="AB257" s="48">
        <f>VLOOKUP(B257,'Player Data'!$A1:$AE734,16,FALSE)*$Q257</f>
        <v>145.128195554920</v>
      </c>
      <c r="AC257" s="48">
        <f>VLOOKUP(B257,'Player Data'!$A1:$AE734,17,FALSE)*$Q257*_xlfn.IFERROR((VLOOKUP(P257,'Settings'!$E$28:$F$33,2,FALSE)+1),1)</f>
        <v>4.24899653904711</v>
      </c>
      <c r="AD257" s="48">
        <f>VLOOKUP(B257,'Player Data'!$A1:$AE734,18,FALSE)*$Q257</f>
        <v>28.3704288062573</v>
      </c>
      <c r="AE257" s="48">
        <f>VLOOKUP(B257,'Player Data'!$A1:$AE734,19,FALSE)*$Q257*_xlfn.IFERROR((VLOOKUP(P257,'Settings'!$E$28:$F$33,2,FALSE)+1),1)</f>
        <v>3.7295600291098</v>
      </c>
      <c r="AF257" s="48">
        <f>VLOOKUP(B257,'Player Data'!$A1:$AE734,20,FALSE)*$Q257</f>
        <v>8.16852747489899</v>
      </c>
      <c r="AG257" s="48">
        <f>VLOOKUP(B257,'Player Data'!$A1:$AE734,21,FALSE)*$Q257</f>
        <v>8.79650988241003</v>
      </c>
      <c r="AH257" s="49">
        <f>VLOOKUP(B257,'Player Data'!$A1:$AE734,22,FALSE)</f>
        <v>0.481491864878195</v>
      </c>
      <c r="AI257" s="46"/>
      <c r="AJ257" s="50"/>
      <c r="AK257" s="48"/>
      <c r="AL257" s="48"/>
      <c r="AM257" s="48"/>
      <c r="AN257" s="48"/>
      <c r="AO257" s="48"/>
      <c r="AP257" s="48"/>
      <c r="AQ257" s="51"/>
      <c r="AR257" s="52"/>
      <c r="AS257" s="46"/>
    </row>
    <row r="258" ht="21.25" customHeight="1">
      <c r="A258" s="53">
        <f>RANK(K258,K2:K730)</f>
        <v>293</v>
      </c>
      <c r="B258" t="s" s="8">
        <v>410</v>
      </c>
      <c r="C258" t="s" s="39">
        <v>106</v>
      </c>
      <c r="D258" t="s" s="40">
        <f>VLOOKUP(B258,'Player Data'!A1:D734,4,FALSE)</f>
        <v>107</v>
      </c>
      <c r="E258" s="41">
        <f>VLOOKUP(B258,'C'!A1:C218,3,FALSE)</f>
        <v>77</v>
      </c>
      <c r="F258" t="s" s="42">
        <f>VLOOKUP(B258,'Player Data'!A1:B734,2,FALSE)</f>
        <v>236</v>
      </c>
      <c r="G258" s="9">
        <f>VLOOKUP(B258,'Player Data'!A1:D734,3,FALSE)</f>
        <v>30</v>
      </c>
      <c r="H258" s="43">
        <f>_xlfn.IFERROR(VLOOKUP(B258,'ADP'!A1:G731,7,FALSE)/1000000,VLOOKUP(B258,'ADP'!A1:G731,7,FALSE))</f>
        <v>7.75</v>
      </c>
      <c r="I258" s="44">
        <f>IF('Settings'!$E$15="POINTS",((R258*Q258)*'Settings'!$B$12)+(S258*'Settings'!$B$2)+(T258*'Settings'!$B$3)+(U258*'Settings'!$B$4)+(V258*'Settings'!$B$5)+(X258*'Settings'!$B$9)+(AA258*'Settings'!$B$6)+(W258*'Settings'!$B$8)+(AB258*'Settings'!$B$7)+(AC258*'Settings'!$B$14)+(AD258*'Settings'!$B$15)+(AE258*'Settings'!$B$16)+(AF258*'Settings'!$B$17)+(AG258*'Settings'!$B$18)+(Y258*'Settings'!$B$10)+(Z258*'Settings'!$B$11),VLOOKUP(B258,'Standard Deviations'!A1:C731,3,FALSE))</f>
        <v>283.189386986371</v>
      </c>
      <c r="J258" s="45">
        <f>IF(D258="G",I258/AJ258,I258/Q258)</f>
        <v>4.83449857367825</v>
      </c>
      <c r="K258" s="44">
        <f>IF('Settings'!$E$18="C/LW/RW",VLOOKUP(B258,'C'!A1:F218,6,FALSE),VLOOKUP(B258,'F'!A1:F432,6,FALSE))</f>
        <v>-112.584814649644</v>
      </c>
      <c r="L258" s="44">
        <f>_xlfn.IFERROR(K258/H258,"N/A")</f>
        <v>-14.5270728580186</v>
      </c>
      <c r="M258" s="46">
        <f>IF('Settings'!$E$9="YAHOO",VLOOKUP(B258,'ADP'!A1:E731,2,FALSE),IF('Settings'!$E$9="ESPN",VLOOKUP(B258,'ADP'!A1:E731,3,FALSE),IF('Settings'!$E$9="FANTRAX",VLOOKUP(B258,'ADP'!A1:E731,4,FALSE),VLOOKUP(B258,'ADP'!A1:E731,5,FALSE))))</f>
        <v>211.44</v>
      </c>
      <c r="N258" s="46">
        <f>_xlfn.IFERROR(M258-A258,"N/A")</f>
        <v>-81.56</v>
      </c>
      <c r="O258" s="46"/>
      <c r="P258" t="s" s="47">
        <f>IF('Settings'!$E$27="ON",VLOOKUP(B258,'ADP'!A1:H731,8,FALSE)," ")</f>
        <v>109</v>
      </c>
      <c r="Q258" s="48">
        <f>IF('Settings'!$E$12="YES",VLOOKUP(B258,'Player Data'!A1:E734,5,FALSE),82)</f>
        <v>58.5767857142857</v>
      </c>
      <c r="R258" s="46">
        <f>VLOOKUP(B258,'Player Data'!$A1:$AE734,6,FALSE)</f>
        <v>20.2187346493902</v>
      </c>
      <c r="S258" s="48">
        <f>VLOOKUP(B258,'Player Data'!$A1:$AE734,7,FALSE)*$Q258*_xlfn.IFERROR((VLOOKUP(P258,'Settings'!$E$28:$F$33,2,FALSE)+1),1)</f>
        <v>18.9350610582439</v>
      </c>
      <c r="T258" s="48">
        <f>VLOOKUP(B258,'Player Data'!$A1:$AE734,8,FALSE)*$Q258*_xlfn.IFERROR((VLOOKUP(P258,'Settings'!$E$28:$F$33,2,FALSE)+1),1)</f>
        <v>27.6592916870541</v>
      </c>
      <c r="U258" s="48">
        <f>SUM(S258:T258)</f>
        <v>46.594352745298</v>
      </c>
      <c r="V258" s="48">
        <f>VLOOKUP(B258,'Player Data'!$A1:$AE734,10,FALSE)*$Q258*_xlfn.IFERROR(((VLOOKUP(P258,'Settings'!$E$28:$F$33,2,FALSE)/2)+1),1)</f>
        <v>165.165175283409</v>
      </c>
      <c r="W258" s="48">
        <f>VLOOKUP(B258,'Player Data'!$A1:$AE734,11,FALSE)*$Q258*_xlfn.IFERROR((VLOOKUP(P258,'Settings'!$E$28:$F$33,2,FALSE)+1),1)</f>
        <v>3.93255314142221</v>
      </c>
      <c r="X258" s="48">
        <f>VLOOKUP(B258,'Player Data'!$A1:$AE734,12,FALSE)*$Q258*_xlfn.IFERROR((VLOOKUP(P258,'Settings'!$E$28:$F$33,2,FALSE)+1),1)</f>
        <v>11.3098324413006</v>
      </c>
      <c r="Y258" s="48">
        <f>VLOOKUP(B258,'Player Data'!$A1:$AE734,13,FALSE)*$Q258</f>
        <v>0.288258307240746</v>
      </c>
      <c r="Z258" s="48">
        <f>VLOOKUP(B258,'Player Data'!$A1:$AE734,14,FALSE)*$Q258</f>
        <v>1.15177388014804</v>
      </c>
      <c r="AA258" s="48">
        <f>VLOOKUP(B258,'Player Data'!$A1:$AE734,15,FALSE)*$Q258</f>
        <v>34.1925424755019</v>
      </c>
      <c r="AB258" s="48">
        <f>VLOOKUP(B258,'Player Data'!$A1:$AE734,16,FALSE)*$Q258</f>
        <v>52.0853220934386</v>
      </c>
      <c r="AC258" s="48">
        <f>VLOOKUP(B258,'Player Data'!$A1:$AE734,17,FALSE)*$Q258*_xlfn.IFERROR((VLOOKUP(P258,'Settings'!$E$28:$F$33,2,FALSE)+1),1)</f>
        <v>-3.70846027113844</v>
      </c>
      <c r="AD258" s="48">
        <f>VLOOKUP(B258,'Player Data'!$A1:$AE734,18,FALSE)*$Q258</f>
        <v>0</v>
      </c>
      <c r="AE258" s="48">
        <f>VLOOKUP(B258,'Player Data'!$A1:$AE734,19,FALSE)*$Q258*_xlfn.IFERROR((VLOOKUP(P258,'Settings'!$E$28:$F$33,2,FALSE)+1),1)</f>
        <v>2.22573391602666</v>
      </c>
      <c r="AF258" s="48">
        <f>VLOOKUP(B258,'Player Data'!$A1:$AE734,20,FALSE)*$Q258</f>
        <v>537.601410931657</v>
      </c>
      <c r="AG258" s="48">
        <f>VLOOKUP(B258,'Player Data'!$A1:$AE734,21,FALSE)*$Q258</f>
        <v>417.555592642831</v>
      </c>
      <c r="AH258" s="49">
        <f>VLOOKUP(B258,'Player Data'!$A1:$AE734,22,FALSE)</f>
        <v>0.5628408826190761</v>
      </c>
      <c r="AI258" s="46"/>
      <c r="AJ258" s="50"/>
      <c r="AK258" s="48"/>
      <c r="AL258" s="48"/>
      <c r="AM258" s="48"/>
      <c r="AN258" s="48"/>
      <c r="AO258" s="48"/>
      <c r="AP258" s="48"/>
      <c r="AQ258" s="51"/>
      <c r="AR258" s="52"/>
      <c r="AS258" s="46"/>
    </row>
    <row r="259" ht="21.25" customHeight="1">
      <c r="A259" s="53">
        <f>RANK(K259,K2:K730)</f>
        <v>338</v>
      </c>
      <c r="B259" t="s" s="8">
        <v>411</v>
      </c>
      <c r="C259" t="s" s="39">
        <v>106</v>
      </c>
      <c r="D259" t="s" s="40">
        <f>VLOOKUP(B259,'Player Data'!A1:D734,4,FALSE)</f>
        <v>107</v>
      </c>
      <c r="E259" s="41">
        <f>VLOOKUP(B259,'C'!A1:C218,3,FALSE)</f>
        <v>92</v>
      </c>
      <c r="F259" t="s" s="42">
        <f>VLOOKUP(B259,'Player Data'!A1:B734,2,FALSE)</f>
        <v>141</v>
      </c>
      <c r="G259" s="9">
        <f>VLOOKUP(B259,'Player Data'!A1:D734,3,FALSE)</f>
        <v>20</v>
      </c>
      <c r="H259" s="43">
        <f>_xlfn.IFERROR(VLOOKUP(B259,'ADP'!A1:G731,7,FALSE)/1000000,VLOOKUP(B259,'ADP'!A1:G731,7,FALSE))</f>
        <v>0.894167</v>
      </c>
      <c r="I259" s="44">
        <f>IF('Settings'!$E$15="POINTS",((R259*Q259)*'Settings'!$B$12)+(S259*'Settings'!$B$2)+(T259*'Settings'!$B$3)+(U259*'Settings'!$B$4)+(V259*'Settings'!$B$5)+(X259*'Settings'!$B$9)+(AA259*'Settings'!$B$6)+(W259*'Settings'!$B$8)+(AB259*'Settings'!$B$7)+(AC259*'Settings'!$B$14)+(AD259*'Settings'!$B$15)+(AE259*'Settings'!$B$16)+(AF259*'Settings'!$B$17)+(AG259*'Settings'!$B$18)+(Y259*'Settings'!$B$10)+(Z259*'Settings'!$B$11),VLOOKUP(B259,'Standard Deviations'!A1:C731,3,FALSE))</f>
        <v>268.377119151085</v>
      </c>
      <c r="J259" s="45">
        <f>IF(D259="G",I259/AJ259,I259/Q259)</f>
        <v>4.06631998713765</v>
      </c>
      <c r="K259" s="44">
        <f>IF('Settings'!$E$18="C/LW/RW",VLOOKUP(B259,'C'!A1:F218,6,FALSE),VLOOKUP(B259,'F'!A1:F432,6,FALSE))</f>
        <v>-127.397082484930</v>
      </c>
      <c r="L259" s="44">
        <f>_xlfn.IFERROR(K259/H259,"N/A")</f>
        <v>-142.475714810466</v>
      </c>
      <c r="M259" s="46">
        <f>IF('Settings'!$E$9="YAHOO",VLOOKUP(B259,'ADP'!A1:E731,2,FALSE),IF('Settings'!$E$9="ESPN",VLOOKUP(B259,'ADP'!A1:E731,3,FALSE),IF('Settings'!$E$9="FANTRAX",VLOOKUP(B259,'ADP'!A1:E731,4,FALSE),VLOOKUP(B259,'ADP'!A1:E731,5,FALSE))))</f>
        <v>235.44</v>
      </c>
      <c r="N259" s="46">
        <f>_xlfn.IFERROR(M259-A259,"N/A")</f>
        <v>-102.56</v>
      </c>
      <c r="O259" s="46"/>
      <c r="P259" t="s" s="47">
        <f>IF('Settings'!$E$27="ON",VLOOKUP(B259,'ADP'!A1:H731,8,FALSE)," ")</f>
        <v>175</v>
      </c>
      <c r="Q259" s="48">
        <f>IF('Settings'!$E$12="YES",VLOOKUP(B259,'Player Data'!A1:E734,5,FALSE),82)</f>
        <v>66</v>
      </c>
      <c r="R259" s="46">
        <f>VLOOKUP(B259,'Player Data'!$A1:$AE734,6,FALSE)</f>
        <v>18.0726914871447</v>
      </c>
      <c r="S259" s="48">
        <f>VLOOKUP(B259,'Player Data'!$A1:$AE734,7,FALSE)*$Q259*_xlfn.IFERROR((VLOOKUP(P259,'Settings'!$E$28:$F$33,2,FALSE)+1),1)</f>
        <v>19.0029152773455</v>
      </c>
      <c r="T259" s="48">
        <f>VLOOKUP(B259,'Player Data'!$A1:$AE734,8,FALSE)*$Q259*_xlfn.IFERROR((VLOOKUP(P259,'Settings'!$E$28:$F$33,2,FALSE)+1),1)</f>
        <v>27.8728825684971</v>
      </c>
      <c r="U259" s="48">
        <f>SUM(S259:T259)</f>
        <v>46.8757978458426</v>
      </c>
      <c r="V259" s="48">
        <f>VLOOKUP(B259,'Player Data'!$A1:$AE734,10,FALSE)*$Q259*_xlfn.IFERROR(((VLOOKUP(P259,'Settings'!$E$28:$F$33,2,FALSE)/2)+1),1)</f>
        <v>135.972011739106</v>
      </c>
      <c r="W259" s="48">
        <f>VLOOKUP(B259,'Player Data'!$A1:$AE734,11,FALSE)*$Q259*_xlfn.IFERROR((VLOOKUP(P259,'Settings'!$E$28:$F$33,2,FALSE)+1),1)</f>
        <v>4.86098809208999</v>
      </c>
      <c r="X259" s="48">
        <f>VLOOKUP(B259,'Player Data'!$A1:$AE734,12,FALSE)*$Q259*_xlfn.IFERROR((VLOOKUP(P259,'Settings'!$E$28:$F$33,2,FALSE)+1),1)</f>
        <v>18.2308173435519</v>
      </c>
      <c r="Y259" s="48">
        <f>VLOOKUP(B259,'Player Data'!$A1:$AE734,13,FALSE)*$Q259</f>
        <v>0.125702260521959</v>
      </c>
      <c r="Z259" s="48">
        <f>VLOOKUP(B259,'Player Data'!$A1:$AE734,14,FALSE)*$Q259</f>
        <v>0.222437233547132</v>
      </c>
      <c r="AA259" s="48">
        <f>VLOOKUP(B259,'Player Data'!$A1:$AE734,15,FALSE)*$Q259</f>
        <v>33.3534327590851</v>
      </c>
      <c r="AB259" s="48">
        <f>VLOOKUP(B259,'Player Data'!$A1:$AE734,16,FALSE)*$Q259</f>
        <v>56.5510239253949</v>
      </c>
      <c r="AC259" s="48">
        <f>VLOOKUP(B259,'Player Data'!$A1:$AE734,17,FALSE)*$Q259*_xlfn.IFERROR((VLOOKUP(P259,'Settings'!$E$28:$F$33,2,FALSE)+1),1)</f>
        <v>-0.626716092011958</v>
      </c>
      <c r="AD259" s="48">
        <f>VLOOKUP(B259,'Player Data'!$A1:$AE734,18,FALSE)*$Q259</f>
        <v>31.7192521169964</v>
      </c>
      <c r="AE259" s="48">
        <f>VLOOKUP(B259,'Player Data'!$A1:$AE734,19,FALSE)*$Q259*_xlfn.IFERROR((VLOOKUP(P259,'Settings'!$E$28:$F$33,2,FALSE)+1),1)</f>
        <v>2.35932128250209</v>
      </c>
      <c r="AF259" s="48">
        <f>VLOOKUP(B259,'Player Data'!$A1:$AE734,20,FALSE)*$Q259</f>
        <v>17.2410868505594</v>
      </c>
      <c r="AG259" s="48">
        <f>VLOOKUP(B259,'Player Data'!$A1:$AE734,21,FALSE)*$Q259</f>
        <v>32.0036734889404</v>
      </c>
      <c r="AH259" s="49">
        <f>VLOOKUP(B259,'Player Data'!$A1:$AE734,22,FALSE)</f>
        <v>0.350110077329997</v>
      </c>
      <c r="AI259" s="46"/>
      <c r="AJ259" s="50"/>
      <c r="AK259" s="48"/>
      <c r="AL259" s="48"/>
      <c r="AM259" s="48"/>
      <c r="AN259" s="48"/>
      <c r="AO259" s="48"/>
      <c r="AP259" s="48"/>
      <c r="AQ259" s="51"/>
      <c r="AR259" s="52"/>
      <c r="AS259" s="46"/>
    </row>
    <row r="260" ht="21.25" customHeight="1">
      <c r="A260" s="53">
        <f>RANK(K260,K2:K730)</f>
        <v>201</v>
      </c>
      <c r="B260" t="s" s="8">
        <v>412</v>
      </c>
      <c r="C260" t="s" s="39">
        <v>106</v>
      </c>
      <c r="D260" t="s" s="40">
        <f>VLOOKUP(B260,'Player Data'!A1:D734,4,FALSE)</f>
        <v>111</v>
      </c>
      <c r="E260" s="54">
        <f>VLOOKUP(B260,'LW'!A1:C156,3,FALSE)</f>
        <v>53</v>
      </c>
      <c r="F260" t="s" s="42">
        <f>VLOOKUP(B260,'Player Data'!A1:B734,2,FALSE)</f>
        <v>218</v>
      </c>
      <c r="G260" s="9">
        <f>VLOOKUP(B260,'Player Data'!A1:D734,3,FALSE)</f>
        <v>27</v>
      </c>
      <c r="H260" s="43">
        <f>_xlfn.IFERROR(VLOOKUP(B260,'ADP'!A1:G731,7,FALSE)/1000000,VLOOKUP(B260,'ADP'!A1:G731,7,FALSE))</f>
        <v>5</v>
      </c>
      <c r="I260" s="44">
        <f>IF('Settings'!$E$15="POINTS",((R260*Q260)*'Settings'!$B$12)+(S260*'Settings'!$B$2)+(T260*'Settings'!$B$3)+(U260*'Settings'!$B$4)+(V260*'Settings'!$B$5)+(X260*'Settings'!$B$9)+(AA260*'Settings'!$B$6)+(W260*'Settings'!$B$8)+(AB260*'Settings'!$B$7)+(AC260*'Settings'!$B$14)+(AD260*'Settings'!$B$15)+(AE260*'Settings'!$B$16)+(AF260*'Settings'!$B$17)+(AG260*'Settings'!$B$18)+(Y260*'Settings'!$B$10)+(Z260*'Settings'!$B$11),VLOOKUP(B260,'Standard Deviations'!A1:C731,3,FALSE))</f>
        <v>313.249482395520</v>
      </c>
      <c r="J260" s="45">
        <f>IF(D260="G",I260/AJ260,I260/Q260)</f>
        <v>3.95233644125765</v>
      </c>
      <c r="K260" s="44">
        <f>IF('Settings'!$E$18="C/LW/RW",VLOOKUP(B260,'LW'!A1:F156,6,FALSE),VLOOKUP(B260,'F'!A1:F432,6,FALSE))</f>
        <v>-68.379081310836</v>
      </c>
      <c r="L260" s="44">
        <f>_xlfn.IFERROR(K260/H260,"N/A")</f>
        <v>-13.6758162621672</v>
      </c>
      <c r="M260" s="46">
        <f>IF('Settings'!$E$9="YAHOO",VLOOKUP(B260,'ADP'!A1:E731,2,FALSE),IF('Settings'!$E$9="ESPN",VLOOKUP(B260,'ADP'!A1:E731,3,FALSE),IF('Settings'!$E$9="FANTRAX",VLOOKUP(B260,'ADP'!A1:E731,4,FALSE),VLOOKUP(B260,'ADP'!A1:E731,5,FALSE))))</f>
        <v>161.62</v>
      </c>
      <c r="N260" s="46">
        <f>_xlfn.IFERROR(M260-A260,"N/A")</f>
        <v>-39.38</v>
      </c>
      <c r="O260" s="46"/>
      <c r="P260" t="s" s="47">
        <f>IF('Settings'!$E$27="ON",VLOOKUP(B260,'ADP'!A1:H731,8,FALSE)," ")</f>
        <v>116</v>
      </c>
      <c r="Q260" s="48">
        <f>IF('Settings'!$E$12="YES",VLOOKUP(B260,'Player Data'!A1:E734,5,FALSE),82)</f>
        <v>79.2567857142857</v>
      </c>
      <c r="R260" s="46">
        <f>VLOOKUP(B260,'Player Data'!$A1:$AE734,6,FALSE)</f>
        <v>17.261526936530</v>
      </c>
      <c r="S260" s="48">
        <f>VLOOKUP(B260,'Player Data'!$A1:$AE734,7,FALSE)*$Q260*_xlfn.IFERROR((VLOOKUP(P260,'Settings'!$E$28:$F$33,2,FALSE)+1),1)</f>
        <v>20.708086993114</v>
      </c>
      <c r="T260" s="48">
        <f>VLOOKUP(B260,'Player Data'!$A1:$AE734,8,FALSE)*$Q260*_xlfn.IFERROR((VLOOKUP(P260,'Settings'!$E$28:$F$33,2,FALSE)+1),1)</f>
        <v>32.0267439456306</v>
      </c>
      <c r="U260" s="48">
        <f>SUM(S260:T260)</f>
        <v>52.7348309387446</v>
      </c>
      <c r="V260" s="48">
        <f>VLOOKUP(B260,'Player Data'!$A1:$AE734,10,FALSE)*$Q260*_xlfn.IFERROR(((VLOOKUP(P260,'Settings'!$E$28:$F$33,2,FALSE)/2)+1),1)</f>
        <v>126.732767803786</v>
      </c>
      <c r="W260" s="48">
        <f>VLOOKUP(B260,'Player Data'!$A1:$AE734,11,FALSE)*$Q260*_xlfn.IFERROR((VLOOKUP(P260,'Settings'!$E$28:$F$33,2,FALSE)+1),1)</f>
        <v>3.34391751494096</v>
      </c>
      <c r="X260" s="48">
        <f>VLOOKUP(B260,'Player Data'!$A1:$AE734,12,FALSE)*$Q260*_xlfn.IFERROR((VLOOKUP(P260,'Settings'!$E$28:$F$33,2,FALSE)+1),1)</f>
        <v>7.81448849544754</v>
      </c>
      <c r="Y260" s="48">
        <f>VLOOKUP(B260,'Player Data'!$A1:$AE734,13,FALSE)*$Q260</f>
        <v>0.335925882234363</v>
      </c>
      <c r="Z260" s="48">
        <f>VLOOKUP(B260,'Player Data'!$A1:$AE734,14,FALSE)*$Q260</f>
        <v>0.662043366862931</v>
      </c>
      <c r="AA260" s="48">
        <f>VLOOKUP(B260,'Player Data'!$A1:$AE734,15,FALSE)*$Q260</f>
        <v>38.8353732798043</v>
      </c>
      <c r="AB260" s="48">
        <f>VLOOKUP(B260,'Player Data'!$A1:$AE734,16,FALSE)*$Q260</f>
        <v>159.498807256376</v>
      </c>
      <c r="AC260" s="48">
        <f>VLOOKUP(B260,'Player Data'!$A1:$AE734,17,FALSE)*$Q260*_xlfn.IFERROR((VLOOKUP(P260,'Settings'!$E$28:$F$33,2,FALSE)+1),1)</f>
        <v>3.91055037199066</v>
      </c>
      <c r="AD260" s="48">
        <f>VLOOKUP(B260,'Player Data'!$A1:$AE734,18,FALSE)*$Q260</f>
        <v>37.9423876126115</v>
      </c>
      <c r="AE260" s="48">
        <f>VLOOKUP(B260,'Player Data'!$A1:$AE734,19,FALSE)*$Q260*_xlfn.IFERROR((VLOOKUP(P260,'Settings'!$E$28:$F$33,2,FALSE)+1),1)</f>
        <v>3.38426642981532</v>
      </c>
      <c r="AF260" s="48">
        <f>VLOOKUP(B260,'Player Data'!$A1:$AE734,20,FALSE)*$Q260</f>
        <v>77.7634362405265</v>
      </c>
      <c r="AG260" s="48">
        <f>VLOOKUP(B260,'Player Data'!$A1:$AE734,21,FALSE)*$Q260</f>
        <v>117.672199686442</v>
      </c>
      <c r="AH260" s="49">
        <f>VLOOKUP(B260,'Player Data'!$A1:$AE734,22,FALSE)</f>
        <v>0.397897936431539</v>
      </c>
      <c r="AI260" s="46"/>
      <c r="AJ260" s="50"/>
      <c r="AK260" s="48"/>
      <c r="AL260" s="48"/>
      <c r="AM260" s="48"/>
      <c r="AN260" s="48"/>
      <c r="AO260" s="48"/>
      <c r="AP260" s="48"/>
      <c r="AQ260" s="51"/>
      <c r="AR260" s="52"/>
      <c r="AS260" s="50"/>
    </row>
    <row r="261" ht="21.25" customHeight="1">
      <c r="A261" s="53">
        <f>RANK(K261,K2:K730)</f>
        <v>269</v>
      </c>
      <c r="B261" t="s" s="8">
        <v>413</v>
      </c>
      <c r="C261" t="s" s="39">
        <v>106</v>
      </c>
      <c r="D261" t="s" s="40">
        <f>VLOOKUP(B261,'Player Data'!A1:D734,4,FALSE)</f>
        <v>129</v>
      </c>
      <c r="E261" s="56">
        <f>VLOOKUP(B261,'D'!A1:C228,3,FALSE)</f>
        <v>77</v>
      </c>
      <c r="F261" t="s" s="42">
        <f>VLOOKUP(B261,'Player Data'!A1:B734,2,FALSE)</f>
        <v>134</v>
      </c>
      <c r="G261" s="9">
        <f>VLOOKUP(B261,'Player Data'!A1:D734,3,FALSE)</f>
        <v>30</v>
      </c>
      <c r="H261" s="43">
        <f>_xlfn.IFERROR(VLOOKUP(B261,'ADP'!A1:G731,7,FALSE)/1000000,VLOOKUP(B261,'ADP'!A1:G731,7,FALSE))</f>
        <v>6</v>
      </c>
      <c r="I261" s="44">
        <f>IF('Settings'!$E$15="POINTS",((R261*Q261)*'Settings'!$B$12)+(S261*'Settings'!$B$2)+(T261*'Settings'!$B$3)+(U261*'Settings'!$B$4)+(V261*'Settings'!$B$5)+(X261*'Settings'!$B$9)+(AA261*'Settings'!$B$6)+(W261*'Settings'!$B$8)+(AB261*'Settings'!$B$7)+(AC261*'Settings'!$B$14)+(AD261*'Settings'!$B$15)+(AE261*'Settings'!$B$16)+(AF261*'Settings'!$B$17)+(AG261*'Settings'!$B$18)+(U261*'Settings'!$B$13)+(Y261*'Settings'!$B$10)+(Z261*'Settings'!$B$11),VLOOKUP(B261,'Standard Deviations'!A1:C731,3,FALSE))</f>
        <v>239.559144293493</v>
      </c>
      <c r="J261" s="45">
        <f>IF(D261="G",I261/AJ261,I261/Q261)</f>
        <v>3.09908336731556</v>
      </c>
      <c r="K261" s="44">
        <f>VLOOKUP(B261,'D'!A1:F228,6,FALSE)</f>
        <v>-101.175994353030</v>
      </c>
      <c r="L261" s="44">
        <f>_xlfn.IFERROR(K261/H261,"N/A")</f>
        <v>-16.862665725505</v>
      </c>
      <c r="M261" t="s" s="61">
        <f>IF('Settings'!$E$9="YAHOO",VLOOKUP(B261,'ADP'!A1:E731,2,FALSE),IF('Settings'!$E$9="ESPN",VLOOKUP(B261,'ADP'!A1:E731,3,FALSE),IF('Settings'!$E$9="FANTRAX",VLOOKUP(B261,'ADP'!A1:E731,4,FALSE),VLOOKUP(B261,'ADP'!A1:E731,5,FALSE))))</f>
        <v>329</v>
      </c>
      <c r="N261" t="s" s="61">
        <f>_xlfn.IFERROR(M261-A261,"N/A")</f>
        <v>158</v>
      </c>
      <c r="O261" s="46"/>
      <c r="P261" t="s" s="47">
        <f>IF('Settings'!$E$27="ON",VLOOKUP(B261,'ADP'!A1:H731,8,FALSE)," ")</f>
        <v>109</v>
      </c>
      <c r="Q261" s="48">
        <f>IF('Settings'!$E$12="YES",VLOOKUP(B261,'Player Data'!A1:E734,5,FALSE),82)</f>
        <v>77.3</v>
      </c>
      <c r="R261" s="46">
        <f>VLOOKUP(B261,'Player Data'!$A1:$AE734,6,FALSE)</f>
        <v>22.5775077096037</v>
      </c>
      <c r="S261" s="48">
        <f>VLOOKUP(B261,'Player Data'!$A1:$AE734,7,FALSE)*$Q261*_xlfn.IFERROR((VLOOKUP(P261,'Settings'!$E$28:$F$33,2,FALSE)+1),1)</f>
        <v>5.9439392670544</v>
      </c>
      <c r="T261" s="48">
        <f>VLOOKUP(B261,'Player Data'!$A1:$AE734,8,FALSE)*$Q261*_xlfn.IFERROR((VLOOKUP(P261,'Settings'!$E$28:$F$33,2,FALSE)+1),1)</f>
        <v>19.6394453687412</v>
      </c>
      <c r="U261" s="48">
        <f>SUM(S261:T261)</f>
        <v>25.5833846357956</v>
      </c>
      <c r="V261" s="48">
        <f>VLOOKUP(B261,'Player Data'!$A1:$AE734,10,FALSE)*$Q261*_xlfn.IFERROR(((VLOOKUP(P261,'Settings'!$E$28:$F$33,2,FALSE)/2)+1),1)</f>
        <v>118.945561769254</v>
      </c>
      <c r="W261" s="48">
        <f>VLOOKUP(B261,'Player Data'!$A1:$AE734,11,FALSE)*$Q261*_xlfn.IFERROR((VLOOKUP(P261,'Settings'!$E$28:$F$33,2,FALSE)+1),1)</f>
        <v>0.216513626367693</v>
      </c>
      <c r="X261" s="48">
        <f>VLOOKUP(B261,'Player Data'!$A1:$AE734,12,FALSE)*$Q261*_xlfn.IFERROR((VLOOKUP(P261,'Settings'!$E$28:$F$33,2,FALSE)+1),1)</f>
        <v>1.16667009792206</v>
      </c>
      <c r="Y261" s="48">
        <f>VLOOKUP(B261,'Player Data'!$A1:$AE734,13,FALSE)*$Q261</f>
        <v>0.0271043624390057</v>
      </c>
      <c r="Z261" s="48">
        <f>VLOOKUP(B261,'Player Data'!$A1:$AE734,14,FALSE)*$Q261</f>
        <v>1.56032158638107</v>
      </c>
      <c r="AA261" s="48">
        <f>VLOOKUP(B261,'Player Data'!$A1:$AE734,15,FALSE)*$Q261</f>
        <v>150.580113443550</v>
      </c>
      <c r="AB261" s="48">
        <f>VLOOKUP(B261,'Player Data'!$A1:$AE734,16,FALSE)*$Q261</f>
        <v>64.0384028254413</v>
      </c>
      <c r="AC261" s="48">
        <f>VLOOKUP(B261,'Player Data'!$A1:$AE734,17,FALSE)*$Q261*_xlfn.IFERROR((VLOOKUP(P261,'Settings'!$E$28:$F$33,2,FALSE)+1),1)</f>
        <v>3.12660272855594</v>
      </c>
      <c r="AD261" s="48">
        <f>VLOOKUP(B261,'Player Data'!$A1:$AE734,18,FALSE)*$Q261</f>
        <v>30.5606826807</v>
      </c>
      <c r="AE261" s="48">
        <f>VLOOKUP(B261,'Player Data'!$A1:$AE734,19,FALSE)*$Q261*_xlfn.IFERROR((VLOOKUP(P261,'Settings'!$E$28:$F$33,2,FALSE)+1),1)</f>
        <v>0.954456461659199</v>
      </c>
      <c r="AF261" s="48">
        <f>VLOOKUP(B261,'Player Data'!$A1:$AE734,20,FALSE)*$Q261</f>
        <v>0</v>
      </c>
      <c r="AG261" s="48">
        <f>VLOOKUP(B261,'Player Data'!$A1:$AE734,21,FALSE)*$Q261</f>
        <v>0</v>
      </c>
      <c r="AH261" s="49">
        <f>VLOOKUP(B261,'Player Data'!$A1:$AE734,22,FALSE)</f>
        <v>0</v>
      </c>
      <c r="AI261" s="46"/>
      <c r="AJ261" s="50"/>
      <c r="AK261" s="48"/>
      <c r="AL261" s="48"/>
      <c r="AM261" s="48"/>
      <c r="AN261" s="48"/>
      <c r="AO261" s="48"/>
      <c r="AP261" s="48"/>
      <c r="AQ261" s="51"/>
      <c r="AR261" s="52"/>
      <c r="AS261" s="46"/>
    </row>
    <row r="262" ht="21.25" customHeight="1">
      <c r="A262" s="53">
        <f>RANK(K262,K2:K730)</f>
        <v>259</v>
      </c>
      <c r="B262" t="s" s="8">
        <v>414</v>
      </c>
      <c r="C262" t="s" s="39">
        <v>106</v>
      </c>
      <c r="D262" t="s" s="40">
        <f>VLOOKUP(B262,'Player Data'!A1:D734,4,FALSE)</f>
        <v>133</v>
      </c>
      <c r="E262" s="57">
        <f>VLOOKUP(B262,'LW'!A1:C156,3,FALSE)</f>
        <v>65</v>
      </c>
      <c r="F262" t="s" s="42">
        <f>VLOOKUP(B262,'Player Data'!A1:B734,2,FALSE)</f>
        <v>204</v>
      </c>
      <c r="G262" s="9">
        <f>VLOOKUP(B262,'Player Data'!A1:D734,3,FALSE)</f>
        <v>28</v>
      </c>
      <c r="H262" s="43">
        <f>_xlfn.IFERROR(VLOOKUP(B262,'ADP'!A1:G731,7,FALSE)/1000000,VLOOKUP(B262,'ADP'!A1:G731,7,FALSE))</f>
        <v>4.2</v>
      </c>
      <c r="I262" s="44">
        <f>IF('Settings'!$E$15="POINTS",((R262*Q262)*'Settings'!$B$12)+(S262*'Settings'!$B$2)+(T262*'Settings'!$B$3)+(U262*'Settings'!$B$4)+(V262*'Settings'!$B$5)+(X262*'Settings'!$B$9)+(AA262*'Settings'!$B$6)+(W262*'Settings'!$B$8)+(AB262*'Settings'!$B$7)+(AC262*'Settings'!$B$14)+(AD262*'Settings'!$B$15)+(AE262*'Settings'!$B$16)+(AF262*'Settings'!$B$17)+(AG262*'Settings'!$B$18)+(Y262*'Settings'!$B$10)+(Z262*'Settings'!$B$11),VLOOKUP(B262,'Standard Deviations'!A1:C731,3,FALSE))</f>
        <v>284.619558529833</v>
      </c>
      <c r="J262" s="45">
        <f>IF(D262="G",I262/AJ262,I262/Q262)</f>
        <v>3.65787891697511</v>
      </c>
      <c r="K262" s="44">
        <f>IF('Settings'!$E$18="C/LW/RW",VLOOKUP(B262,'LW'!A1:F156,6,FALSE),VLOOKUP(B262,'F'!A1:F432,6,FALSE))</f>
        <v>-97.009005176523</v>
      </c>
      <c r="L262" s="44">
        <f>_xlfn.IFERROR(K262/H262,"N/A")</f>
        <v>-23.0973821848864</v>
      </c>
      <c r="M262" s="46">
        <f>IF('Settings'!$E$9="YAHOO",VLOOKUP(B262,'ADP'!A1:E731,2,FALSE),IF('Settings'!$E$9="ESPN",VLOOKUP(B262,'ADP'!A1:E731,3,FALSE),IF('Settings'!$E$9="FANTRAX",VLOOKUP(B262,'ADP'!A1:E731,4,FALSE),VLOOKUP(B262,'ADP'!A1:E731,5,FALSE))))</f>
        <v>346.16</v>
      </c>
      <c r="N262" s="46">
        <f>_xlfn.IFERROR(M262-A262,"N/A")</f>
        <v>87.16</v>
      </c>
      <c r="O262" s="46"/>
      <c r="P262" t="s" s="47">
        <f>IF('Settings'!$E$27="ON",VLOOKUP(B262,'ADP'!A1:H731,8,FALSE)," ")</f>
        <v>109</v>
      </c>
      <c r="Q262" s="48">
        <f>IF('Settings'!$E$12="YES",VLOOKUP(B262,'Player Data'!A1:E734,5,FALSE),82)</f>
        <v>77.81</v>
      </c>
      <c r="R262" s="46">
        <f>VLOOKUP(B262,'Player Data'!$A1:$AE734,6,FALSE)</f>
        <v>16.4818953580645</v>
      </c>
      <c r="S262" s="48">
        <f>VLOOKUP(B262,'Player Data'!$A1:$AE734,7,FALSE)*$Q262*_xlfn.IFERROR((VLOOKUP(P262,'Settings'!$E$28:$F$33,2,FALSE)+1),1)</f>
        <v>15.0109654925897</v>
      </c>
      <c r="T262" s="48">
        <f>VLOOKUP(B262,'Player Data'!$A1:$AE734,8,FALSE)*$Q262*_xlfn.IFERROR((VLOOKUP(P262,'Settings'!$E$28:$F$33,2,FALSE)+1),1)</f>
        <v>26.4576381104769</v>
      </c>
      <c r="U262" s="48">
        <f>SUM(S262:T262)</f>
        <v>41.4686036030666</v>
      </c>
      <c r="V262" s="48">
        <f>VLOOKUP(B262,'Player Data'!$A1:$AE734,10,FALSE)*$Q262*_xlfn.IFERROR(((VLOOKUP(P262,'Settings'!$E$28:$F$33,2,FALSE)/2)+1),1)</f>
        <v>193.835064818177</v>
      </c>
      <c r="W262" s="48">
        <f>VLOOKUP(B262,'Player Data'!$A1:$AE734,11,FALSE)*$Q262*_xlfn.IFERROR((VLOOKUP(P262,'Settings'!$E$28:$F$33,2,FALSE)+1),1)</f>
        <v>2.61233750529858</v>
      </c>
      <c r="X262" s="48">
        <f>VLOOKUP(B262,'Player Data'!$A1:$AE734,12,FALSE)*$Q262*_xlfn.IFERROR((VLOOKUP(P262,'Settings'!$E$28:$F$33,2,FALSE)+1),1)</f>
        <v>7.57669766137413</v>
      </c>
      <c r="Y262" s="48">
        <f>VLOOKUP(B262,'Player Data'!$A1:$AE734,13,FALSE)*$Q262</f>
        <v>2.3364194873507</v>
      </c>
      <c r="Z262" s="48">
        <f>VLOOKUP(B262,'Player Data'!$A1:$AE734,14,FALSE)*$Q262</f>
        <v>3.25489765174705</v>
      </c>
      <c r="AA262" s="48">
        <f>VLOOKUP(B262,'Player Data'!$A1:$AE734,15,FALSE)*$Q262</f>
        <v>30.7858696202453</v>
      </c>
      <c r="AB262" s="48">
        <f>VLOOKUP(B262,'Player Data'!$A1:$AE734,16,FALSE)*$Q262</f>
        <v>75.50814783617329</v>
      </c>
      <c r="AC262" s="48">
        <f>VLOOKUP(B262,'Player Data'!$A1:$AE734,17,FALSE)*$Q262*_xlfn.IFERROR((VLOOKUP(P262,'Settings'!$E$28:$F$33,2,FALSE)+1),1)</f>
        <v>0.31588692995678</v>
      </c>
      <c r="AD262" s="48">
        <f>VLOOKUP(B262,'Player Data'!$A1:$AE734,18,FALSE)*$Q262</f>
        <v>23.030066794677</v>
      </c>
      <c r="AE262" s="48">
        <f>VLOOKUP(B262,'Player Data'!$A1:$AE734,19,FALSE)*$Q262*_xlfn.IFERROR((VLOOKUP(P262,'Settings'!$E$28:$F$33,2,FALSE)+1),1)</f>
        <v>2.22253939803456</v>
      </c>
      <c r="AF262" s="48">
        <f>VLOOKUP(B262,'Player Data'!$A1:$AE734,20,FALSE)*$Q262</f>
        <v>18.5397774341304</v>
      </c>
      <c r="AG262" s="48">
        <f>VLOOKUP(B262,'Player Data'!$A1:$AE734,21,FALSE)*$Q262</f>
        <v>30.4249851470349</v>
      </c>
      <c r="AH262" s="49">
        <f>VLOOKUP(B262,'Player Data'!$A1:$AE734,22,FALSE)</f>
        <v>0.378635093009965</v>
      </c>
      <c r="AI262" s="46"/>
      <c r="AJ262" s="50"/>
      <c r="AK262" s="48"/>
      <c r="AL262" s="48"/>
      <c r="AM262" s="48"/>
      <c r="AN262" s="48"/>
      <c r="AO262" s="48"/>
      <c r="AP262" s="48"/>
      <c r="AQ262" s="51"/>
      <c r="AR262" s="52"/>
      <c r="AS262" s="46"/>
    </row>
    <row r="263" ht="21.25" customHeight="1">
      <c r="A263" s="53">
        <f>RANK(K263,K2:K730)</f>
        <v>260</v>
      </c>
      <c r="B263" t="s" s="8">
        <v>415</v>
      </c>
      <c r="C263" t="s" s="39">
        <v>106</v>
      </c>
      <c r="D263" t="s" s="40">
        <f>VLOOKUP(B263,'Player Data'!A1:D734,4,FALSE)</f>
        <v>129</v>
      </c>
      <c r="E263" s="56">
        <f>VLOOKUP(B263,'D'!A1:C228,3,FALSE)</f>
        <v>73</v>
      </c>
      <c r="F263" t="s" s="42">
        <f>VLOOKUP(B263,'Player Data'!A1:B734,2,FALSE)</f>
        <v>149</v>
      </c>
      <c r="G263" s="9">
        <f>VLOOKUP(B263,'Player Data'!A1:D734,3,FALSE)</f>
        <v>29</v>
      </c>
      <c r="H263" s="43">
        <f>_xlfn.IFERROR(VLOOKUP(B263,'ADP'!A1:G731,7,FALSE)/1000000,VLOOKUP(B263,'ADP'!A1:G731,7,FALSE))</f>
        <v>5.75</v>
      </c>
      <c r="I263" s="44">
        <f>IF('Settings'!$E$15="POINTS",((R263*Q263)*'Settings'!$B$12)+(S263*'Settings'!$B$2)+(T263*'Settings'!$B$3)+(U263*'Settings'!$B$4)+(V263*'Settings'!$B$5)+(X263*'Settings'!$B$9)+(AA263*'Settings'!$B$6)+(W263*'Settings'!$B$8)+(AB263*'Settings'!$B$7)+(AC263*'Settings'!$B$14)+(AD263*'Settings'!$B$15)+(AE263*'Settings'!$B$16)+(AF263*'Settings'!$B$17)+(AG263*'Settings'!$B$18)+(U263*'Settings'!$B$13)+(Y263*'Settings'!$B$10)+(Z263*'Settings'!$B$11),VLOOKUP(B263,'Standard Deviations'!A1:C731,3,FALSE))</f>
        <v>243.567510976483</v>
      </c>
      <c r="J263" s="45">
        <f>IF(D263="G",I263/AJ263,I263/Q263)</f>
        <v>3.13260037910656</v>
      </c>
      <c r="K263" s="44">
        <f>VLOOKUP(B263,'D'!A1:F228,6,FALSE)</f>
        <v>-97.16762767004001</v>
      </c>
      <c r="L263" s="44">
        <f>_xlfn.IFERROR(K263/H263,"N/A")</f>
        <v>-16.8987178556591</v>
      </c>
      <c r="M263" t="s" s="61">
        <f>IF('Settings'!$E$9="YAHOO",VLOOKUP(B263,'ADP'!A1:E731,2,FALSE),IF('Settings'!$E$9="ESPN",VLOOKUP(B263,'ADP'!A1:E731,3,FALSE),IF('Settings'!$E$9="FANTRAX",VLOOKUP(B263,'ADP'!A1:E731,4,FALSE),VLOOKUP(B263,'ADP'!A1:E731,5,FALSE))))</f>
        <v>329</v>
      </c>
      <c r="N263" t="s" s="61">
        <f>_xlfn.IFERROR(M263-A263,"N/A")</f>
        <v>158</v>
      </c>
      <c r="O263" s="46"/>
      <c r="P263" t="s" s="47">
        <f>IF('Settings'!$E$27="ON",VLOOKUP(B263,'ADP'!A1:H731,8,FALSE)," ")</f>
        <v>109</v>
      </c>
      <c r="Q263" s="48">
        <f>IF('Settings'!$E$12="YES",VLOOKUP(B263,'Player Data'!A1:E734,5,FALSE),82)</f>
        <v>77.7525</v>
      </c>
      <c r="R263" s="46">
        <f>VLOOKUP(B263,'Player Data'!$A1:$AE734,6,FALSE)</f>
        <v>21.8000206054784</v>
      </c>
      <c r="S263" s="48">
        <f>VLOOKUP(B263,'Player Data'!$A1:$AE734,7,FALSE)*$Q263*_xlfn.IFERROR((VLOOKUP(P263,'Settings'!$E$28:$F$33,2,FALSE)+1),1)</f>
        <v>5.37404835923145</v>
      </c>
      <c r="T263" s="48">
        <f>VLOOKUP(B263,'Player Data'!$A1:$AE734,8,FALSE)*$Q263*_xlfn.IFERROR((VLOOKUP(P263,'Settings'!$E$28:$F$33,2,FALSE)+1),1)</f>
        <v>21.2447518955733</v>
      </c>
      <c r="U263" s="48">
        <f>SUM(S263:T263)</f>
        <v>26.6188002548048</v>
      </c>
      <c r="V263" s="48">
        <f>VLOOKUP(B263,'Player Data'!$A1:$AE734,10,FALSE)*$Q263*_xlfn.IFERROR(((VLOOKUP(P263,'Settings'!$E$28:$F$33,2,FALSE)/2)+1),1)</f>
        <v>119.809553847267</v>
      </c>
      <c r="W263" s="48">
        <f>VLOOKUP(B263,'Player Data'!$A1:$AE734,11,FALSE)*$Q263*_xlfn.IFERROR((VLOOKUP(P263,'Settings'!$E$28:$F$33,2,FALSE)+1),1)</f>
        <v>0.0342136612767608</v>
      </c>
      <c r="X263" s="48">
        <f>VLOOKUP(B263,'Player Data'!$A1:$AE734,12,FALSE)*$Q263*_xlfn.IFERROR((VLOOKUP(P263,'Settings'!$E$28:$F$33,2,FALSE)+1),1)</f>
        <v>0.236692831566581</v>
      </c>
      <c r="Y263" s="48">
        <f>VLOOKUP(B263,'Player Data'!$A1:$AE734,13,FALSE)*$Q263</f>
        <v>0.223151002781857</v>
      </c>
      <c r="Z263" s="48">
        <f>VLOOKUP(B263,'Player Data'!$A1:$AE734,14,FALSE)*$Q263</f>
        <v>1.7883338373346</v>
      </c>
      <c r="AA263" s="48">
        <f>VLOOKUP(B263,'Player Data'!$A1:$AE734,15,FALSE)*$Q263</f>
        <v>135.909328807522</v>
      </c>
      <c r="AB263" s="48">
        <f>VLOOKUP(B263,'Player Data'!$A1:$AE734,16,FALSE)*$Q263</f>
        <v>96.8557146846305</v>
      </c>
      <c r="AC263" s="48">
        <f>VLOOKUP(B263,'Player Data'!$A1:$AE734,17,FALSE)*$Q263*_xlfn.IFERROR((VLOOKUP(P263,'Settings'!$E$28:$F$33,2,FALSE)+1),1)</f>
        <v>2.35411945980352</v>
      </c>
      <c r="AD263" s="48">
        <f>VLOOKUP(B263,'Player Data'!$A1:$AE734,18,FALSE)*$Q263</f>
        <v>38.5792469182955</v>
      </c>
      <c r="AE263" s="48">
        <f>VLOOKUP(B263,'Player Data'!$A1:$AE734,19,FALSE)*$Q263*_xlfn.IFERROR((VLOOKUP(P263,'Settings'!$E$28:$F$33,2,FALSE)+1),1)</f>
        <v>0.830407933917334</v>
      </c>
      <c r="AF263" s="48">
        <f>VLOOKUP(B263,'Player Data'!$A1:$AE734,20,FALSE)*$Q263</f>
        <v>0</v>
      </c>
      <c r="AG263" s="48">
        <f>VLOOKUP(B263,'Player Data'!$A1:$AE734,21,FALSE)*$Q263</f>
        <v>0</v>
      </c>
      <c r="AH263" s="49">
        <f>VLOOKUP(B263,'Player Data'!$A1:$AE734,22,FALSE)</f>
        <v>0</v>
      </c>
      <c r="AI263" s="46"/>
      <c r="AJ263" s="50"/>
      <c r="AK263" s="48"/>
      <c r="AL263" s="48"/>
      <c r="AM263" s="48"/>
      <c r="AN263" s="48"/>
      <c r="AO263" s="48"/>
      <c r="AP263" s="48"/>
      <c r="AQ263" s="51"/>
      <c r="AR263" s="52"/>
      <c r="AS263" s="46"/>
    </row>
    <row r="264" ht="21.25" customHeight="1">
      <c r="A264" s="53">
        <f>RANK(K264,K2:K730)</f>
        <v>278</v>
      </c>
      <c r="B264" t="s" s="8">
        <v>416</v>
      </c>
      <c r="C264" t="s" s="39">
        <v>106</v>
      </c>
      <c r="D264" t="s" s="40">
        <f>VLOOKUP(B264,'Player Data'!A1:D734,4,FALSE)</f>
        <v>107</v>
      </c>
      <c r="E264" s="41">
        <f>VLOOKUP(B264,'C'!A1:C218,3,FALSE)</f>
        <v>72</v>
      </c>
      <c r="F264" t="s" s="42">
        <f>VLOOKUP(B264,'Player Data'!A1:B734,2,FALSE)</f>
        <v>218</v>
      </c>
      <c r="G264" s="9">
        <f>VLOOKUP(B264,'Player Data'!A1:D734,3,FALSE)</f>
        <v>30</v>
      </c>
      <c r="H264" s="43">
        <f>_xlfn.IFERROR(VLOOKUP(B264,'ADP'!A1:G731,7,FALSE)/1000000,VLOOKUP(B264,'ADP'!A1:G731,7,FALSE))</f>
        <v>5.9</v>
      </c>
      <c r="I264" s="44">
        <f>IF('Settings'!$E$15="POINTS",((R264*Q264)*'Settings'!$B$12)+(S264*'Settings'!$B$2)+(T264*'Settings'!$B$3)+(U264*'Settings'!$B$4)+(V264*'Settings'!$B$5)+(X264*'Settings'!$B$9)+(AA264*'Settings'!$B$6)+(W264*'Settings'!$B$8)+(AB264*'Settings'!$B$7)+(AC264*'Settings'!$B$14)+(AD264*'Settings'!$B$15)+(AE264*'Settings'!$B$16)+(AF264*'Settings'!$B$17)+(AG264*'Settings'!$B$18)+(Y264*'Settings'!$B$10)+(Z264*'Settings'!$B$11),VLOOKUP(B264,'Standard Deviations'!A1:C731,3,FALSE))</f>
        <v>290.643047280141</v>
      </c>
      <c r="J264" s="45">
        <f>IF(D264="G",I264/AJ264,I264/Q264)</f>
        <v>3.63451461256312</v>
      </c>
      <c r="K264" s="44">
        <f>IF('Settings'!$E$18="C/LW/RW",VLOOKUP(B264,'C'!A1:F218,6,FALSE),VLOOKUP(B264,'F'!A1:F432,6,FALSE))</f>
        <v>-105.131154355874</v>
      </c>
      <c r="L264" s="44">
        <f>_xlfn.IFERROR(K264/H264,"N/A")</f>
        <v>-17.8188397213346</v>
      </c>
      <c r="M264" s="46">
        <f>IF('Settings'!$E$9="YAHOO",VLOOKUP(B264,'ADP'!A1:E731,2,FALSE),IF('Settings'!$E$9="ESPN",VLOOKUP(B264,'ADP'!A1:E731,3,FALSE),IF('Settings'!$E$9="FANTRAX",VLOOKUP(B264,'ADP'!A1:E731,4,FALSE),VLOOKUP(B264,'ADP'!A1:E731,5,FALSE))))</f>
        <v>329.49</v>
      </c>
      <c r="N264" s="46">
        <f>_xlfn.IFERROR(M264-A264,"N/A")</f>
        <v>51.49</v>
      </c>
      <c r="O264" s="46"/>
      <c r="P264" t="s" s="47">
        <f>IF('Settings'!$E$27="ON",VLOOKUP(B264,'ADP'!A1:H731,8,FALSE)," ")</f>
        <v>109</v>
      </c>
      <c r="Q264" s="48">
        <f>IF('Settings'!$E$12="YES",VLOOKUP(B264,'Player Data'!A1:E734,5,FALSE),82)</f>
        <v>79.9675</v>
      </c>
      <c r="R264" s="46">
        <f>VLOOKUP(B264,'Player Data'!$A1:$AE734,6,FALSE)</f>
        <v>17.9349392063643</v>
      </c>
      <c r="S264" s="48">
        <f>VLOOKUP(B264,'Player Data'!$A1:$AE734,7,FALSE)*$Q264*_xlfn.IFERROR((VLOOKUP(P264,'Settings'!$E$28:$F$33,2,FALSE)+1),1)</f>
        <v>14.8715217663851</v>
      </c>
      <c r="T264" s="48">
        <f>VLOOKUP(B264,'Player Data'!$A1:$AE734,8,FALSE)*$Q264*_xlfn.IFERROR((VLOOKUP(P264,'Settings'!$E$28:$F$33,2,FALSE)+1),1)</f>
        <v>33.1795349616103</v>
      </c>
      <c r="U264" s="48">
        <f>SUM(S264:T264)</f>
        <v>48.0510567279954</v>
      </c>
      <c r="V264" s="48">
        <f>VLOOKUP(B264,'Player Data'!$A1:$AE734,10,FALSE)*$Q264*_xlfn.IFERROR(((VLOOKUP(P264,'Settings'!$E$28:$F$33,2,FALSE)/2)+1),1)</f>
        <v>159.109303611472</v>
      </c>
      <c r="W264" s="48">
        <f>VLOOKUP(B264,'Player Data'!$A1:$AE734,11,FALSE)*$Q264*_xlfn.IFERROR((VLOOKUP(P264,'Settings'!$E$28:$F$33,2,FALSE)+1),1)</f>
        <v>1.4200005384126</v>
      </c>
      <c r="X264" s="48">
        <f>VLOOKUP(B264,'Player Data'!$A1:$AE734,12,FALSE)*$Q264*_xlfn.IFERROR((VLOOKUP(P264,'Settings'!$E$28:$F$33,2,FALSE)+1),1)</f>
        <v>6.85911539053785</v>
      </c>
      <c r="Y264" s="48">
        <f>VLOOKUP(B264,'Player Data'!$A1:$AE734,13,FALSE)*$Q264</f>
        <v>1.53413164860815</v>
      </c>
      <c r="Z264" s="48">
        <f>VLOOKUP(B264,'Player Data'!$A1:$AE734,14,FALSE)*$Q264</f>
        <v>3.57066629525699</v>
      </c>
      <c r="AA264" s="48">
        <f>VLOOKUP(B264,'Player Data'!$A1:$AE734,15,FALSE)*$Q264</f>
        <v>48.6665992099585</v>
      </c>
      <c r="AB264" s="48">
        <f>VLOOKUP(B264,'Player Data'!$A1:$AE734,16,FALSE)*$Q264</f>
        <v>52.6132417813903</v>
      </c>
      <c r="AC264" s="48">
        <f>VLOOKUP(B264,'Player Data'!$A1:$AE734,17,FALSE)*$Q264*_xlfn.IFERROR((VLOOKUP(P264,'Settings'!$E$28:$F$33,2,FALSE)+1),1)</f>
        <v>6.19609803227055</v>
      </c>
      <c r="AD264" s="48">
        <f>VLOOKUP(B264,'Player Data'!$A1:$AE734,18,FALSE)*$Q264</f>
        <v>13.8378740584059</v>
      </c>
      <c r="AE264" s="48">
        <f>VLOOKUP(B264,'Player Data'!$A1:$AE734,19,FALSE)*$Q264*_xlfn.IFERROR((VLOOKUP(P264,'Settings'!$E$28:$F$33,2,FALSE)+1),1)</f>
        <v>2.43041242249856</v>
      </c>
      <c r="AF264" s="48">
        <f>VLOOKUP(B264,'Player Data'!$A1:$AE734,20,FALSE)*$Q264</f>
        <v>627.376761838687</v>
      </c>
      <c r="AG264" s="48">
        <f>VLOOKUP(B264,'Player Data'!$A1:$AE734,21,FALSE)*$Q264</f>
        <v>536.560362515795</v>
      </c>
      <c r="AH264" s="49">
        <f>VLOOKUP(B264,'Player Data'!$A1:$AE734,22,FALSE)</f>
        <v>0.539012588147001</v>
      </c>
      <c r="AI264" s="46"/>
      <c r="AJ264" s="50"/>
      <c r="AK264" s="48"/>
      <c r="AL264" s="48"/>
      <c r="AM264" s="48"/>
      <c r="AN264" s="48"/>
      <c r="AO264" s="48"/>
      <c r="AP264" s="48"/>
      <c r="AQ264" s="51"/>
      <c r="AR264" s="52"/>
      <c r="AS264" s="46"/>
    </row>
    <row r="265" ht="21.25" customHeight="1">
      <c r="A265" s="53">
        <f>RANK(K265,K2:K730)</f>
        <v>157</v>
      </c>
      <c r="B265" t="s" s="8">
        <v>417</v>
      </c>
      <c r="C265" t="s" s="39">
        <v>106</v>
      </c>
      <c r="D265" t="s" s="40">
        <f>VLOOKUP(B265,'Player Data'!A1:D734,4,FALSE)</f>
        <v>146</v>
      </c>
      <c r="E265" s="58">
        <f>VLOOKUP(B265,'G'!A1:D75,3,FALSE)</f>
        <v>29</v>
      </c>
      <c r="F265" t="s" s="42">
        <f>VLOOKUP(B265,'Player Data'!A1:B734,2,FALSE)</f>
        <v>196</v>
      </c>
      <c r="G265" s="9">
        <f>VLOOKUP(B265,'Player Data'!A1:D734,3,FALSE)</f>
        <v>27</v>
      </c>
      <c r="H265" s="43">
        <f>_xlfn.IFERROR(VLOOKUP(B265,'ADP'!A1:G731,7,FALSE)/1000000,VLOOKUP(B265,'ADP'!A1:G731,7,FALSE))</f>
        <v>2.725</v>
      </c>
      <c r="I265" s="44">
        <f>IF('Settings'!$E$15="POINTS",(AJ265*'Settings'!$B$29)+(AK265*'Settings'!$B$21)+(AL265*'Settings'!$B$22)+(AN265*'Settings'!$B$24)+(AO265*'Settings'!$B$25)+(AP265*'Settings'!$B$27)+(AM265*'Settings'!$B$23),VLOOKUP(B265,'Standard Deviations'!A1:C731,3,FALSE))</f>
        <v>232.764551652868</v>
      </c>
      <c r="J265" s="45">
        <f>IF(D265="G",I265/AJ265,I265/Q265)</f>
        <v>5.5420131345921</v>
      </c>
      <c r="K265" s="44">
        <f>VLOOKUP(B265,'G'!A1:F75,6,FALSE)</f>
        <v>-32.538669846820</v>
      </c>
      <c r="L265" s="44">
        <f>_xlfn.IFERROR(K265/H265,"N/A")</f>
        <v>-11.9407962740624</v>
      </c>
      <c r="M265" s="46">
        <f>IF('Settings'!$E$9="YAHOO",VLOOKUP(B265,'ADP'!A1:E731,2,FALSE),IF('Settings'!$E$9="ESPN",VLOOKUP(B265,'ADP'!A1:E731,3,FALSE),IF('Settings'!$E$9="FANTRAX",VLOOKUP(B265,'ADP'!A1:E731,4,FALSE),VLOOKUP(B265,'ADP'!A1:E731,5,FALSE))))</f>
        <v>216.81</v>
      </c>
      <c r="N265" s="46">
        <f>_xlfn.IFERROR(M265-A265,"N/A")</f>
        <v>59.81</v>
      </c>
      <c r="O265" s="46"/>
      <c r="P265" t="s" s="47">
        <f>IF('Settings'!$E$27="ON",VLOOKUP(B265,'ADP'!A1:H731,8,FALSE)," ")</f>
        <v>109</v>
      </c>
      <c r="Q265" s="48"/>
      <c r="R265" s="59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9"/>
      <c r="AI265" s="46"/>
      <c r="AJ265" s="50">
        <f>VLOOKUP(B265,'Player Data'!$A1:$AE734,24,FALSE)</f>
        <v>42</v>
      </c>
      <c r="AK265" s="48">
        <f>VLOOKUP(B265,'Player Data'!$A1:$AE734,25,FALSE)*$AJ265*_xlfn.IFERROR((VLOOKUP(P265,'Settings'!$E$28:$F$33,2,FALSE)+1),1)</f>
        <v>18.417051726323</v>
      </c>
      <c r="AL265" s="48">
        <f>AJ265-AK265-AM265</f>
        <v>18.332948273677</v>
      </c>
      <c r="AM265" s="48">
        <f>VLOOKUP(B265,'Player Data'!$A1:$AE734,27,FALSE)*$AJ265</f>
        <v>5.25</v>
      </c>
      <c r="AN265" s="48">
        <f>VLOOKUP(B265,'Player Data'!$A1:$AE734,28,FALSE)*AJ265</f>
        <v>2.0879345772637</v>
      </c>
      <c r="AO265" s="48">
        <f>VLOOKUP(B265,'Player Data'!$A1:$AE734,29,FALSE)*$AJ265*_xlfn.IFERROR((VLOOKUP(P265,'Settings'!$E$28:$F$33,2,FALSE)/4)+1,1)</f>
        <v>1178.532592478250</v>
      </c>
      <c r="AP265" s="48">
        <f>VLOOKUP(B265,'Player Data'!$A1:$AE734,31,FALSE)*$AJ265*(_xlfn.IFERROR(1-(VLOOKUP(P265,'Settings'!$E$28:$F$33,2,FALSE)/4),1))</f>
        <v>121.540123334245</v>
      </c>
      <c r="AQ265" s="51">
        <f>1-(AP265/(AO265+AP265))</f>
        <v>0.906512826662709</v>
      </c>
      <c r="AR265" s="52">
        <f>AP265/AJ265</f>
        <v>2.89381246033917</v>
      </c>
      <c r="AS265" s="46"/>
    </row>
    <row r="266" ht="21.25" customHeight="1">
      <c r="A266" s="53">
        <f>RANK(K266,K2:K730)</f>
        <v>282</v>
      </c>
      <c r="B266" t="s" s="8">
        <v>418</v>
      </c>
      <c r="C266" t="s" s="39">
        <v>106</v>
      </c>
      <c r="D266" t="s" s="40">
        <f>VLOOKUP(B266,'Player Data'!A1:D734,4,FALSE)</f>
        <v>121</v>
      </c>
      <c r="E266" s="55">
        <f>VLOOKUP(B266,'RW'!A1:F132,3,FALSE)</f>
        <v>65</v>
      </c>
      <c r="F266" t="s" s="42">
        <f>VLOOKUP(B266,'Player Data'!A1:B734,2,FALSE)</f>
        <v>189</v>
      </c>
      <c r="G266" s="9">
        <f>VLOOKUP(B266,'Player Data'!A1:D734,3,FALSE)</f>
        <v>26</v>
      </c>
      <c r="H266" s="43">
        <f>_xlfn.IFERROR(VLOOKUP(B266,'ADP'!A1:G731,7,FALSE)/1000000,VLOOKUP(B266,'ADP'!A1:G731,7,FALSE))</f>
        <v>4</v>
      </c>
      <c r="I266" s="44">
        <f>IF('Settings'!$E$15="POINTS",((R266*Q266)*'Settings'!$B$12)+(S266*'Settings'!$B$2)+(T266*'Settings'!$B$3)+(U266*'Settings'!$B$4)+(V266*'Settings'!$B$5)+(X266*'Settings'!$B$9)+(AA266*'Settings'!$B$6)+(W266*'Settings'!$B$8)+(AB266*'Settings'!$B$7)+(AC266*'Settings'!$B$14)+(AD266*'Settings'!$B$15)+(AE266*'Settings'!$B$16)+(AF266*'Settings'!$B$17)+(AG266*'Settings'!$B$18)+(Y266*'Settings'!$B$10)+(Z266*'Settings'!$B$11),VLOOKUP(B266,'Standard Deviations'!A1:C731,3,FALSE))</f>
        <v>274.005798125475</v>
      </c>
      <c r="J266" s="45">
        <f>IF(D266="G",I266/AJ266,I266/Q266)</f>
        <v>3.41057752209951</v>
      </c>
      <c r="K266" s="44">
        <f>IF('Settings'!$E$18="C/LW/RW",VLOOKUP(B266,'RW'!A1:F132,6,FALSE),VLOOKUP(B266,'F'!A1:F432,6,FALSE))</f>
        <v>-107.622765580881</v>
      </c>
      <c r="L266" s="44">
        <f>_xlfn.IFERROR(K266/H266,"N/A")</f>
        <v>-26.9056913952203</v>
      </c>
      <c r="M266" t="s" s="61">
        <f>IF('Settings'!$E$9="YAHOO",VLOOKUP(B266,'ADP'!A1:E731,2,FALSE),IF('Settings'!$E$9="ESPN",VLOOKUP(B266,'ADP'!A1:E731,3,FALSE),IF('Settings'!$E$9="FANTRAX",VLOOKUP(B266,'ADP'!A1:E731,4,FALSE),VLOOKUP(B266,'ADP'!A1:E731,5,FALSE))))</f>
        <v>329</v>
      </c>
      <c r="N266" t="s" s="61">
        <f>_xlfn.IFERROR(M266-A266,"N/A")</f>
        <v>158</v>
      </c>
      <c r="O266" s="46"/>
      <c r="P266" t="s" s="47">
        <f>IF('Settings'!$E$27="ON",VLOOKUP(B266,'ADP'!A1:H731,8,FALSE)," ")</f>
        <v>109</v>
      </c>
      <c r="Q266" s="48">
        <f>IF('Settings'!$E$12="YES",VLOOKUP(B266,'Player Data'!A1:E734,5,FALSE),82)</f>
        <v>80.34</v>
      </c>
      <c r="R266" s="46">
        <f>VLOOKUP(B266,'Player Data'!$A1:$AE734,6,FALSE)</f>
        <v>16.156866720064</v>
      </c>
      <c r="S266" s="48">
        <f>VLOOKUP(B266,'Player Data'!$A1:$AE734,7,FALSE)*$Q266*_xlfn.IFERROR((VLOOKUP(P266,'Settings'!$E$28:$F$33,2,FALSE)+1),1)</f>
        <v>16.7713959818508</v>
      </c>
      <c r="T266" s="48">
        <f>VLOOKUP(B266,'Player Data'!$A1:$AE734,8,FALSE)*$Q266*_xlfn.IFERROR((VLOOKUP(P266,'Settings'!$E$28:$F$33,2,FALSE)+1),1)</f>
        <v>29.9556797947382</v>
      </c>
      <c r="U266" s="48">
        <f>SUM(S266:T266)</f>
        <v>46.727075776589</v>
      </c>
      <c r="V266" s="48">
        <f>VLOOKUP(B266,'Player Data'!$A1:$AE734,10,FALSE)*$Q266*_xlfn.IFERROR(((VLOOKUP(P266,'Settings'!$E$28:$F$33,2,FALSE)/2)+1),1)</f>
        <v>132.525675270792</v>
      </c>
      <c r="W266" s="48">
        <f>VLOOKUP(B266,'Player Data'!$A1:$AE734,11,FALSE)*$Q266*_xlfn.IFERROR((VLOOKUP(P266,'Settings'!$E$28:$F$33,2,FALSE)+1),1)</f>
        <v>3.1937059701757</v>
      </c>
      <c r="X266" s="48">
        <f>VLOOKUP(B266,'Player Data'!$A1:$AE734,12,FALSE)*$Q266*_xlfn.IFERROR((VLOOKUP(P266,'Settings'!$E$28:$F$33,2,FALSE)+1),1)</f>
        <v>9.071615088007499</v>
      </c>
      <c r="Y266" s="48">
        <f>VLOOKUP(B266,'Player Data'!$A1:$AE734,13,FALSE)*$Q266</f>
        <v>1.61609190514208</v>
      </c>
      <c r="Z266" s="48">
        <f>VLOOKUP(B266,'Player Data'!$A1:$AE734,14,FALSE)*$Q266</f>
        <v>2.47937428850149</v>
      </c>
      <c r="AA266" s="48">
        <f>VLOOKUP(B266,'Player Data'!$A1:$AE734,15,FALSE)*$Q266</f>
        <v>47.7007310838597</v>
      </c>
      <c r="AB266" s="48">
        <f>VLOOKUP(B266,'Player Data'!$A1:$AE734,16,FALSE)*$Q266</f>
        <v>54.3821002744122</v>
      </c>
      <c r="AC266" s="48">
        <f>VLOOKUP(B266,'Player Data'!$A1:$AE734,17,FALSE)*$Q266*_xlfn.IFERROR((VLOOKUP(P266,'Settings'!$E$28:$F$33,2,FALSE)+1),1)</f>
        <v>-5.56450245343141</v>
      </c>
      <c r="AD266" s="48">
        <f>VLOOKUP(B266,'Player Data'!$A1:$AE734,18,FALSE)*$Q266</f>
        <v>16.9472033944549</v>
      </c>
      <c r="AE266" s="48">
        <f>VLOOKUP(B266,'Player Data'!$A1:$AE734,19,FALSE)*$Q266*_xlfn.IFERROR((VLOOKUP(P266,'Settings'!$E$28:$F$33,2,FALSE)+1),1)</f>
        <v>1.79717055365737</v>
      </c>
      <c r="AF266" s="48">
        <f>VLOOKUP(B266,'Player Data'!$A1:$AE734,20,FALSE)*$Q266</f>
        <v>399.874691481179</v>
      </c>
      <c r="AG266" s="48">
        <f>VLOOKUP(B266,'Player Data'!$A1:$AE734,21,FALSE)*$Q266</f>
        <v>521.968110802374</v>
      </c>
      <c r="AH266" s="49">
        <f>VLOOKUP(B266,'Player Data'!$A1:$AE734,22,FALSE)</f>
        <v>0.433777527459807</v>
      </c>
      <c r="AI266" s="46"/>
      <c r="AJ266" s="48"/>
      <c r="AK266" s="48"/>
      <c r="AL266" s="48"/>
      <c r="AM266" s="48"/>
      <c r="AN266" s="48"/>
      <c r="AO266" s="48"/>
      <c r="AP266" s="48"/>
      <c r="AQ266" s="51"/>
      <c r="AR266" s="52"/>
      <c r="AS266" s="46"/>
    </row>
    <row r="267" ht="21.25" customHeight="1">
      <c r="A267" s="53">
        <f>RANK(K267,K2:K730)</f>
        <v>199</v>
      </c>
      <c r="B267" t="s" s="8">
        <v>419</v>
      </c>
      <c r="C267" t="s" s="39">
        <v>106</v>
      </c>
      <c r="D267" t="s" s="40">
        <f>VLOOKUP(B267,'Player Data'!A1:D734,4,FALSE)</f>
        <v>133</v>
      </c>
      <c r="E267" s="57">
        <f>VLOOKUP(B267,'LW'!A1:C156,3,FALSE)</f>
        <v>52</v>
      </c>
      <c r="F267" t="s" s="42">
        <f>VLOOKUP(B267,'Player Data'!A1:B734,2,FALSE)</f>
        <v>108</v>
      </c>
      <c r="G267" s="9">
        <f>VLOOKUP(B267,'Player Data'!A1:D734,3,FALSE)</f>
        <v>32</v>
      </c>
      <c r="H267" s="43">
        <f>_xlfn.IFERROR(VLOOKUP(B267,'ADP'!A1:G731,7,FALSE)/1000000,VLOOKUP(B267,'ADP'!A1:G731,7,FALSE))</f>
        <v>5.125</v>
      </c>
      <c r="I267" s="44">
        <f>IF('Settings'!$E$15="POINTS",((R267*Q267)*'Settings'!$B$12)+(S267*'Settings'!$B$2)+(T267*'Settings'!$B$3)+(U267*'Settings'!$B$4)+(V267*'Settings'!$B$5)+(X267*'Settings'!$B$9)+(AA267*'Settings'!$B$6)+(W267*'Settings'!$B$8)+(AB267*'Settings'!$B$7)+(AC267*'Settings'!$B$14)+(AD267*'Settings'!$B$15)+(AE267*'Settings'!$B$16)+(AF267*'Settings'!$B$17)+(AG267*'Settings'!$B$18)+(Y267*'Settings'!$B$10)+(Z267*'Settings'!$B$11),VLOOKUP(B267,'Standard Deviations'!A1:C731,3,FALSE))</f>
        <v>315.137869123312</v>
      </c>
      <c r="J267" s="45">
        <f>IF(D267="G",I267/AJ267,I267/Q267)</f>
        <v>4.54154588735138</v>
      </c>
      <c r="K267" s="44">
        <f>IF('Settings'!$E$18="C/LW/RW",VLOOKUP(B267,'LW'!A1:F156,6,FALSE),VLOOKUP(B267,'F'!A1:F432,6,FALSE))</f>
        <v>-66.490694583044</v>
      </c>
      <c r="L267" s="44">
        <f>_xlfn.IFERROR(K267/H267,"N/A")</f>
        <v>-12.9737940649842</v>
      </c>
      <c r="M267" s="46">
        <f>IF('Settings'!$E$9="YAHOO",VLOOKUP(B267,'ADP'!A1:E731,2,FALSE),IF('Settings'!$E$9="ESPN",VLOOKUP(B267,'ADP'!A1:E731,3,FALSE),IF('Settings'!$E$9="FANTRAX",VLOOKUP(B267,'ADP'!A1:E731,4,FALSE),VLOOKUP(B267,'ADP'!A1:E731,5,FALSE))))</f>
        <v>50.86</v>
      </c>
      <c r="N267" s="46">
        <f>_xlfn.IFERROR(M267-A267,"N/A")</f>
        <v>-148.14</v>
      </c>
      <c r="O267" s="46"/>
      <c r="P267" t="s" s="47">
        <f>IF('Settings'!$E$27="ON",VLOOKUP(B267,'ADP'!A1:H731,8,FALSE)," ")</f>
        <v>109</v>
      </c>
      <c r="Q267" s="48">
        <f>IF('Settings'!$E$12="YES",VLOOKUP(B267,'Player Data'!A1:E734,5,FALSE),82)</f>
        <v>69.39</v>
      </c>
      <c r="R267" s="46">
        <f>VLOOKUP(B267,'Player Data'!$A1:$AE734,6,FALSE)</f>
        <v>16.1606972173239</v>
      </c>
      <c r="S267" s="48">
        <f>VLOOKUP(B267,'Player Data'!$A1:$AE734,7,FALSE)*$Q267*_xlfn.IFERROR((VLOOKUP(P267,'Settings'!$E$28:$F$33,2,FALSE)+1),1)</f>
        <v>22.3899725697119</v>
      </c>
      <c r="T267" s="48">
        <f>VLOOKUP(B267,'Player Data'!$A1:$AE734,8,FALSE)*$Q267*_xlfn.IFERROR((VLOOKUP(P267,'Settings'!$E$28:$F$33,2,FALSE)+1),1)</f>
        <v>20.4695515443851</v>
      </c>
      <c r="U267" s="48">
        <f>SUM(S267:T267)</f>
        <v>42.859524114097</v>
      </c>
      <c r="V267" s="48">
        <f>VLOOKUP(B267,'Player Data'!$A1:$AE734,10,FALSE)*$Q267*_xlfn.IFERROR(((VLOOKUP(P267,'Settings'!$E$28:$F$33,2,FALSE)/2)+1),1)</f>
        <v>199.193576219366</v>
      </c>
      <c r="W267" s="48">
        <f>VLOOKUP(B267,'Player Data'!$A1:$AE734,11,FALSE)*$Q267*_xlfn.IFERROR((VLOOKUP(P267,'Settings'!$E$28:$F$33,2,FALSE)+1),1)</f>
        <v>1.75937845252541</v>
      </c>
      <c r="X267" s="48">
        <f>VLOOKUP(B267,'Player Data'!$A1:$AE734,12,FALSE)*$Q267*_xlfn.IFERROR((VLOOKUP(P267,'Settings'!$E$28:$F$33,2,FALSE)+1),1)</f>
        <v>3.90108083337407</v>
      </c>
      <c r="Y267" s="48">
        <f>VLOOKUP(B267,'Player Data'!$A1:$AE734,13,FALSE)*$Q267</f>
        <v>0.667874660872282</v>
      </c>
      <c r="Z267" s="48">
        <f>VLOOKUP(B267,'Player Data'!$A1:$AE734,14,FALSE)*$Q267</f>
        <v>1.46876022981709</v>
      </c>
      <c r="AA267" s="48">
        <f>VLOOKUP(B267,'Player Data'!$A1:$AE734,15,FALSE)*$Q267</f>
        <v>22.1627162912669</v>
      </c>
      <c r="AB267" s="48">
        <f>VLOOKUP(B267,'Player Data'!$A1:$AE734,16,FALSE)*$Q267</f>
        <v>157.434684846010</v>
      </c>
      <c r="AC267" s="48">
        <f>VLOOKUP(B267,'Player Data'!$A1:$AE734,17,FALSE)*$Q267*_xlfn.IFERROR((VLOOKUP(P267,'Settings'!$E$28:$F$33,2,FALSE)+1),1)</f>
        <v>4.19458648171616</v>
      </c>
      <c r="AD267" s="48">
        <f>VLOOKUP(B267,'Player Data'!$A1:$AE734,18,FALSE)*$Q267</f>
        <v>55.3328630104984</v>
      </c>
      <c r="AE267" s="48">
        <f>VLOOKUP(B267,'Player Data'!$A1:$AE734,19,FALSE)*$Q267*_xlfn.IFERROR((VLOOKUP(P267,'Settings'!$E$28:$F$33,2,FALSE)+1),1)</f>
        <v>3.54409228748225</v>
      </c>
      <c r="AF267" s="48">
        <f>VLOOKUP(B267,'Player Data'!$A1:$AE734,20,FALSE)*$Q267</f>
        <v>19.1026853155934</v>
      </c>
      <c r="AG267" s="48">
        <f>VLOOKUP(B267,'Player Data'!$A1:$AE734,21,FALSE)*$Q267</f>
        <v>28.6016167603602</v>
      </c>
      <c r="AH267" s="49">
        <f>VLOOKUP(B267,'Player Data'!$A1:$AE734,22,FALSE)</f>
        <v>0.400439467391821</v>
      </c>
      <c r="AI267" s="46"/>
      <c r="AJ267" s="50"/>
      <c r="AK267" s="48"/>
      <c r="AL267" s="48"/>
      <c r="AM267" s="48"/>
      <c r="AN267" s="48"/>
      <c r="AO267" s="48"/>
      <c r="AP267" s="48"/>
      <c r="AQ267" s="51"/>
      <c r="AR267" s="52"/>
      <c r="AS267" s="46"/>
    </row>
    <row r="268" ht="21.25" customHeight="1">
      <c r="A268" s="53">
        <f>RANK(K268,K2:K730)</f>
        <v>320</v>
      </c>
      <c r="B268" t="s" s="8">
        <v>420</v>
      </c>
      <c r="C268" t="s" s="39">
        <v>106</v>
      </c>
      <c r="D268" t="s" s="40">
        <f>VLOOKUP(B268,'Player Data'!A1:D734,4,FALSE)</f>
        <v>121</v>
      </c>
      <c r="E268" s="55">
        <f>VLOOKUP(B268,'RW'!A1:F132,3,FALSE)</f>
        <v>69</v>
      </c>
      <c r="F268" t="s" s="42">
        <f>VLOOKUP(B268,'Player Data'!A1:B734,2,FALSE)</f>
        <v>151</v>
      </c>
      <c r="G268" s="9">
        <f>VLOOKUP(B268,'Player Data'!A1:D734,3,FALSE)</f>
        <v>36</v>
      </c>
      <c r="H268" s="43">
        <f>_xlfn.IFERROR(VLOOKUP(B268,'ADP'!A1:G731,7,FALSE)/1000000,VLOOKUP(B268,'ADP'!A1:G731,7,FALSE))</f>
        <v>0.88</v>
      </c>
      <c r="I268" s="44">
        <f>IF('Settings'!$E$15="POINTS",((R268*Q268)*'Settings'!$B$12)+(S268*'Settings'!$B$2)+(T268*'Settings'!$B$3)+(U268*'Settings'!$B$4)+(V268*'Settings'!$B$5)+(X268*'Settings'!$B$9)+(AA268*'Settings'!$B$6)+(W268*'Settings'!$B$8)+(AB268*'Settings'!$B$7)+(AC268*'Settings'!$B$14)+(AD268*'Settings'!$B$15)+(AE268*'Settings'!$B$16)+(AF268*'Settings'!$B$17)+(AG268*'Settings'!$B$18)+(Y268*'Settings'!$B$10)+(Z268*'Settings'!$B$11),VLOOKUP(B268,'Standard Deviations'!A1:C731,3,FALSE))</f>
        <v>259.726182161086</v>
      </c>
      <c r="J268" s="45">
        <f>IF(D268="G",I268/AJ268,I268/Q268)</f>
        <v>3.41565205367025</v>
      </c>
      <c r="K268" s="44">
        <f>IF('Settings'!$E$18="C/LW/RW",VLOOKUP(B268,'RW'!A1:F132,6,FALSE),VLOOKUP(B268,'F'!A1:F432,6,FALSE))</f>
        <v>-121.902381545270</v>
      </c>
      <c r="L268" s="44">
        <f>_xlfn.IFERROR(K268/H268,"N/A")</f>
        <v>-138.525433574170</v>
      </c>
      <c r="M268" s="46">
        <f>IF('Settings'!$E$9="YAHOO",VLOOKUP(B268,'ADP'!A1:E731,2,FALSE),IF('Settings'!$E$9="ESPN",VLOOKUP(B268,'ADP'!A1:E731,3,FALSE),IF('Settings'!$E$9="FANTRAX",VLOOKUP(B268,'ADP'!A1:E731,4,FALSE),VLOOKUP(B268,'ADP'!A1:E731,5,FALSE))))</f>
        <v>180.76</v>
      </c>
      <c r="N268" s="46">
        <f>_xlfn.IFERROR(M268-A268,"N/A")</f>
        <v>-139.24</v>
      </c>
      <c r="O268" s="46"/>
      <c r="P268" t="s" s="47">
        <f>IF('Settings'!$E$27="ON",VLOOKUP(B268,'ADP'!A1:H731,8,FALSE)," ")</f>
        <v>175</v>
      </c>
      <c r="Q268" s="48">
        <f>IF('Settings'!$E$12="YES",VLOOKUP(B268,'Player Data'!A1:E734,5,FALSE),82)</f>
        <v>76.04000000000001</v>
      </c>
      <c r="R268" s="46">
        <f>VLOOKUP(B268,'Player Data'!$A1:$AE734,6,FALSE)</f>
        <v>15.9155208675902</v>
      </c>
      <c r="S268" s="48">
        <f>VLOOKUP(B268,'Player Data'!$A1:$AE734,7,FALSE)*$Q268*_xlfn.IFERROR((VLOOKUP(P268,'Settings'!$E$28:$F$33,2,FALSE)+1),1)</f>
        <v>13.6251677227119</v>
      </c>
      <c r="T268" s="48">
        <f>VLOOKUP(B268,'Player Data'!$A1:$AE734,8,FALSE)*$Q268*_xlfn.IFERROR((VLOOKUP(P268,'Settings'!$E$28:$F$33,2,FALSE)+1),1)</f>
        <v>32.9219149327978</v>
      </c>
      <c r="U268" s="48">
        <f>SUM(S268:T268)</f>
        <v>46.5470826555097</v>
      </c>
      <c r="V268" s="48">
        <f>VLOOKUP(B268,'Player Data'!$A1:$AE734,10,FALSE)*$Q268*_xlfn.IFERROR(((VLOOKUP(P268,'Settings'!$E$28:$F$33,2,FALSE)/2)+1),1)</f>
        <v>133.210743877222</v>
      </c>
      <c r="W268" s="48">
        <f>VLOOKUP(B268,'Player Data'!$A1:$AE734,11,FALSE)*$Q268*_xlfn.IFERROR((VLOOKUP(P268,'Settings'!$E$28:$F$33,2,FALSE)+1),1)</f>
        <v>2.83216740464867</v>
      </c>
      <c r="X268" s="48">
        <f>VLOOKUP(B268,'Player Data'!$A1:$AE734,12,FALSE)*$Q268*_xlfn.IFERROR((VLOOKUP(P268,'Settings'!$E$28:$F$33,2,FALSE)+1),1)</f>
        <v>9.8173206239682</v>
      </c>
      <c r="Y268" s="48">
        <f>VLOOKUP(B268,'Player Data'!$A1:$AE734,13,FALSE)*$Q268</f>
        <v>0.080204948043667</v>
      </c>
      <c r="Z268" s="48">
        <f>VLOOKUP(B268,'Player Data'!$A1:$AE734,14,FALSE)*$Q268</f>
        <v>0.154309452190744</v>
      </c>
      <c r="AA268" s="48">
        <f>VLOOKUP(B268,'Player Data'!$A1:$AE734,15,FALSE)*$Q268</f>
        <v>35.8604713757779</v>
      </c>
      <c r="AB268" s="48">
        <f>VLOOKUP(B268,'Player Data'!$A1:$AE734,16,FALSE)*$Q268</f>
        <v>59.2118243184312</v>
      </c>
      <c r="AC268" s="48">
        <f>VLOOKUP(B268,'Player Data'!$A1:$AE734,17,FALSE)*$Q268*_xlfn.IFERROR((VLOOKUP(P268,'Settings'!$E$28:$F$33,2,FALSE)+1),1)</f>
        <v>3.52618588855715</v>
      </c>
      <c r="AD268" s="48">
        <f>VLOOKUP(B268,'Player Data'!$A1:$AE734,18,FALSE)*$Q268</f>
        <v>40.9093185973384</v>
      </c>
      <c r="AE268" s="48">
        <f>VLOOKUP(B268,'Player Data'!$A1:$AE734,19,FALSE)*$Q268*_xlfn.IFERROR((VLOOKUP(P268,'Settings'!$E$28:$F$33,2,FALSE)+1),1)</f>
        <v>2.32170313667339</v>
      </c>
      <c r="AF268" s="48">
        <f>VLOOKUP(B268,'Player Data'!$A1:$AE734,20,FALSE)*$Q268</f>
        <v>34.6485905308857</v>
      </c>
      <c r="AG268" s="48">
        <f>VLOOKUP(B268,'Player Data'!$A1:$AE734,21,FALSE)*$Q268</f>
        <v>60.5603607338027</v>
      </c>
      <c r="AH268" s="49">
        <f>VLOOKUP(B268,'Player Data'!$A1:$AE734,22,FALSE)</f>
        <v>0.363921564838582</v>
      </c>
      <c r="AI268" s="46"/>
      <c r="AJ268" s="50"/>
      <c r="AK268" s="48"/>
      <c r="AL268" s="48"/>
      <c r="AM268" s="48"/>
      <c r="AN268" s="48"/>
      <c r="AO268" s="48"/>
      <c r="AP268" s="48"/>
      <c r="AQ268" s="51"/>
      <c r="AR268" s="52"/>
      <c r="AS268" s="46"/>
    </row>
    <row r="269" ht="21.25" customHeight="1">
      <c r="A269" s="53">
        <f>RANK(K269,K2:K730)</f>
        <v>302</v>
      </c>
      <c r="B269" t="s" s="8">
        <v>421</v>
      </c>
      <c r="C269" t="s" s="39">
        <v>106</v>
      </c>
      <c r="D269" t="s" s="40">
        <f>VLOOKUP(B269,'Player Data'!A1:D734,4,FALSE)</f>
        <v>107</v>
      </c>
      <c r="E269" s="41">
        <f>VLOOKUP(B269,'C'!A1:C218,3,FALSE)</f>
        <v>82</v>
      </c>
      <c r="F269" t="s" s="42">
        <f>VLOOKUP(B269,'Player Data'!A1:B734,2,FALSE)</f>
        <v>131</v>
      </c>
      <c r="G269" s="9">
        <f>VLOOKUP(B269,'Player Data'!A1:D734,3,FALSE)</f>
        <v>32</v>
      </c>
      <c r="H269" s="43">
        <f>_xlfn.IFERROR(VLOOKUP(B269,'ADP'!A1:G731,7,FALSE)/1000000,VLOOKUP(B269,'ADP'!A1:G731,7,FALSE))</f>
        <v>4.5</v>
      </c>
      <c r="I269" s="44">
        <f>IF('Settings'!$E$15="POINTS",((R269*Q269)*'Settings'!$B$12)+(S269*'Settings'!$B$2)+(T269*'Settings'!$B$3)+(U269*'Settings'!$B$4)+(V269*'Settings'!$B$5)+(X269*'Settings'!$B$9)+(AA269*'Settings'!$B$6)+(W269*'Settings'!$B$8)+(AB269*'Settings'!$B$7)+(AC269*'Settings'!$B$14)+(AD269*'Settings'!$B$15)+(AE269*'Settings'!$B$16)+(AF269*'Settings'!$B$17)+(AG269*'Settings'!$B$18)+(Y269*'Settings'!$B$10)+(Z269*'Settings'!$B$11),VLOOKUP(B269,'Standard Deviations'!A1:C731,3,FALSE))</f>
        <v>279.956275112218</v>
      </c>
      <c r="J269" s="45">
        <f>IF(D269="G",I269/AJ269,I269/Q269)</f>
        <v>3.6675894948052</v>
      </c>
      <c r="K269" s="44">
        <f>IF('Settings'!$E$18="C/LW/RW",VLOOKUP(B269,'C'!A1:F218,6,FALSE),VLOOKUP(B269,'F'!A1:F432,6,FALSE))</f>
        <v>-115.817926523797</v>
      </c>
      <c r="L269" s="44">
        <f>_xlfn.IFERROR(K269/H269,"N/A")</f>
        <v>-25.7373170052882</v>
      </c>
      <c r="M269" s="46">
        <f>IF('Settings'!$E$9="YAHOO",VLOOKUP(B269,'ADP'!A1:E731,2,FALSE),IF('Settings'!$E$9="ESPN",VLOOKUP(B269,'ADP'!A1:E731,3,FALSE),IF('Settings'!$E$9="FANTRAX",VLOOKUP(B269,'ADP'!A1:E731,4,FALSE),VLOOKUP(B269,'ADP'!A1:E731,5,FALSE))))</f>
        <v>211.37</v>
      </c>
      <c r="N269" s="46">
        <f>_xlfn.IFERROR(M269-A269,"N/A")</f>
        <v>-90.63</v>
      </c>
      <c r="O269" s="46"/>
      <c r="P269" t="s" s="47">
        <f>IF('Settings'!$E$27="ON",VLOOKUP(B269,'ADP'!A1:H731,8,FALSE)," ")</f>
        <v>109</v>
      </c>
      <c r="Q269" s="48">
        <f>IF('Settings'!$E$12="YES",VLOOKUP(B269,'Player Data'!A1:E734,5,FALSE),82)</f>
        <v>76.3325</v>
      </c>
      <c r="R269" s="46">
        <f>VLOOKUP(B269,'Player Data'!$A1:$AE734,6,FALSE)</f>
        <v>18.4505426505694</v>
      </c>
      <c r="S269" s="48">
        <f>VLOOKUP(B269,'Player Data'!$A1:$AE734,7,FALSE)*$Q269*_xlfn.IFERROR((VLOOKUP(P269,'Settings'!$E$28:$F$33,2,FALSE)+1),1)</f>
        <v>20.3642531454866</v>
      </c>
      <c r="T269" s="48">
        <f>VLOOKUP(B269,'Player Data'!$A1:$AE734,8,FALSE)*$Q269*_xlfn.IFERROR((VLOOKUP(P269,'Settings'!$E$28:$F$33,2,FALSE)+1),1)</f>
        <v>27.0896745052902</v>
      </c>
      <c r="U269" s="48">
        <f>SUM(S269:T269)</f>
        <v>47.4539276507768</v>
      </c>
      <c r="V269" s="48">
        <f>VLOOKUP(B269,'Player Data'!$A1:$AE734,10,FALSE)*$Q269*_xlfn.IFERROR(((VLOOKUP(P269,'Settings'!$E$28:$F$33,2,FALSE)/2)+1),1)</f>
        <v>155.612684465692</v>
      </c>
      <c r="W269" s="48">
        <f>VLOOKUP(B269,'Player Data'!$A1:$AE734,11,FALSE)*$Q269*_xlfn.IFERROR((VLOOKUP(P269,'Settings'!$E$28:$F$33,2,FALSE)+1),1)</f>
        <v>3.49611983949699</v>
      </c>
      <c r="X269" s="48">
        <f>VLOOKUP(B269,'Player Data'!$A1:$AE734,12,FALSE)*$Q269*_xlfn.IFERROR((VLOOKUP(P269,'Settings'!$E$28:$F$33,2,FALSE)+1),1)</f>
        <v>9.02600179493067</v>
      </c>
      <c r="Y269" s="48">
        <f>VLOOKUP(B269,'Player Data'!$A1:$AE734,13,FALSE)*$Q269</f>
        <v>1.1888859980197</v>
      </c>
      <c r="Z269" s="48">
        <f>VLOOKUP(B269,'Player Data'!$A1:$AE734,14,FALSE)*$Q269</f>
        <v>1.6742922892468</v>
      </c>
      <c r="AA269" s="48">
        <f>VLOOKUP(B269,'Player Data'!$A1:$AE734,15,FALSE)*$Q269</f>
        <v>36.0758748493899</v>
      </c>
      <c r="AB269" s="48">
        <f>VLOOKUP(B269,'Player Data'!$A1:$AE734,16,FALSE)*$Q269</f>
        <v>31.4209928224933</v>
      </c>
      <c r="AC269" s="48">
        <f>VLOOKUP(B269,'Player Data'!$A1:$AE734,17,FALSE)*$Q269*_xlfn.IFERROR((VLOOKUP(P269,'Settings'!$E$28:$F$33,2,FALSE)+1),1)</f>
        <v>-0.549976330984386</v>
      </c>
      <c r="AD269" s="48">
        <f>VLOOKUP(B269,'Player Data'!$A1:$AE734,18,FALSE)*$Q269</f>
        <v>21.2607097592445</v>
      </c>
      <c r="AE269" s="48">
        <f>VLOOKUP(B269,'Player Data'!$A1:$AE734,19,FALSE)*$Q269*_xlfn.IFERROR((VLOOKUP(P269,'Settings'!$E$28:$F$33,2,FALSE)+1),1)</f>
        <v>2.97371356749221</v>
      </c>
      <c r="AF269" s="48">
        <f>VLOOKUP(B269,'Player Data'!$A1:$AE734,20,FALSE)*$Q269</f>
        <v>785.905712689781</v>
      </c>
      <c r="AG269" s="48">
        <f>VLOOKUP(B269,'Player Data'!$A1:$AE734,21,FALSE)*$Q269</f>
        <v>594.882859573385</v>
      </c>
      <c r="AH269" s="49">
        <f>VLOOKUP(B269,'Player Data'!$A1:$AE734,22,FALSE)</f>
        <v>0.569171651965262</v>
      </c>
      <c r="AI269" s="46"/>
      <c r="AJ269" s="48"/>
      <c r="AK269" s="48"/>
      <c r="AL269" s="48"/>
      <c r="AM269" s="48"/>
      <c r="AN269" s="48"/>
      <c r="AO269" s="48"/>
      <c r="AP269" s="48"/>
      <c r="AQ269" s="51"/>
      <c r="AR269" s="52"/>
      <c r="AS269" s="46"/>
    </row>
    <row r="270" ht="21.25" customHeight="1">
      <c r="A270" s="53">
        <f>RANK(K270,K2:K730)</f>
        <v>265</v>
      </c>
      <c r="B270" t="s" s="8">
        <v>422</v>
      </c>
      <c r="C270" t="s" s="39">
        <v>106</v>
      </c>
      <c r="D270" t="s" s="40">
        <f>VLOOKUP(B270,'Player Data'!A1:D734,4,FALSE)</f>
        <v>121</v>
      </c>
      <c r="E270" s="55">
        <f>VLOOKUP(B270,'RW'!A1:F132,3,FALSE)</f>
        <v>63</v>
      </c>
      <c r="F270" t="s" s="42">
        <f>VLOOKUP(B270,'Player Data'!A1:B734,2,FALSE)</f>
        <v>166</v>
      </c>
      <c r="G270" s="9">
        <f>VLOOKUP(B270,'Player Data'!A1:D734,3,FALSE)</f>
        <v>36</v>
      </c>
      <c r="H270" s="43">
        <f>_xlfn.IFERROR(VLOOKUP(B270,'ADP'!A1:G731,7,FALSE)/1000000,VLOOKUP(B270,'ADP'!A1:G731,7,FALSE))</f>
        <v>5.75</v>
      </c>
      <c r="I270" s="44">
        <f>IF('Settings'!$E$15="POINTS",((R270*Q270)*'Settings'!$B$12)+(S270*'Settings'!$B$2)+(T270*'Settings'!$B$3)+(U270*'Settings'!$B$4)+(V270*'Settings'!$B$5)+(X270*'Settings'!$B$9)+(AA270*'Settings'!$B$6)+(W270*'Settings'!$B$8)+(AB270*'Settings'!$B$7)+(AC270*'Settings'!$B$14)+(AD270*'Settings'!$B$15)+(AE270*'Settings'!$B$16)+(AF270*'Settings'!$B$17)+(AG270*'Settings'!$B$18)+(Y270*'Settings'!$B$10)+(Z270*'Settings'!$B$11),VLOOKUP(B270,'Standard Deviations'!A1:C731,3,FALSE))</f>
        <v>281.671020114794</v>
      </c>
      <c r="J270" s="45">
        <f>IF(D270="G",I270/AJ270,I270/Q270)</f>
        <v>3.90636197013028</v>
      </c>
      <c r="K270" s="44">
        <f>IF('Settings'!$E$18="C/LW/RW",VLOOKUP(B270,'RW'!A1:F132,6,FALSE),VLOOKUP(B270,'F'!A1:F432,6,FALSE))</f>
        <v>-99.957543591562</v>
      </c>
      <c r="L270" s="44">
        <f>_xlfn.IFERROR(K270/H270,"N/A")</f>
        <v>-17.3839206246195</v>
      </c>
      <c r="M270" s="46">
        <f>IF('Settings'!$E$9="YAHOO",VLOOKUP(B270,'ADP'!A1:E731,2,FALSE),IF('Settings'!$E$9="ESPN",VLOOKUP(B270,'ADP'!A1:E731,3,FALSE),IF('Settings'!$E$9="FANTRAX",VLOOKUP(B270,'ADP'!A1:E731,4,FALSE),VLOOKUP(B270,'ADP'!A1:E731,5,FALSE))))</f>
        <v>241.34</v>
      </c>
      <c r="N270" s="46">
        <f>_xlfn.IFERROR(M270-A270,"N/A")</f>
        <v>-23.66</v>
      </c>
      <c r="O270" s="46"/>
      <c r="P270" t="s" s="47">
        <f>IF('Settings'!$E$27="ON",VLOOKUP(B270,'ADP'!A1:H731,8,FALSE)," ")</f>
        <v>109</v>
      </c>
      <c r="Q270" s="48">
        <f>IF('Settings'!$E$12="YES",VLOOKUP(B270,'Player Data'!A1:E734,5,FALSE),82)</f>
        <v>72.1057142857143</v>
      </c>
      <c r="R270" s="46">
        <f>VLOOKUP(B270,'Player Data'!$A1:$AE734,6,FALSE)</f>
        <v>16.5870667336115</v>
      </c>
      <c r="S270" s="48">
        <f>VLOOKUP(B270,'Player Data'!$A1:$AE734,7,FALSE)*$Q270*_xlfn.IFERROR((VLOOKUP(P270,'Settings'!$E$28:$F$33,2,FALSE)+1),1)</f>
        <v>20.4781448413205</v>
      </c>
      <c r="T270" s="48">
        <f>VLOOKUP(B270,'Player Data'!$A1:$AE734,8,FALSE)*$Q270*_xlfn.IFERROR((VLOOKUP(P270,'Settings'!$E$28:$F$33,2,FALSE)+1),1)</f>
        <v>20.5804318741995</v>
      </c>
      <c r="U270" s="48">
        <f>SUM(S270:T270)</f>
        <v>41.058576715520</v>
      </c>
      <c r="V270" s="48">
        <f>VLOOKUP(B270,'Player Data'!$A1:$AE734,10,FALSE)*$Q270*_xlfn.IFERROR(((VLOOKUP(P270,'Settings'!$E$28:$F$33,2,FALSE)/2)+1),1)</f>
        <v>147.488628026546</v>
      </c>
      <c r="W270" s="48">
        <f>VLOOKUP(B270,'Player Data'!$A1:$AE734,11,FALSE)*$Q270*_xlfn.IFERROR((VLOOKUP(P270,'Settings'!$E$28:$F$33,2,FALSE)+1),1)</f>
        <v>9.12505178491462</v>
      </c>
      <c r="X270" s="48">
        <f>VLOOKUP(B270,'Player Data'!$A1:$AE734,12,FALSE)*$Q270*_xlfn.IFERROR((VLOOKUP(P270,'Settings'!$E$28:$F$33,2,FALSE)+1),1)</f>
        <v>13.5849255267989</v>
      </c>
      <c r="Y270" s="48">
        <f>VLOOKUP(B270,'Player Data'!$A1:$AE734,13,FALSE)*$Q270</f>
        <v>0.0169303665173361</v>
      </c>
      <c r="Z270" s="48">
        <f>VLOOKUP(B270,'Player Data'!$A1:$AE734,14,FALSE)*$Q270</f>
        <v>0.07663264397844451</v>
      </c>
      <c r="AA270" s="48">
        <f>VLOOKUP(B270,'Player Data'!$A1:$AE734,15,FALSE)*$Q270</f>
        <v>40.7371786292208</v>
      </c>
      <c r="AB270" s="48">
        <f>VLOOKUP(B270,'Player Data'!$A1:$AE734,16,FALSE)*$Q270</f>
        <v>134.047616361653</v>
      </c>
      <c r="AC270" s="48">
        <f>VLOOKUP(B270,'Player Data'!$A1:$AE734,17,FALSE)*$Q270*_xlfn.IFERROR((VLOOKUP(P270,'Settings'!$E$28:$F$33,2,FALSE)+1),1)</f>
        <v>-3.81035157605532</v>
      </c>
      <c r="AD270" s="48">
        <f>VLOOKUP(B270,'Player Data'!$A1:$AE734,18,FALSE)*$Q270</f>
        <v>39.2187605591669</v>
      </c>
      <c r="AE270" s="48">
        <f>VLOOKUP(B270,'Player Data'!$A1:$AE734,19,FALSE)*$Q270*_xlfn.IFERROR((VLOOKUP(P270,'Settings'!$E$28:$F$33,2,FALSE)+1),1)</f>
        <v>2.51893236402226</v>
      </c>
      <c r="AF270" s="48">
        <f>VLOOKUP(B270,'Player Data'!$A1:$AE734,20,FALSE)*$Q270</f>
        <v>112.862956590063</v>
      </c>
      <c r="AG270" s="48">
        <f>VLOOKUP(B270,'Player Data'!$A1:$AE734,21,FALSE)*$Q270</f>
        <v>134.893229771899</v>
      </c>
      <c r="AH270" s="49">
        <f>VLOOKUP(B270,'Player Data'!$A1:$AE734,22,FALSE)</f>
        <v>0.455540417566708</v>
      </c>
      <c r="AI270" s="46"/>
      <c r="AJ270" s="50"/>
      <c r="AK270" s="48"/>
      <c r="AL270" s="48"/>
      <c r="AM270" s="48"/>
      <c r="AN270" s="48"/>
      <c r="AO270" s="48"/>
      <c r="AP270" s="48"/>
      <c r="AQ270" s="51"/>
      <c r="AR270" s="52"/>
      <c r="AS270" s="46"/>
    </row>
    <row r="271" ht="21.25" customHeight="1">
      <c r="A271" s="53">
        <f>RANK(K271,K2:K730)</f>
        <v>154</v>
      </c>
      <c r="B271" t="s" s="8">
        <v>423</v>
      </c>
      <c r="C271" t="s" s="39">
        <v>106</v>
      </c>
      <c r="D271" t="s" s="40">
        <f>VLOOKUP(B271,'Player Data'!A1:D734,4,FALSE)</f>
        <v>146</v>
      </c>
      <c r="E271" s="58">
        <f>VLOOKUP(B271,'G'!A1:D75,3,FALSE)</f>
        <v>28</v>
      </c>
      <c r="F271" t="s" s="42">
        <f>VLOOKUP(B271,'Player Data'!A1:B734,2,FALSE)</f>
        <v>204</v>
      </c>
      <c r="G271" s="9">
        <f>VLOOKUP(B271,'Player Data'!A1:D734,3,FALSE)</f>
        <v>31</v>
      </c>
      <c r="H271" s="43">
        <f>_xlfn.IFERROR(VLOOKUP(B271,'ADP'!A1:G731,7,FALSE)/1000000,VLOOKUP(B271,'ADP'!A1:G731,7,FALSE))</f>
        <v>0</v>
      </c>
      <c r="I271" s="44">
        <f>IF('Settings'!$E$15="POINTS",(AJ271*'Settings'!$B$29)+(AK271*'Settings'!$B$21)+(AL271*'Settings'!$B$22)+(AN271*'Settings'!$B$24)+(AO271*'Settings'!$B$25)+(AP271*'Settings'!$B$27)+(AM271*'Settings'!$B$23),VLOOKUP(B271,'Standard Deviations'!A1:C731,3,FALSE))</f>
        <v>235.932171289788</v>
      </c>
      <c r="J271" s="45">
        <f>IF(D271="G",I271/AJ271,I271/Q271)</f>
        <v>5.61743264975686</v>
      </c>
      <c r="K271" s="44">
        <f>VLOOKUP(B271,'G'!A1:F75,6,FALSE)</f>
        <v>-29.3710502099</v>
      </c>
      <c r="L271" t="s" s="60">
        <f>_xlfn.IFERROR(K271/H271,"N/A")</f>
        <v>158</v>
      </c>
      <c r="M271" s="46">
        <f>IF('Settings'!$E$9="YAHOO",VLOOKUP(B271,'ADP'!A1:E731,2,FALSE),IF('Settings'!$E$9="ESPN",VLOOKUP(B271,'ADP'!A1:E731,3,FALSE),IF('Settings'!$E$9="FANTRAX",VLOOKUP(B271,'ADP'!A1:E731,4,FALSE),VLOOKUP(B271,'ADP'!A1:E731,5,FALSE))))</f>
        <v>223.74</v>
      </c>
      <c r="N271" s="46">
        <f>_xlfn.IFERROR(M271-A271,"N/A")</f>
        <v>69.73999999999999</v>
      </c>
      <c r="O271" s="46"/>
      <c r="P271" t="s" s="47">
        <f>IF('Settings'!$E$27="ON",VLOOKUP(B271,'ADP'!A1:H731,8,FALSE)," ")</f>
        <v>109</v>
      </c>
      <c r="Q271" s="48"/>
      <c r="R271" s="59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9"/>
      <c r="AI271" s="46"/>
      <c r="AJ271" s="50">
        <f>VLOOKUP(B271,'Player Data'!$A1:$AE734,24,FALSE)</f>
        <v>42</v>
      </c>
      <c r="AK271" s="48">
        <f>VLOOKUP(B271,'Player Data'!$A1:$AE734,25,FALSE)*$AJ271*_xlfn.IFERROR((VLOOKUP(P271,'Settings'!$E$28:$F$33,2,FALSE)+1),1)</f>
        <v>22.4733993699907</v>
      </c>
      <c r="AL271" s="48">
        <f>AJ271-AK271-AM271</f>
        <v>14.2766006300093</v>
      </c>
      <c r="AM271" s="48">
        <f>VLOOKUP(B271,'Player Data'!$A1:$AE734,27,FALSE)*$AJ271</f>
        <v>5.25</v>
      </c>
      <c r="AN271" s="48">
        <f>VLOOKUP(B271,'Player Data'!$A1:$AE734,28,FALSE)*AJ271</f>
        <v>2.16128674233173</v>
      </c>
      <c r="AO271" s="48">
        <f>VLOOKUP(B271,'Player Data'!$A1:$AE734,29,FALSE)*$AJ271*_xlfn.IFERROR((VLOOKUP(P271,'Settings'!$E$28:$F$33,2,FALSE)/4)+1,1)</f>
        <v>1142.993792150870</v>
      </c>
      <c r="AP271" s="48">
        <f>VLOOKUP(B271,'Player Data'!$A1:$AE734,31,FALSE)*$AJ271*(_xlfn.IFERROR(1-(VLOOKUP(P271,'Settings'!$E$28:$F$33,2,FALSE)/4),1))</f>
        <v>120.580016461627</v>
      </c>
      <c r="AQ271" s="51">
        <f>1-(AP271/(AO271+AP271))</f>
        <v>0.9045722413366311</v>
      </c>
      <c r="AR271" s="52">
        <f>AP271/AJ271</f>
        <v>2.87095277289588</v>
      </c>
      <c r="AS271" s="46"/>
    </row>
    <row r="272" ht="21.25" customHeight="1">
      <c r="A272" s="53">
        <f>RANK(K272,K2:K730)</f>
        <v>332</v>
      </c>
      <c r="B272" t="s" s="8">
        <v>424</v>
      </c>
      <c r="C272" t="s" s="39">
        <v>106</v>
      </c>
      <c r="D272" t="s" s="40">
        <f>VLOOKUP(B272,'Player Data'!A1:D734,4,FALSE)</f>
        <v>107</v>
      </c>
      <c r="E272" s="41">
        <f>VLOOKUP(B272,'C'!A1:C218,3,FALSE)</f>
        <v>89</v>
      </c>
      <c r="F272" t="s" s="42">
        <f>VLOOKUP(B272,'Player Data'!A1:B734,2,FALSE)</f>
        <v>166</v>
      </c>
      <c r="G272" s="9">
        <f>VLOOKUP(B272,'Player Data'!A1:D734,3,FALSE)</f>
        <v>26</v>
      </c>
      <c r="H272" s="43">
        <f>_xlfn.IFERROR(VLOOKUP(B272,'ADP'!A1:G731,7,FALSE)/1000000,VLOOKUP(B272,'ADP'!A1:G731,7,FALSE))</f>
        <v>5</v>
      </c>
      <c r="I272" s="44">
        <f>IF('Settings'!$E$15="POINTS",((R272*Q272)*'Settings'!$B$12)+(S272*'Settings'!$B$2)+(T272*'Settings'!$B$3)+(U272*'Settings'!$B$4)+(V272*'Settings'!$B$5)+(X272*'Settings'!$B$9)+(AA272*'Settings'!$B$6)+(W272*'Settings'!$B$8)+(AB272*'Settings'!$B$7)+(AC272*'Settings'!$B$14)+(AD272*'Settings'!$B$15)+(AE272*'Settings'!$B$16)+(AF272*'Settings'!$B$17)+(AG272*'Settings'!$B$18)+(Y272*'Settings'!$B$10)+(Z272*'Settings'!$B$11),VLOOKUP(B272,'Standard Deviations'!A1:C731,3,FALSE))</f>
        <v>271.611865412343</v>
      </c>
      <c r="J272" s="45">
        <f>IF(D272="G",I272/AJ272,I272/Q272)</f>
        <v>3.49465230148864</v>
      </c>
      <c r="K272" s="44">
        <f>IF('Settings'!$E$18="C/LW/RW",VLOOKUP(B272,'C'!A1:F218,6,FALSE),VLOOKUP(B272,'F'!A1:F432,6,FALSE))</f>
        <v>-124.162336223672</v>
      </c>
      <c r="L272" s="44">
        <f>_xlfn.IFERROR(K272/H272,"N/A")</f>
        <v>-24.8324672447344</v>
      </c>
      <c r="M272" s="46">
        <f>IF('Settings'!$E$9="YAHOO",VLOOKUP(B272,'ADP'!A1:E731,2,FALSE),IF('Settings'!$E$9="ESPN",VLOOKUP(B272,'ADP'!A1:E731,3,FALSE),IF('Settings'!$E$9="FANTRAX",VLOOKUP(B272,'ADP'!A1:E731,4,FALSE),VLOOKUP(B272,'ADP'!A1:E731,5,FALSE))))</f>
        <v>188.91</v>
      </c>
      <c r="N272" s="46">
        <f>_xlfn.IFERROR(M272-A272,"N/A")</f>
        <v>-143.09</v>
      </c>
      <c r="O272" s="46"/>
      <c r="P272" t="s" s="47">
        <f>IF('Settings'!$E$27="ON",VLOOKUP(B272,'ADP'!A1:H731,8,FALSE)," ")</f>
        <v>109</v>
      </c>
      <c r="Q272" s="48">
        <f>IF('Settings'!$E$12="YES",VLOOKUP(B272,'Player Data'!A1:E734,5,FALSE),82)</f>
        <v>77.7221428571429</v>
      </c>
      <c r="R272" s="46">
        <f>VLOOKUP(B272,'Player Data'!$A1:$AE734,6,FALSE)</f>
        <v>15.4727948472655</v>
      </c>
      <c r="S272" s="48">
        <f>VLOOKUP(B272,'Player Data'!$A1:$AE734,7,FALSE)*$Q272*_xlfn.IFERROR((VLOOKUP(P272,'Settings'!$E$28:$F$33,2,FALSE)+1),1)</f>
        <v>20.3258083231308</v>
      </c>
      <c r="T272" s="48">
        <f>VLOOKUP(B272,'Player Data'!$A1:$AE734,8,FALSE)*$Q272*_xlfn.IFERROR((VLOOKUP(P272,'Settings'!$E$28:$F$33,2,FALSE)+1),1)</f>
        <v>28.8073606336668</v>
      </c>
      <c r="U272" s="48">
        <f>SUM(S272:T272)</f>
        <v>49.1331689567976</v>
      </c>
      <c r="V272" s="48">
        <f>VLOOKUP(B272,'Player Data'!$A1:$AE734,10,FALSE)*$Q272*_xlfn.IFERROR(((VLOOKUP(P272,'Settings'!$E$28:$F$33,2,FALSE)/2)+1),1)</f>
        <v>136.819642039605</v>
      </c>
      <c r="W272" s="48">
        <f>VLOOKUP(B272,'Player Data'!$A1:$AE734,11,FALSE)*$Q272*_xlfn.IFERROR((VLOOKUP(P272,'Settings'!$E$28:$F$33,2,FALSE)+1),1)</f>
        <v>2.62500549376644</v>
      </c>
      <c r="X272" s="48">
        <f>VLOOKUP(B272,'Player Data'!$A1:$AE734,12,FALSE)*$Q272*_xlfn.IFERROR((VLOOKUP(P272,'Settings'!$E$28:$F$33,2,FALSE)+1),1)</f>
        <v>10.3908190172897</v>
      </c>
      <c r="Y272" s="48">
        <f>VLOOKUP(B272,'Player Data'!$A1:$AE734,13,FALSE)*$Q272</f>
        <v>0.0108713930527832</v>
      </c>
      <c r="Z272" s="48">
        <f>VLOOKUP(B272,'Player Data'!$A1:$AE734,14,FALSE)*$Q272</f>
        <v>0.0198609921497555</v>
      </c>
      <c r="AA272" s="48">
        <f>VLOOKUP(B272,'Player Data'!$A1:$AE734,15,FALSE)*$Q272</f>
        <v>38.7247077068917</v>
      </c>
      <c r="AB272" s="48">
        <f>VLOOKUP(B272,'Player Data'!$A1:$AE734,16,FALSE)*$Q272</f>
        <v>23.6469967988229</v>
      </c>
      <c r="AC272" s="48">
        <f>VLOOKUP(B272,'Player Data'!$A1:$AE734,17,FALSE)*$Q272*_xlfn.IFERROR((VLOOKUP(P272,'Settings'!$E$28:$F$33,2,FALSE)+1),1)</f>
        <v>-1.23873008915025</v>
      </c>
      <c r="AD272" s="48">
        <f>VLOOKUP(B272,'Player Data'!$A1:$AE734,18,FALSE)*$Q272</f>
        <v>25.4518347231013</v>
      </c>
      <c r="AE272" s="48">
        <f>VLOOKUP(B272,'Player Data'!$A1:$AE734,19,FALSE)*$Q272*_xlfn.IFERROR((VLOOKUP(P272,'Settings'!$E$28:$F$33,2,FALSE)+1),1)</f>
        <v>2.50019407552669</v>
      </c>
      <c r="AF272" s="48">
        <f>VLOOKUP(B272,'Player Data'!$A1:$AE734,20,FALSE)*$Q272</f>
        <v>468.545672665506</v>
      </c>
      <c r="AG272" s="48">
        <f>VLOOKUP(B272,'Player Data'!$A1:$AE734,21,FALSE)*$Q272</f>
        <v>471.175573639454</v>
      </c>
      <c r="AH272" s="49">
        <f>VLOOKUP(B272,'Player Data'!$A1:$AE734,22,FALSE)</f>
        <v>0.498600701546182</v>
      </c>
      <c r="AI272" s="46"/>
      <c r="AJ272" s="50"/>
      <c r="AK272" s="48"/>
      <c r="AL272" s="48"/>
      <c r="AM272" s="48"/>
      <c r="AN272" s="48"/>
      <c r="AO272" s="48"/>
      <c r="AP272" s="48"/>
      <c r="AQ272" s="51"/>
      <c r="AR272" s="52"/>
      <c r="AS272" s="46"/>
    </row>
    <row r="273" ht="21.25" customHeight="1">
      <c r="A273" s="53">
        <f>RANK(K273,K2:K730)</f>
        <v>235</v>
      </c>
      <c r="B273" t="s" s="8">
        <v>425</v>
      </c>
      <c r="C273" t="s" s="39">
        <v>106</v>
      </c>
      <c r="D273" t="s" s="40">
        <f>VLOOKUP(B273,'Player Data'!A1:D734,4,FALSE)</f>
        <v>111</v>
      </c>
      <c r="E273" s="54">
        <f>VLOOKUP(B273,'LW'!A1:C156,3,FALSE)</f>
        <v>58</v>
      </c>
      <c r="F273" t="s" s="42">
        <f>VLOOKUP(B273,'Player Data'!A1:B734,2,FALSE)</f>
        <v>234</v>
      </c>
      <c r="G273" s="9">
        <f>VLOOKUP(B273,'Player Data'!A1:D734,3,FALSE)</f>
        <v>29</v>
      </c>
      <c r="H273" s="43">
        <f>_xlfn.IFERROR(VLOOKUP(B273,'ADP'!A1:G731,7,FALSE)/1000000,VLOOKUP(B273,'ADP'!A1:G731,7,FALSE))</f>
        <v>3.65</v>
      </c>
      <c r="I273" s="44">
        <f>IF('Settings'!$E$15="POINTS",((R273*Q273)*'Settings'!$B$12)+(S273*'Settings'!$B$2)+(T273*'Settings'!$B$3)+(U273*'Settings'!$B$4)+(V273*'Settings'!$B$5)+(X273*'Settings'!$B$9)+(AA273*'Settings'!$B$6)+(W273*'Settings'!$B$8)+(AB273*'Settings'!$B$7)+(AC273*'Settings'!$B$14)+(AD273*'Settings'!$B$15)+(AE273*'Settings'!$B$16)+(AF273*'Settings'!$B$17)+(AG273*'Settings'!$B$18)+(Y273*'Settings'!$B$10)+(Z273*'Settings'!$B$11),VLOOKUP(B273,'Standard Deviations'!A1:C731,3,FALSE))</f>
        <v>293.302708085821</v>
      </c>
      <c r="J273" s="45">
        <f>IF(D273="G",I273/AJ273,I273/Q273)</f>
        <v>3.65076808670427</v>
      </c>
      <c r="K273" s="44">
        <f>IF('Settings'!$E$18="C/LW/RW",VLOOKUP(B273,'LW'!A1:F156,6,FALSE),VLOOKUP(B273,'F'!A1:F432,6,FALSE))</f>
        <v>-88.32585562053499</v>
      </c>
      <c r="L273" s="44">
        <f>_xlfn.IFERROR(K273/H273,"N/A")</f>
        <v>-24.1988645535712</v>
      </c>
      <c r="M273" s="46">
        <f>IF('Settings'!$E$9="YAHOO",VLOOKUP(B273,'ADP'!A1:E731,2,FALSE),IF('Settings'!$E$9="ESPN",VLOOKUP(B273,'ADP'!A1:E731,3,FALSE),IF('Settings'!$E$9="FANTRAX",VLOOKUP(B273,'ADP'!A1:E731,4,FALSE),VLOOKUP(B273,'ADP'!A1:E731,5,FALSE))))</f>
        <v>218.38</v>
      </c>
      <c r="N273" s="46">
        <f>_xlfn.IFERROR(M273-A273,"N/A")</f>
        <v>-16.62</v>
      </c>
      <c r="O273" s="46"/>
      <c r="P273" t="s" s="47">
        <f>IF('Settings'!$E$27="ON",VLOOKUP(B273,'ADP'!A1:H731,8,FALSE)," ")</f>
        <v>109</v>
      </c>
      <c r="Q273" s="48">
        <f>IF('Settings'!$E$12="YES",VLOOKUP(B273,'Player Data'!A1:E734,5,FALSE),82)</f>
        <v>80.34</v>
      </c>
      <c r="R273" s="46">
        <f>VLOOKUP(B273,'Player Data'!$A1:$AE734,6,FALSE)</f>
        <v>15.2412928125782</v>
      </c>
      <c r="S273" s="48">
        <f>VLOOKUP(B273,'Player Data'!$A1:$AE734,7,FALSE)*$Q273*_xlfn.IFERROR((VLOOKUP(P273,'Settings'!$E$28:$F$33,2,FALSE)+1),1)</f>
        <v>20.0563773412521</v>
      </c>
      <c r="T273" s="48">
        <f>VLOOKUP(B273,'Player Data'!$A1:$AE734,8,FALSE)*$Q273*_xlfn.IFERROR((VLOOKUP(P273,'Settings'!$E$28:$F$33,2,FALSE)+1),1)</f>
        <v>17.2154530834174</v>
      </c>
      <c r="U273" s="48">
        <f>SUM(S273:T273)</f>
        <v>37.2718304246695</v>
      </c>
      <c r="V273" s="48">
        <f>VLOOKUP(B273,'Player Data'!$A1:$AE734,10,FALSE)*$Q273*_xlfn.IFERROR(((VLOOKUP(P273,'Settings'!$E$28:$F$33,2,FALSE)/2)+1),1)</f>
        <v>204.078696388017</v>
      </c>
      <c r="W273" s="48">
        <f>VLOOKUP(B273,'Player Data'!$A1:$AE734,11,FALSE)*$Q273*_xlfn.IFERROR((VLOOKUP(P273,'Settings'!$E$28:$F$33,2,FALSE)+1),1)</f>
        <v>3.40975630459994</v>
      </c>
      <c r="X273" s="48">
        <f>VLOOKUP(B273,'Player Data'!$A1:$AE734,12,FALSE)*$Q273*_xlfn.IFERROR((VLOOKUP(P273,'Settings'!$E$28:$F$33,2,FALSE)+1),1)</f>
        <v>6.72430662219395</v>
      </c>
      <c r="Y273" s="48">
        <f>VLOOKUP(B273,'Player Data'!$A1:$AE734,13,FALSE)*$Q273</f>
        <v>0.138156575683745</v>
      </c>
      <c r="Z273" s="48">
        <f>VLOOKUP(B273,'Player Data'!$A1:$AE734,14,FALSE)*$Q273</f>
        <v>0.252739290071179</v>
      </c>
      <c r="AA273" s="48">
        <f>VLOOKUP(B273,'Player Data'!$A1:$AE734,15,FALSE)*$Q273</f>
        <v>57.0377457011192</v>
      </c>
      <c r="AB273" s="48">
        <f>VLOOKUP(B273,'Player Data'!$A1:$AE734,16,FALSE)*$Q273</f>
        <v>81.3558047008945</v>
      </c>
      <c r="AC273" s="48">
        <f>VLOOKUP(B273,'Player Data'!$A1:$AE734,17,FALSE)*$Q273*_xlfn.IFERROR((VLOOKUP(P273,'Settings'!$E$28:$F$33,2,FALSE)+1),1)</f>
        <v>-10.2542073984515</v>
      </c>
      <c r="AD273" s="48">
        <f>VLOOKUP(B273,'Player Data'!$A1:$AE734,18,FALSE)*$Q273</f>
        <v>32.4953378778303</v>
      </c>
      <c r="AE273" s="48">
        <f>VLOOKUP(B273,'Player Data'!$A1:$AE734,19,FALSE)*$Q273*_xlfn.IFERROR((VLOOKUP(P273,'Settings'!$E$28:$F$33,2,FALSE)+1),1)</f>
        <v>1.92266501587243</v>
      </c>
      <c r="AF273" s="48">
        <f>VLOOKUP(B273,'Player Data'!$A1:$AE734,20,FALSE)*$Q273</f>
        <v>7.39286392303345</v>
      </c>
      <c r="AG273" s="48">
        <f>VLOOKUP(B273,'Player Data'!$A1:$AE734,21,FALSE)*$Q273</f>
        <v>11.4097417417875</v>
      </c>
      <c r="AH273" s="49">
        <f>VLOOKUP(B273,'Player Data'!$A1:$AE734,22,FALSE)</f>
        <v>0.393182947875424</v>
      </c>
      <c r="AI273" s="46"/>
      <c r="AJ273" s="50"/>
      <c r="AK273" s="48"/>
      <c r="AL273" s="48"/>
      <c r="AM273" s="48"/>
      <c r="AN273" s="48"/>
      <c r="AO273" s="48"/>
      <c r="AP273" s="48"/>
      <c r="AQ273" s="51"/>
      <c r="AR273" s="52"/>
      <c r="AS273" s="46"/>
    </row>
    <row r="274" ht="21.25" customHeight="1">
      <c r="A274" s="53">
        <f>RANK(K274,K2:K730)</f>
        <v>164</v>
      </c>
      <c r="B274" t="s" s="8">
        <v>426</v>
      </c>
      <c r="C274" t="s" s="39">
        <v>106</v>
      </c>
      <c r="D274" t="s" s="40">
        <f>VLOOKUP(B274,'Player Data'!A1:D734,4,FALSE)</f>
        <v>146</v>
      </c>
      <c r="E274" s="58">
        <f>VLOOKUP(B274,'G'!A1:D75,3,FALSE)</f>
        <v>30</v>
      </c>
      <c r="F274" t="s" s="42">
        <f>VLOOKUP(B274,'Player Data'!A1:B734,2,FALSE)</f>
        <v>122</v>
      </c>
      <c r="G274" s="9">
        <f>VLOOKUP(B274,'Player Data'!A1:D734,3,FALSE)</f>
        <v>24</v>
      </c>
      <c r="H274" s="43">
        <f>_xlfn.IFERROR(VLOOKUP(B274,'ADP'!A1:G731,7,FALSE)/1000000,VLOOKUP(B274,'ADP'!A1:G731,7,FALSE))</f>
        <v>0</v>
      </c>
      <c r="I274" s="44">
        <f>IF('Settings'!$E$15="POINTS",(AJ274*'Settings'!$B$29)+(AK274*'Settings'!$B$21)+(AL274*'Settings'!$B$22)+(AN274*'Settings'!$B$24)+(AO274*'Settings'!$B$25)+(AP274*'Settings'!$B$27)+(AM274*'Settings'!$B$23),VLOOKUP(B274,'Standard Deviations'!A1:C731,3,FALSE))</f>
        <v>226.699296585714</v>
      </c>
      <c r="J274" s="45">
        <f>IF(D274="G",I274/AJ274,I274/Q274)</f>
        <v>6.2972026829365</v>
      </c>
      <c r="K274" s="44">
        <f>VLOOKUP(B274,'G'!A1:F75,6,FALSE)</f>
        <v>-38.603924913974</v>
      </c>
      <c r="L274" t="s" s="60">
        <f>_xlfn.IFERROR(K274/H274,"N/A")</f>
        <v>158</v>
      </c>
      <c r="M274" s="46">
        <f>IF('Settings'!$E$9="YAHOO",VLOOKUP(B274,'ADP'!A1:E731,2,FALSE),IF('Settings'!$E$9="ESPN",VLOOKUP(B274,'ADP'!A1:E731,3,FALSE),IF('Settings'!$E$9="FANTRAX",VLOOKUP(B274,'ADP'!A1:E731,4,FALSE),VLOOKUP(B274,'ADP'!A1:E731,5,FALSE))))</f>
        <v>203.34</v>
      </c>
      <c r="N274" s="46">
        <f>_xlfn.IFERROR(M274-A274,"N/A")</f>
        <v>39.34</v>
      </c>
      <c r="O274" s="46"/>
      <c r="P274" t="s" s="47">
        <f>IF('Settings'!$E$27="ON",VLOOKUP(B274,'ADP'!A1:H731,8,FALSE)," ")</f>
        <v>109</v>
      </c>
      <c r="Q274" s="48"/>
      <c r="R274" s="59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9"/>
      <c r="AI274" s="46"/>
      <c r="AJ274" s="50">
        <f>VLOOKUP(B274,'Player Data'!$A1:$AE734,24,FALSE)</f>
        <v>36</v>
      </c>
      <c r="AK274" s="48">
        <f>VLOOKUP(B274,'Player Data'!$A1:$AE734,25,FALSE)*$AJ274*_xlfn.IFERROR((VLOOKUP(P274,'Settings'!$E$28:$F$33,2,FALSE)+1),1)</f>
        <v>20.5262421580407</v>
      </c>
      <c r="AL274" s="48">
        <f>AJ274-AK274-AM274</f>
        <v>10.9737578419593</v>
      </c>
      <c r="AM274" s="48">
        <f>VLOOKUP(B274,'Player Data'!$A1:$AE734,27,FALSE)*$AJ274</f>
        <v>4.5</v>
      </c>
      <c r="AN274" s="48">
        <f>VLOOKUP(B274,'Player Data'!$A1:$AE734,28,FALSE)*AJ274</f>
        <v>2.17996114500136</v>
      </c>
      <c r="AO274" s="48">
        <f>VLOOKUP(B274,'Player Data'!$A1:$AE734,29,FALSE)*$AJ274*_xlfn.IFERROR((VLOOKUP(P274,'Settings'!$E$28:$F$33,2,FALSE)/4)+1,1)</f>
        <v>1023.945145924490</v>
      </c>
      <c r="AP274" s="48">
        <f>VLOOKUP(B274,'Player Data'!$A1:$AE734,31,FALSE)*$AJ274*(_xlfn.IFERROR(1-(VLOOKUP(P274,'Settings'!$E$28:$F$33,2,FALSE)/4),1))</f>
        <v>99.0685714005058</v>
      </c>
      <c r="AQ274" s="51">
        <f>1-(AP274/(AO274+AP274))</f>
        <v>0.911783293585687</v>
      </c>
      <c r="AR274" s="52">
        <f>AP274/AJ274</f>
        <v>2.75190476112516</v>
      </c>
      <c r="AS274" s="46"/>
    </row>
    <row r="275" ht="21.25" customHeight="1">
      <c r="A275" s="53">
        <f>RANK(K275,K2:K730)</f>
        <v>292</v>
      </c>
      <c r="B275" t="s" s="8">
        <v>427</v>
      </c>
      <c r="C275" t="s" s="39">
        <v>106</v>
      </c>
      <c r="D275" t="s" s="40">
        <f>VLOOKUP(B275,'Player Data'!A1:D734,4,FALSE)</f>
        <v>129</v>
      </c>
      <c r="E275" s="56">
        <f>VLOOKUP(B275,'D'!A1:C228,3,FALSE)</f>
        <v>89</v>
      </c>
      <c r="F275" t="s" s="42">
        <f>VLOOKUP(B275,'Player Data'!A1:B734,2,FALSE)</f>
        <v>184</v>
      </c>
      <c r="G275" s="9">
        <f>VLOOKUP(B275,'Player Data'!A1:D734,3,FALSE)</f>
        <v>27</v>
      </c>
      <c r="H275" s="43">
        <f>_xlfn.IFERROR(VLOOKUP(B275,'ADP'!A1:G731,7,FALSE)/1000000,VLOOKUP(B275,'ADP'!A1:G731,7,FALSE))</f>
        <v>3.4</v>
      </c>
      <c r="I275" s="44">
        <f>IF('Settings'!$E$15="POINTS",((R275*Q275)*'Settings'!$B$12)+(S275*'Settings'!$B$2)+(T275*'Settings'!$B$3)+(U275*'Settings'!$B$4)+(V275*'Settings'!$B$5)+(X275*'Settings'!$B$9)+(AA275*'Settings'!$B$6)+(W275*'Settings'!$B$8)+(AB275*'Settings'!$B$7)+(AC275*'Settings'!$B$14)+(AD275*'Settings'!$B$15)+(AE275*'Settings'!$B$16)+(AF275*'Settings'!$B$17)+(AG275*'Settings'!$B$18)+(U275*'Settings'!$B$13)+(Y275*'Settings'!$B$10)+(Z275*'Settings'!$B$11),VLOOKUP(B275,'Standard Deviations'!A1:C731,3,FALSE))</f>
        <v>228.816954677316</v>
      </c>
      <c r="J275" s="45">
        <f>IF(D275="G",I275/AJ275,I275/Q275)</f>
        <v>3.28244583677356</v>
      </c>
      <c r="K275" s="44">
        <f>VLOOKUP(B275,'D'!A1:F228,6,FALSE)</f>
        <v>-111.918183969207</v>
      </c>
      <c r="L275" s="44">
        <f>_xlfn.IFERROR(K275/H275,"N/A")</f>
        <v>-32.9171129321197</v>
      </c>
      <c r="M275" s="46">
        <f>IF('Settings'!$E$9="YAHOO",VLOOKUP(B275,'ADP'!A1:E731,2,FALSE),IF('Settings'!$E$9="ESPN",VLOOKUP(B275,'ADP'!A1:E731,3,FALSE),IF('Settings'!$E$9="FANTRAX",VLOOKUP(B275,'ADP'!A1:E731,4,FALSE),VLOOKUP(B275,'ADP'!A1:E731,5,FALSE))))</f>
        <v>291.37</v>
      </c>
      <c r="N275" s="46">
        <f>_xlfn.IFERROR(M275-A275,"N/A")</f>
        <v>-0.63</v>
      </c>
      <c r="O275" s="46"/>
      <c r="P275" t="s" s="47">
        <f>IF('Settings'!$E$27="ON",VLOOKUP(B275,'ADP'!A1:H731,8,FALSE)," ")</f>
        <v>109</v>
      </c>
      <c r="Q275" s="48">
        <f>IF('Settings'!$E$12="YES",VLOOKUP(B275,'Player Data'!A1:E734,5,FALSE),82)</f>
        <v>69.7092857142857</v>
      </c>
      <c r="R275" s="46">
        <f>VLOOKUP(B275,'Player Data'!$A1:$AE734,6,FALSE)</f>
        <v>20.133092868455</v>
      </c>
      <c r="S275" s="48">
        <f>VLOOKUP(B275,'Player Data'!$A1:$AE734,7,FALSE)*$Q275*_xlfn.IFERROR((VLOOKUP(P275,'Settings'!$E$28:$F$33,2,FALSE)+1),1)</f>
        <v>7.46798211796711</v>
      </c>
      <c r="T275" s="48">
        <f>VLOOKUP(B275,'Player Data'!$A1:$AE734,8,FALSE)*$Q275*_xlfn.IFERROR((VLOOKUP(P275,'Settings'!$E$28:$F$33,2,FALSE)+1),1)</f>
        <v>12.1480830485517</v>
      </c>
      <c r="U275" s="48">
        <f>SUM(S275:T275)</f>
        <v>19.6160651665188</v>
      </c>
      <c r="V275" s="48">
        <f>VLOOKUP(B275,'Player Data'!$A1:$AE734,10,FALSE)*$Q275*_xlfn.IFERROR(((VLOOKUP(P275,'Settings'!$E$28:$F$33,2,FALSE)/2)+1),1)</f>
        <v>150.350546435551</v>
      </c>
      <c r="W275" s="48">
        <f>VLOOKUP(B275,'Player Data'!$A1:$AE734,11,FALSE)*$Q275*_xlfn.IFERROR((VLOOKUP(P275,'Settings'!$E$28:$F$33,2,FALSE)+1),1)</f>
        <v>0.0773548163326475</v>
      </c>
      <c r="X275" s="48">
        <f>VLOOKUP(B275,'Player Data'!$A1:$AE734,12,FALSE)*$Q275*_xlfn.IFERROR((VLOOKUP(P275,'Settings'!$E$28:$F$33,2,FALSE)+1),1)</f>
        <v>1.22970163115189</v>
      </c>
      <c r="Y275" s="48">
        <f>VLOOKUP(B275,'Player Data'!$A1:$AE734,13,FALSE)*$Q275</f>
        <v>0.0414476544059957</v>
      </c>
      <c r="Z275" s="48">
        <f>VLOOKUP(B275,'Player Data'!$A1:$AE734,14,FALSE)*$Q275</f>
        <v>0.159986458128023</v>
      </c>
      <c r="AA275" s="48">
        <f>VLOOKUP(B275,'Player Data'!$A1:$AE734,15,FALSE)*$Q275</f>
        <v>128.604475550537</v>
      </c>
      <c r="AB275" s="48">
        <f>VLOOKUP(B275,'Player Data'!$A1:$AE734,16,FALSE)*$Q275</f>
        <v>75.8772083660335</v>
      </c>
      <c r="AC275" s="48">
        <f>VLOOKUP(B275,'Player Data'!$A1:$AE734,17,FALSE)*$Q275*_xlfn.IFERROR((VLOOKUP(P275,'Settings'!$E$28:$F$33,2,FALSE)+1),1)</f>
        <v>-0.86667122601406</v>
      </c>
      <c r="AD275" s="48">
        <f>VLOOKUP(B275,'Player Data'!$A1:$AE734,18,FALSE)*$Q275</f>
        <v>39.5425431536689</v>
      </c>
      <c r="AE275" s="48">
        <f>VLOOKUP(B275,'Player Data'!$A1:$AE734,19,FALSE)*$Q275*_xlfn.IFERROR((VLOOKUP(P275,'Settings'!$E$28:$F$33,2,FALSE)+1),1)</f>
        <v>0.988281834459435</v>
      </c>
      <c r="AF275" s="48">
        <f>VLOOKUP(B275,'Player Data'!$A1:$AE734,20,FALSE)*$Q275</f>
        <v>0</v>
      </c>
      <c r="AG275" s="48">
        <f>VLOOKUP(B275,'Player Data'!$A1:$AE734,21,FALSE)*$Q275</f>
        <v>0</v>
      </c>
      <c r="AH275" s="49">
        <f>VLOOKUP(B275,'Player Data'!$A1:$AE734,22,FALSE)</f>
        <v>0</v>
      </c>
      <c r="AI275" s="46"/>
      <c r="AJ275" s="50"/>
      <c r="AK275" s="48"/>
      <c r="AL275" s="48"/>
      <c r="AM275" s="48"/>
      <c r="AN275" s="48"/>
      <c r="AO275" s="48"/>
      <c r="AP275" s="48"/>
      <c r="AQ275" s="51"/>
      <c r="AR275" s="52"/>
      <c r="AS275" s="50"/>
    </row>
    <row r="276" ht="21.25" customHeight="1">
      <c r="A276" s="53">
        <f>RANK(K276,K2:K730)</f>
        <v>298</v>
      </c>
      <c r="B276" t="s" s="8">
        <v>428</v>
      </c>
      <c r="C276" t="s" s="39">
        <v>106</v>
      </c>
      <c r="D276" t="s" s="40">
        <f>VLOOKUP(B276,'Player Data'!A1:D734,4,FALSE)</f>
        <v>107</v>
      </c>
      <c r="E276" s="41">
        <f>VLOOKUP(B276,'C'!A1:C218,3,FALSE)</f>
        <v>81</v>
      </c>
      <c r="F276" t="s" s="42">
        <f>VLOOKUP(B276,'Player Data'!A1:B734,2,FALSE)</f>
        <v>196</v>
      </c>
      <c r="G276" s="9">
        <f>VLOOKUP(B276,'Player Data'!A1:D734,3,FALSE)</f>
        <v>23</v>
      </c>
      <c r="H276" s="43">
        <f>_xlfn.IFERROR(VLOOKUP(B276,'ADP'!A1:G731,7,FALSE)/1000000,VLOOKUP(B276,'ADP'!A1:G731,7,FALSE))</f>
        <v>1.775</v>
      </c>
      <c r="I276" s="44">
        <f>IF('Settings'!$E$15="POINTS",((R276*Q276)*'Settings'!$B$12)+(S276*'Settings'!$B$2)+(T276*'Settings'!$B$3)+(U276*'Settings'!$B$4)+(V276*'Settings'!$B$5)+(X276*'Settings'!$B$9)+(AA276*'Settings'!$B$6)+(W276*'Settings'!$B$8)+(AB276*'Settings'!$B$7)+(AC276*'Settings'!$B$14)+(AD276*'Settings'!$B$15)+(AE276*'Settings'!$B$16)+(AF276*'Settings'!$B$17)+(AG276*'Settings'!$B$18)+(Y276*'Settings'!$B$10)+(Z276*'Settings'!$B$11),VLOOKUP(B276,'Standard Deviations'!A1:C731,3,FALSE))</f>
        <v>281.042703130187</v>
      </c>
      <c r="J276" s="45">
        <f>IF(D276="G",I276/AJ276,I276/Q276)</f>
        <v>3.65917196966587</v>
      </c>
      <c r="K276" s="44">
        <f>IF('Settings'!$E$18="C/LW/RW",VLOOKUP(B276,'C'!A1:F218,6,FALSE),VLOOKUP(B276,'F'!A1:F432,6,FALSE))</f>
        <v>-114.731498505828</v>
      </c>
      <c r="L276" s="44">
        <f>_xlfn.IFERROR(K276/H276,"N/A")</f>
        <v>-64.6374639469454</v>
      </c>
      <c r="M276" s="46">
        <f>IF('Settings'!$E$9="YAHOO",VLOOKUP(B276,'ADP'!A1:E731,2,FALSE),IF('Settings'!$E$9="ESPN",VLOOKUP(B276,'ADP'!A1:E731,3,FALSE),IF('Settings'!$E$9="FANTRAX",VLOOKUP(B276,'ADP'!A1:E731,4,FALSE),VLOOKUP(B276,'ADP'!A1:E731,5,FALSE))))</f>
        <v>202.81</v>
      </c>
      <c r="N276" s="46">
        <f>_xlfn.IFERROR(M276-A276,"N/A")</f>
        <v>-95.19</v>
      </c>
      <c r="O276" s="46"/>
      <c r="P276" t="s" s="47">
        <f>IF('Settings'!$E$27="ON",VLOOKUP(B276,'ADP'!A1:H731,8,FALSE)," ")</f>
        <v>109</v>
      </c>
      <c r="Q276" s="48">
        <f>IF('Settings'!$E$12="YES",VLOOKUP(B276,'Player Data'!A1:E734,5,FALSE),82)</f>
        <v>76.80500000000001</v>
      </c>
      <c r="R276" s="46">
        <f>VLOOKUP(B276,'Player Data'!$A1:$AE734,6,FALSE)</f>
        <v>17.8551186178003</v>
      </c>
      <c r="S276" s="48">
        <f>VLOOKUP(B276,'Player Data'!$A1:$AE734,7,FALSE)*$Q276*_xlfn.IFERROR((VLOOKUP(P276,'Settings'!$E$28:$F$33,2,FALSE)+1),1)</f>
        <v>18.8751795724254</v>
      </c>
      <c r="T276" s="48">
        <f>VLOOKUP(B276,'Player Data'!$A1:$AE734,8,FALSE)*$Q276*_xlfn.IFERROR((VLOOKUP(P276,'Settings'!$E$28:$F$33,2,FALSE)+1),1)</f>
        <v>24.9033976106061</v>
      </c>
      <c r="U276" s="48">
        <f>SUM(S276:T276)</f>
        <v>43.7785771830315</v>
      </c>
      <c r="V276" s="48">
        <f>VLOOKUP(B276,'Player Data'!$A1:$AE734,10,FALSE)*$Q276*_xlfn.IFERROR(((VLOOKUP(P276,'Settings'!$E$28:$F$33,2,FALSE)/2)+1),1)</f>
        <v>162.436428217407</v>
      </c>
      <c r="W276" s="48">
        <f>VLOOKUP(B276,'Player Data'!$A1:$AE734,11,FALSE)*$Q276*_xlfn.IFERROR((VLOOKUP(P276,'Settings'!$E$28:$F$33,2,FALSE)+1),1)</f>
        <v>4.2487469979633</v>
      </c>
      <c r="X276" s="48">
        <f>VLOOKUP(B276,'Player Data'!$A1:$AE734,12,FALSE)*$Q276*_xlfn.IFERROR((VLOOKUP(P276,'Settings'!$E$28:$F$33,2,FALSE)+1),1)</f>
        <v>11.2834081992652</v>
      </c>
      <c r="Y276" s="48">
        <f>VLOOKUP(B276,'Player Data'!$A1:$AE734,13,FALSE)*$Q276</f>
        <v>0.109602978931862</v>
      </c>
      <c r="Z276" s="48">
        <f>VLOOKUP(B276,'Player Data'!$A1:$AE734,14,FALSE)*$Q276</f>
        <v>0.717791118797695</v>
      </c>
      <c r="AA276" s="48">
        <f>VLOOKUP(B276,'Player Data'!$A1:$AE734,15,FALSE)*$Q276</f>
        <v>34.1997858055952</v>
      </c>
      <c r="AB276" s="48">
        <f>VLOOKUP(B276,'Player Data'!$A1:$AE734,16,FALSE)*$Q276</f>
        <v>86.5620518934319</v>
      </c>
      <c r="AC276" s="48">
        <f>VLOOKUP(B276,'Player Data'!$A1:$AE734,17,FALSE)*$Q276*_xlfn.IFERROR((VLOOKUP(P276,'Settings'!$E$28:$F$33,2,FALSE)+1),1)</f>
        <v>-2.53428232462551</v>
      </c>
      <c r="AD276" s="48">
        <f>VLOOKUP(B276,'Player Data'!$A1:$AE734,18,FALSE)*$Q276</f>
        <v>34.7300018643278</v>
      </c>
      <c r="AE276" s="48">
        <f>VLOOKUP(B276,'Player Data'!$A1:$AE734,19,FALSE)*$Q276*_xlfn.IFERROR((VLOOKUP(P276,'Settings'!$E$28:$F$33,2,FALSE)+1),1)</f>
        <v>2.38198344669342</v>
      </c>
      <c r="AF276" s="48">
        <f>VLOOKUP(B276,'Player Data'!$A1:$AE734,20,FALSE)*$Q276</f>
        <v>585.829595686257</v>
      </c>
      <c r="AG276" s="48">
        <f>VLOOKUP(B276,'Player Data'!$A1:$AE734,21,FALSE)*$Q276</f>
        <v>585.552320566345</v>
      </c>
      <c r="AH276" s="49">
        <f>VLOOKUP(B276,'Player Data'!$A1:$AE734,22,FALSE)</f>
        <v>0.500118353850297</v>
      </c>
      <c r="AI276" s="46"/>
      <c r="AJ276" s="50"/>
      <c r="AK276" s="48"/>
      <c r="AL276" s="48"/>
      <c r="AM276" s="48"/>
      <c r="AN276" s="48"/>
      <c r="AO276" s="48"/>
      <c r="AP276" s="48"/>
      <c r="AQ276" s="51"/>
      <c r="AR276" s="52"/>
      <c r="AS276" s="46"/>
    </row>
    <row r="277" ht="21.25" customHeight="1">
      <c r="A277" s="53">
        <f>RANK(K277,K2:K730)</f>
        <v>323</v>
      </c>
      <c r="B277" t="s" s="8">
        <v>429</v>
      </c>
      <c r="C277" t="s" s="39">
        <v>106</v>
      </c>
      <c r="D277" t="s" s="40">
        <f>VLOOKUP(B277,'Player Data'!A1:D734,4,FALSE)</f>
        <v>129</v>
      </c>
      <c r="E277" s="56">
        <f>VLOOKUP(B277,'D'!A1:C228,3,FALSE)</f>
        <v>106</v>
      </c>
      <c r="F277" t="s" s="42">
        <f>VLOOKUP(B277,'Player Data'!A1:B734,2,FALSE)</f>
        <v>166</v>
      </c>
      <c r="G277" s="9">
        <f>VLOOKUP(B277,'Player Data'!A1:D734,3,FALSE)</f>
        <v>23</v>
      </c>
      <c r="H277" s="43">
        <f>_xlfn.IFERROR(VLOOKUP(B277,'ADP'!A1:G731,7,FALSE)/1000000,VLOOKUP(B277,'ADP'!A1:G731,7,FALSE))</f>
        <v>1.4</v>
      </c>
      <c r="I277" s="44">
        <f>IF('Settings'!$E$15="POINTS",((R277*Q277)*'Settings'!$B$12)+(S277*'Settings'!$B$2)+(T277*'Settings'!$B$3)+(U277*'Settings'!$B$4)+(V277*'Settings'!$B$5)+(X277*'Settings'!$B$9)+(AA277*'Settings'!$B$6)+(W277*'Settings'!$B$8)+(AB277*'Settings'!$B$7)+(AC277*'Settings'!$B$14)+(AD277*'Settings'!$B$15)+(AE277*'Settings'!$B$16)+(AF277*'Settings'!$B$17)+(AG277*'Settings'!$B$18)+(U277*'Settings'!$B$13)+(Y277*'Settings'!$B$10)+(Z277*'Settings'!$B$11),VLOOKUP(B277,'Standard Deviations'!A1:C731,3,FALSE))</f>
        <v>218.559752121843</v>
      </c>
      <c r="J277" s="45">
        <f>IF(D277="G",I277/AJ277,I277/Q277)</f>
        <v>3.01046490525955</v>
      </c>
      <c r="K277" s="44">
        <f>VLOOKUP(B277,'D'!A1:F228,6,FALSE)</f>
        <v>-122.175386524680</v>
      </c>
      <c r="L277" s="44">
        <f>_xlfn.IFERROR(K277/H277,"N/A")</f>
        <v>-87.26813323191431</v>
      </c>
      <c r="M277" s="46">
        <f>IF('Settings'!$E$9="YAHOO",VLOOKUP(B277,'ADP'!A1:E731,2,FALSE),IF('Settings'!$E$9="ESPN",VLOOKUP(B277,'ADP'!A1:E731,3,FALSE),IF('Settings'!$E$9="FANTRAX",VLOOKUP(B277,'ADP'!A1:E731,4,FALSE),VLOOKUP(B277,'ADP'!A1:E731,5,FALSE))))</f>
        <v>211.84</v>
      </c>
      <c r="N277" s="46">
        <f>_xlfn.IFERROR(M277-A277,"N/A")</f>
        <v>-111.16</v>
      </c>
      <c r="O277" s="46"/>
      <c r="P277" t="s" s="47">
        <f>IF('Settings'!$E$27="ON",VLOOKUP(B277,'ADP'!A1:H731,8,FALSE)," ")</f>
        <v>109</v>
      </c>
      <c r="Q277" s="48">
        <f>IF('Settings'!$E$12="YES",VLOOKUP(B277,'Player Data'!A1:E734,5,FALSE),82)</f>
        <v>72.59999999999999</v>
      </c>
      <c r="R277" s="46">
        <f>VLOOKUP(B277,'Player Data'!$A1:$AE734,6,FALSE)</f>
        <v>18.6396957039967</v>
      </c>
      <c r="S277" s="48">
        <f>VLOOKUP(B277,'Player Data'!$A1:$AE734,7,FALSE)*$Q277*_xlfn.IFERROR((VLOOKUP(P277,'Settings'!$E$28:$F$33,2,FALSE)+1),1)</f>
        <v>7.04689145150904</v>
      </c>
      <c r="T277" s="48">
        <f>VLOOKUP(B277,'Player Data'!$A1:$AE734,8,FALSE)*$Q277*_xlfn.IFERROR((VLOOKUP(P277,'Settings'!$E$28:$F$33,2,FALSE)+1),1)</f>
        <v>23.426909544255</v>
      </c>
      <c r="U277" s="48">
        <f>SUM(S277:T277)</f>
        <v>30.473800995764</v>
      </c>
      <c r="V277" s="48">
        <f>VLOOKUP(B277,'Player Data'!$A1:$AE734,10,FALSE)*$Q277*_xlfn.IFERROR(((VLOOKUP(P277,'Settings'!$E$28:$F$33,2,FALSE)/2)+1),1)</f>
        <v>82.6474883466409</v>
      </c>
      <c r="W277" s="48">
        <f>VLOOKUP(B277,'Player Data'!$A1:$AE734,11,FALSE)*$Q277*_xlfn.IFERROR((VLOOKUP(P277,'Settings'!$E$28:$F$33,2,FALSE)+1),1)</f>
        <v>0.120183145719241</v>
      </c>
      <c r="X277" s="48">
        <f>VLOOKUP(B277,'Player Data'!$A1:$AE734,12,FALSE)*$Q277*_xlfn.IFERROR((VLOOKUP(P277,'Settings'!$E$28:$F$33,2,FALSE)+1),1)</f>
        <v>5.63544446134447</v>
      </c>
      <c r="Y277" s="48">
        <f>VLOOKUP(B277,'Player Data'!$A1:$AE734,13,FALSE)*$Q277</f>
        <v>0.008974445696572511</v>
      </c>
      <c r="Z277" s="48">
        <f>VLOOKUP(B277,'Player Data'!$A1:$AE734,14,FALSE)*$Q277</f>
        <v>0.033146319696303</v>
      </c>
      <c r="AA277" s="48">
        <f>VLOOKUP(B277,'Player Data'!$A1:$AE734,15,FALSE)*$Q277</f>
        <v>85.8482163355567</v>
      </c>
      <c r="AB277" s="48">
        <f>VLOOKUP(B277,'Player Data'!$A1:$AE734,16,FALSE)*$Q277</f>
        <v>129.015467907184</v>
      </c>
      <c r="AC277" s="48">
        <f>VLOOKUP(B277,'Player Data'!$A1:$AE734,17,FALSE)*$Q277*_xlfn.IFERROR((VLOOKUP(P277,'Settings'!$E$28:$F$33,2,FALSE)+1),1)</f>
        <v>-1.24564331877985</v>
      </c>
      <c r="AD277" s="48">
        <f>VLOOKUP(B277,'Player Data'!$A1:$AE734,18,FALSE)*$Q277</f>
        <v>28.7797704579063</v>
      </c>
      <c r="AE277" s="48">
        <f>VLOOKUP(B277,'Player Data'!$A1:$AE734,19,FALSE)*$Q277*_xlfn.IFERROR((VLOOKUP(P277,'Settings'!$E$28:$F$33,2,FALSE)+1),1)</f>
        <v>0.8668091314180451</v>
      </c>
      <c r="AF277" s="48">
        <f>VLOOKUP(B277,'Player Data'!$A1:$AE734,20,FALSE)*$Q277</f>
        <v>0</v>
      </c>
      <c r="AG277" s="48">
        <f>VLOOKUP(B277,'Player Data'!$A1:$AE734,21,FALSE)*$Q277</f>
        <v>0</v>
      </c>
      <c r="AH277" s="49">
        <f>VLOOKUP(B277,'Player Data'!$A1:$AE734,22,FALSE)</f>
        <v>0</v>
      </c>
      <c r="AI277" s="46"/>
      <c r="AJ277" s="50"/>
      <c r="AK277" s="48"/>
      <c r="AL277" s="48"/>
      <c r="AM277" s="48"/>
      <c r="AN277" s="48"/>
      <c r="AO277" s="48"/>
      <c r="AP277" s="48"/>
      <c r="AQ277" s="51"/>
      <c r="AR277" s="52"/>
      <c r="AS277" s="50"/>
    </row>
    <row r="278" ht="21.25" customHeight="1">
      <c r="A278" s="53">
        <f>RANK(K278,K2:K730)</f>
        <v>280</v>
      </c>
      <c r="B278" t="s" s="8">
        <v>430</v>
      </c>
      <c r="C278" t="s" s="39">
        <v>106</v>
      </c>
      <c r="D278" t="s" s="40">
        <f>VLOOKUP(B278,'Player Data'!A1:D734,4,FALSE)</f>
        <v>129</v>
      </c>
      <c r="E278" s="56">
        <f>VLOOKUP(B278,'D'!A1:C228,3,FALSE)</f>
        <v>82</v>
      </c>
      <c r="F278" t="s" s="42">
        <f>VLOOKUP(B278,'Player Data'!A1:B734,2,FALSE)</f>
        <v>204</v>
      </c>
      <c r="G278" s="9">
        <f>VLOOKUP(B278,'Player Data'!A1:D734,3,FALSE)</f>
        <v>27</v>
      </c>
      <c r="H278" s="43">
        <f>_xlfn.IFERROR(VLOOKUP(B278,'ADP'!A1:G731,7,FALSE)/1000000,VLOOKUP(B278,'ADP'!A1:G731,7,FALSE))</f>
        <v>5.875</v>
      </c>
      <c r="I278" s="44">
        <f>IF('Settings'!$E$15="POINTS",((R278*Q278)*'Settings'!$B$12)+(S278*'Settings'!$B$2)+(T278*'Settings'!$B$3)+(U278*'Settings'!$B$4)+(V278*'Settings'!$B$5)+(X278*'Settings'!$B$9)+(AA278*'Settings'!$B$6)+(W278*'Settings'!$B$8)+(AB278*'Settings'!$B$7)+(AC278*'Settings'!$B$14)+(AD278*'Settings'!$B$15)+(AE278*'Settings'!$B$16)+(AF278*'Settings'!$B$17)+(AG278*'Settings'!$B$18)+(U278*'Settings'!$B$13)+(Y278*'Settings'!$B$10)+(Z278*'Settings'!$B$11),VLOOKUP(B278,'Standard Deviations'!A1:C731,3,FALSE))</f>
        <v>235.041100260413</v>
      </c>
      <c r="J278" s="45">
        <f>IF(D278="G",I278/AJ278,I278/Q278)</f>
        <v>2.94413861304838</v>
      </c>
      <c r="K278" s="44">
        <f>VLOOKUP(B278,'D'!A1:F228,6,FALSE)</f>
        <v>-105.694038386110</v>
      </c>
      <c r="L278" s="44">
        <f>_xlfn.IFERROR(K278/H278,"N/A")</f>
        <v>-17.9904746189123</v>
      </c>
      <c r="M278" s="46">
        <f>IF('Settings'!$E$9="YAHOO",VLOOKUP(B278,'ADP'!A1:E731,2,FALSE),IF('Settings'!$E$9="ESPN",VLOOKUP(B278,'ADP'!A1:E731,3,FALSE),IF('Settings'!$E$9="FANTRAX",VLOOKUP(B278,'ADP'!A1:E731,4,FALSE),VLOOKUP(B278,'ADP'!A1:E731,5,FALSE))))</f>
        <v>469.6</v>
      </c>
      <c r="N278" s="46">
        <f>_xlfn.IFERROR(M278-A278,"N/A")</f>
        <v>189.6</v>
      </c>
      <c r="O278" s="46"/>
      <c r="P278" t="s" s="47">
        <f>IF('Settings'!$E$27="ON",VLOOKUP(B278,'ADP'!A1:H731,8,FALSE)," ")</f>
        <v>109</v>
      </c>
      <c r="Q278" s="48">
        <f>IF('Settings'!$E$12="YES",VLOOKUP(B278,'Player Data'!A1:E734,5,FALSE),82)</f>
        <v>79.8335714285714</v>
      </c>
      <c r="R278" s="46">
        <f>VLOOKUP(B278,'Player Data'!$A1:$AE734,6,FALSE)</f>
        <v>21.9373527078676</v>
      </c>
      <c r="S278" s="48">
        <f>VLOOKUP(B278,'Player Data'!$A1:$AE734,7,FALSE)*$Q278*_xlfn.IFERROR((VLOOKUP(P278,'Settings'!$E$28:$F$33,2,FALSE)+1),1)</f>
        <v>5.81198390223685</v>
      </c>
      <c r="T278" s="48">
        <f>VLOOKUP(B278,'Player Data'!$A1:$AE734,8,FALSE)*$Q278*_xlfn.IFERROR((VLOOKUP(P278,'Settings'!$E$28:$F$33,2,FALSE)+1),1)</f>
        <v>21.4770775978532</v>
      </c>
      <c r="U278" s="48">
        <f>SUM(S278:T278)</f>
        <v>27.2890615000901</v>
      </c>
      <c r="V278" s="48">
        <f>VLOOKUP(B278,'Player Data'!$A1:$AE734,10,FALSE)*$Q278*_xlfn.IFERROR(((VLOOKUP(P278,'Settings'!$E$28:$F$33,2,FALSE)/2)+1),1)</f>
        <v>103.370566993273</v>
      </c>
      <c r="W278" s="48">
        <f>VLOOKUP(B278,'Player Data'!$A1:$AE734,11,FALSE)*$Q278*_xlfn.IFERROR((VLOOKUP(P278,'Settings'!$E$28:$F$33,2,FALSE)+1),1)</f>
        <v>0.080564104593684</v>
      </c>
      <c r="X278" s="48">
        <f>VLOOKUP(B278,'Player Data'!$A1:$AE734,12,FALSE)*$Q278*_xlfn.IFERROR((VLOOKUP(P278,'Settings'!$E$28:$F$33,2,FALSE)+1),1)</f>
        <v>0.551762609357052</v>
      </c>
      <c r="Y278" s="48">
        <f>VLOOKUP(B278,'Player Data'!$A1:$AE734,13,FALSE)*$Q278</f>
        <v>0.571171967484531</v>
      </c>
      <c r="Z278" s="48">
        <f>VLOOKUP(B278,'Player Data'!$A1:$AE734,14,FALSE)*$Q278</f>
        <v>1.5681332180113</v>
      </c>
      <c r="AA278" s="48">
        <f>VLOOKUP(B278,'Player Data'!$A1:$AE734,15,FALSE)*$Q278</f>
        <v>132.032895062386</v>
      </c>
      <c r="AB278" s="48">
        <f>VLOOKUP(B278,'Player Data'!$A1:$AE734,16,FALSE)*$Q278</f>
        <v>94.471769771743</v>
      </c>
      <c r="AC278" s="48">
        <f>VLOOKUP(B278,'Player Data'!$A1:$AE734,17,FALSE)*$Q278*_xlfn.IFERROR((VLOOKUP(P278,'Settings'!$E$28:$F$33,2,FALSE)+1),1)</f>
        <v>-0.07752641950105681</v>
      </c>
      <c r="AD278" s="48">
        <f>VLOOKUP(B278,'Player Data'!$A1:$AE734,18,FALSE)*$Q278</f>
        <v>47.8001989496394</v>
      </c>
      <c r="AE278" s="48">
        <f>VLOOKUP(B278,'Player Data'!$A1:$AE734,19,FALSE)*$Q278*_xlfn.IFERROR((VLOOKUP(P278,'Settings'!$E$28:$F$33,2,FALSE)+1),1)</f>
        <v>0.8605284723251651</v>
      </c>
      <c r="AF278" s="48">
        <f>VLOOKUP(B278,'Player Data'!$A1:$AE734,20,FALSE)*$Q278</f>
        <v>0</v>
      </c>
      <c r="AG278" s="48">
        <f>VLOOKUP(B278,'Player Data'!$A1:$AE734,21,FALSE)*$Q278</f>
        <v>0</v>
      </c>
      <c r="AH278" s="49">
        <f>VLOOKUP(B278,'Player Data'!$A1:$AE734,22,FALSE)</f>
        <v>0</v>
      </c>
      <c r="AI278" s="46"/>
      <c r="AJ278" s="50"/>
      <c r="AK278" s="48"/>
      <c r="AL278" s="48"/>
      <c r="AM278" s="48"/>
      <c r="AN278" s="48"/>
      <c r="AO278" s="48"/>
      <c r="AP278" s="48"/>
      <c r="AQ278" s="51"/>
      <c r="AR278" s="52"/>
      <c r="AS278" s="46"/>
    </row>
    <row r="279" ht="21.25" customHeight="1">
      <c r="A279" s="53">
        <f>RANK(K279,K2:K730)</f>
        <v>309</v>
      </c>
      <c r="B279" t="s" s="8">
        <v>431</v>
      </c>
      <c r="C279" t="s" s="39">
        <v>106</v>
      </c>
      <c r="D279" t="s" s="40">
        <f>VLOOKUP(B279,'Player Data'!A1:D734,4,FALSE)</f>
        <v>129</v>
      </c>
      <c r="E279" s="56">
        <f>VLOOKUP(B279,'D'!A1:C228,3,FALSE)</f>
        <v>96</v>
      </c>
      <c r="F279" t="s" s="42">
        <f>VLOOKUP(B279,'Player Data'!A1:B734,2,FALSE)</f>
        <v>124</v>
      </c>
      <c r="G279" s="9">
        <f>VLOOKUP(B279,'Player Data'!A1:D734,3,FALSE)</f>
        <v>25</v>
      </c>
      <c r="H279" s="43">
        <f>_xlfn.IFERROR(VLOOKUP(B279,'ADP'!A1:G731,7,FALSE)/1000000,VLOOKUP(B279,'ADP'!A1:G731,7,FALSE))</f>
        <v>1.125</v>
      </c>
      <c r="I279" s="44">
        <f>IF('Settings'!$E$15="POINTS",((R279*Q279)*'Settings'!$B$12)+(S279*'Settings'!$B$2)+(T279*'Settings'!$B$3)+(U279*'Settings'!$B$4)+(V279*'Settings'!$B$5)+(X279*'Settings'!$B$9)+(AA279*'Settings'!$B$6)+(W279*'Settings'!$B$8)+(AB279*'Settings'!$B$7)+(AC279*'Settings'!$B$14)+(AD279*'Settings'!$B$15)+(AE279*'Settings'!$B$16)+(AF279*'Settings'!$B$17)+(AG279*'Settings'!$B$18)+(U279*'Settings'!$B$13)+(Y279*'Settings'!$B$10)+(Z279*'Settings'!$B$11),VLOOKUP(B279,'Standard Deviations'!A1:C731,3,FALSE))</f>
        <v>221.118670406624</v>
      </c>
      <c r="J279" s="45">
        <f>IF(D279="G",I279/AJ279,I279/Q279)</f>
        <v>2.82760448090312</v>
      </c>
      <c r="K279" s="44">
        <f>VLOOKUP(B279,'D'!A1:F228,6,FALSE)</f>
        <v>-119.616468239899</v>
      </c>
      <c r="L279" s="44">
        <f>_xlfn.IFERROR(K279/H279,"N/A")</f>
        <v>-106.325749546577</v>
      </c>
      <c r="M279" t="s" s="61">
        <f>IF('Settings'!$E$9="YAHOO",VLOOKUP(B279,'ADP'!A1:E731,2,FALSE),IF('Settings'!$E$9="ESPN",VLOOKUP(B279,'ADP'!A1:E731,3,FALSE),IF('Settings'!$E$9="FANTRAX",VLOOKUP(B279,'ADP'!A1:E731,4,FALSE),VLOOKUP(B279,'ADP'!A1:E731,5,FALSE))))</f>
        <v>329</v>
      </c>
      <c r="N279" t="s" s="61">
        <f>_xlfn.IFERROR(M279-A279,"N/A")</f>
        <v>158</v>
      </c>
      <c r="O279" s="46"/>
      <c r="P279" t="s" s="47">
        <f>IF('Settings'!$E$27="ON",VLOOKUP(B279,'ADP'!A1:H731,8,FALSE)," ")</f>
        <v>109</v>
      </c>
      <c r="Q279" s="48">
        <f>IF('Settings'!$E$12="YES",VLOOKUP(B279,'Player Data'!A1:E734,5,FALSE),82)</f>
        <v>78.2</v>
      </c>
      <c r="R279" s="46">
        <f>VLOOKUP(B279,'Player Data'!$A1:$AE734,6,FALSE)</f>
        <v>17.1333307564481</v>
      </c>
      <c r="S279" s="48">
        <f>VLOOKUP(B279,'Player Data'!$A1:$AE734,7,FALSE)*$Q279*_xlfn.IFERROR((VLOOKUP(P279,'Settings'!$E$28:$F$33,2,FALSE)+1),1)</f>
        <v>6.19293721426763</v>
      </c>
      <c r="T279" s="48">
        <f>VLOOKUP(B279,'Player Data'!$A1:$AE734,8,FALSE)*$Q279*_xlfn.IFERROR((VLOOKUP(P279,'Settings'!$E$28:$F$33,2,FALSE)+1),1)</f>
        <v>19.3256179135899</v>
      </c>
      <c r="U279" s="48">
        <f>SUM(S279:T279)</f>
        <v>25.5185551278575</v>
      </c>
      <c r="V279" s="48">
        <f>VLOOKUP(B279,'Player Data'!$A1:$AE734,10,FALSE)*$Q279*_xlfn.IFERROR(((VLOOKUP(P279,'Settings'!$E$28:$F$33,2,FALSE)/2)+1),1)</f>
        <v>132.718873662820</v>
      </c>
      <c r="W279" s="48">
        <f>VLOOKUP(B279,'Player Data'!$A1:$AE734,11,FALSE)*$Q279*_xlfn.IFERROR((VLOOKUP(P279,'Settings'!$E$28:$F$33,2,FALSE)+1),1)</f>
        <v>0.0227963031678045</v>
      </c>
      <c r="X279" s="48">
        <f>VLOOKUP(B279,'Player Data'!$A1:$AE734,12,FALSE)*$Q279*_xlfn.IFERROR((VLOOKUP(P279,'Settings'!$E$28:$F$33,2,FALSE)+1),1)</f>
        <v>0.154384802794869</v>
      </c>
      <c r="Y279" s="48">
        <f>VLOOKUP(B279,'Player Data'!$A1:$AE734,13,FALSE)*$Q279</f>
        <v>0.00533509364338736</v>
      </c>
      <c r="Z279" s="48">
        <f>VLOOKUP(B279,'Player Data'!$A1:$AE734,14,FALSE)*$Q279</f>
        <v>0.0197476855504442</v>
      </c>
      <c r="AA279" s="48">
        <f>VLOOKUP(B279,'Player Data'!$A1:$AE734,15,FALSE)*$Q279</f>
        <v>89.14413500560541</v>
      </c>
      <c r="AB279" s="48">
        <f>VLOOKUP(B279,'Player Data'!$A1:$AE734,16,FALSE)*$Q279</f>
        <v>97.21039798534559</v>
      </c>
      <c r="AC279" s="48">
        <f>VLOOKUP(B279,'Player Data'!$A1:$AE734,17,FALSE)*$Q279*_xlfn.IFERROR((VLOOKUP(P279,'Settings'!$E$28:$F$33,2,FALSE)+1),1)</f>
        <v>0.464353200406433</v>
      </c>
      <c r="AD279" s="48">
        <f>VLOOKUP(B279,'Player Data'!$A1:$AE734,18,FALSE)*$Q279</f>
        <v>29.8374134561457</v>
      </c>
      <c r="AE279" s="48">
        <f>VLOOKUP(B279,'Player Data'!$A1:$AE734,19,FALSE)*$Q279*_xlfn.IFERROR((VLOOKUP(P279,'Settings'!$E$28:$F$33,2,FALSE)+1),1)</f>
        <v>0.969196923621195</v>
      </c>
      <c r="AF279" s="48">
        <f>VLOOKUP(B279,'Player Data'!$A1:$AE734,20,FALSE)*$Q279</f>
        <v>0</v>
      </c>
      <c r="AG279" s="48">
        <f>VLOOKUP(B279,'Player Data'!$A1:$AE734,21,FALSE)*$Q279</f>
        <v>0</v>
      </c>
      <c r="AH279" s="49">
        <f>VLOOKUP(B279,'Player Data'!$A1:$AE734,22,FALSE)</f>
        <v>0</v>
      </c>
      <c r="AI279" s="46"/>
      <c r="AJ279" s="50"/>
      <c r="AK279" s="48"/>
      <c r="AL279" s="48"/>
      <c r="AM279" s="48"/>
      <c r="AN279" s="48"/>
      <c r="AO279" s="48"/>
      <c r="AP279" s="48"/>
      <c r="AQ279" s="51"/>
      <c r="AR279" s="52"/>
      <c r="AS279" s="50"/>
    </row>
    <row r="280" ht="21.25" customHeight="1">
      <c r="A280" s="53">
        <f>RANK(K280,K2:K730)</f>
        <v>251</v>
      </c>
      <c r="B280" t="s" s="8">
        <v>432</v>
      </c>
      <c r="C280" t="s" s="39">
        <v>106</v>
      </c>
      <c r="D280" t="s" s="40">
        <f>VLOOKUP(B280,'Player Data'!A1:D734,4,FALSE)</f>
        <v>129</v>
      </c>
      <c r="E280" s="56">
        <f>VLOOKUP(B280,'D'!A1:C228,3,FALSE)</f>
        <v>70</v>
      </c>
      <c r="F280" t="s" s="42">
        <f>VLOOKUP(B280,'Player Data'!A1:B734,2,FALSE)</f>
        <v>136</v>
      </c>
      <c r="G280" s="9">
        <f>VLOOKUP(B280,'Player Data'!A1:D734,3,FALSE)</f>
        <v>29</v>
      </c>
      <c r="H280" s="43">
        <f>_xlfn.IFERROR(VLOOKUP(B280,'ADP'!A1:G731,7,FALSE)/1000000,VLOOKUP(B280,'ADP'!A1:G731,7,FALSE))</f>
        <v>5.8</v>
      </c>
      <c r="I280" s="44">
        <f>IF('Settings'!$E$15="POINTS",((R280*Q280)*'Settings'!$B$12)+(S280*'Settings'!$B$2)+(T280*'Settings'!$B$3)+(U280*'Settings'!$B$4)+(V280*'Settings'!$B$5)+(X280*'Settings'!$B$9)+(AA280*'Settings'!$B$6)+(W280*'Settings'!$B$8)+(AB280*'Settings'!$B$7)+(AC280*'Settings'!$B$14)+(AD280*'Settings'!$B$15)+(AE280*'Settings'!$B$16)+(AF280*'Settings'!$B$17)+(AG280*'Settings'!$B$18)+(U280*'Settings'!$B$13)+(Y280*'Settings'!$B$10)+(Z280*'Settings'!$B$11),VLOOKUP(B280,'Standard Deviations'!A1:C731,3,FALSE))</f>
        <v>245.799318813708</v>
      </c>
      <c r="J280" s="45">
        <f>IF(D280="G",I280/AJ280,I280/Q280)</f>
        <v>3.02689882166995</v>
      </c>
      <c r="K280" s="44">
        <f>VLOOKUP(B280,'D'!A1:F228,6,FALSE)</f>
        <v>-94.935819832815</v>
      </c>
      <c r="L280" s="44">
        <f>_xlfn.IFERROR(K280/H280,"N/A")</f>
        <v>-16.3682447987612</v>
      </c>
      <c r="M280" t="s" s="61">
        <f>IF('Settings'!$E$9="YAHOO",VLOOKUP(B280,'ADP'!A1:E731,2,FALSE),IF('Settings'!$E$9="ESPN",VLOOKUP(B280,'ADP'!A1:E731,3,FALSE),IF('Settings'!$E$9="FANTRAX",VLOOKUP(B280,'ADP'!A1:E731,4,FALSE),VLOOKUP(B280,'ADP'!A1:E731,5,FALSE))))</f>
        <v>329</v>
      </c>
      <c r="N280" t="s" s="61">
        <f>_xlfn.IFERROR(M280-A280,"N/A")</f>
        <v>158</v>
      </c>
      <c r="O280" s="46"/>
      <c r="P280" t="s" s="47">
        <f>IF('Settings'!$E$27="ON",VLOOKUP(B280,'ADP'!A1:H731,8,FALSE)," ")</f>
        <v>109</v>
      </c>
      <c r="Q280" s="48">
        <f>IF('Settings'!$E$12="YES",VLOOKUP(B280,'Player Data'!A1:E734,5,FALSE),82)</f>
        <v>81.205</v>
      </c>
      <c r="R280" s="46">
        <f>VLOOKUP(B280,'Player Data'!$A1:$AE734,6,FALSE)</f>
        <v>20.8378387801105</v>
      </c>
      <c r="S280" s="48">
        <f>VLOOKUP(B280,'Player Data'!$A1:$AE734,7,FALSE)*$Q280*_xlfn.IFERROR((VLOOKUP(P280,'Settings'!$E$28:$F$33,2,FALSE)+1),1)</f>
        <v>5.91071141269155</v>
      </c>
      <c r="T280" s="48">
        <f>VLOOKUP(B280,'Player Data'!$A1:$AE734,8,FALSE)*$Q280*_xlfn.IFERROR((VLOOKUP(P280,'Settings'!$E$28:$F$33,2,FALSE)+1),1)</f>
        <v>16.9576293544922</v>
      </c>
      <c r="U280" s="48">
        <f>SUM(S280:T280)</f>
        <v>22.8683407671838</v>
      </c>
      <c r="V280" s="48">
        <f>VLOOKUP(B280,'Player Data'!$A1:$AE734,10,FALSE)*$Q280*_xlfn.IFERROR(((VLOOKUP(P280,'Settings'!$E$28:$F$33,2,FALSE)/2)+1),1)</f>
        <v>122.923876392466</v>
      </c>
      <c r="W280" s="48">
        <f>VLOOKUP(B280,'Player Data'!$A1:$AE734,11,FALSE)*$Q280*_xlfn.IFERROR((VLOOKUP(P280,'Settings'!$E$28:$F$33,2,FALSE)+1),1)</f>
        <v>0.0090742100292399</v>
      </c>
      <c r="X280" s="48">
        <f>VLOOKUP(B280,'Player Data'!$A1:$AE734,12,FALSE)*$Q280*_xlfn.IFERROR((VLOOKUP(P280,'Settings'!$E$28:$F$33,2,FALSE)+1),1)</f>
        <v>0.156924023697505</v>
      </c>
      <c r="Y280" s="48">
        <f>VLOOKUP(B280,'Player Data'!$A1:$AE734,13,FALSE)*$Q280</f>
        <v>0.510896292785388</v>
      </c>
      <c r="Z280" s="48">
        <f>VLOOKUP(B280,'Player Data'!$A1:$AE734,14,FALSE)*$Q280</f>
        <v>2.32377107137831</v>
      </c>
      <c r="AA280" s="48">
        <f>VLOOKUP(B280,'Player Data'!$A1:$AE734,15,FALSE)*$Q280</f>
        <v>151.702896197164</v>
      </c>
      <c r="AB280" s="48">
        <f>VLOOKUP(B280,'Player Data'!$A1:$AE734,16,FALSE)*$Q280</f>
        <v>105.469203822191</v>
      </c>
      <c r="AC280" s="48">
        <f>VLOOKUP(B280,'Player Data'!$A1:$AE734,17,FALSE)*$Q280*_xlfn.IFERROR((VLOOKUP(P280,'Settings'!$E$28:$F$33,2,FALSE)+1),1)</f>
        <v>5.14401946001167</v>
      </c>
      <c r="AD280" s="48">
        <f>VLOOKUP(B280,'Player Data'!$A1:$AE734,18,FALSE)*$Q280</f>
        <v>17.8303251220961</v>
      </c>
      <c r="AE280" s="48">
        <f>VLOOKUP(B280,'Player Data'!$A1:$AE734,19,FALSE)*$Q280*_xlfn.IFERROR((VLOOKUP(P280,'Settings'!$E$28:$F$33,2,FALSE)+1),1)</f>
        <v>0.9456719246755591</v>
      </c>
      <c r="AF280" s="48">
        <f>VLOOKUP(B280,'Player Data'!$A1:$AE734,20,FALSE)*$Q280</f>
        <v>0</v>
      </c>
      <c r="AG280" s="48">
        <f>VLOOKUP(B280,'Player Data'!$A1:$AE734,21,FALSE)*$Q280</f>
        <v>0.155177821670248</v>
      </c>
      <c r="AH280" s="49">
        <f>VLOOKUP(B280,'Player Data'!$A1:$AE734,22,FALSE)</f>
        <v>0</v>
      </c>
      <c r="AI280" s="46"/>
      <c r="AJ280" s="48"/>
      <c r="AK280" s="48"/>
      <c r="AL280" s="48"/>
      <c r="AM280" s="48"/>
      <c r="AN280" s="48"/>
      <c r="AO280" s="48"/>
      <c r="AP280" s="48"/>
      <c r="AQ280" s="51"/>
      <c r="AR280" s="52"/>
      <c r="AS280" s="46"/>
    </row>
    <row r="281" ht="21.25" customHeight="1">
      <c r="A281" s="53">
        <f>RANK(K281,K2:K730)</f>
        <v>322</v>
      </c>
      <c r="B281" t="s" s="8">
        <v>433</v>
      </c>
      <c r="C281" t="s" s="39">
        <v>106</v>
      </c>
      <c r="D281" t="s" s="40">
        <f>VLOOKUP(B281,'Player Data'!A1:D734,4,FALSE)</f>
        <v>121</v>
      </c>
      <c r="E281" s="55">
        <f>VLOOKUP(B281,'RW'!A1:F132,3,FALSE)</f>
        <v>70</v>
      </c>
      <c r="F281" t="s" s="42">
        <f>VLOOKUP(B281,'Player Data'!A1:B734,2,FALSE)</f>
        <v>184</v>
      </c>
      <c r="G281" s="9">
        <f>VLOOKUP(B281,'Player Data'!A1:D734,3,FALSE)</f>
        <v>26</v>
      </c>
      <c r="H281" s="43">
        <f>_xlfn.IFERROR(VLOOKUP(B281,'ADP'!A1:G731,7,FALSE)/1000000,VLOOKUP(B281,'ADP'!A1:G731,7,FALSE))</f>
        <v>2</v>
      </c>
      <c r="I281" s="44">
        <f>IF('Settings'!$E$15="POINTS",((R281*Q281)*'Settings'!$B$12)+(S281*'Settings'!$B$2)+(T281*'Settings'!$B$3)+(U281*'Settings'!$B$4)+(V281*'Settings'!$B$5)+(X281*'Settings'!$B$9)+(AA281*'Settings'!$B$6)+(W281*'Settings'!$B$8)+(AB281*'Settings'!$B$7)+(AC281*'Settings'!$B$14)+(AD281*'Settings'!$B$15)+(AE281*'Settings'!$B$16)+(AF281*'Settings'!$B$17)+(AG281*'Settings'!$B$18)+(Y281*'Settings'!$B$10)+(Z281*'Settings'!$B$11),VLOOKUP(B281,'Standard Deviations'!A1:C731,3,FALSE))</f>
        <v>259.468080422560</v>
      </c>
      <c r="J281" s="45">
        <f>IF(D281="G",I281/AJ281,I281/Q281)</f>
        <v>3.4815079054384</v>
      </c>
      <c r="K281" s="44">
        <f>IF('Settings'!$E$18="C/LW/RW",VLOOKUP(B281,'RW'!A1:F132,6,FALSE),VLOOKUP(B281,'F'!A1:F432,6,FALSE))</f>
        <v>-122.160483283796</v>
      </c>
      <c r="L281" s="44">
        <f>_xlfn.IFERROR(K281/H281,"N/A")</f>
        <v>-61.080241641898</v>
      </c>
      <c r="M281" t="s" s="61">
        <f>IF('Settings'!$E$9="YAHOO",VLOOKUP(B281,'ADP'!A1:E731,2,FALSE),IF('Settings'!$E$9="ESPN",VLOOKUP(B281,'ADP'!A1:E731,3,FALSE),IF('Settings'!$E$9="FANTRAX",VLOOKUP(B281,'ADP'!A1:E731,4,FALSE),VLOOKUP(B281,'ADP'!A1:E731,5,FALSE))))</f>
        <v>329</v>
      </c>
      <c r="N281" t="s" s="61">
        <f>_xlfn.IFERROR(M281-A281,"N/A")</f>
        <v>158</v>
      </c>
      <c r="O281" s="46"/>
      <c r="P281" t="s" s="47">
        <f>IF('Settings'!$E$27="ON",VLOOKUP(B281,'ADP'!A1:H731,8,FALSE)," ")</f>
        <v>109</v>
      </c>
      <c r="Q281" s="48">
        <f>IF('Settings'!$E$12="YES",VLOOKUP(B281,'Player Data'!A1:E734,5,FALSE),82)</f>
        <v>74.5275</v>
      </c>
      <c r="R281" s="46">
        <f>VLOOKUP(B281,'Player Data'!$A1:$AE734,6,FALSE)</f>
        <v>12.7138915523403</v>
      </c>
      <c r="S281" s="48">
        <f>VLOOKUP(B281,'Player Data'!$A1:$AE734,7,FALSE)*$Q281*_xlfn.IFERROR((VLOOKUP(P281,'Settings'!$E$28:$F$33,2,FALSE)+1),1)</f>
        <v>20.4245292145417</v>
      </c>
      <c r="T281" s="48">
        <f>VLOOKUP(B281,'Player Data'!$A1:$AE734,8,FALSE)*$Q281*_xlfn.IFERROR((VLOOKUP(P281,'Settings'!$E$28:$F$33,2,FALSE)+1),1)</f>
        <v>19.985627255907</v>
      </c>
      <c r="U281" s="48">
        <f>SUM(S281:T281)</f>
        <v>40.4101564704487</v>
      </c>
      <c r="V281" s="48">
        <f>VLOOKUP(B281,'Player Data'!$A1:$AE734,10,FALSE)*$Q281*_xlfn.IFERROR(((VLOOKUP(P281,'Settings'!$E$28:$F$33,2,FALSE)/2)+1),1)</f>
        <v>167.351135911196</v>
      </c>
      <c r="W281" s="48">
        <f>VLOOKUP(B281,'Player Data'!$A1:$AE734,11,FALSE)*$Q281*_xlfn.IFERROR((VLOOKUP(P281,'Settings'!$E$28:$F$33,2,FALSE)+1),1)</f>
        <v>4.19640400015056</v>
      </c>
      <c r="X281" s="48">
        <f>VLOOKUP(B281,'Player Data'!$A1:$AE734,12,FALSE)*$Q281*_xlfn.IFERROR((VLOOKUP(P281,'Settings'!$E$28:$F$33,2,FALSE)+1),1)</f>
        <v>9.20191483349584</v>
      </c>
      <c r="Y281" s="48">
        <f>VLOOKUP(B281,'Player Data'!$A1:$AE734,13,FALSE)*$Q281</f>
        <v>0.00130648593289372</v>
      </c>
      <c r="Z281" s="48">
        <f>VLOOKUP(B281,'Player Data'!$A1:$AE734,14,FALSE)*$Q281</f>
        <v>0.00238749537078135</v>
      </c>
      <c r="AA281" s="48">
        <f>VLOOKUP(B281,'Player Data'!$A1:$AE734,15,FALSE)*$Q281</f>
        <v>20.8622290641954</v>
      </c>
      <c r="AB281" s="48">
        <f>VLOOKUP(B281,'Player Data'!$A1:$AE734,16,FALSE)*$Q281</f>
        <v>53.9574388438564</v>
      </c>
      <c r="AC281" s="48">
        <f>VLOOKUP(B281,'Player Data'!$A1:$AE734,17,FALSE)*$Q281*_xlfn.IFERROR((VLOOKUP(P281,'Settings'!$E$28:$F$33,2,FALSE)+1),1)</f>
        <v>0.61142727803999</v>
      </c>
      <c r="AD281" s="48">
        <f>VLOOKUP(B281,'Player Data'!$A1:$AE734,18,FALSE)*$Q281</f>
        <v>17.6909176462079</v>
      </c>
      <c r="AE281" s="48">
        <f>VLOOKUP(B281,'Player Data'!$A1:$AE734,19,FALSE)*$Q281*_xlfn.IFERROR((VLOOKUP(P281,'Settings'!$E$28:$F$33,2,FALSE)+1),1)</f>
        <v>2.70289763436289</v>
      </c>
      <c r="AF281" s="48">
        <f>VLOOKUP(B281,'Player Data'!$A1:$AE734,20,FALSE)*$Q281</f>
        <v>1.79212598988542</v>
      </c>
      <c r="AG281" s="48">
        <f>VLOOKUP(B281,'Player Data'!$A1:$AE734,21,FALSE)*$Q281</f>
        <v>5.12794995828319</v>
      </c>
      <c r="AH281" s="49">
        <f>VLOOKUP(B281,'Player Data'!$A1:$AE734,22,FALSE)</f>
        <v>0.258974901909812</v>
      </c>
      <c r="AI281" s="46"/>
      <c r="AJ281" s="50"/>
      <c r="AK281" s="48"/>
      <c r="AL281" s="48"/>
      <c r="AM281" s="48"/>
      <c r="AN281" s="48"/>
      <c r="AO281" s="48"/>
      <c r="AP281" s="48"/>
      <c r="AQ281" s="51"/>
      <c r="AR281" s="52"/>
      <c r="AS281" s="46"/>
    </row>
    <row r="282" ht="21.25" customHeight="1">
      <c r="A282" s="53">
        <f>RANK(K282,K2:K730)</f>
        <v>294</v>
      </c>
      <c r="B282" t="s" s="8">
        <v>434</v>
      </c>
      <c r="C282" t="s" s="39">
        <v>106</v>
      </c>
      <c r="D282" t="s" s="40">
        <f>VLOOKUP(B282,'Player Data'!A1:D734,4,FALSE)</f>
        <v>107</v>
      </c>
      <c r="E282" s="41">
        <f>VLOOKUP(B282,'C'!A1:C218,3,FALSE)</f>
        <v>79</v>
      </c>
      <c r="F282" t="s" s="42">
        <f>VLOOKUP(B282,'Player Data'!A1:B734,2,FALSE)</f>
        <v>119</v>
      </c>
      <c r="G282" s="9">
        <f>VLOOKUP(B282,'Player Data'!A1:D734,3,FALSE)</f>
        <v>21</v>
      </c>
      <c r="H282" s="43">
        <f>_xlfn.IFERROR(VLOOKUP(B282,'ADP'!A1:G731,7,FALSE)/1000000,VLOOKUP(B282,'ADP'!A1:G731,7,FALSE))</f>
        <v>0.925</v>
      </c>
      <c r="I282" s="44">
        <f>IF('Settings'!$E$15="POINTS",((R282*Q282)*'Settings'!$B$12)+(S282*'Settings'!$B$2)+(T282*'Settings'!$B$3)+(U282*'Settings'!$B$4)+(V282*'Settings'!$B$5)+(X282*'Settings'!$B$9)+(AA282*'Settings'!$B$6)+(W282*'Settings'!$B$8)+(AB282*'Settings'!$B$7)+(AC282*'Settings'!$B$14)+(AD282*'Settings'!$B$15)+(AE282*'Settings'!$B$16)+(AF282*'Settings'!$B$17)+(AG282*'Settings'!$B$18)+(Y282*'Settings'!$B$10)+(Z282*'Settings'!$B$11),VLOOKUP(B282,'Standard Deviations'!A1:C731,3,FALSE))</f>
        <v>282.358324502504</v>
      </c>
      <c r="J282" s="45">
        <f>IF(D282="G",I282/AJ282,I282/Q282)</f>
        <v>3.676780057328</v>
      </c>
      <c r="K282" s="44">
        <f>IF('Settings'!$E$18="C/LW/RW",VLOOKUP(B282,'C'!A1:F218,6,FALSE),VLOOKUP(B282,'F'!A1:F432,6,FALSE))</f>
        <v>-113.415877133511</v>
      </c>
      <c r="L282" s="44">
        <f>_xlfn.IFERROR(K282/H282,"N/A")</f>
        <v>-122.611759063255</v>
      </c>
      <c r="M282" s="46">
        <f>IF('Settings'!$E$9="YAHOO",VLOOKUP(B282,'ADP'!A1:E731,2,FALSE),IF('Settings'!$E$9="ESPN",VLOOKUP(B282,'ADP'!A1:E731,3,FALSE),IF('Settings'!$E$9="FANTRAX",VLOOKUP(B282,'ADP'!A1:E731,4,FALSE),VLOOKUP(B282,'ADP'!A1:E731,5,FALSE))))</f>
        <v>237.09</v>
      </c>
      <c r="N282" s="46">
        <f>_xlfn.IFERROR(M282-A282,"N/A")</f>
        <v>-56.91</v>
      </c>
      <c r="O282" s="46"/>
      <c r="P282" t="s" s="47">
        <f>IF('Settings'!$E$27="ON",VLOOKUP(B282,'ADP'!A1:H731,8,FALSE)," ")</f>
        <v>109</v>
      </c>
      <c r="Q282" s="48">
        <f>IF('Settings'!$E$12="YES",VLOOKUP(B282,'Player Data'!A1:E734,5,FALSE),82)</f>
        <v>76.795</v>
      </c>
      <c r="R282" s="46">
        <f>VLOOKUP(B282,'Player Data'!$A1:$AE734,6,FALSE)</f>
        <v>16.6235934861206</v>
      </c>
      <c r="S282" s="48">
        <f>VLOOKUP(B282,'Player Data'!$A1:$AE734,7,FALSE)*$Q282*_xlfn.IFERROR((VLOOKUP(P282,'Settings'!$E$28:$F$33,2,FALSE)+1),1)</f>
        <v>18.1493600644374</v>
      </c>
      <c r="T282" s="48">
        <f>VLOOKUP(B282,'Player Data'!$A1:$AE734,8,FALSE)*$Q282*_xlfn.IFERROR((VLOOKUP(P282,'Settings'!$E$28:$F$33,2,FALSE)+1),1)</f>
        <v>27.7215536186518</v>
      </c>
      <c r="U282" s="48">
        <f>SUM(S282:T282)</f>
        <v>45.8709136830892</v>
      </c>
      <c r="V282" s="48">
        <f>VLOOKUP(B282,'Player Data'!$A1:$AE734,10,FALSE)*$Q282*_xlfn.IFERROR(((VLOOKUP(P282,'Settings'!$E$28:$F$33,2,FALSE)/2)+1),1)</f>
        <v>161.178248864845</v>
      </c>
      <c r="W282" s="48">
        <f>VLOOKUP(B282,'Player Data'!$A1:$AE734,11,FALSE)*$Q282*_xlfn.IFERROR((VLOOKUP(P282,'Settings'!$E$28:$F$33,2,FALSE)+1),1)</f>
        <v>1.21388629102859</v>
      </c>
      <c r="X282" s="48">
        <f>VLOOKUP(B282,'Player Data'!$A1:$AE734,12,FALSE)*$Q282*_xlfn.IFERROR((VLOOKUP(P282,'Settings'!$E$28:$F$33,2,FALSE)+1),1)</f>
        <v>6.55817213278864</v>
      </c>
      <c r="Y282" s="48">
        <f>VLOOKUP(B282,'Player Data'!$A1:$AE734,13,FALSE)*$Q282</f>
        <v>1.64719275929615</v>
      </c>
      <c r="Z282" s="48">
        <f>VLOOKUP(B282,'Player Data'!$A1:$AE734,14,FALSE)*$Q282</f>
        <v>2.74155959508235</v>
      </c>
      <c r="AA282" s="48">
        <f>VLOOKUP(B282,'Player Data'!$A1:$AE734,15,FALSE)*$Q282</f>
        <v>42.8497412010421</v>
      </c>
      <c r="AB282" s="48">
        <f>VLOOKUP(B282,'Player Data'!$A1:$AE734,16,FALSE)*$Q282</f>
        <v>40.0977165338897</v>
      </c>
      <c r="AC282" s="48">
        <f>VLOOKUP(B282,'Player Data'!$A1:$AE734,17,FALSE)*$Q282*_xlfn.IFERROR((VLOOKUP(P282,'Settings'!$E$28:$F$33,2,FALSE)+1),1)</f>
        <v>4.53320304089862</v>
      </c>
      <c r="AD282" s="48">
        <f>VLOOKUP(B282,'Player Data'!$A1:$AE734,18,FALSE)*$Q282</f>
        <v>35.9071618719268</v>
      </c>
      <c r="AE282" s="48">
        <f>VLOOKUP(B282,'Player Data'!$A1:$AE734,19,FALSE)*$Q282*_xlfn.IFERROR((VLOOKUP(P282,'Settings'!$E$28:$F$33,2,FALSE)+1),1)</f>
        <v>2.60356709962097</v>
      </c>
      <c r="AF282" s="48">
        <f>VLOOKUP(B282,'Player Data'!$A1:$AE734,20,FALSE)*$Q282</f>
        <v>304.154802031714</v>
      </c>
      <c r="AG282" s="48">
        <f>VLOOKUP(B282,'Player Data'!$A1:$AE734,21,FALSE)*$Q282</f>
        <v>360.573992866108</v>
      </c>
      <c r="AH282" s="49">
        <f>VLOOKUP(B282,'Player Data'!$A1:$AE734,22,FALSE)</f>
        <v>0.457562248493338</v>
      </c>
      <c r="AI282" s="46"/>
      <c r="AJ282" s="50"/>
      <c r="AK282" s="48"/>
      <c r="AL282" s="48"/>
      <c r="AM282" s="48"/>
      <c r="AN282" s="48"/>
      <c r="AO282" s="48"/>
      <c r="AP282" s="48"/>
      <c r="AQ282" s="51"/>
      <c r="AR282" s="52"/>
      <c r="AS282" s="50"/>
    </row>
    <row r="283" ht="21.25" customHeight="1">
      <c r="A283" s="53">
        <f>RANK(K283,K2:K730)</f>
        <v>243</v>
      </c>
      <c r="B283" t="s" s="8">
        <v>435</v>
      </c>
      <c r="C283" t="s" s="39">
        <v>106</v>
      </c>
      <c r="D283" t="s" s="40">
        <f>VLOOKUP(B283,'Player Data'!A1:D734,4,FALSE)</f>
        <v>129</v>
      </c>
      <c r="E283" s="56">
        <f>VLOOKUP(B283,'D'!A1:C228,3,FALSE)</f>
        <v>67</v>
      </c>
      <c r="F283" t="s" s="42">
        <f>VLOOKUP(B283,'Player Data'!A1:B734,2,FALSE)</f>
        <v>236</v>
      </c>
      <c r="G283" s="9">
        <f>VLOOKUP(B283,'Player Data'!A1:D734,3,FALSE)</f>
        <v>28</v>
      </c>
      <c r="H283" s="43">
        <f>_xlfn.IFERROR(VLOOKUP(B283,'ADP'!A1:G731,7,FALSE)/1000000,VLOOKUP(B283,'ADP'!A1:G731,7,FALSE))</f>
        <v>5.1</v>
      </c>
      <c r="I283" s="44">
        <f>IF('Settings'!$E$15="POINTS",((R283*Q283)*'Settings'!$B$12)+(S283*'Settings'!$B$2)+(T283*'Settings'!$B$3)+(U283*'Settings'!$B$4)+(V283*'Settings'!$B$5)+(X283*'Settings'!$B$9)+(AA283*'Settings'!$B$6)+(W283*'Settings'!$B$8)+(AB283*'Settings'!$B$7)+(AC283*'Settings'!$B$14)+(AD283*'Settings'!$B$15)+(AE283*'Settings'!$B$16)+(AF283*'Settings'!$B$17)+(AG283*'Settings'!$B$18)+(U283*'Settings'!$B$13)+(Y283*'Settings'!$B$10)+(Z283*'Settings'!$B$11),VLOOKUP(B283,'Standard Deviations'!A1:C731,3,FALSE))</f>
        <v>249.982425018694</v>
      </c>
      <c r="J283" s="45">
        <f>IF(D283="G",I283/AJ283,I283/Q283)</f>
        <v>3.23037313456993</v>
      </c>
      <c r="K283" s="44">
        <f>VLOOKUP(B283,'D'!A1:F228,6,FALSE)</f>
        <v>-90.752713627829</v>
      </c>
      <c r="L283" s="44">
        <f>_xlfn.IFERROR(K283/H283,"N/A")</f>
        <v>-17.7946497309469</v>
      </c>
      <c r="M283" s="46">
        <f>IF('Settings'!$E$9="YAHOO",VLOOKUP(B283,'ADP'!A1:E731,2,FALSE),IF('Settings'!$E$9="ESPN",VLOOKUP(B283,'ADP'!A1:E731,3,FALSE),IF('Settings'!$E$9="FANTRAX",VLOOKUP(B283,'ADP'!A1:E731,4,FALSE),VLOOKUP(B283,'ADP'!A1:E731,5,FALSE))))</f>
        <v>246</v>
      </c>
      <c r="N283" s="46">
        <f>_xlfn.IFERROR(M283-A283,"N/A")</f>
        <v>3</v>
      </c>
      <c r="O283" s="46"/>
      <c r="P283" t="s" s="47">
        <f>IF('Settings'!$E$27="ON",VLOOKUP(B283,'ADP'!A1:H731,8,FALSE)," ")</f>
        <v>109</v>
      </c>
      <c r="Q283" s="48">
        <f>IF('Settings'!$E$12="YES",VLOOKUP(B283,'Player Data'!A1:E734,5,FALSE),82)</f>
        <v>77.38500000000001</v>
      </c>
      <c r="R283" s="46">
        <f>VLOOKUP(B283,'Player Data'!$A1:$AE734,6,FALSE)</f>
        <v>20.7472433895228</v>
      </c>
      <c r="S283" s="48">
        <f>VLOOKUP(B283,'Player Data'!$A1:$AE734,7,FALSE)*$Q283*_xlfn.IFERROR((VLOOKUP(P283,'Settings'!$E$28:$F$33,2,FALSE)+1),1)</f>
        <v>3.94340333061756</v>
      </c>
      <c r="T283" s="48">
        <f>VLOOKUP(B283,'Player Data'!$A1:$AE734,8,FALSE)*$Q283*_xlfn.IFERROR((VLOOKUP(P283,'Settings'!$E$28:$F$33,2,FALSE)+1),1)</f>
        <v>18.8913375528607</v>
      </c>
      <c r="U283" s="48">
        <f>SUM(S283:T283)</f>
        <v>22.8347408834783</v>
      </c>
      <c r="V283" s="48">
        <f>VLOOKUP(B283,'Player Data'!$A1:$AE734,10,FALSE)*$Q283*_xlfn.IFERROR(((VLOOKUP(P283,'Settings'!$E$28:$F$33,2,FALSE)/2)+1),1)</f>
        <v>104.629586605936</v>
      </c>
      <c r="W283" s="48">
        <f>VLOOKUP(B283,'Player Data'!$A1:$AE734,11,FALSE)*$Q283*_xlfn.IFERROR((VLOOKUP(P283,'Settings'!$E$28:$F$33,2,FALSE)+1),1)</f>
        <v>0.653926227922857</v>
      </c>
      <c r="X283" s="48">
        <f>VLOOKUP(B283,'Player Data'!$A1:$AE734,12,FALSE)*$Q283*_xlfn.IFERROR((VLOOKUP(P283,'Settings'!$E$28:$F$33,2,FALSE)+1),1)</f>
        <v>4.16022473304511</v>
      </c>
      <c r="Y283" s="48">
        <f>VLOOKUP(B283,'Player Data'!$A1:$AE734,13,FALSE)*$Q283</f>
        <v>0.478302132331015</v>
      </c>
      <c r="Z283" s="48">
        <f>VLOOKUP(B283,'Player Data'!$A1:$AE734,14,FALSE)*$Q283</f>
        <v>1.48876502027756</v>
      </c>
      <c r="AA283" s="48">
        <f>VLOOKUP(B283,'Player Data'!$A1:$AE734,15,FALSE)*$Q283</f>
        <v>145.169897100578</v>
      </c>
      <c r="AB283" s="48">
        <f>VLOOKUP(B283,'Player Data'!$A1:$AE734,16,FALSE)*$Q283</f>
        <v>190.743301914082</v>
      </c>
      <c r="AC283" s="48">
        <f>VLOOKUP(B283,'Player Data'!$A1:$AE734,17,FALSE)*$Q283*_xlfn.IFERROR((VLOOKUP(P283,'Settings'!$E$28:$F$33,2,FALSE)+1),1)</f>
        <v>-5.79007377027641</v>
      </c>
      <c r="AD283" s="48">
        <f>VLOOKUP(B283,'Player Data'!$A1:$AE734,18,FALSE)*$Q283</f>
        <v>41.8805662621105</v>
      </c>
      <c r="AE283" s="48">
        <f>VLOOKUP(B283,'Player Data'!$A1:$AE734,19,FALSE)*$Q283*_xlfn.IFERROR((VLOOKUP(P283,'Settings'!$E$28:$F$33,2,FALSE)+1),1)</f>
        <v>0.463529877750601</v>
      </c>
      <c r="AF283" s="48">
        <f>VLOOKUP(B283,'Player Data'!$A1:$AE734,20,FALSE)*$Q283</f>
        <v>0</v>
      </c>
      <c r="AG283" s="48">
        <f>VLOOKUP(B283,'Player Data'!$A1:$AE734,21,FALSE)*$Q283</f>
        <v>0</v>
      </c>
      <c r="AH283" s="49">
        <f>VLOOKUP(B283,'Player Data'!$A1:$AE734,22,FALSE)</f>
        <v>0</v>
      </c>
      <c r="AI283" s="46"/>
      <c r="AJ283" s="50"/>
      <c r="AK283" s="48"/>
      <c r="AL283" s="48"/>
      <c r="AM283" s="48"/>
      <c r="AN283" s="48"/>
      <c r="AO283" s="48"/>
      <c r="AP283" s="48"/>
      <c r="AQ283" s="51"/>
      <c r="AR283" s="52"/>
      <c r="AS283" s="46"/>
    </row>
    <row r="284" ht="21.25" customHeight="1">
      <c r="A284" s="53">
        <f>RANK(K284,K2:K730)</f>
        <v>281</v>
      </c>
      <c r="B284" t="s" s="8">
        <v>436</v>
      </c>
      <c r="C284" t="s" s="39">
        <v>106</v>
      </c>
      <c r="D284" t="s" s="40">
        <f>VLOOKUP(B284,'Player Data'!A1:D734,4,FALSE)</f>
        <v>129</v>
      </c>
      <c r="E284" s="56">
        <f>VLOOKUP(B284,'D'!A1:C228,3,FALSE)</f>
        <v>83</v>
      </c>
      <c r="F284" t="s" s="42">
        <f>VLOOKUP(B284,'Player Data'!A1:B734,2,FALSE)</f>
        <v>166</v>
      </c>
      <c r="G284" s="9">
        <f>VLOOKUP(B284,'Player Data'!A1:D734,3,FALSE)</f>
        <v>32</v>
      </c>
      <c r="H284" s="43">
        <f>_xlfn.IFERROR(VLOOKUP(B284,'ADP'!A1:G731,7,FALSE)/1000000,VLOOKUP(B284,'ADP'!A1:G731,7,FALSE))</f>
        <v>4.05</v>
      </c>
      <c r="I284" s="44">
        <f>IF('Settings'!$E$15="POINTS",((R284*Q284)*'Settings'!$B$12)+(S284*'Settings'!$B$2)+(T284*'Settings'!$B$3)+(U284*'Settings'!$B$4)+(V284*'Settings'!$B$5)+(X284*'Settings'!$B$9)+(AA284*'Settings'!$B$6)+(W284*'Settings'!$B$8)+(AB284*'Settings'!$B$7)+(AC284*'Settings'!$B$14)+(AD284*'Settings'!$B$15)+(AE284*'Settings'!$B$16)+(AF284*'Settings'!$B$17)+(AG284*'Settings'!$B$18)+(U284*'Settings'!$B$13)+(Y284*'Settings'!$B$10)+(Z284*'Settings'!$B$11),VLOOKUP(B284,'Standard Deviations'!A1:C731,3,FALSE))</f>
        <v>235.019408903645</v>
      </c>
      <c r="J284" s="45">
        <f>IF(D284="G",I284/AJ284,I284/Q284)</f>
        <v>2.95436089130918</v>
      </c>
      <c r="K284" s="44">
        <f>VLOOKUP(B284,'D'!A1:F228,6,FALSE)</f>
        <v>-105.715729742878</v>
      </c>
      <c r="L284" s="44">
        <f>_xlfn.IFERROR(K284/H284,"N/A")</f>
        <v>-26.1026493192291</v>
      </c>
      <c r="M284" t="s" s="61">
        <f>IF('Settings'!$E$9="YAHOO",VLOOKUP(B284,'ADP'!A1:E731,2,FALSE),IF('Settings'!$E$9="ESPN",VLOOKUP(B284,'ADP'!A1:E731,3,FALSE),IF('Settings'!$E$9="FANTRAX",VLOOKUP(B284,'ADP'!A1:E731,4,FALSE),VLOOKUP(B284,'ADP'!A1:E731,5,FALSE))))</f>
        <v>329</v>
      </c>
      <c r="N284" t="s" s="61">
        <f>_xlfn.IFERROR(M284-A284,"N/A")</f>
        <v>158</v>
      </c>
      <c r="O284" s="46"/>
      <c r="P284" t="s" s="47">
        <f>IF('Settings'!$E$27="ON",VLOOKUP(B284,'ADP'!A1:H731,8,FALSE)," ")</f>
        <v>109</v>
      </c>
      <c r="Q284" s="48">
        <f>IF('Settings'!$E$12="YES",VLOOKUP(B284,'Player Data'!A1:E734,5,FALSE),82)</f>
        <v>79.55</v>
      </c>
      <c r="R284" s="46">
        <f>VLOOKUP(B284,'Player Data'!$A1:$AE734,6,FALSE)</f>
        <v>20.7781347995496</v>
      </c>
      <c r="S284" s="48">
        <f>VLOOKUP(B284,'Player Data'!$A1:$AE734,7,FALSE)*$Q284*_xlfn.IFERROR((VLOOKUP(P284,'Settings'!$E$28:$F$33,2,FALSE)+1),1)</f>
        <v>4.79325630935825</v>
      </c>
      <c r="T284" s="48">
        <f>VLOOKUP(B284,'Player Data'!$A1:$AE734,8,FALSE)*$Q284*_xlfn.IFERROR((VLOOKUP(P284,'Settings'!$E$28:$F$33,2,FALSE)+1),1)</f>
        <v>20.7859050331347</v>
      </c>
      <c r="U284" s="48">
        <f>SUM(S284:T284)</f>
        <v>25.579161342493</v>
      </c>
      <c r="V284" s="48">
        <f>VLOOKUP(B284,'Player Data'!$A1:$AE734,10,FALSE)*$Q284*_xlfn.IFERROR(((VLOOKUP(P284,'Settings'!$E$28:$F$33,2,FALSE)/2)+1),1)</f>
        <v>109.840126738970</v>
      </c>
      <c r="W284" s="48">
        <f>VLOOKUP(B284,'Player Data'!$A1:$AE734,11,FALSE)*$Q284*_xlfn.IFERROR((VLOOKUP(P284,'Settings'!$E$28:$F$33,2,FALSE)+1),1)</f>
        <v>0.013787945316381</v>
      </c>
      <c r="X284" s="48">
        <f>VLOOKUP(B284,'Player Data'!$A1:$AE734,12,FALSE)*$Q284*_xlfn.IFERROR((VLOOKUP(P284,'Settings'!$E$28:$F$33,2,FALSE)+1),1)</f>
        <v>0.0973597595201539</v>
      </c>
      <c r="Y284" s="48">
        <f>VLOOKUP(B284,'Player Data'!$A1:$AE734,13,FALSE)*$Q284</f>
        <v>0.0234104462417614</v>
      </c>
      <c r="Z284" s="48">
        <f>VLOOKUP(B284,'Player Data'!$A1:$AE734,14,FALSE)*$Q284</f>
        <v>0.613474946535188</v>
      </c>
      <c r="AA284" s="48">
        <f>VLOOKUP(B284,'Player Data'!$A1:$AE734,15,FALSE)*$Q284</f>
        <v>128.332993857806</v>
      </c>
      <c r="AB284" s="48">
        <f>VLOOKUP(B284,'Player Data'!$A1:$AE734,16,FALSE)*$Q284</f>
        <v>123.114120882680</v>
      </c>
      <c r="AC284" s="48">
        <f>VLOOKUP(B284,'Player Data'!$A1:$AE734,17,FALSE)*$Q284*_xlfn.IFERROR((VLOOKUP(P284,'Settings'!$E$28:$F$33,2,FALSE)+1),1)</f>
        <v>-1.99994636528545</v>
      </c>
      <c r="AD284" s="48">
        <f>VLOOKUP(B284,'Player Data'!$A1:$AE734,18,FALSE)*$Q284</f>
        <v>24.4716389934243</v>
      </c>
      <c r="AE284" s="48">
        <f>VLOOKUP(B284,'Player Data'!$A1:$AE734,19,FALSE)*$Q284*_xlfn.IFERROR((VLOOKUP(P284,'Settings'!$E$28:$F$33,2,FALSE)+1),1)</f>
        <v>0.589598742476607</v>
      </c>
      <c r="AF284" s="48">
        <f>VLOOKUP(B284,'Player Data'!$A1:$AE734,20,FALSE)*$Q284</f>
        <v>0</v>
      </c>
      <c r="AG284" s="48">
        <f>VLOOKUP(B284,'Player Data'!$A1:$AE734,21,FALSE)*$Q284</f>
        <v>0</v>
      </c>
      <c r="AH284" s="49">
        <f>VLOOKUP(B284,'Player Data'!$A1:$AE734,22,FALSE)</f>
        <v>0</v>
      </c>
      <c r="AI284" s="46"/>
      <c r="AJ284" s="50"/>
      <c r="AK284" s="48"/>
      <c r="AL284" s="48"/>
      <c r="AM284" s="48"/>
      <c r="AN284" s="48"/>
      <c r="AO284" s="48"/>
      <c r="AP284" s="48"/>
      <c r="AQ284" s="51"/>
      <c r="AR284" s="52"/>
      <c r="AS284" s="46"/>
    </row>
    <row r="285" ht="21.25" customHeight="1">
      <c r="A285" s="53">
        <f>RANK(K285,K2:K730)</f>
        <v>300</v>
      </c>
      <c r="B285" t="s" s="8">
        <v>437</v>
      </c>
      <c r="C285" t="s" s="39">
        <v>106</v>
      </c>
      <c r="D285" t="s" s="40">
        <f>VLOOKUP(B285,'Player Data'!A1:D734,4,FALSE)</f>
        <v>129</v>
      </c>
      <c r="E285" s="56">
        <f>VLOOKUP(B285,'D'!A1:C228,3,FALSE)</f>
        <v>92</v>
      </c>
      <c r="F285" t="s" s="42">
        <f>VLOOKUP(B285,'Player Data'!A1:B734,2,FALSE)</f>
        <v>292</v>
      </c>
      <c r="G285" s="9">
        <f>VLOOKUP(B285,'Player Data'!A1:D734,3,FALSE)</f>
        <v>29</v>
      </c>
      <c r="H285" s="43">
        <f>_xlfn.IFERROR(VLOOKUP(B285,'ADP'!A1:G731,7,FALSE)/1000000,VLOOKUP(B285,'ADP'!A1:G731,7,FALSE))</f>
        <v>5.45</v>
      </c>
      <c r="I285" s="44">
        <f>IF('Settings'!$E$15="POINTS",((R285*Q285)*'Settings'!$B$12)+(S285*'Settings'!$B$2)+(T285*'Settings'!$B$3)+(U285*'Settings'!$B$4)+(V285*'Settings'!$B$5)+(X285*'Settings'!$B$9)+(AA285*'Settings'!$B$6)+(W285*'Settings'!$B$8)+(AB285*'Settings'!$B$7)+(AC285*'Settings'!$B$14)+(AD285*'Settings'!$B$15)+(AE285*'Settings'!$B$16)+(AF285*'Settings'!$B$17)+(AG285*'Settings'!$B$18)+(U285*'Settings'!$B$13)+(Y285*'Settings'!$B$10)+(Z285*'Settings'!$B$11),VLOOKUP(B285,'Standard Deviations'!A1:C731,3,FALSE))</f>
        <v>225.278240159737</v>
      </c>
      <c r="J285" s="45">
        <f>IF(D285="G",I285/AJ285,I285/Q285)</f>
        <v>2.91328698975265</v>
      </c>
      <c r="K285" s="44">
        <f>VLOOKUP(B285,'D'!A1:F228,6,FALSE)</f>
        <v>-115.456898486786</v>
      </c>
      <c r="L285" s="44">
        <f>_xlfn.IFERROR(K285/H285,"N/A")</f>
        <v>-21.184752015924</v>
      </c>
      <c r="M285" t="s" s="61">
        <f>IF('Settings'!$E$9="YAHOO",VLOOKUP(B285,'ADP'!A1:E731,2,FALSE),IF('Settings'!$E$9="ESPN",VLOOKUP(B285,'ADP'!A1:E731,3,FALSE),IF('Settings'!$E$9="FANTRAX",VLOOKUP(B285,'ADP'!A1:E731,4,FALSE),VLOOKUP(B285,'ADP'!A1:E731,5,FALSE))))</f>
        <v>329</v>
      </c>
      <c r="N285" t="s" s="61">
        <f>_xlfn.IFERROR(M285-A285,"N/A")</f>
        <v>158</v>
      </c>
      <c r="O285" s="46"/>
      <c r="P285" t="s" s="47">
        <f>IF('Settings'!$E$27="ON",VLOOKUP(B285,'ADP'!A1:H731,8,FALSE)," ")</f>
        <v>109</v>
      </c>
      <c r="Q285" s="48">
        <f>IF('Settings'!$E$12="YES",VLOOKUP(B285,'Player Data'!A1:E734,5,FALSE),82)</f>
        <v>77.3278571428571</v>
      </c>
      <c r="R285" s="46">
        <f>VLOOKUP(B285,'Player Data'!$A1:$AE734,6,FALSE)</f>
        <v>21.6868044566707</v>
      </c>
      <c r="S285" s="48">
        <f>VLOOKUP(B285,'Player Data'!$A1:$AE734,7,FALSE)*$Q285*_xlfn.IFERROR((VLOOKUP(P285,'Settings'!$E$28:$F$33,2,FALSE)+1),1)</f>
        <v>6.46000386865312</v>
      </c>
      <c r="T285" s="48">
        <f>VLOOKUP(B285,'Player Data'!$A1:$AE734,8,FALSE)*$Q285*_xlfn.IFERROR((VLOOKUP(P285,'Settings'!$E$28:$F$33,2,FALSE)+1),1)</f>
        <v>17.8937343456664</v>
      </c>
      <c r="U285" s="48">
        <f>SUM(S285:T285)</f>
        <v>24.3537382143195</v>
      </c>
      <c r="V285" s="48">
        <f>VLOOKUP(B285,'Player Data'!$A1:$AE734,10,FALSE)*$Q285*_xlfn.IFERROR(((VLOOKUP(P285,'Settings'!$E$28:$F$33,2,FALSE)/2)+1),1)</f>
        <v>115.372689783910</v>
      </c>
      <c r="W285" s="48">
        <f>VLOOKUP(B285,'Player Data'!$A1:$AE734,11,FALSE)*$Q285*_xlfn.IFERROR((VLOOKUP(P285,'Settings'!$E$28:$F$33,2,FALSE)+1),1)</f>
        <v>0.323691463221372</v>
      </c>
      <c r="X285" s="48">
        <f>VLOOKUP(B285,'Player Data'!$A1:$AE734,12,FALSE)*$Q285*_xlfn.IFERROR((VLOOKUP(P285,'Settings'!$E$28:$F$33,2,FALSE)+1),1)</f>
        <v>1.76541140114731</v>
      </c>
      <c r="Y285" s="48">
        <f>VLOOKUP(B285,'Player Data'!$A1:$AE734,13,FALSE)*$Q285</f>
        <v>0.0299762306481006</v>
      </c>
      <c r="Z285" s="48">
        <f>VLOOKUP(B285,'Player Data'!$A1:$AE734,14,FALSE)*$Q285</f>
        <v>0.116163449428196</v>
      </c>
      <c r="AA285" s="48">
        <f>VLOOKUP(B285,'Player Data'!$A1:$AE734,15,FALSE)*$Q285</f>
        <v>114.975424161811</v>
      </c>
      <c r="AB285" s="48">
        <f>VLOOKUP(B285,'Player Data'!$A1:$AE734,16,FALSE)*$Q285</f>
        <v>108.482543368327</v>
      </c>
      <c r="AC285" s="48">
        <f>VLOOKUP(B285,'Player Data'!$A1:$AE734,17,FALSE)*$Q285*_xlfn.IFERROR((VLOOKUP(P285,'Settings'!$E$28:$F$33,2,FALSE)+1),1)</f>
        <v>-3.23444716056034</v>
      </c>
      <c r="AD285" s="48">
        <f>VLOOKUP(B285,'Player Data'!$A1:$AE734,18,FALSE)*$Q285</f>
        <v>58.4164284683931</v>
      </c>
      <c r="AE285" s="48">
        <f>VLOOKUP(B285,'Player Data'!$A1:$AE734,19,FALSE)*$Q285*_xlfn.IFERROR((VLOOKUP(P285,'Settings'!$E$28:$F$33,2,FALSE)+1),1)</f>
        <v>0</v>
      </c>
      <c r="AF285" s="48">
        <f>VLOOKUP(B285,'Player Data'!$A1:$AE734,20,FALSE)*$Q285</f>
        <v>0</v>
      </c>
      <c r="AG285" s="48">
        <f>VLOOKUP(B285,'Player Data'!$A1:$AE734,21,FALSE)*$Q285</f>
        <v>0</v>
      </c>
      <c r="AH285" s="49">
        <f>VLOOKUP(B285,'Player Data'!$A1:$AE734,22,FALSE)</f>
        <v>0</v>
      </c>
      <c r="AI285" s="46"/>
      <c r="AJ285" s="50"/>
      <c r="AK285" s="48"/>
      <c r="AL285" s="48"/>
      <c r="AM285" s="48"/>
      <c r="AN285" s="48"/>
      <c r="AO285" s="48"/>
      <c r="AP285" s="48"/>
      <c r="AQ285" s="51"/>
      <c r="AR285" s="52"/>
      <c r="AS285" s="46"/>
    </row>
    <row r="286" ht="21.25" customHeight="1">
      <c r="A286" s="53">
        <f>RANK(K286,K2:K730)</f>
        <v>361</v>
      </c>
      <c r="B286" t="s" s="8">
        <v>438</v>
      </c>
      <c r="C286" t="s" s="39">
        <v>106</v>
      </c>
      <c r="D286" t="s" s="40">
        <f>VLOOKUP(B286,'Player Data'!A1:D734,4,FALSE)</f>
        <v>107</v>
      </c>
      <c r="E286" s="41">
        <f>VLOOKUP(B286,'C'!A1:C218,3,FALSE)</f>
        <v>95</v>
      </c>
      <c r="F286" t="s" s="42">
        <f>VLOOKUP(B286,'Player Data'!A1:B734,2,FALSE)</f>
        <v>194</v>
      </c>
      <c r="G286" s="9">
        <f>VLOOKUP(B286,'Player Data'!A1:D734,3,FALSE)</f>
        <v>31</v>
      </c>
      <c r="H286" s="43">
        <f>_xlfn.IFERROR(VLOOKUP(B286,'ADP'!A1:G731,7,FALSE)/1000000,VLOOKUP(B286,'ADP'!A1:G731,7,FALSE))</f>
        <v>3.571429</v>
      </c>
      <c r="I286" s="44">
        <f>IF('Settings'!$E$15="POINTS",((R286*Q286)*'Settings'!$B$12)+(S286*'Settings'!$B$2)+(T286*'Settings'!$B$3)+(U286*'Settings'!$B$4)+(V286*'Settings'!$B$5)+(X286*'Settings'!$B$9)+(AA286*'Settings'!$B$6)+(W286*'Settings'!$B$8)+(AB286*'Settings'!$B$7)+(AC286*'Settings'!$B$14)+(AD286*'Settings'!$B$15)+(AE286*'Settings'!$B$16)+(AF286*'Settings'!$B$17)+(AG286*'Settings'!$B$18)+(Y286*'Settings'!$B$10)+(Z286*'Settings'!$B$11),VLOOKUP(B286,'Standard Deviations'!A1:C731,3,FALSE))</f>
        <v>259.302253055917</v>
      </c>
      <c r="J286" s="45">
        <f>IF(D286="G",I286/AJ286,I286/Q286)</f>
        <v>3.351890551395</v>
      </c>
      <c r="K286" s="44">
        <f>IF('Settings'!$E$18="C/LW/RW",VLOOKUP(B286,'C'!A1:F218,6,FALSE),VLOOKUP(B286,'F'!A1:F432,6,FALSE))</f>
        <v>-136.471948580098</v>
      </c>
      <c r="L286" s="44">
        <f>_xlfn.IFERROR(K286/H286,"N/A")</f>
        <v>-38.2121410169705</v>
      </c>
      <c r="M286" s="46">
        <f>IF('Settings'!$E$9="YAHOO",VLOOKUP(B286,'ADP'!A1:E731,2,FALSE),IF('Settings'!$E$9="ESPN",VLOOKUP(B286,'ADP'!A1:E731,3,FALSE),IF('Settings'!$E$9="FANTRAX",VLOOKUP(B286,'ADP'!A1:E731,4,FALSE),VLOOKUP(B286,'ADP'!A1:E731,5,FALSE))))</f>
        <v>220.12</v>
      </c>
      <c r="N286" s="46">
        <f>_xlfn.IFERROR(M286-A286,"N/A")</f>
        <v>-140.88</v>
      </c>
      <c r="O286" s="46"/>
      <c r="P286" t="s" s="47">
        <f>IF('Settings'!$E$27="ON",VLOOKUP(B286,'ADP'!A1:H731,8,FALSE)," ")</f>
        <v>109</v>
      </c>
      <c r="Q286" s="48">
        <f>IF('Settings'!$E$12="YES",VLOOKUP(B286,'Player Data'!A1:E734,5,FALSE),82)</f>
        <v>77.36</v>
      </c>
      <c r="R286" s="46">
        <f>VLOOKUP(B286,'Player Data'!$A1:$AE734,6,FALSE)</f>
        <v>15.7061840258178</v>
      </c>
      <c r="S286" s="48">
        <f>VLOOKUP(B286,'Player Data'!$A1:$AE734,7,FALSE)*$Q286*_xlfn.IFERROR((VLOOKUP(P286,'Settings'!$E$28:$F$33,2,FALSE)+1),1)</f>
        <v>14.3179352715587</v>
      </c>
      <c r="T286" s="48">
        <f>VLOOKUP(B286,'Player Data'!$A1:$AE734,8,FALSE)*$Q286*_xlfn.IFERROR((VLOOKUP(P286,'Settings'!$E$28:$F$33,2,FALSE)+1),1)</f>
        <v>27.8251186513482</v>
      </c>
      <c r="U286" s="48">
        <f>SUM(S286:T286)</f>
        <v>42.1430539229069</v>
      </c>
      <c r="V286" s="48">
        <f>VLOOKUP(B286,'Player Data'!$A1:$AE734,10,FALSE)*$Q286*_xlfn.IFERROR(((VLOOKUP(P286,'Settings'!$E$28:$F$33,2,FALSE)/2)+1),1)</f>
        <v>174.778374276735</v>
      </c>
      <c r="W286" s="48">
        <f>VLOOKUP(B286,'Player Data'!$A1:$AE734,11,FALSE)*$Q286*_xlfn.IFERROR((VLOOKUP(P286,'Settings'!$E$28:$F$33,2,FALSE)+1),1)</f>
        <v>3.50803191426085</v>
      </c>
      <c r="X286" s="48">
        <f>VLOOKUP(B286,'Player Data'!$A1:$AE734,12,FALSE)*$Q286*_xlfn.IFERROR((VLOOKUP(P286,'Settings'!$E$28:$F$33,2,FALSE)+1),1)</f>
        <v>9.79032434991702</v>
      </c>
      <c r="Y286" s="48">
        <f>VLOOKUP(B286,'Player Data'!$A1:$AE734,13,FALSE)*$Q286</f>
        <v>0.0227895026814191</v>
      </c>
      <c r="Z286" s="48">
        <f>VLOOKUP(B286,'Player Data'!$A1:$AE734,14,FALSE)*$Q286</f>
        <v>0.10633463644676</v>
      </c>
      <c r="AA286" s="48">
        <f>VLOOKUP(B286,'Player Data'!$A1:$AE734,15,FALSE)*$Q286</f>
        <v>21.0491622397796</v>
      </c>
      <c r="AB286" s="48">
        <f>VLOOKUP(B286,'Player Data'!$A1:$AE734,16,FALSE)*$Q286</f>
        <v>53.0790033948303</v>
      </c>
      <c r="AC286" s="48">
        <f>VLOOKUP(B286,'Player Data'!$A1:$AE734,17,FALSE)*$Q286*_xlfn.IFERROR((VLOOKUP(P286,'Settings'!$E$28:$F$33,2,FALSE)+1),1)</f>
        <v>-4.01665207969264</v>
      </c>
      <c r="AD286" s="48">
        <f>VLOOKUP(B286,'Player Data'!$A1:$AE734,18,FALSE)*$Q286</f>
        <v>23.6052270924186</v>
      </c>
      <c r="AE286" s="48">
        <f>VLOOKUP(B286,'Player Data'!$A1:$AE734,19,FALSE)*$Q286*_xlfn.IFERROR((VLOOKUP(P286,'Settings'!$E$28:$F$33,2,FALSE)+1),1)</f>
        <v>1.64760392348751</v>
      </c>
      <c r="AF286" s="48">
        <f>VLOOKUP(B286,'Player Data'!$A1:$AE734,20,FALSE)*$Q286</f>
        <v>289.157937336419</v>
      </c>
      <c r="AG286" s="48">
        <f>VLOOKUP(B286,'Player Data'!$A1:$AE734,21,FALSE)*$Q286</f>
        <v>318.606791912671</v>
      </c>
      <c r="AH286" s="49">
        <f>VLOOKUP(B286,'Player Data'!$A1:$AE734,22,FALSE)</f>
        <v>0.475772817046625</v>
      </c>
      <c r="AI286" s="46"/>
      <c r="AJ286" s="50"/>
      <c r="AK286" s="48"/>
      <c r="AL286" s="48"/>
      <c r="AM286" s="48"/>
      <c r="AN286" s="48"/>
      <c r="AO286" s="48"/>
      <c r="AP286" s="48"/>
      <c r="AQ286" s="51"/>
      <c r="AR286" s="52"/>
      <c r="AS286" s="46"/>
    </row>
    <row r="287" ht="21.25" customHeight="1">
      <c r="A287" s="53">
        <f>RANK(K287,K2:K730)</f>
        <v>253</v>
      </c>
      <c r="B287" t="s" s="8">
        <v>439</v>
      </c>
      <c r="C287" t="s" s="39">
        <v>106</v>
      </c>
      <c r="D287" t="s" s="40">
        <f>VLOOKUP(B287,'Player Data'!A1:D734,4,FALSE)</f>
        <v>187</v>
      </c>
      <c r="E287" s="54">
        <f>VLOOKUP(B287,'RW'!A1:F132,3,FALSE)</f>
        <v>59</v>
      </c>
      <c r="F287" t="s" s="42">
        <f>VLOOKUP(B287,'Player Data'!A1:B734,2,FALSE)</f>
        <v>238</v>
      </c>
      <c r="G287" s="9">
        <f>VLOOKUP(B287,'Player Data'!A1:D734,3,FALSE)</f>
        <v>25</v>
      </c>
      <c r="H287" s="43">
        <f>_xlfn.IFERROR(VLOOKUP(B287,'ADP'!A1:G731,7,FALSE)/1000000,VLOOKUP(B287,'ADP'!A1:G731,7,FALSE))</f>
        <v>2.3</v>
      </c>
      <c r="I287" s="44">
        <f>IF('Settings'!$E$15="POINTS",((R287*Q287)*'Settings'!$B$12)+(S287*'Settings'!$B$2)+(T287*'Settings'!$B$3)+(U287*'Settings'!$B$4)+(V287*'Settings'!$B$5)+(X287*'Settings'!$B$9)+(AA287*'Settings'!$B$6)+(W287*'Settings'!$B$8)+(AB287*'Settings'!$B$7)+(AC287*'Settings'!$B$14)+(AD287*'Settings'!$B$15)+(AE287*'Settings'!$B$16)+(AF287*'Settings'!$B$17)+(AG287*'Settings'!$B$18)+(Y287*'Settings'!$B$10)+(Z287*'Settings'!$B$11),VLOOKUP(B287,'Standard Deviations'!A1:C731,3,FALSE))</f>
        <v>286.094737747958</v>
      </c>
      <c r="J287" s="45">
        <f>IF(D287="G",I287/AJ287,I287/Q287)</f>
        <v>3.5495625030764</v>
      </c>
      <c r="K287" s="44">
        <f>IF('Settings'!$E$18="C/LW/RW",VLOOKUP(B287,'RW'!A1:F132,6,FALSE),VLOOKUP(B287,'F'!A1:F432,6,FALSE))</f>
        <v>-95.533825958398</v>
      </c>
      <c r="L287" s="44">
        <f>_xlfn.IFERROR(K287/H287,"N/A")</f>
        <v>-41.5364460688687</v>
      </c>
      <c r="M287" s="46">
        <f>IF('Settings'!$E$9="YAHOO",VLOOKUP(B287,'ADP'!A1:E731,2,FALSE),IF('Settings'!$E$9="ESPN",VLOOKUP(B287,'ADP'!A1:E731,3,FALSE),IF('Settings'!$E$9="FANTRAX",VLOOKUP(B287,'ADP'!A1:E731,4,FALSE),VLOOKUP(B287,'ADP'!A1:E731,5,FALSE))))</f>
        <v>454.4</v>
      </c>
      <c r="N287" s="46">
        <f>_xlfn.IFERROR(M287-A287,"N/A")</f>
        <v>201.4</v>
      </c>
      <c r="O287" s="46"/>
      <c r="P287" t="s" s="47">
        <f>IF('Settings'!$E$27="ON",VLOOKUP(B287,'ADP'!A1:H731,8,FALSE)," ")</f>
        <v>109</v>
      </c>
      <c r="Q287" s="48">
        <f>IF('Settings'!$E$12="YES",VLOOKUP(B287,'Player Data'!A1:E734,5,FALSE),82)</f>
        <v>80.59999999999999</v>
      </c>
      <c r="R287" s="46">
        <f>VLOOKUP(B287,'Player Data'!$A1:$AE734,6,FALSE)</f>
        <v>15.6219758546452</v>
      </c>
      <c r="S287" s="48">
        <f>VLOOKUP(B287,'Player Data'!$A1:$AE734,7,FALSE)*$Q287*_xlfn.IFERROR((VLOOKUP(P287,'Settings'!$E$28:$F$33,2,FALSE)+1),1)</f>
        <v>19.7693019468117</v>
      </c>
      <c r="T287" s="48">
        <f>VLOOKUP(B287,'Player Data'!$A1:$AE734,8,FALSE)*$Q287*_xlfn.IFERROR((VLOOKUP(P287,'Settings'!$E$28:$F$33,2,FALSE)+1),1)</f>
        <v>23.9938964186562</v>
      </c>
      <c r="U287" s="48">
        <f>SUM(S287:T287)</f>
        <v>43.7631983654679</v>
      </c>
      <c r="V287" s="48">
        <f>VLOOKUP(B287,'Player Data'!$A1:$AE734,10,FALSE)*$Q287*_xlfn.IFERROR(((VLOOKUP(P287,'Settings'!$E$28:$F$33,2,FALSE)/2)+1),1)</f>
        <v>156.635814625179</v>
      </c>
      <c r="W287" s="48">
        <f>VLOOKUP(B287,'Player Data'!$A1:$AE734,11,FALSE)*$Q287*_xlfn.IFERROR((VLOOKUP(P287,'Settings'!$E$28:$F$33,2,FALSE)+1),1)</f>
        <v>2.18063020191484</v>
      </c>
      <c r="X287" s="48">
        <f>VLOOKUP(B287,'Player Data'!$A1:$AE734,12,FALSE)*$Q287*_xlfn.IFERROR((VLOOKUP(P287,'Settings'!$E$28:$F$33,2,FALSE)+1),1)</f>
        <v>5.12283482840573</v>
      </c>
      <c r="Y287" s="48">
        <f>VLOOKUP(B287,'Player Data'!$A1:$AE734,13,FALSE)*$Q287</f>
        <v>1.57990522317722</v>
      </c>
      <c r="Z287" s="48">
        <f>VLOOKUP(B287,'Player Data'!$A1:$AE734,14,FALSE)*$Q287</f>
        <v>2.020143627149</v>
      </c>
      <c r="AA287" s="48">
        <f>VLOOKUP(B287,'Player Data'!$A1:$AE734,15,FALSE)*$Q287</f>
        <v>23.335451545898</v>
      </c>
      <c r="AB287" s="48">
        <f>VLOOKUP(B287,'Player Data'!$A1:$AE734,16,FALSE)*$Q287</f>
        <v>124.501077565999</v>
      </c>
      <c r="AC287" s="48">
        <f>VLOOKUP(B287,'Player Data'!$A1:$AE734,17,FALSE)*$Q287*_xlfn.IFERROR((VLOOKUP(P287,'Settings'!$E$28:$F$33,2,FALSE)+1),1)</f>
        <v>0.699372560804026</v>
      </c>
      <c r="AD287" s="48">
        <f>VLOOKUP(B287,'Player Data'!$A1:$AE734,18,FALSE)*$Q287</f>
        <v>33.0643773896445</v>
      </c>
      <c r="AE287" s="48">
        <f>VLOOKUP(B287,'Player Data'!$A1:$AE734,19,FALSE)*$Q287*_xlfn.IFERROR((VLOOKUP(P287,'Settings'!$E$28:$F$33,2,FALSE)+1),1)</f>
        <v>3.30341576023245</v>
      </c>
      <c r="AF287" s="48">
        <f>VLOOKUP(B287,'Player Data'!$A1:$AE734,20,FALSE)*$Q287</f>
        <v>53.3359914639249</v>
      </c>
      <c r="AG287" s="48">
        <f>VLOOKUP(B287,'Player Data'!$A1:$AE734,21,FALSE)*$Q287</f>
        <v>59.8561136231324</v>
      </c>
      <c r="AH287" s="49">
        <f>VLOOKUP(B287,'Player Data'!$A1:$AE734,22,FALSE)</f>
        <v>0.471198865176185</v>
      </c>
      <c r="AI287" s="46"/>
      <c r="AJ287" s="50"/>
      <c r="AK287" s="48"/>
      <c r="AL287" s="48"/>
      <c r="AM287" s="48"/>
      <c r="AN287" s="48"/>
      <c r="AO287" s="48"/>
      <c r="AP287" s="48"/>
      <c r="AQ287" s="51"/>
      <c r="AR287" s="52"/>
      <c r="AS287" s="46"/>
    </row>
    <row r="288" ht="21.25" customHeight="1">
      <c r="A288" s="53">
        <f>RANK(K288,K2:K730)</f>
        <v>262</v>
      </c>
      <c r="B288" t="s" s="8">
        <v>440</v>
      </c>
      <c r="C288" t="s" s="39">
        <v>106</v>
      </c>
      <c r="D288" t="s" s="40">
        <f>VLOOKUP(B288,'Player Data'!A1:D734,4,FALSE)</f>
        <v>133</v>
      </c>
      <c r="E288" s="57">
        <f>VLOOKUP(B288,'LW'!A1:C156,3,FALSE)</f>
        <v>66</v>
      </c>
      <c r="F288" t="s" s="42">
        <f>VLOOKUP(B288,'Player Data'!A1:B734,2,FALSE)</f>
        <v>236</v>
      </c>
      <c r="G288" s="9">
        <f>VLOOKUP(B288,'Player Data'!A1:D734,3,FALSE)</f>
        <v>23</v>
      </c>
      <c r="H288" s="43">
        <f>_xlfn.IFERROR(VLOOKUP(B288,'ADP'!A1:G731,7,FALSE)/1000000,VLOOKUP(B288,'ADP'!A1:G731,7,FALSE))</f>
        <v>5</v>
      </c>
      <c r="I288" s="44">
        <f>IF('Settings'!$E$15="POINTS",((R288*Q288)*'Settings'!$B$12)+(S288*'Settings'!$B$2)+(T288*'Settings'!$B$3)+(U288*'Settings'!$B$4)+(V288*'Settings'!$B$5)+(X288*'Settings'!$B$9)+(AA288*'Settings'!$B$6)+(W288*'Settings'!$B$8)+(AB288*'Settings'!$B$7)+(AC288*'Settings'!$B$14)+(AD288*'Settings'!$B$15)+(AE288*'Settings'!$B$16)+(AF288*'Settings'!$B$17)+(AG288*'Settings'!$B$18)+(Y288*'Settings'!$B$10)+(Z288*'Settings'!$B$11),VLOOKUP(B288,'Standard Deviations'!A1:C731,3,FALSE))</f>
        <v>283.449122667786</v>
      </c>
      <c r="J288" s="45">
        <f>IF(D288="G",I288/AJ288,I288/Q288)</f>
        <v>3.57569435557829</v>
      </c>
      <c r="K288" s="44">
        <f>IF('Settings'!$E$18="C/LW/RW",VLOOKUP(B288,'LW'!A1:F156,6,FALSE),VLOOKUP(B288,'F'!A1:F432,6,FALSE))</f>
        <v>-98.179441038570</v>
      </c>
      <c r="L288" s="44">
        <f>_xlfn.IFERROR(K288/H288,"N/A")</f>
        <v>-19.635888207714</v>
      </c>
      <c r="M288" s="46">
        <f>IF('Settings'!$E$9="YAHOO",VLOOKUP(B288,'ADP'!A1:E731,2,FALSE),IF('Settings'!$E$9="ESPN",VLOOKUP(B288,'ADP'!A1:E731,3,FALSE),IF('Settings'!$E$9="FANTRAX",VLOOKUP(B288,'ADP'!A1:E731,4,FALSE),VLOOKUP(B288,'ADP'!A1:E731,5,FALSE))))</f>
        <v>417.5</v>
      </c>
      <c r="N288" s="46">
        <f>_xlfn.IFERROR(M288-A288,"N/A")</f>
        <v>155.5</v>
      </c>
      <c r="O288" s="46"/>
      <c r="P288" t="s" s="47">
        <f>IF('Settings'!$E$27="ON",VLOOKUP(B288,'ADP'!A1:H731,8,FALSE)," ")</f>
        <v>109</v>
      </c>
      <c r="Q288" s="48">
        <f>IF('Settings'!$E$12="YES",VLOOKUP(B288,'Player Data'!A1:E734,5,FALSE),82)</f>
        <v>79.2710714285714</v>
      </c>
      <c r="R288" s="46">
        <f>VLOOKUP(B288,'Player Data'!$A1:$AE734,6,FALSE)</f>
        <v>17.1669903506097</v>
      </c>
      <c r="S288" s="48">
        <f>VLOOKUP(B288,'Player Data'!$A1:$AE734,7,FALSE)*$Q288*_xlfn.IFERROR((VLOOKUP(P288,'Settings'!$E$28:$F$33,2,FALSE)+1),1)</f>
        <v>19.943204776171</v>
      </c>
      <c r="T288" s="48">
        <f>VLOOKUP(B288,'Player Data'!$A1:$AE734,8,FALSE)*$Q288*_xlfn.IFERROR((VLOOKUP(P288,'Settings'!$E$28:$F$33,2,FALSE)+1),1)</f>
        <v>25.8659579831437</v>
      </c>
      <c r="U288" s="48">
        <f>SUM(S288:T288)</f>
        <v>45.8091627593147</v>
      </c>
      <c r="V288" s="48">
        <f>VLOOKUP(B288,'Player Data'!$A1:$AE734,10,FALSE)*$Q288*_xlfn.IFERROR(((VLOOKUP(P288,'Settings'!$E$28:$F$33,2,FALSE)/2)+1),1)</f>
        <v>150.772917617421</v>
      </c>
      <c r="W288" s="48">
        <f>VLOOKUP(B288,'Player Data'!$A1:$AE734,11,FALSE)*$Q288*_xlfn.IFERROR((VLOOKUP(P288,'Settings'!$E$28:$F$33,2,FALSE)+1),1)</f>
        <v>1.60421381829032</v>
      </c>
      <c r="X288" s="48">
        <f>VLOOKUP(B288,'Player Data'!$A1:$AE734,12,FALSE)*$Q288*_xlfn.IFERROR((VLOOKUP(P288,'Settings'!$E$28:$F$33,2,FALSE)+1),1)</f>
        <v>5.12450776083254</v>
      </c>
      <c r="Y288" s="48">
        <f>VLOOKUP(B288,'Player Data'!$A1:$AE734,13,FALSE)*$Q288</f>
        <v>0.308738908782523</v>
      </c>
      <c r="Z288" s="48">
        <f>VLOOKUP(B288,'Player Data'!$A1:$AE734,14,FALSE)*$Q288</f>
        <v>0.378499392150341</v>
      </c>
      <c r="AA288" s="48">
        <f>VLOOKUP(B288,'Player Data'!$A1:$AE734,15,FALSE)*$Q288</f>
        <v>42.456673267084</v>
      </c>
      <c r="AB288" s="48">
        <f>VLOOKUP(B288,'Player Data'!$A1:$AE734,16,FALSE)*$Q288</f>
        <v>74.94013199612731</v>
      </c>
      <c r="AC288" s="48">
        <f>VLOOKUP(B288,'Player Data'!$A1:$AE734,17,FALSE)*$Q288*_xlfn.IFERROR((VLOOKUP(P288,'Settings'!$E$28:$F$33,2,FALSE)+1),1)</f>
        <v>-5.19286674210685</v>
      </c>
      <c r="AD288" s="48">
        <f>VLOOKUP(B288,'Player Data'!$A1:$AE734,18,FALSE)*$Q288</f>
        <v>41.7866834292517</v>
      </c>
      <c r="AE288" s="48">
        <f>VLOOKUP(B288,'Player Data'!$A1:$AE734,19,FALSE)*$Q288*_xlfn.IFERROR((VLOOKUP(P288,'Settings'!$E$28:$F$33,2,FALSE)+1),1)</f>
        <v>2.34423681698469</v>
      </c>
      <c r="AF288" s="48">
        <f>VLOOKUP(B288,'Player Data'!$A1:$AE734,20,FALSE)*$Q288</f>
        <v>19.9604836346066</v>
      </c>
      <c r="AG288" s="48">
        <f>VLOOKUP(B288,'Player Data'!$A1:$AE734,21,FALSE)*$Q288</f>
        <v>38.5147465290349</v>
      </c>
      <c r="AH288" s="49">
        <f>VLOOKUP(B288,'Player Data'!$A1:$AE734,22,FALSE)</f>
        <v>0.341349381246515</v>
      </c>
      <c r="AI288" s="46"/>
      <c r="AJ288" s="50"/>
      <c r="AK288" s="48"/>
      <c r="AL288" s="48"/>
      <c r="AM288" s="48"/>
      <c r="AN288" s="48"/>
      <c r="AO288" s="48"/>
      <c r="AP288" s="48"/>
      <c r="AQ288" s="51"/>
      <c r="AR288" s="52"/>
      <c r="AS288" s="46"/>
    </row>
    <row r="289" ht="21.25" customHeight="1">
      <c r="A289" s="53">
        <f>RANK(K289,K2:K730)</f>
        <v>306</v>
      </c>
      <c r="B289" t="s" s="8">
        <v>441</v>
      </c>
      <c r="C289" t="s" s="39">
        <v>106</v>
      </c>
      <c r="D289" t="s" s="40">
        <f>VLOOKUP(B289,'Player Data'!A1:D734,4,FALSE)</f>
        <v>133</v>
      </c>
      <c r="E289" s="57">
        <f>VLOOKUP(B289,'LW'!A1:C156,3,FALSE)</f>
        <v>71</v>
      </c>
      <c r="F289" t="s" s="42">
        <f>VLOOKUP(B289,'Player Data'!A1:B734,2,FALSE)</f>
        <v>173</v>
      </c>
      <c r="G289" s="9">
        <f>VLOOKUP(B289,'Player Data'!A1:D734,3,FALSE)</f>
        <v>27</v>
      </c>
      <c r="H289" s="43">
        <f>_xlfn.IFERROR(VLOOKUP(B289,'ADP'!A1:G731,7,FALSE)/1000000,VLOOKUP(B289,'ADP'!A1:G731,7,FALSE))</f>
        <v>2.5</v>
      </c>
      <c r="I289" s="44">
        <f>IF('Settings'!$E$15="POINTS",((R289*Q289)*'Settings'!$B$12)+(S289*'Settings'!$B$2)+(T289*'Settings'!$B$3)+(U289*'Settings'!$B$4)+(V289*'Settings'!$B$5)+(X289*'Settings'!$B$9)+(AA289*'Settings'!$B$6)+(W289*'Settings'!$B$8)+(AB289*'Settings'!$B$7)+(AC289*'Settings'!$B$14)+(AD289*'Settings'!$B$15)+(AE289*'Settings'!$B$16)+(AF289*'Settings'!$B$17)+(AG289*'Settings'!$B$18)+(Y289*'Settings'!$B$10)+(Z289*'Settings'!$B$11),VLOOKUP(B289,'Standard Deviations'!A1:C731,3,FALSE))</f>
        <v>264.590731636597</v>
      </c>
      <c r="J289" s="45">
        <f>IF(D289="G",I289/AJ289,I289/Q289)</f>
        <v>3.25439847036188</v>
      </c>
      <c r="K289" s="44">
        <f>IF('Settings'!$E$18="C/LW/RW",VLOOKUP(B289,'LW'!A1:F156,6,FALSE),VLOOKUP(B289,'F'!A1:F432,6,FALSE))</f>
        <v>-117.037832069759</v>
      </c>
      <c r="L289" s="44">
        <f>_xlfn.IFERROR(K289/H289,"N/A")</f>
        <v>-46.8151328279036</v>
      </c>
      <c r="M289" s="46">
        <f>IF('Settings'!$E$9="YAHOO",VLOOKUP(B289,'ADP'!A1:E731,2,FALSE),IF('Settings'!$E$9="ESPN",VLOOKUP(B289,'ADP'!A1:E731,3,FALSE),IF('Settings'!$E$9="FANTRAX",VLOOKUP(B289,'ADP'!A1:E731,4,FALSE),VLOOKUP(B289,'ADP'!A1:E731,5,FALSE))))</f>
        <v>281.03</v>
      </c>
      <c r="N289" s="46">
        <f>_xlfn.IFERROR(M289-A289,"N/A")</f>
        <v>-24.97</v>
      </c>
      <c r="O289" s="46"/>
      <c r="P289" t="s" s="47">
        <f>IF('Settings'!$E$27="ON",VLOOKUP(B289,'ADP'!A1:H731,8,FALSE)," ")</f>
        <v>109</v>
      </c>
      <c r="Q289" s="48">
        <f>IF('Settings'!$E$12="YES",VLOOKUP(B289,'Player Data'!A1:E734,5,FALSE),82)</f>
        <v>81.30249999999999</v>
      </c>
      <c r="R289" s="46">
        <f>VLOOKUP(B289,'Player Data'!$A1:$AE734,6,FALSE)</f>
        <v>14.2950883828788</v>
      </c>
      <c r="S289" s="48">
        <f>VLOOKUP(B289,'Player Data'!$A1:$AE734,7,FALSE)*$Q289*_xlfn.IFERROR((VLOOKUP(P289,'Settings'!$E$28:$F$33,2,FALSE)+1),1)</f>
        <v>17.7320224898527</v>
      </c>
      <c r="T289" s="48">
        <f>VLOOKUP(B289,'Player Data'!$A1:$AE734,8,FALSE)*$Q289*_xlfn.IFERROR((VLOOKUP(P289,'Settings'!$E$28:$F$33,2,FALSE)+1),1)</f>
        <v>21.9917337515126</v>
      </c>
      <c r="U289" s="48">
        <f>SUM(S289:T289)</f>
        <v>39.7237562413653</v>
      </c>
      <c r="V289" s="48">
        <f>VLOOKUP(B289,'Player Data'!$A1:$AE734,10,FALSE)*$Q289*_xlfn.IFERROR(((VLOOKUP(P289,'Settings'!$E$28:$F$33,2,FALSE)/2)+1),1)</f>
        <v>165.360862601414</v>
      </c>
      <c r="W289" s="48">
        <f>VLOOKUP(B289,'Player Data'!$A1:$AE734,11,FALSE)*$Q289*_xlfn.IFERROR((VLOOKUP(P289,'Settings'!$E$28:$F$33,2,FALSE)+1),1)</f>
        <v>4.49300929519782</v>
      </c>
      <c r="X289" s="48">
        <f>VLOOKUP(B289,'Player Data'!$A1:$AE734,12,FALSE)*$Q289*_xlfn.IFERROR((VLOOKUP(P289,'Settings'!$E$28:$F$33,2,FALSE)+1),1)</f>
        <v>12.0293672684169</v>
      </c>
      <c r="Y289" s="48">
        <f>VLOOKUP(B289,'Player Data'!$A1:$AE734,13,FALSE)*$Q289</f>
        <v>0.0238379930604891</v>
      </c>
      <c r="Z289" s="48">
        <f>VLOOKUP(B289,'Player Data'!$A1:$AE734,14,FALSE)*$Q289</f>
        <v>0.0437511811355185</v>
      </c>
      <c r="AA289" s="48">
        <f>VLOOKUP(B289,'Player Data'!$A1:$AE734,15,FALSE)*$Q289</f>
        <v>27.502356128088</v>
      </c>
      <c r="AB289" s="48">
        <f>VLOOKUP(B289,'Player Data'!$A1:$AE734,16,FALSE)*$Q289</f>
        <v>89.2092698028016</v>
      </c>
      <c r="AC289" s="48">
        <f>VLOOKUP(B289,'Player Data'!$A1:$AE734,17,FALSE)*$Q289*_xlfn.IFERROR((VLOOKUP(P289,'Settings'!$E$28:$F$33,2,FALSE)+1),1)</f>
        <v>0.814538419464355</v>
      </c>
      <c r="AD289" s="48">
        <f>VLOOKUP(B289,'Player Data'!$A1:$AE734,18,FALSE)*$Q289</f>
        <v>22.6122307250447</v>
      </c>
      <c r="AE289" s="48">
        <f>VLOOKUP(B289,'Player Data'!$A1:$AE734,19,FALSE)*$Q289*_xlfn.IFERROR((VLOOKUP(P289,'Settings'!$E$28:$F$33,2,FALSE)+1),1)</f>
        <v>2.6666463052514</v>
      </c>
      <c r="AF289" s="48">
        <f>VLOOKUP(B289,'Player Data'!$A1:$AE734,20,FALSE)*$Q289</f>
        <v>10.3200734231746</v>
      </c>
      <c r="AG289" s="48">
        <f>VLOOKUP(B289,'Player Data'!$A1:$AE734,21,FALSE)*$Q289</f>
        <v>18.1851391741954</v>
      </c>
      <c r="AH289" s="49">
        <f>VLOOKUP(B289,'Player Data'!$A1:$AE734,22,FALSE)</f>
        <v>0.362041622665419</v>
      </c>
      <c r="AI289" s="46"/>
      <c r="AJ289" s="50"/>
      <c r="AK289" s="48"/>
      <c r="AL289" s="48"/>
      <c r="AM289" s="48"/>
      <c r="AN289" s="48"/>
      <c r="AO289" s="48"/>
      <c r="AP289" s="48"/>
      <c r="AQ289" s="51"/>
      <c r="AR289" s="52"/>
      <c r="AS289" s="50"/>
    </row>
    <row r="290" ht="21.25" customHeight="1">
      <c r="A290" s="53">
        <f>RANK(K290,K2:K730)</f>
        <v>329</v>
      </c>
      <c r="B290" t="s" s="8">
        <v>442</v>
      </c>
      <c r="C290" t="s" s="39">
        <v>106</v>
      </c>
      <c r="D290" t="s" s="40">
        <f>VLOOKUP(B290,'Player Data'!A1:D734,4,FALSE)</f>
        <v>107</v>
      </c>
      <c r="E290" s="41">
        <f>VLOOKUP(B290,'C'!A1:C218,3,FALSE)</f>
        <v>86</v>
      </c>
      <c r="F290" t="s" s="42">
        <f>VLOOKUP(B290,'Player Data'!A1:B734,2,FALSE)</f>
        <v>164</v>
      </c>
      <c r="G290" s="9">
        <f>VLOOKUP(B290,'Player Data'!A1:D734,3,FALSE)</f>
        <v>24</v>
      </c>
      <c r="H290" s="43">
        <f>_xlfn.IFERROR(VLOOKUP(B290,'ADP'!A1:G731,7,FALSE)/1000000,VLOOKUP(B290,'ADP'!A1:G731,7,FALSE))</f>
        <v>3.4375</v>
      </c>
      <c r="I290" s="44">
        <f>IF('Settings'!$E$15="POINTS",((R290*Q290)*'Settings'!$B$12)+(S290*'Settings'!$B$2)+(T290*'Settings'!$B$3)+(U290*'Settings'!$B$4)+(V290*'Settings'!$B$5)+(X290*'Settings'!$B$9)+(AA290*'Settings'!$B$6)+(W290*'Settings'!$B$8)+(AB290*'Settings'!$B$7)+(AC290*'Settings'!$B$14)+(AD290*'Settings'!$B$15)+(AE290*'Settings'!$B$16)+(AF290*'Settings'!$B$17)+(AG290*'Settings'!$B$18)+(Y290*'Settings'!$B$10)+(Z290*'Settings'!$B$11),VLOOKUP(B290,'Standard Deviations'!A1:C731,3,FALSE))</f>
        <v>272.199213637904</v>
      </c>
      <c r="J290" s="45">
        <f>IF(D290="G",I290/AJ290,I290/Q290)</f>
        <v>3.85949582828359</v>
      </c>
      <c r="K290" s="44">
        <f>IF('Settings'!$E$18="C/LW/RW",VLOOKUP(B290,'C'!A1:F218,6,FALSE),VLOOKUP(B290,'F'!A1:F432,6,FALSE))</f>
        <v>-123.574987998111</v>
      </c>
      <c r="L290" s="44">
        <f>_xlfn.IFERROR(K290/H290,"N/A")</f>
        <v>-35.9490874176323</v>
      </c>
      <c r="M290" s="46">
        <f>IF('Settings'!$E$9="YAHOO",VLOOKUP(B290,'ADP'!A1:E731,2,FALSE),IF('Settings'!$E$9="ESPN",VLOOKUP(B290,'ADP'!A1:E731,3,FALSE),IF('Settings'!$E$9="FANTRAX",VLOOKUP(B290,'ADP'!A1:E731,4,FALSE),VLOOKUP(B290,'ADP'!A1:E731,5,FALSE))))</f>
        <v>203.3</v>
      </c>
      <c r="N290" s="46">
        <f>_xlfn.IFERROR(M290-A290,"N/A")</f>
        <v>-125.7</v>
      </c>
      <c r="O290" s="46"/>
      <c r="P290" t="s" s="47">
        <f>IF('Settings'!$E$27="ON",VLOOKUP(B290,'ADP'!A1:H731,8,FALSE)," ")</f>
        <v>109</v>
      </c>
      <c r="Q290" s="48">
        <f>IF('Settings'!$E$12="YES",VLOOKUP(B290,'Player Data'!A1:E734,5,FALSE),82)</f>
        <v>70.52714285714291</v>
      </c>
      <c r="R290" s="46">
        <f>VLOOKUP(B290,'Player Data'!$A1:$AE734,6,FALSE)</f>
        <v>16.4654352775596</v>
      </c>
      <c r="S290" s="48">
        <f>VLOOKUP(B290,'Player Data'!$A1:$AE734,7,FALSE)*$Q290*_xlfn.IFERROR((VLOOKUP(P290,'Settings'!$E$28:$F$33,2,FALSE)+1),1)</f>
        <v>23.6837422163952</v>
      </c>
      <c r="T290" s="48">
        <f>VLOOKUP(B290,'Player Data'!$A1:$AE734,8,FALSE)*$Q290*_xlfn.IFERROR((VLOOKUP(P290,'Settings'!$E$28:$F$33,2,FALSE)+1),1)</f>
        <v>21.8840762776914</v>
      </c>
      <c r="U290" s="48">
        <f>SUM(S290:T290)</f>
        <v>45.5678184940866</v>
      </c>
      <c r="V290" s="48">
        <f>VLOOKUP(B290,'Player Data'!$A1:$AE734,10,FALSE)*$Q290*_xlfn.IFERROR(((VLOOKUP(P290,'Settings'!$E$28:$F$33,2,FALSE)/2)+1),1)</f>
        <v>139.798758306339</v>
      </c>
      <c r="W290" s="48">
        <f>VLOOKUP(B290,'Player Data'!$A1:$AE734,11,FALSE)*$Q290*_xlfn.IFERROR((VLOOKUP(P290,'Settings'!$E$28:$F$33,2,FALSE)+1),1)</f>
        <v>6.26618658172339</v>
      </c>
      <c r="X290" s="48">
        <f>VLOOKUP(B290,'Player Data'!$A1:$AE734,12,FALSE)*$Q290*_xlfn.IFERROR((VLOOKUP(P290,'Settings'!$E$28:$F$33,2,FALSE)+1),1)</f>
        <v>11.4444946836601</v>
      </c>
      <c r="Y290" s="48">
        <f>VLOOKUP(B290,'Player Data'!$A1:$AE734,13,FALSE)*$Q290</f>
        <v>0.0117853572805188</v>
      </c>
      <c r="Z290" s="48">
        <f>VLOOKUP(B290,'Player Data'!$A1:$AE734,14,FALSE)*$Q290</f>
        <v>0.0215867463347012</v>
      </c>
      <c r="AA290" s="48">
        <f>VLOOKUP(B290,'Player Data'!$A1:$AE734,15,FALSE)*$Q290</f>
        <v>36.0957312060597</v>
      </c>
      <c r="AB290" s="48">
        <f>VLOOKUP(B290,'Player Data'!$A1:$AE734,16,FALSE)*$Q290</f>
        <v>47.9189063287315</v>
      </c>
      <c r="AC290" s="48">
        <f>VLOOKUP(B290,'Player Data'!$A1:$AE734,17,FALSE)*$Q290*_xlfn.IFERROR((VLOOKUP(P290,'Settings'!$E$28:$F$33,2,FALSE)+1),1)</f>
        <v>2.38909069465369</v>
      </c>
      <c r="AD290" s="48">
        <f>VLOOKUP(B290,'Player Data'!$A1:$AE734,18,FALSE)*$Q290</f>
        <v>21.3479896994673</v>
      </c>
      <c r="AE290" s="48">
        <f>VLOOKUP(B290,'Player Data'!$A1:$AE734,19,FALSE)*$Q290*_xlfn.IFERROR((VLOOKUP(P290,'Settings'!$E$28:$F$33,2,FALSE)+1),1)</f>
        <v>3.69474305955374</v>
      </c>
      <c r="AF290" s="48">
        <f>VLOOKUP(B290,'Player Data'!$A1:$AE734,20,FALSE)*$Q290</f>
        <v>119.942630215977</v>
      </c>
      <c r="AG290" s="48">
        <f>VLOOKUP(B290,'Player Data'!$A1:$AE734,21,FALSE)*$Q290</f>
        <v>138.2598302554</v>
      </c>
      <c r="AH290" s="49">
        <f>VLOOKUP(B290,'Player Data'!$A1:$AE734,22,FALSE)</f>
        <v>0.464529385184822</v>
      </c>
      <c r="AI290" s="46"/>
      <c r="AJ290" s="50"/>
      <c r="AK290" s="48"/>
      <c r="AL290" s="48"/>
      <c r="AM290" s="48"/>
      <c r="AN290" s="48"/>
      <c r="AO290" s="48"/>
      <c r="AP290" s="48"/>
      <c r="AQ290" s="51"/>
      <c r="AR290" s="52"/>
      <c r="AS290" s="46"/>
    </row>
    <row r="291" ht="21.25" customHeight="1">
      <c r="A291" s="53">
        <f>RANK(K291,K2:K730)</f>
        <v>279</v>
      </c>
      <c r="B291" t="s" s="8">
        <v>443</v>
      </c>
      <c r="C291" t="s" s="39">
        <v>106</v>
      </c>
      <c r="D291" t="s" s="40">
        <f>VLOOKUP(B291,'Player Data'!A1:D734,4,FALSE)</f>
        <v>129</v>
      </c>
      <c r="E291" s="56">
        <f>VLOOKUP(B291,'D'!A1:C228,3,FALSE)</f>
        <v>81</v>
      </c>
      <c r="F291" t="s" s="42">
        <f>VLOOKUP(B291,'Player Data'!A1:B734,2,FALSE)</f>
        <v>204</v>
      </c>
      <c r="G291" s="9">
        <f>VLOOKUP(B291,'Player Data'!A1:D734,3,FALSE)</f>
        <v>28</v>
      </c>
      <c r="H291" s="43">
        <f>_xlfn.IFERROR(VLOOKUP(B291,'ADP'!A1:G731,7,FALSE)/1000000,VLOOKUP(B291,'ADP'!A1:G731,7,FALSE))</f>
        <v>3.15</v>
      </c>
      <c r="I291" s="44">
        <f>IF('Settings'!$E$15="POINTS",((R291*Q291)*'Settings'!$B$12)+(S291*'Settings'!$B$2)+(T291*'Settings'!$B$3)+(U291*'Settings'!$B$4)+(V291*'Settings'!$B$5)+(X291*'Settings'!$B$9)+(AA291*'Settings'!$B$6)+(W291*'Settings'!$B$8)+(AB291*'Settings'!$B$7)+(AC291*'Settings'!$B$14)+(AD291*'Settings'!$B$15)+(AE291*'Settings'!$B$16)+(AF291*'Settings'!$B$17)+(AG291*'Settings'!$B$18)+(U291*'Settings'!$B$13)+(Y291*'Settings'!$B$10)+(Z291*'Settings'!$B$11),VLOOKUP(B291,'Standard Deviations'!A1:C731,3,FALSE))</f>
        <v>235.262401634540</v>
      </c>
      <c r="J291" s="45">
        <f>IF(D291="G",I291/AJ291,I291/Q291)</f>
        <v>3.00807220717348</v>
      </c>
      <c r="K291" s="44">
        <f>VLOOKUP(B291,'D'!A1:F228,6,FALSE)</f>
        <v>-105.472737011983</v>
      </c>
      <c r="L291" s="44">
        <f>_xlfn.IFERROR(K291/H291,"N/A")</f>
        <v>-33.4834085752327</v>
      </c>
      <c r="M291" s="46">
        <f>IF('Settings'!$E$9="YAHOO",VLOOKUP(B291,'ADP'!A1:E731,2,FALSE),IF('Settings'!$E$9="ESPN",VLOOKUP(B291,'ADP'!A1:E731,3,FALSE),IF('Settings'!$E$9="FANTRAX",VLOOKUP(B291,'ADP'!A1:E731,4,FALSE),VLOOKUP(B291,'ADP'!A1:E731,5,FALSE))))</f>
        <v>489.5</v>
      </c>
      <c r="N291" s="46">
        <f>_xlfn.IFERROR(M291-A291,"N/A")</f>
        <v>210.5</v>
      </c>
      <c r="O291" s="46"/>
      <c r="P291" t="s" s="47">
        <f>IF('Settings'!$E$27="ON",VLOOKUP(B291,'ADP'!A1:H731,8,FALSE)," ")</f>
        <v>109</v>
      </c>
      <c r="Q291" s="48">
        <f>IF('Settings'!$E$12="YES",VLOOKUP(B291,'Player Data'!A1:E734,5,FALSE),82)</f>
        <v>78.21035714285711</v>
      </c>
      <c r="R291" s="46">
        <f>VLOOKUP(B291,'Player Data'!$A1:$AE734,6,FALSE)</f>
        <v>18.7554428913872</v>
      </c>
      <c r="S291" s="48">
        <f>VLOOKUP(B291,'Player Data'!$A1:$AE734,7,FALSE)*$Q291*_xlfn.IFERROR((VLOOKUP(P291,'Settings'!$E$28:$F$33,2,FALSE)+1),1)</f>
        <v>5.16626017945099</v>
      </c>
      <c r="T291" s="48">
        <f>VLOOKUP(B291,'Player Data'!$A1:$AE734,8,FALSE)*$Q291*_xlfn.IFERROR((VLOOKUP(P291,'Settings'!$E$28:$F$33,2,FALSE)+1),1)</f>
        <v>16.3235542373982</v>
      </c>
      <c r="U291" s="48">
        <f>SUM(S291:T291)</f>
        <v>21.4898144168492</v>
      </c>
      <c r="V291" s="48">
        <f>VLOOKUP(B291,'Player Data'!$A1:$AE734,10,FALSE)*$Q291*_xlfn.IFERROR(((VLOOKUP(P291,'Settings'!$E$28:$F$33,2,FALSE)/2)+1),1)</f>
        <v>129.899017024684</v>
      </c>
      <c r="W291" s="48">
        <f>VLOOKUP(B291,'Player Data'!$A1:$AE734,11,FALSE)*$Q291*_xlfn.IFERROR((VLOOKUP(P291,'Settings'!$E$28:$F$33,2,FALSE)+1),1)</f>
        <v>0.0129637009319528</v>
      </c>
      <c r="X291" s="48">
        <f>VLOOKUP(B291,'Player Data'!$A1:$AE734,12,FALSE)*$Q291*_xlfn.IFERROR((VLOOKUP(P291,'Settings'!$E$28:$F$33,2,FALSE)+1),1)</f>
        <v>0.171835746431899</v>
      </c>
      <c r="Y291" s="48">
        <f>VLOOKUP(B291,'Player Data'!$A1:$AE734,13,FALSE)*$Q291</f>
        <v>0.48735698268787</v>
      </c>
      <c r="Z291" s="48">
        <f>VLOOKUP(B291,'Player Data'!$A1:$AE734,14,FALSE)*$Q291</f>
        <v>1.74379020076512</v>
      </c>
      <c r="AA291" s="48">
        <f>VLOOKUP(B291,'Player Data'!$A1:$AE734,15,FALSE)*$Q291</f>
        <v>130.217257529672</v>
      </c>
      <c r="AB291" s="48">
        <f>VLOOKUP(B291,'Player Data'!$A1:$AE734,16,FALSE)*$Q291</f>
        <v>117.991401744430</v>
      </c>
      <c r="AC291" s="48">
        <f>VLOOKUP(B291,'Player Data'!$A1:$AE734,17,FALSE)*$Q291*_xlfn.IFERROR((VLOOKUP(P291,'Settings'!$E$28:$F$33,2,FALSE)+1),1)</f>
        <v>0.525930491489952</v>
      </c>
      <c r="AD291" s="48">
        <f>VLOOKUP(B291,'Player Data'!$A1:$AE734,18,FALSE)*$Q291</f>
        <v>24.7924028720335</v>
      </c>
      <c r="AE291" s="48">
        <f>VLOOKUP(B291,'Player Data'!$A1:$AE734,19,FALSE)*$Q291*_xlfn.IFERROR((VLOOKUP(P291,'Settings'!$E$28:$F$33,2,FALSE)+1),1)</f>
        <v>0.764921936233563</v>
      </c>
      <c r="AF291" s="48">
        <f>VLOOKUP(B291,'Player Data'!$A1:$AE734,20,FALSE)*$Q291</f>
        <v>0</v>
      </c>
      <c r="AG291" s="48">
        <f>VLOOKUP(B291,'Player Data'!$A1:$AE734,21,FALSE)*$Q291</f>
        <v>0</v>
      </c>
      <c r="AH291" s="49">
        <f>VLOOKUP(B291,'Player Data'!$A1:$AE734,22,FALSE)</f>
        <v>0</v>
      </c>
      <c r="AI291" s="46"/>
      <c r="AJ291" s="50"/>
      <c r="AK291" s="48"/>
      <c r="AL291" s="48"/>
      <c r="AM291" s="48"/>
      <c r="AN291" s="48"/>
      <c r="AO291" s="48"/>
      <c r="AP291" s="48"/>
      <c r="AQ291" s="51"/>
      <c r="AR291" s="52"/>
      <c r="AS291" s="46"/>
    </row>
    <row r="292" ht="21.25" customHeight="1">
      <c r="A292" s="53">
        <f>RANK(K292,K2:K730)</f>
        <v>168</v>
      </c>
      <c r="B292" t="s" s="8">
        <v>444</v>
      </c>
      <c r="C292" t="s" s="39">
        <v>106</v>
      </c>
      <c r="D292" t="s" s="40">
        <f>VLOOKUP(B292,'Player Data'!A1:D734,4,FALSE)</f>
        <v>146</v>
      </c>
      <c r="E292" s="58">
        <f>VLOOKUP(B292,'G'!A1:D75,3,FALSE)</f>
        <v>31</v>
      </c>
      <c r="F292" t="s" s="42">
        <f>VLOOKUP(B292,'Player Data'!A1:B734,2,FALSE)</f>
        <v>141</v>
      </c>
      <c r="G292" s="9">
        <f>VLOOKUP(B292,'Player Data'!A1:D734,3,FALSE)</f>
        <v>27</v>
      </c>
      <c r="H292" s="43">
        <f>_xlfn.IFERROR(VLOOKUP(B292,'ADP'!A1:G731,7,FALSE)/1000000,VLOOKUP(B292,'ADP'!A1:G731,7,FALSE))</f>
        <v>2.75</v>
      </c>
      <c r="I292" s="44">
        <f>IF('Settings'!$E$15="POINTS",(AJ292*'Settings'!$B$29)+(AK292*'Settings'!$B$21)+(AL292*'Settings'!$B$22)+(AN292*'Settings'!$B$24)+(AO292*'Settings'!$B$25)+(AP292*'Settings'!$B$27)+(AM292*'Settings'!$B$23),VLOOKUP(B292,'Standard Deviations'!A1:C731,3,FALSE))</f>
        <v>225.216557940041</v>
      </c>
      <c r="J292" s="45">
        <f>IF(D292="G",I292/AJ292,I292/Q292)</f>
        <v>5.11855813500093</v>
      </c>
      <c r="K292" s="44">
        <f>VLOOKUP(B292,'G'!A1:F75,6,FALSE)</f>
        <v>-40.086663559647</v>
      </c>
      <c r="L292" s="44">
        <f>_xlfn.IFERROR(K292/H292,"N/A")</f>
        <v>-14.5769685671444</v>
      </c>
      <c r="M292" t="s" s="61">
        <f>IF('Settings'!$E$9="YAHOO",VLOOKUP(B292,'ADP'!A1:E731,2,FALSE),IF('Settings'!$E$9="ESPN",VLOOKUP(B292,'ADP'!A1:E731,3,FALSE),IF('Settings'!$E$9="FANTRAX",VLOOKUP(B292,'ADP'!A1:E731,4,FALSE),VLOOKUP(B292,'ADP'!A1:E731,5,FALSE))))</f>
        <v>329</v>
      </c>
      <c r="N292" t="s" s="61">
        <f>_xlfn.IFERROR(M292-A292,"N/A")</f>
        <v>158</v>
      </c>
      <c r="O292" s="46"/>
      <c r="P292" t="s" s="47">
        <f>IF('Settings'!$E$27="ON",VLOOKUP(B292,'ADP'!A1:H731,8,FALSE)," ")</f>
        <v>175</v>
      </c>
      <c r="Q292" s="48"/>
      <c r="R292" s="59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9"/>
      <c r="AI292" s="46"/>
      <c r="AJ292" s="50">
        <f>VLOOKUP(B292,'Player Data'!$A1:$AE734,24,FALSE)</f>
        <v>44</v>
      </c>
      <c r="AK292" s="48">
        <f>VLOOKUP(B292,'Player Data'!$A1:$AE734,25,FALSE)*$AJ292*_xlfn.IFERROR((VLOOKUP(P292,'Settings'!$E$28:$F$33,2,FALSE)+1),1)</f>
        <v>14.4170772816947</v>
      </c>
      <c r="AL292" s="48">
        <f>AJ292-AK292-AM292</f>
        <v>24.0829227183053</v>
      </c>
      <c r="AM292" s="48">
        <f>VLOOKUP(B292,'Player Data'!$A1:$AE734,27,FALSE)*$AJ292</f>
        <v>5.5</v>
      </c>
      <c r="AN292" s="48">
        <f>VLOOKUP(B292,'Player Data'!$A1:$AE734,28,FALSE)*AJ292</f>
        <v>1.49595030238443</v>
      </c>
      <c r="AO292" s="48">
        <f>VLOOKUP(B292,'Player Data'!$A1:$AE734,29,FALSE)*$AJ292*_xlfn.IFERROR((VLOOKUP(P292,'Settings'!$E$28:$F$33,2,FALSE)/4)+1,1)</f>
        <v>1282.003254040220</v>
      </c>
      <c r="AP292" s="48">
        <f>VLOOKUP(B292,'Player Data'!$A1:$AE734,31,FALSE)*$AJ292*(_xlfn.IFERROR(1-(VLOOKUP(P292,'Settings'!$E$28:$F$33,2,FALSE)/4),1))</f>
        <v>138.082334016175</v>
      </c>
      <c r="AQ292" s="51">
        <f>1-(AP292/(AO292+AP292))</f>
        <v>0.902764780392454</v>
      </c>
      <c r="AR292" s="52">
        <f>AP292/AJ292</f>
        <v>3.13823486400398</v>
      </c>
      <c r="AS292" s="46"/>
    </row>
    <row r="293" ht="21.25" customHeight="1">
      <c r="A293" s="53">
        <f>RANK(K293,K2:K730)</f>
        <v>303</v>
      </c>
      <c r="B293" t="s" s="8">
        <v>445</v>
      </c>
      <c r="C293" t="s" s="39">
        <v>106</v>
      </c>
      <c r="D293" t="s" s="40">
        <f>VLOOKUP(B293,'Player Data'!A1:D734,4,FALSE)</f>
        <v>118</v>
      </c>
      <c r="E293" s="54">
        <f>VLOOKUP(B293,'LW'!A1:C156,3,FALSE)</f>
        <v>70</v>
      </c>
      <c r="F293" t="s" s="42">
        <f>VLOOKUP(B293,'Player Data'!A1:B734,2,FALSE)</f>
        <v>184</v>
      </c>
      <c r="G293" s="9">
        <f>VLOOKUP(B293,'Player Data'!A1:D734,3,FALSE)</f>
        <v>28</v>
      </c>
      <c r="H293" s="43">
        <f>_xlfn.IFERROR(VLOOKUP(B293,'ADP'!A1:G731,7,FALSE)/1000000,VLOOKUP(B293,'ADP'!A1:G731,7,FALSE))</f>
        <v>5.1</v>
      </c>
      <c r="I293" s="44">
        <f>IF('Settings'!$E$15="POINTS",((R293*Q293)*'Settings'!$B$12)+(S293*'Settings'!$B$2)+(T293*'Settings'!$B$3)+(U293*'Settings'!$B$4)+(V293*'Settings'!$B$5)+(X293*'Settings'!$B$9)+(AA293*'Settings'!$B$6)+(W293*'Settings'!$B$8)+(AB293*'Settings'!$B$7)+(AC293*'Settings'!$B$14)+(AD293*'Settings'!$B$15)+(AE293*'Settings'!$B$16)+(AF293*'Settings'!$B$17)+(AG293*'Settings'!$B$18)+(Y293*'Settings'!$B$10)+(Z293*'Settings'!$B$11),VLOOKUP(B293,'Standard Deviations'!A1:C731,3,FALSE))</f>
        <v>265.708064485022</v>
      </c>
      <c r="J293" s="45">
        <f>IF(D293="G",I293/AJ293,I293/Q293)</f>
        <v>3.35453675900003</v>
      </c>
      <c r="K293" s="44">
        <f>IF('Settings'!$E$18="C/LW/RW",VLOOKUP(B293,'RW'!A1:F132,6,FALSE),VLOOKUP(B293,'F'!A1:F432,6,FALSE))</f>
        <v>-115.920499221334</v>
      </c>
      <c r="L293" s="44">
        <f>_xlfn.IFERROR(K293/H293,"N/A")</f>
        <v>-22.729509651242</v>
      </c>
      <c r="M293" s="46">
        <f>IF('Settings'!$E$9="YAHOO",VLOOKUP(B293,'ADP'!A1:E731,2,FALSE),IF('Settings'!$E$9="ESPN",VLOOKUP(B293,'ADP'!A1:E731,3,FALSE),IF('Settings'!$E$9="FANTRAX",VLOOKUP(B293,'ADP'!A1:E731,4,FALSE),VLOOKUP(B293,'ADP'!A1:E731,5,FALSE))))</f>
        <v>319.9</v>
      </c>
      <c r="N293" s="46">
        <f>_xlfn.IFERROR(M293-A293,"N/A")</f>
        <v>16.9</v>
      </c>
      <c r="O293" s="46"/>
      <c r="P293" t="s" s="47">
        <f>IF('Settings'!$E$27="ON",VLOOKUP(B293,'ADP'!A1:H731,8,FALSE)," ")</f>
        <v>109</v>
      </c>
      <c r="Q293" s="48">
        <f>IF('Settings'!$E$12="YES",VLOOKUP(B293,'Player Data'!A1:E734,5,FALSE),82)</f>
        <v>79.2085714285714</v>
      </c>
      <c r="R293" s="46">
        <f>VLOOKUP(B293,'Player Data'!$A1:$AE734,6,FALSE)</f>
        <v>18.2927089835242</v>
      </c>
      <c r="S293" s="48">
        <f>VLOOKUP(B293,'Player Data'!$A1:$AE734,7,FALSE)*$Q293*_xlfn.IFERROR((VLOOKUP(P293,'Settings'!$E$28:$F$33,2,FALSE)+1),1)</f>
        <v>17.0485008963901</v>
      </c>
      <c r="T293" s="48">
        <f>VLOOKUP(B293,'Player Data'!$A1:$AE734,8,FALSE)*$Q293*_xlfn.IFERROR((VLOOKUP(P293,'Settings'!$E$28:$F$33,2,FALSE)+1),1)</f>
        <v>25.7790717291337</v>
      </c>
      <c r="U293" s="48">
        <f>SUM(S293:T293)</f>
        <v>42.8275726255238</v>
      </c>
      <c r="V293" s="48">
        <f>VLOOKUP(B293,'Player Data'!$A1:$AE734,10,FALSE)*$Q293*_xlfn.IFERROR(((VLOOKUP(P293,'Settings'!$E$28:$F$33,2,FALSE)/2)+1),1)</f>
        <v>130.988205822704</v>
      </c>
      <c r="W293" s="48">
        <f>VLOOKUP(B293,'Player Data'!$A1:$AE734,11,FALSE)*$Q293*_xlfn.IFERROR((VLOOKUP(P293,'Settings'!$E$28:$F$33,2,FALSE)+1),1)</f>
        <v>3.14774683829808</v>
      </c>
      <c r="X293" s="48">
        <f>VLOOKUP(B293,'Player Data'!$A1:$AE734,12,FALSE)*$Q293*_xlfn.IFERROR((VLOOKUP(P293,'Settings'!$E$28:$F$33,2,FALSE)+1),1)</f>
        <v>7.43871962718385</v>
      </c>
      <c r="Y293" s="48">
        <f>VLOOKUP(B293,'Player Data'!$A1:$AE734,13,FALSE)*$Q293</f>
        <v>0.41306182880806</v>
      </c>
      <c r="Z293" s="48">
        <f>VLOOKUP(B293,'Player Data'!$A1:$AE734,14,FALSE)*$Q293</f>
        <v>0.508139430334018</v>
      </c>
      <c r="AA293" s="48">
        <f>VLOOKUP(B293,'Player Data'!$A1:$AE734,15,FALSE)*$Q293</f>
        <v>70.1507426557381</v>
      </c>
      <c r="AB293" s="48">
        <f>VLOOKUP(B293,'Player Data'!$A1:$AE734,16,FALSE)*$Q293</f>
        <v>40.2673686559063</v>
      </c>
      <c r="AC293" s="48">
        <f>VLOOKUP(B293,'Player Data'!$A1:$AE734,17,FALSE)*$Q293*_xlfn.IFERROR((VLOOKUP(P293,'Settings'!$E$28:$F$33,2,FALSE)+1),1)</f>
        <v>-0.763086349841738</v>
      </c>
      <c r="AD293" s="48">
        <f>VLOOKUP(B293,'Player Data'!$A1:$AE734,18,FALSE)*$Q293</f>
        <v>31.868632195054</v>
      </c>
      <c r="AE293" s="48">
        <f>VLOOKUP(B293,'Player Data'!$A1:$AE734,19,FALSE)*$Q293*_xlfn.IFERROR((VLOOKUP(P293,'Settings'!$E$28:$F$33,2,FALSE)+1),1)</f>
        <v>2.25612802421309</v>
      </c>
      <c r="AF293" s="48">
        <f>VLOOKUP(B293,'Player Data'!$A1:$AE734,20,FALSE)*$Q293</f>
        <v>657.380088466071</v>
      </c>
      <c r="AG293" s="48">
        <f>VLOOKUP(B293,'Player Data'!$A1:$AE734,21,FALSE)*$Q293</f>
        <v>677.746552341692</v>
      </c>
      <c r="AH293" s="49">
        <f>VLOOKUP(B293,'Player Data'!$A1:$AE734,22,FALSE)</f>
        <v>0.492372834436403</v>
      </c>
      <c r="AI293" s="46"/>
      <c r="AJ293" s="50"/>
      <c r="AK293" s="48"/>
      <c r="AL293" s="48"/>
      <c r="AM293" s="48"/>
      <c r="AN293" s="48"/>
      <c r="AO293" s="48"/>
      <c r="AP293" s="48"/>
      <c r="AQ293" s="51"/>
      <c r="AR293" s="52"/>
      <c r="AS293" s="46"/>
    </row>
    <row r="294" ht="21.25" customHeight="1">
      <c r="A294" s="53">
        <f>RANK(K294,K2:K730)</f>
        <v>354</v>
      </c>
      <c r="B294" t="s" s="8">
        <v>446</v>
      </c>
      <c r="C294" t="s" s="39">
        <v>106</v>
      </c>
      <c r="D294" t="s" s="40">
        <f>VLOOKUP(B294,'Player Data'!A1:D734,4,FALSE)</f>
        <v>121</v>
      </c>
      <c r="E294" s="55">
        <f>VLOOKUP(B294,'RW'!A1:F132,3,FALSE)</f>
        <v>75</v>
      </c>
      <c r="F294" t="s" s="42">
        <f>VLOOKUP(B294,'Player Data'!A1:B734,2,FALSE)</f>
        <v>236</v>
      </c>
      <c r="G294" s="9">
        <f>VLOOKUP(B294,'Player Data'!A1:D734,3,FALSE)</f>
        <v>34</v>
      </c>
      <c r="H294" s="43">
        <f>_xlfn.IFERROR(VLOOKUP(B294,'ADP'!A1:G731,7,FALSE)/1000000,VLOOKUP(B294,'ADP'!A1:G731,7,FALSE))</f>
        <v>5.875</v>
      </c>
      <c r="I294" s="44">
        <f>IF('Settings'!$E$15="POINTS",((R294*Q294)*'Settings'!$B$12)+(S294*'Settings'!$B$2)+(T294*'Settings'!$B$3)+(U294*'Settings'!$B$4)+(V294*'Settings'!$B$5)+(X294*'Settings'!$B$9)+(AA294*'Settings'!$B$6)+(W294*'Settings'!$B$8)+(AB294*'Settings'!$B$7)+(AC294*'Settings'!$B$14)+(AD294*'Settings'!$B$15)+(AE294*'Settings'!$B$16)+(AF294*'Settings'!$B$17)+(AG294*'Settings'!$B$18)+(Y294*'Settings'!$B$10)+(Z294*'Settings'!$B$11),VLOOKUP(B294,'Standard Deviations'!A1:C731,3,FALSE))</f>
        <v>247.803594552247</v>
      </c>
      <c r="J294" s="45">
        <f>IF(D294="G",I294/AJ294,I294/Q294)</f>
        <v>3.74113749088125</v>
      </c>
      <c r="K294" s="44">
        <f>IF('Settings'!$E$18="C/LW/RW",VLOOKUP(B294,'RW'!A1:F132,6,FALSE),VLOOKUP(B294,'F'!A1:F432,6,FALSE))</f>
        <v>-133.824969154109</v>
      </c>
      <c r="L294" s="44">
        <f>_xlfn.IFERROR(K294/H294,"N/A")</f>
        <v>-22.7787181538909</v>
      </c>
      <c r="M294" s="46">
        <f>IF('Settings'!$E$9="YAHOO",VLOOKUP(B294,'ADP'!A1:E731,2,FALSE),IF('Settings'!$E$9="ESPN",VLOOKUP(B294,'ADP'!A1:E731,3,FALSE),IF('Settings'!$E$9="FANTRAX",VLOOKUP(B294,'ADP'!A1:E731,4,FALSE),VLOOKUP(B294,'ADP'!A1:E731,5,FALSE))))</f>
        <v>232.43</v>
      </c>
      <c r="N294" s="46">
        <f>_xlfn.IFERROR(M294-A294,"N/A")</f>
        <v>-121.57</v>
      </c>
      <c r="O294" s="46"/>
      <c r="P294" t="s" s="47">
        <f>IF('Settings'!$E$27="ON",VLOOKUP(B294,'ADP'!A1:H731,8,FALSE)," ")</f>
        <v>109</v>
      </c>
      <c r="Q294" s="48">
        <f>IF('Settings'!$E$12="YES",VLOOKUP(B294,'Player Data'!A1:E734,5,FALSE),82)</f>
        <v>66.2375</v>
      </c>
      <c r="R294" s="46">
        <f>VLOOKUP(B294,'Player Data'!$A1:$AE734,6,FALSE)</f>
        <v>16.2778280608593</v>
      </c>
      <c r="S294" s="48">
        <f>VLOOKUP(B294,'Player Data'!$A1:$AE734,7,FALSE)*$Q294*_xlfn.IFERROR((VLOOKUP(P294,'Settings'!$E$28:$F$33,2,FALSE)+1),1)</f>
        <v>15.510551014128</v>
      </c>
      <c r="T294" s="48">
        <f>VLOOKUP(B294,'Player Data'!$A1:$AE734,8,FALSE)*$Q294*_xlfn.IFERROR((VLOOKUP(P294,'Settings'!$E$28:$F$33,2,FALSE)+1),1)</f>
        <v>23.4164397410631</v>
      </c>
      <c r="U294" s="48">
        <f>SUM(S294:T294)</f>
        <v>38.9269907551911</v>
      </c>
      <c r="V294" s="48">
        <f>VLOOKUP(B294,'Player Data'!$A1:$AE734,10,FALSE)*$Q294*_xlfn.IFERROR(((VLOOKUP(P294,'Settings'!$E$28:$F$33,2,FALSE)/2)+1),1)</f>
        <v>164.719639477765</v>
      </c>
      <c r="W294" s="48">
        <f>VLOOKUP(B294,'Player Data'!$A1:$AE734,11,FALSE)*$Q294*_xlfn.IFERROR((VLOOKUP(P294,'Settings'!$E$28:$F$33,2,FALSE)+1),1)</f>
        <v>2.79747599978512</v>
      </c>
      <c r="X294" s="48">
        <f>VLOOKUP(B294,'Player Data'!$A1:$AE734,12,FALSE)*$Q294*_xlfn.IFERROR((VLOOKUP(P294,'Settings'!$E$28:$F$33,2,FALSE)+1),1)</f>
        <v>8.600439402271331</v>
      </c>
      <c r="Y294" s="48">
        <f>VLOOKUP(B294,'Player Data'!$A1:$AE734,13,FALSE)*$Q294</f>
        <v>0.06376945261713481</v>
      </c>
      <c r="Z294" s="48">
        <f>VLOOKUP(B294,'Player Data'!$A1:$AE734,14,FALSE)*$Q294</f>
        <v>0.0694033100267494</v>
      </c>
      <c r="AA294" s="48">
        <f>VLOOKUP(B294,'Player Data'!$A1:$AE734,15,FALSE)*$Q294</f>
        <v>32.3594202512713</v>
      </c>
      <c r="AB294" s="48">
        <f>VLOOKUP(B294,'Player Data'!$A1:$AE734,16,FALSE)*$Q294</f>
        <v>36.3138371236414</v>
      </c>
      <c r="AC294" s="48">
        <f>VLOOKUP(B294,'Player Data'!$A1:$AE734,17,FALSE)*$Q294*_xlfn.IFERROR((VLOOKUP(P294,'Settings'!$E$28:$F$33,2,FALSE)+1),1)</f>
        <v>-3.93155807445086</v>
      </c>
      <c r="AD294" s="48">
        <f>VLOOKUP(B294,'Player Data'!$A1:$AE734,18,FALSE)*$Q294</f>
        <v>0</v>
      </c>
      <c r="AE294" s="48">
        <f>VLOOKUP(B294,'Player Data'!$A1:$AE734,19,FALSE)*$Q294*_xlfn.IFERROR((VLOOKUP(P294,'Settings'!$E$28:$F$33,2,FALSE)+1),1)</f>
        <v>1.82319768297637</v>
      </c>
      <c r="AF294" s="48">
        <f>VLOOKUP(B294,'Player Data'!$A1:$AE734,20,FALSE)*$Q294</f>
        <v>5.76538300882072</v>
      </c>
      <c r="AG294" s="48">
        <f>VLOOKUP(B294,'Player Data'!$A1:$AE734,21,FALSE)*$Q294</f>
        <v>15.4164945674166</v>
      </c>
      <c r="AH294" s="49">
        <f>VLOOKUP(B294,'Player Data'!$A1:$AE734,22,FALSE)</f>
        <v>0.272184700722118</v>
      </c>
      <c r="AI294" s="46"/>
      <c r="AJ294" s="50"/>
      <c r="AK294" s="48"/>
      <c r="AL294" s="48"/>
      <c r="AM294" s="48"/>
      <c r="AN294" s="48"/>
      <c r="AO294" s="48"/>
      <c r="AP294" s="48"/>
      <c r="AQ294" s="51"/>
      <c r="AR294" s="52"/>
      <c r="AS294" s="46"/>
    </row>
    <row r="295" ht="21.25" customHeight="1">
      <c r="A295" s="53">
        <f>RANK(K295,K2:K730)</f>
        <v>352</v>
      </c>
      <c r="B295" t="s" s="8">
        <v>447</v>
      </c>
      <c r="C295" t="s" s="39">
        <v>106</v>
      </c>
      <c r="D295" t="s" s="40">
        <f>VLOOKUP(B295,'Player Data'!A1:D734,4,FALSE)</f>
        <v>107</v>
      </c>
      <c r="E295" s="41">
        <f>VLOOKUP(B295,'C'!A1:C218,3,FALSE)</f>
        <v>94</v>
      </c>
      <c r="F295" t="s" s="42">
        <f>VLOOKUP(B295,'Player Data'!A1:B734,2,FALSE)</f>
        <v>131</v>
      </c>
      <c r="G295" s="9">
        <f>VLOOKUP(B295,'Player Data'!A1:D734,3,FALSE)</f>
        <v>24</v>
      </c>
      <c r="H295" s="43">
        <f>_xlfn.IFERROR(VLOOKUP(B295,'ADP'!A1:G731,7,FALSE)/1000000,VLOOKUP(B295,'ADP'!A1:G731,7,FALSE))</f>
        <v>2.5</v>
      </c>
      <c r="I295" s="44">
        <f>IF('Settings'!$E$15="POINTS",((R295*Q295)*'Settings'!$B$12)+(S295*'Settings'!$B$2)+(T295*'Settings'!$B$3)+(U295*'Settings'!$B$4)+(V295*'Settings'!$B$5)+(X295*'Settings'!$B$9)+(AA295*'Settings'!$B$6)+(W295*'Settings'!$B$8)+(AB295*'Settings'!$B$7)+(AC295*'Settings'!$B$14)+(AD295*'Settings'!$B$15)+(AE295*'Settings'!$B$16)+(AF295*'Settings'!$B$17)+(AG295*'Settings'!$B$18)+(Y295*'Settings'!$B$10)+(Z295*'Settings'!$B$11),VLOOKUP(B295,'Standard Deviations'!A1:C731,3,FALSE))</f>
        <v>262.620056600446</v>
      </c>
      <c r="J295" s="45">
        <f>IF(D295="G",I295/AJ295,I295/Q295)</f>
        <v>3.7426401466915</v>
      </c>
      <c r="K295" s="44">
        <f>IF('Settings'!$E$18="C/LW/RW",VLOOKUP(B295,'C'!A1:F218,6,FALSE),VLOOKUP(B295,'F'!A1:F432,6,FALSE))</f>
        <v>-133.154145035569</v>
      </c>
      <c r="L295" s="44">
        <f>_xlfn.IFERROR(K295/H295,"N/A")</f>
        <v>-53.2616580142276</v>
      </c>
      <c r="M295" t="s" s="61">
        <f>IF('Settings'!$E$9="YAHOO",VLOOKUP(B295,'ADP'!A1:E731,2,FALSE),IF('Settings'!$E$9="ESPN",VLOOKUP(B295,'ADP'!A1:E731,3,FALSE),IF('Settings'!$E$9="FANTRAX",VLOOKUP(B295,'ADP'!A1:E731,4,FALSE),VLOOKUP(B295,'ADP'!A1:E731,5,FALSE))))</f>
        <v>329</v>
      </c>
      <c r="N295" t="s" s="61">
        <f>_xlfn.IFERROR(M295-A295,"N/A")</f>
        <v>158</v>
      </c>
      <c r="O295" s="46"/>
      <c r="P295" t="s" s="47">
        <f>IF('Settings'!$E$27="ON",VLOOKUP(B295,'ADP'!A1:H731,8,FALSE)," ")</f>
        <v>116</v>
      </c>
      <c r="Q295" s="48">
        <f>IF('Settings'!$E$12="YES",VLOOKUP(B295,'Player Data'!A1:E734,5,FALSE),82)</f>
        <v>70.1697321428571</v>
      </c>
      <c r="R295" s="46">
        <f>VLOOKUP(B295,'Player Data'!$A1:$AE734,6,FALSE)</f>
        <v>16.4623816402329</v>
      </c>
      <c r="S295" s="48">
        <f>VLOOKUP(B295,'Player Data'!$A1:$AE734,7,FALSE)*$Q295*_xlfn.IFERROR((VLOOKUP(P295,'Settings'!$E$28:$F$33,2,FALSE)+1),1)</f>
        <v>17.5466768678203</v>
      </c>
      <c r="T295" s="48">
        <f>VLOOKUP(B295,'Player Data'!$A1:$AE734,8,FALSE)*$Q295*_xlfn.IFERROR((VLOOKUP(P295,'Settings'!$E$28:$F$33,2,FALSE)+1),1)</f>
        <v>25.8568274645145</v>
      </c>
      <c r="U295" s="48">
        <f>SUM(S295:T295)</f>
        <v>43.4035043323348</v>
      </c>
      <c r="V295" s="48">
        <f>VLOOKUP(B295,'Player Data'!$A1:$AE734,10,FALSE)*$Q295*_xlfn.IFERROR(((VLOOKUP(P295,'Settings'!$E$28:$F$33,2,FALSE)/2)+1),1)</f>
        <v>144.274562196267</v>
      </c>
      <c r="W295" s="48">
        <f>VLOOKUP(B295,'Player Data'!$A1:$AE734,11,FALSE)*$Q295*_xlfn.IFERROR((VLOOKUP(P295,'Settings'!$E$28:$F$33,2,FALSE)+1),1)</f>
        <v>7.58065802148547</v>
      </c>
      <c r="X295" s="48">
        <f>VLOOKUP(B295,'Player Data'!$A1:$AE734,12,FALSE)*$Q295*_xlfn.IFERROR((VLOOKUP(P295,'Settings'!$E$28:$F$33,2,FALSE)+1),1)</f>
        <v>12.8107180903854</v>
      </c>
      <c r="Y295" s="48">
        <f>VLOOKUP(B295,'Player Data'!$A1:$AE734,13,FALSE)*$Q295</f>
        <v>0.0585585415962127</v>
      </c>
      <c r="Z295" s="48">
        <f>VLOOKUP(B295,'Player Data'!$A1:$AE734,14,FALSE)*$Q295</f>
        <v>0.106508618631862</v>
      </c>
      <c r="AA295" s="48">
        <f>VLOOKUP(B295,'Player Data'!$A1:$AE734,15,FALSE)*$Q295</f>
        <v>33.3017677507655</v>
      </c>
      <c r="AB295" s="48">
        <f>VLOOKUP(B295,'Player Data'!$A1:$AE734,16,FALSE)*$Q295</f>
        <v>68.35338436372579</v>
      </c>
      <c r="AC295" s="48">
        <f>VLOOKUP(B295,'Player Data'!$A1:$AE734,17,FALSE)*$Q295*_xlfn.IFERROR((VLOOKUP(P295,'Settings'!$E$28:$F$33,2,FALSE)+1),1)</f>
        <v>1.05121551563621</v>
      </c>
      <c r="AD295" s="48">
        <f>VLOOKUP(B295,'Player Data'!$A1:$AE734,18,FALSE)*$Q295</f>
        <v>23.3597152998593</v>
      </c>
      <c r="AE295" s="48">
        <f>VLOOKUP(B295,'Player Data'!$A1:$AE734,19,FALSE)*$Q295*_xlfn.IFERROR((VLOOKUP(P295,'Settings'!$E$28:$F$33,2,FALSE)+1),1)</f>
        <v>2.56227373984514</v>
      </c>
      <c r="AF295" s="48">
        <f>VLOOKUP(B295,'Player Data'!$A1:$AE734,20,FALSE)*$Q295</f>
        <v>374.785040065651</v>
      </c>
      <c r="AG295" s="48">
        <f>VLOOKUP(B295,'Player Data'!$A1:$AE734,21,FALSE)*$Q295</f>
        <v>411.045441811228</v>
      </c>
      <c r="AH295" s="49">
        <f>VLOOKUP(B295,'Player Data'!$A1:$AE734,22,FALSE)</f>
        <v>0.476928610825217</v>
      </c>
      <c r="AI295" s="46"/>
      <c r="AJ295" s="50"/>
      <c r="AK295" s="48"/>
      <c r="AL295" s="48"/>
      <c r="AM295" s="48"/>
      <c r="AN295" s="48"/>
      <c r="AO295" s="48"/>
      <c r="AP295" s="48"/>
      <c r="AQ295" s="51"/>
      <c r="AR295" s="52"/>
      <c r="AS295" s="46"/>
    </row>
    <row r="296" ht="21.25" customHeight="1">
      <c r="A296" s="53">
        <f>RANK(K296,K2:K730)</f>
        <v>184</v>
      </c>
      <c r="B296" t="s" s="8">
        <v>448</v>
      </c>
      <c r="C296" t="s" s="39">
        <v>106</v>
      </c>
      <c r="D296" t="s" s="40">
        <f>VLOOKUP(B296,'Player Data'!A1:D734,4,FALSE)</f>
        <v>129</v>
      </c>
      <c r="E296" s="56">
        <f>VLOOKUP(B296,'D'!A1:C228,3,FALSE)</f>
        <v>44</v>
      </c>
      <c r="F296" t="s" s="42">
        <f>VLOOKUP(B296,'Player Data'!A1:B734,2,FALSE)</f>
        <v>234</v>
      </c>
      <c r="G296" s="9">
        <f>VLOOKUP(B296,'Player Data'!A1:D734,3,FALSE)</f>
        <v>33</v>
      </c>
      <c r="H296" s="43">
        <f>_xlfn.IFERROR(VLOOKUP(B296,'ADP'!A1:G731,7,FALSE)/1000000,VLOOKUP(B296,'ADP'!A1:G731,7,FALSE))</f>
        <v>4</v>
      </c>
      <c r="I296" s="44">
        <f>IF('Settings'!$E$15="POINTS",((R296*Q296)*'Settings'!$B$12)+(S296*'Settings'!$B$2)+(T296*'Settings'!$B$3)+(U296*'Settings'!$B$4)+(V296*'Settings'!$B$5)+(X296*'Settings'!$B$9)+(AA296*'Settings'!$B$6)+(W296*'Settings'!$B$8)+(AB296*'Settings'!$B$7)+(AC296*'Settings'!$B$14)+(AD296*'Settings'!$B$15)+(AE296*'Settings'!$B$16)+(AF296*'Settings'!$B$17)+(AG296*'Settings'!$B$18)+(U296*'Settings'!$B$13)+(Y296*'Settings'!$B$10)+(Z296*'Settings'!$B$11),VLOOKUP(B296,'Standard Deviations'!A1:C731,3,FALSE))</f>
        <v>285.987652115133</v>
      </c>
      <c r="J296" s="45">
        <f>IF(D296="G",I296/AJ296,I296/Q296)</f>
        <v>3.60755522583051</v>
      </c>
      <c r="K296" s="44">
        <f>VLOOKUP(B296,'D'!A1:F228,6,FALSE)</f>
        <v>-54.747486531390</v>
      </c>
      <c r="L296" s="44">
        <f>_xlfn.IFERROR(K296/H296,"N/A")</f>
        <v>-13.6868716328475</v>
      </c>
      <c r="M296" s="46">
        <f>IF('Settings'!$E$9="YAHOO",VLOOKUP(B296,'ADP'!A1:E731,2,FALSE),IF('Settings'!$E$9="ESPN",VLOOKUP(B296,'ADP'!A1:E731,3,FALSE),IF('Settings'!$E$9="FANTRAX",VLOOKUP(B296,'ADP'!A1:E731,4,FALSE),VLOOKUP(B296,'ADP'!A1:E731,5,FALSE))))</f>
        <v>231.76</v>
      </c>
      <c r="N296" s="46">
        <f>_xlfn.IFERROR(M296-A296,"N/A")</f>
        <v>47.76</v>
      </c>
      <c r="O296" s="46"/>
      <c r="P296" t="s" s="47">
        <f>IF('Settings'!$E$27="ON",VLOOKUP(B296,'ADP'!A1:H731,8,FALSE)," ")</f>
        <v>109</v>
      </c>
      <c r="Q296" s="48">
        <f>IF('Settings'!$E$12="YES",VLOOKUP(B296,'Player Data'!A1:E734,5,FALSE),82)</f>
        <v>79.27464285714289</v>
      </c>
      <c r="R296" s="46">
        <f>VLOOKUP(B296,'Player Data'!$A1:$AE734,6,FALSE)</f>
        <v>20.0055053013603</v>
      </c>
      <c r="S296" s="48">
        <f>VLOOKUP(B296,'Player Data'!$A1:$AE734,7,FALSE)*$Q296*_xlfn.IFERROR((VLOOKUP(P296,'Settings'!$E$28:$F$33,2,FALSE)+1),1)</f>
        <v>2.97683059932316</v>
      </c>
      <c r="T296" s="48">
        <f>VLOOKUP(B296,'Player Data'!$A1:$AE734,8,FALSE)*$Q296*_xlfn.IFERROR((VLOOKUP(P296,'Settings'!$E$28:$F$33,2,FALSE)+1),1)</f>
        <v>16.5063877306197</v>
      </c>
      <c r="U296" s="48">
        <f>SUM(S296:T296)</f>
        <v>19.4832183299429</v>
      </c>
      <c r="V296" s="48">
        <f>VLOOKUP(B296,'Player Data'!$A1:$AE734,10,FALSE)*$Q296*_xlfn.IFERROR(((VLOOKUP(P296,'Settings'!$E$28:$F$33,2,FALSE)/2)+1),1)</f>
        <v>131.014756763834</v>
      </c>
      <c r="W296" s="48">
        <f>VLOOKUP(B296,'Player Data'!$A1:$AE734,11,FALSE)*$Q296*_xlfn.IFERROR((VLOOKUP(P296,'Settings'!$E$28:$F$33,2,FALSE)+1),1)</f>
        <v>0.0512209273326706</v>
      </c>
      <c r="X296" s="48">
        <f>VLOOKUP(B296,'Player Data'!$A1:$AE734,12,FALSE)*$Q296*_xlfn.IFERROR((VLOOKUP(P296,'Settings'!$E$28:$F$33,2,FALSE)+1),1)</f>
        <v>0.380121024152846</v>
      </c>
      <c r="Y296" s="48">
        <f>VLOOKUP(B296,'Player Data'!$A1:$AE734,13,FALSE)*$Q296</f>
        <v>0.255098207233626</v>
      </c>
      <c r="Z296" s="48">
        <f>VLOOKUP(B296,'Player Data'!$A1:$AE734,14,FALSE)*$Q296</f>
        <v>0.378230086068676</v>
      </c>
      <c r="AA296" s="48">
        <f>VLOOKUP(B296,'Player Data'!$A1:$AE734,15,FALSE)*$Q296</f>
        <v>145.967586731970</v>
      </c>
      <c r="AB296" s="48">
        <f>VLOOKUP(B296,'Player Data'!$A1:$AE734,16,FALSE)*$Q296</f>
        <v>335.300477225122</v>
      </c>
      <c r="AC296" s="48">
        <f>VLOOKUP(B296,'Player Data'!$A1:$AE734,17,FALSE)*$Q296*_xlfn.IFERROR((VLOOKUP(P296,'Settings'!$E$28:$F$33,2,FALSE)+1),1)</f>
        <v>-4.37015903345845</v>
      </c>
      <c r="AD296" s="48">
        <f>VLOOKUP(B296,'Player Data'!$A1:$AE734,18,FALSE)*$Q296</f>
        <v>87.25940868399729</v>
      </c>
      <c r="AE296" s="48">
        <f>VLOOKUP(B296,'Player Data'!$A1:$AE734,19,FALSE)*$Q296*_xlfn.IFERROR((VLOOKUP(P296,'Settings'!$E$28:$F$33,2,FALSE)+1),1)</f>
        <v>0.285367988152335</v>
      </c>
      <c r="AF296" s="48">
        <f>VLOOKUP(B296,'Player Data'!$A1:$AE734,20,FALSE)*$Q296</f>
        <v>0</v>
      </c>
      <c r="AG296" s="48">
        <f>VLOOKUP(B296,'Player Data'!$A1:$AE734,21,FALSE)*$Q296</f>
        <v>0</v>
      </c>
      <c r="AH296" s="49">
        <f>VLOOKUP(B296,'Player Data'!$A1:$AE734,22,FALSE)</f>
        <v>0</v>
      </c>
      <c r="AI296" s="46"/>
      <c r="AJ296" s="50"/>
      <c r="AK296" s="48"/>
      <c r="AL296" s="48"/>
      <c r="AM296" s="48"/>
      <c r="AN296" s="48"/>
      <c r="AO296" s="48"/>
      <c r="AP296" s="48"/>
      <c r="AQ296" s="51"/>
      <c r="AR296" s="52"/>
      <c r="AS296" s="46"/>
    </row>
    <row r="297" ht="21.25" customHeight="1">
      <c r="A297" s="53">
        <f>RANK(K297,K2:K730)</f>
        <v>283</v>
      </c>
      <c r="B297" t="s" s="8">
        <v>449</v>
      </c>
      <c r="C297" t="s" s="39">
        <v>106</v>
      </c>
      <c r="D297" t="s" s="40">
        <f>VLOOKUP(B297,'Player Data'!A1:D734,4,FALSE)</f>
        <v>107</v>
      </c>
      <c r="E297" s="41">
        <f>VLOOKUP(B297,'C'!A1:C218,3,FALSE)</f>
        <v>74</v>
      </c>
      <c r="F297" t="s" s="42">
        <f>VLOOKUP(B297,'Player Data'!A1:B734,2,FALSE)</f>
        <v>122</v>
      </c>
      <c r="G297" s="9">
        <f>VLOOKUP(B297,'Player Data'!A1:D734,3,FALSE)</f>
        <v>31</v>
      </c>
      <c r="H297" s="43">
        <f>_xlfn.IFERROR(VLOOKUP(B297,'ADP'!A1:G731,7,FALSE)/1000000,VLOOKUP(B297,'ADP'!A1:G731,7,FALSE))</f>
        <v>5.25</v>
      </c>
      <c r="I297" s="44">
        <f>IF('Settings'!$E$15="POINTS",((R297*Q297)*'Settings'!$B$12)+(S297*'Settings'!$B$2)+(T297*'Settings'!$B$3)+(U297*'Settings'!$B$4)+(V297*'Settings'!$B$5)+(X297*'Settings'!$B$9)+(AA297*'Settings'!$B$6)+(W297*'Settings'!$B$8)+(AB297*'Settings'!$B$7)+(AC297*'Settings'!$B$14)+(AD297*'Settings'!$B$15)+(AE297*'Settings'!$B$16)+(AF297*'Settings'!$B$17)+(AG297*'Settings'!$B$18)+(Y297*'Settings'!$B$10)+(Z297*'Settings'!$B$11),VLOOKUP(B297,'Standard Deviations'!A1:C731,3,FALSE))</f>
        <v>288.119689625468</v>
      </c>
      <c r="J297" s="45">
        <f>IF(D297="G",I297/AJ297,I297/Q297)</f>
        <v>3.54400103214507</v>
      </c>
      <c r="K297" s="44">
        <f>IF('Settings'!$E$18="C/LW/RW",VLOOKUP(B297,'C'!A1:F218,6,FALSE),VLOOKUP(B297,'F'!A1:F432,6,FALSE))</f>
        <v>-107.654512010547</v>
      </c>
      <c r="L297" s="44">
        <f>_xlfn.IFERROR(K297/H297,"N/A")</f>
        <v>-20.5056213353423</v>
      </c>
      <c r="M297" s="46">
        <f>IF('Settings'!$E$9="YAHOO",VLOOKUP(B297,'ADP'!A1:E731,2,FALSE),IF('Settings'!$E$9="ESPN",VLOOKUP(B297,'ADP'!A1:E731,3,FALSE),IF('Settings'!$E$9="FANTRAX",VLOOKUP(B297,'ADP'!A1:E731,4,FALSE),VLOOKUP(B297,'ADP'!A1:E731,5,FALSE))))</f>
        <v>409.4</v>
      </c>
      <c r="N297" s="46">
        <f>_xlfn.IFERROR(M297-A297,"N/A")</f>
        <v>126.4</v>
      </c>
      <c r="O297" s="46"/>
      <c r="P297" t="s" s="47">
        <f>IF('Settings'!$E$27="ON",VLOOKUP(B297,'ADP'!A1:H731,8,FALSE)," ")</f>
        <v>109</v>
      </c>
      <c r="Q297" s="48">
        <f>IF('Settings'!$E$12="YES",VLOOKUP(B297,'Player Data'!A1:E734,5,FALSE),82)</f>
        <v>81.2978571428571</v>
      </c>
      <c r="R297" s="46">
        <f>VLOOKUP(B297,'Player Data'!$A1:$AE734,6,FALSE)</f>
        <v>18.7193964893531</v>
      </c>
      <c r="S297" s="48">
        <f>VLOOKUP(B297,'Player Data'!$A1:$AE734,7,FALSE)*$Q297*_xlfn.IFERROR((VLOOKUP(P297,'Settings'!$E$28:$F$33,2,FALSE)+1),1)</f>
        <v>15.9646333181825</v>
      </c>
      <c r="T297" s="48">
        <f>VLOOKUP(B297,'Player Data'!$A1:$AE734,8,FALSE)*$Q297*_xlfn.IFERROR((VLOOKUP(P297,'Settings'!$E$28:$F$33,2,FALSE)+1),1)</f>
        <v>28.853453510747</v>
      </c>
      <c r="U297" s="48">
        <f>SUM(S297:T297)</f>
        <v>44.8180868289295</v>
      </c>
      <c r="V297" s="48">
        <f>VLOOKUP(B297,'Player Data'!$A1:$AE734,10,FALSE)*$Q297*_xlfn.IFERROR(((VLOOKUP(P297,'Settings'!$E$28:$F$33,2,FALSE)/2)+1),1)</f>
        <v>154.245204026610</v>
      </c>
      <c r="W297" s="48">
        <f>VLOOKUP(B297,'Player Data'!$A1:$AE734,11,FALSE)*$Q297*_xlfn.IFERROR((VLOOKUP(P297,'Settings'!$E$28:$F$33,2,FALSE)+1),1)</f>
        <v>1.86873843827594</v>
      </c>
      <c r="X297" s="48">
        <f>VLOOKUP(B297,'Player Data'!$A1:$AE734,12,FALSE)*$Q297*_xlfn.IFERROR((VLOOKUP(P297,'Settings'!$E$28:$F$33,2,FALSE)+1),1)</f>
        <v>5.76257154374797</v>
      </c>
      <c r="Y297" s="48">
        <f>VLOOKUP(B297,'Player Data'!$A1:$AE734,13,FALSE)*$Q297</f>
        <v>0.592204698539192</v>
      </c>
      <c r="Z297" s="48">
        <f>VLOOKUP(B297,'Player Data'!$A1:$AE734,14,FALSE)*$Q297</f>
        <v>2.29347097892001</v>
      </c>
      <c r="AA297" s="48">
        <f>VLOOKUP(B297,'Player Data'!$A1:$AE734,15,FALSE)*$Q297</f>
        <v>56.8535014025759</v>
      </c>
      <c r="AB297" s="48">
        <f>VLOOKUP(B297,'Player Data'!$A1:$AE734,16,FALSE)*$Q297</f>
        <v>78.32873795588949</v>
      </c>
      <c r="AC297" s="48">
        <f>VLOOKUP(B297,'Player Data'!$A1:$AE734,17,FALSE)*$Q297*_xlfn.IFERROR((VLOOKUP(P297,'Settings'!$E$28:$F$33,2,FALSE)+1),1)</f>
        <v>2.89776925156112</v>
      </c>
      <c r="AD297" s="48">
        <f>VLOOKUP(B297,'Player Data'!$A1:$AE734,18,FALSE)*$Q297</f>
        <v>31.4728494009793</v>
      </c>
      <c r="AE297" s="48">
        <f>VLOOKUP(B297,'Player Data'!$A1:$AE734,19,FALSE)*$Q297*_xlfn.IFERROR((VLOOKUP(P297,'Settings'!$E$28:$F$33,2,FALSE)+1),1)</f>
        <v>2.68014776003078</v>
      </c>
      <c r="AF297" s="48">
        <f>VLOOKUP(B297,'Player Data'!$A1:$AE734,20,FALSE)*$Q297</f>
        <v>559.598464615532</v>
      </c>
      <c r="AG297" s="48">
        <f>VLOOKUP(B297,'Player Data'!$A1:$AE734,21,FALSE)*$Q297</f>
        <v>547.358207989618</v>
      </c>
      <c r="AH297" s="49">
        <f>VLOOKUP(B297,'Player Data'!$A1:$AE734,22,FALSE)</f>
        <v>0.505528787588907</v>
      </c>
      <c r="AI297" s="46"/>
      <c r="AJ297" s="50"/>
      <c r="AK297" s="48"/>
      <c r="AL297" s="48"/>
      <c r="AM297" s="48"/>
      <c r="AN297" s="48"/>
      <c r="AO297" s="48"/>
      <c r="AP297" s="48"/>
      <c r="AQ297" s="51"/>
      <c r="AR297" s="52"/>
      <c r="AS297" s="46"/>
    </row>
    <row r="298" ht="21.25" customHeight="1">
      <c r="A298" s="53">
        <f>RANK(K298,K2:K730)</f>
        <v>418</v>
      </c>
      <c r="B298" t="s" s="8">
        <v>450</v>
      </c>
      <c r="C298" t="s" s="39">
        <v>106</v>
      </c>
      <c r="D298" t="s" s="40">
        <f>VLOOKUP(B298,'Player Data'!A1:D734,4,FALSE)</f>
        <v>129</v>
      </c>
      <c r="E298" s="56">
        <f>VLOOKUP(B298,'D'!A1:C228,3,FALSE)</f>
        <v>141</v>
      </c>
      <c r="F298" t="s" s="42">
        <f>VLOOKUP(B298,'Player Data'!A1:B734,2,FALSE)</f>
        <v>236</v>
      </c>
      <c r="G298" s="9">
        <f>VLOOKUP(B298,'Player Data'!A1:D734,3,FALSE)</f>
        <v>27</v>
      </c>
      <c r="H298" s="43">
        <f>_xlfn.IFERROR(VLOOKUP(B298,'ADP'!A1:G731,7,FALSE)/1000000,VLOOKUP(B298,'ADP'!A1:G731,7,FALSE))</f>
        <v>1.675</v>
      </c>
      <c r="I298" s="44">
        <f>IF('Settings'!$E$15="POINTS",((R298*Q298)*'Settings'!$B$12)+(S298*'Settings'!$B$2)+(T298*'Settings'!$B$3)+(U298*'Settings'!$B$4)+(V298*'Settings'!$B$5)+(X298*'Settings'!$B$9)+(AA298*'Settings'!$B$6)+(W298*'Settings'!$B$8)+(AB298*'Settings'!$B$7)+(AC298*'Settings'!$B$14)+(AD298*'Settings'!$B$15)+(AE298*'Settings'!$B$16)+(AF298*'Settings'!$B$17)+(AG298*'Settings'!$B$18)+(U298*'Settings'!$B$13)+(Y298*'Settings'!$B$10)+(Z298*'Settings'!$B$11),VLOOKUP(B298,'Standard Deviations'!A1:C731,3,FALSE))</f>
        <v>184.755104989675</v>
      </c>
      <c r="J298" s="45">
        <f>IF(D298="G",I298/AJ298,I298/Q298)</f>
        <v>2.78245640044691</v>
      </c>
      <c r="K298" s="44">
        <f>VLOOKUP(B298,'D'!A1:F228,6,FALSE)</f>
        <v>-155.980033656848</v>
      </c>
      <c r="L298" s="44">
        <f>_xlfn.IFERROR(K298/H298,"N/A")</f>
        <v>-93.12240815334211</v>
      </c>
      <c r="M298" s="46">
        <f>IF('Settings'!$E$9="YAHOO",VLOOKUP(B298,'ADP'!A1:E731,2,FALSE),IF('Settings'!$E$9="ESPN",VLOOKUP(B298,'ADP'!A1:E731,3,FALSE),IF('Settings'!$E$9="FANTRAX",VLOOKUP(B298,'ADP'!A1:E731,4,FALSE),VLOOKUP(B298,'ADP'!A1:E731,5,FALSE))))</f>
        <v>175.29</v>
      </c>
      <c r="N298" s="46">
        <f>_xlfn.IFERROR(M298-A298,"N/A")</f>
        <v>-242.71</v>
      </c>
      <c r="O298" s="46"/>
      <c r="P298" t="s" s="47">
        <f>IF('Settings'!$E$27="ON",VLOOKUP(B298,'ADP'!A1:H731,8,FALSE)," ")</f>
        <v>109</v>
      </c>
      <c r="Q298" s="48">
        <f>IF('Settings'!$E$12="YES",VLOOKUP(B298,'Player Data'!A1:E734,5,FALSE),82)</f>
        <v>66.40000000000001</v>
      </c>
      <c r="R298" s="46">
        <f>VLOOKUP(B298,'Player Data'!$A1:$AE734,6,FALSE)</f>
        <v>16.0190706365964</v>
      </c>
      <c r="S298" s="48">
        <f>VLOOKUP(B298,'Player Data'!$A1:$AE734,7,FALSE)*$Q298*_xlfn.IFERROR((VLOOKUP(P298,'Settings'!$E$28:$F$33,2,FALSE)+1),1)</f>
        <v>6.35630742422522</v>
      </c>
      <c r="T298" s="48">
        <f>VLOOKUP(B298,'Player Data'!$A1:$AE734,8,FALSE)*$Q298*_xlfn.IFERROR((VLOOKUP(P298,'Settings'!$E$28:$F$33,2,FALSE)+1),1)</f>
        <v>19.4912488468103</v>
      </c>
      <c r="U298" s="48">
        <f>SUM(S298:T298)</f>
        <v>25.8475562710355</v>
      </c>
      <c r="V298" s="48">
        <f>VLOOKUP(B298,'Player Data'!$A1:$AE734,10,FALSE)*$Q298*_xlfn.IFERROR(((VLOOKUP(P298,'Settings'!$E$28:$F$33,2,FALSE)/2)+1),1)</f>
        <v>110.722165304991</v>
      </c>
      <c r="W298" s="48">
        <f>VLOOKUP(B298,'Player Data'!$A1:$AE734,11,FALSE)*$Q298*_xlfn.IFERROR((VLOOKUP(P298,'Settings'!$E$28:$F$33,2,FALSE)+1),1)</f>
        <v>0.718292538047112</v>
      </c>
      <c r="X298" s="48">
        <f>VLOOKUP(B298,'Player Data'!$A1:$AE734,12,FALSE)*$Q298*_xlfn.IFERROR((VLOOKUP(P298,'Settings'!$E$28:$F$33,2,FALSE)+1),1)</f>
        <v>4.42618629502194</v>
      </c>
      <c r="Y298" s="48">
        <f>VLOOKUP(B298,'Player Data'!$A1:$AE734,13,FALSE)*$Q298</f>
        <v>0.00324311471666699</v>
      </c>
      <c r="Z298" s="48">
        <f>VLOOKUP(B298,'Player Data'!$A1:$AE734,14,FALSE)*$Q298</f>
        <v>0.0120667383328971</v>
      </c>
      <c r="AA298" s="48">
        <f>VLOOKUP(B298,'Player Data'!$A1:$AE734,15,FALSE)*$Q298</f>
        <v>60.312599020869</v>
      </c>
      <c r="AB298" s="48">
        <f>VLOOKUP(B298,'Player Data'!$A1:$AE734,16,FALSE)*$Q298</f>
        <v>48.5458376025394</v>
      </c>
      <c r="AC298" s="48">
        <f>VLOOKUP(B298,'Player Data'!$A1:$AE734,17,FALSE)*$Q298*_xlfn.IFERROR((VLOOKUP(P298,'Settings'!$E$28:$F$33,2,FALSE)+1),1)</f>
        <v>3.84855880850455</v>
      </c>
      <c r="AD298" s="48">
        <f>VLOOKUP(B298,'Player Data'!$A1:$AE734,18,FALSE)*$Q298</f>
        <v>29.9828882232932</v>
      </c>
      <c r="AE298" s="48">
        <f>VLOOKUP(B298,'Player Data'!$A1:$AE734,19,FALSE)*$Q298*_xlfn.IFERROR((VLOOKUP(P298,'Settings'!$E$28:$F$33,2,FALSE)+1),1)</f>
        <v>0.747156239489949</v>
      </c>
      <c r="AF298" s="48">
        <f>VLOOKUP(B298,'Player Data'!$A1:$AE734,20,FALSE)*$Q298</f>
        <v>0</v>
      </c>
      <c r="AG298" s="48">
        <f>VLOOKUP(B298,'Player Data'!$A1:$AE734,21,FALSE)*$Q298</f>
        <v>0</v>
      </c>
      <c r="AH298" s="49">
        <f>VLOOKUP(B298,'Player Data'!$A1:$AE734,22,FALSE)</f>
        <v>0</v>
      </c>
      <c r="AI298" s="46"/>
      <c r="AJ298" s="50"/>
      <c r="AK298" s="48"/>
      <c r="AL298" s="48"/>
      <c r="AM298" s="48"/>
      <c r="AN298" s="48"/>
      <c r="AO298" s="48"/>
      <c r="AP298" s="48"/>
      <c r="AQ298" s="51"/>
      <c r="AR298" s="52"/>
      <c r="AS298" s="46"/>
    </row>
    <row r="299" ht="21.25" customHeight="1">
      <c r="A299" s="53">
        <f>RANK(K299,K2:K730)</f>
        <v>304</v>
      </c>
      <c r="B299" t="s" s="8">
        <v>451</v>
      </c>
      <c r="C299" t="s" s="39">
        <v>106</v>
      </c>
      <c r="D299" t="s" s="40">
        <f>VLOOKUP(B299,'Player Data'!A1:D734,4,FALSE)</f>
        <v>121</v>
      </c>
      <c r="E299" s="55">
        <f>VLOOKUP(B299,'RW'!A1:F132,3,FALSE)</f>
        <v>68</v>
      </c>
      <c r="F299" t="s" s="42">
        <f>VLOOKUP(B299,'Player Data'!A1:B734,2,FALSE)</f>
        <v>156</v>
      </c>
      <c r="G299" s="9">
        <f>VLOOKUP(B299,'Player Data'!A1:D734,3,FALSE)</f>
        <v>28</v>
      </c>
      <c r="H299" s="43">
        <f>_xlfn.IFERROR(VLOOKUP(B299,'ADP'!A1:G731,7,FALSE)/1000000,VLOOKUP(B299,'ADP'!A1:G731,7,FALSE))</f>
        <v>4.75</v>
      </c>
      <c r="I299" s="44">
        <f>IF('Settings'!$E$15="POINTS",((R299*Q299)*'Settings'!$B$12)+(S299*'Settings'!$B$2)+(T299*'Settings'!$B$3)+(U299*'Settings'!$B$4)+(V299*'Settings'!$B$5)+(X299*'Settings'!$B$9)+(AA299*'Settings'!$B$6)+(W299*'Settings'!$B$8)+(AB299*'Settings'!$B$7)+(AC299*'Settings'!$B$14)+(AD299*'Settings'!$B$15)+(AE299*'Settings'!$B$16)+(AF299*'Settings'!$B$17)+(AG299*'Settings'!$B$18)+(Y299*'Settings'!$B$10)+(Z299*'Settings'!$B$11),VLOOKUP(B299,'Standard Deviations'!A1:C731,3,FALSE))</f>
        <v>265.137059627252</v>
      </c>
      <c r="J299" s="45">
        <f>IF(D299="G",I299/AJ299,I299/Q299)</f>
        <v>3.71550429642758</v>
      </c>
      <c r="K299" s="44">
        <f>IF('Settings'!$E$18="C/LW/RW",VLOOKUP(B299,'RW'!A1:F132,6,FALSE),VLOOKUP(B299,'F'!A1:F432,6,FALSE))</f>
        <v>-116.491504079104</v>
      </c>
      <c r="L299" s="44">
        <f>_xlfn.IFERROR(K299/H299,"N/A")</f>
        <v>-24.5245271745482</v>
      </c>
      <c r="M299" s="46">
        <f>IF('Settings'!$E$9="YAHOO",VLOOKUP(B299,'ADP'!A1:E731,2,FALSE),IF('Settings'!$E$9="ESPN",VLOOKUP(B299,'ADP'!A1:E731,3,FALSE),IF('Settings'!$E$9="FANTRAX",VLOOKUP(B299,'ADP'!A1:E731,4,FALSE),VLOOKUP(B299,'ADP'!A1:E731,5,FALSE))))</f>
        <v>446.55</v>
      </c>
      <c r="N299" s="46">
        <f>_xlfn.IFERROR(M299-A299,"N/A")</f>
        <v>142.55</v>
      </c>
      <c r="O299" s="46"/>
      <c r="P299" t="s" s="47">
        <f>IF('Settings'!$E$27="ON",VLOOKUP(B299,'ADP'!A1:H731,8,FALSE)," ")</f>
        <v>109</v>
      </c>
      <c r="Q299" s="48">
        <f>IF('Settings'!$E$12="YES",VLOOKUP(B299,'Player Data'!A1:E734,5,FALSE),82)</f>
        <v>71.3596428571429</v>
      </c>
      <c r="R299" s="46">
        <f>VLOOKUP(B299,'Player Data'!$A1:$AE734,6,FALSE)</f>
        <v>16.9771626168147</v>
      </c>
      <c r="S299" s="48">
        <f>VLOOKUP(B299,'Player Data'!$A1:$AE734,7,FALSE)*$Q299*_xlfn.IFERROR((VLOOKUP(P299,'Settings'!$E$28:$F$33,2,FALSE)+1),1)</f>
        <v>20.8115458711597</v>
      </c>
      <c r="T299" s="48">
        <f>VLOOKUP(B299,'Player Data'!$A1:$AE734,8,FALSE)*$Q299*_xlfn.IFERROR((VLOOKUP(P299,'Settings'!$E$28:$F$33,2,FALSE)+1),1)</f>
        <v>20.7196017024275</v>
      </c>
      <c r="U299" s="48">
        <f>SUM(S299:T299)</f>
        <v>41.5311475735872</v>
      </c>
      <c r="V299" s="48">
        <f>VLOOKUP(B299,'Player Data'!$A1:$AE734,10,FALSE)*$Q299*_xlfn.IFERROR(((VLOOKUP(P299,'Settings'!$E$28:$F$33,2,FALSE)/2)+1),1)</f>
        <v>160.444452782131</v>
      </c>
      <c r="W299" s="48">
        <f>VLOOKUP(B299,'Player Data'!$A1:$AE734,11,FALSE)*$Q299*_xlfn.IFERROR((VLOOKUP(P299,'Settings'!$E$28:$F$33,2,FALSE)+1),1)</f>
        <v>2.62979774719426</v>
      </c>
      <c r="X299" s="48">
        <f>VLOOKUP(B299,'Player Data'!$A1:$AE734,12,FALSE)*$Q299*_xlfn.IFERROR((VLOOKUP(P299,'Settings'!$E$28:$F$33,2,FALSE)+1),1)</f>
        <v>5.27530001538903</v>
      </c>
      <c r="Y299" s="48">
        <f>VLOOKUP(B299,'Player Data'!$A1:$AE734,13,FALSE)*$Q299</f>
        <v>1.7901616333905</v>
      </c>
      <c r="Z299" s="48">
        <f>VLOOKUP(B299,'Player Data'!$A1:$AE734,14,FALSE)*$Q299</f>
        <v>2.17517997887933</v>
      </c>
      <c r="AA299" s="48">
        <f>VLOOKUP(B299,'Player Data'!$A1:$AE734,15,FALSE)*$Q299</f>
        <v>26.9888326692694</v>
      </c>
      <c r="AB299" s="48">
        <f>VLOOKUP(B299,'Player Data'!$A1:$AE734,16,FALSE)*$Q299</f>
        <v>45.0371816651687</v>
      </c>
      <c r="AC299" s="48">
        <f>VLOOKUP(B299,'Player Data'!$A1:$AE734,17,FALSE)*$Q299*_xlfn.IFERROR((VLOOKUP(P299,'Settings'!$E$28:$F$33,2,FALSE)+1),1)</f>
        <v>0.9372102539792</v>
      </c>
      <c r="AD299" s="48">
        <f>VLOOKUP(B299,'Player Data'!$A1:$AE734,18,FALSE)*$Q299</f>
        <v>15.9276139093488</v>
      </c>
      <c r="AE299" s="48">
        <f>VLOOKUP(B299,'Player Data'!$A1:$AE734,19,FALSE)*$Q299*_xlfn.IFERROR((VLOOKUP(P299,'Settings'!$E$28:$F$33,2,FALSE)+1),1)</f>
        <v>2.94607512771125</v>
      </c>
      <c r="AF299" s="48">
        <f>VLOOKUP(B299,'Player Data'!$A1:$AE734,20,FALSE)*$Q299</f>
        <v>3.79920982843028</v>
      </c>
      <c r="AG299" s="48">
        <f>VLOOKUP(B299,'Player Data'!$A1:$AE734,21,FALSE)*$Q299</f>
        <v>8.094488365896421</v>
      </c>
      <c r="AH299" s="49">
        <f>VLOOKUP(B299,'Player Data'!$A1:$AE734,22,FALSE)</f>
        <v>0.319430488848498</v>
      </c>
      <c r="AI299" s="46"/>
      <c r="AJ299" s="50"/>
      <c r="AK299" s="48"/>
      <c r="AL299" s="48"/>
      <c r="AM299" s="48"/>
      <c r="AN299" s="48"/>
      <c r="AO299" s="48"/>
      <c r="AP299" s="48"/>
      <c r="AQ299" s="51"/>
      <c r="AR299" s="52"/>
      <c r="AS299" s="46"/>
    </row>
    <row r="300" ht="21.25" customHeight="1">
      <c r="A300" s="53">
        <f>RANK(K300,K2:K730)</f>
        <v>286</v>
      </c>
      <c r="B300" t="s" s="8">
        <v>452</v>
      </c>
      <c r="C300" t="s" s="39">
        <v>106</v>
      </c>
      <c r="D300" t="s" s="40">
        <f>VLOOKUP(B300,'Player Data'!A1:D734,4,FALSE)</f>
        <v>129</v>
      </c>
      <c r="E300" s="56">
        <f>VLOOKUP(B300,'D'!A1:C228,3,FALSE)</f>
        <v>84</v>
      </c>
      <c r="F300" t="s" s="42">
        <f>VLOOKUP(B300,'Player Data'!A1:B734,2,FALSE)</f>
        <v>170</v>
      </c>
      <c r="G300" s="9">
        <f>VLOOKUP(B300,'Player Data'!A1:D734,3,FALSE)</f>
        <v>27</v>
      </c>
      <c r="H300" s="43">
        <f>_xlfn.IFERROR(VLOOKUP(B300,'ADP'!A1:G731,7,FALSE)/1000000,VLOOKUP(B300,'ADP'!A1:G731,7,FALSE))</f>
        <v>4.025</v>
      </c>
      <c r="I300" s="44">
        <f>IF('Settings'!$E$15="POINTS",((R300*Q300)*'Settings'!$B$12)+(S300*'Settings'!$B$2)+(T300*'Settings'!$B$3)+(U300*'Settings'!$B$4)+(V300*'Settings'!$B$5)+(X300*'Settings'!$B$9)+(AA300*'Settings'!$B$6)+(W300*'Settings'!$B$8)+(AB300*'Settings'!$B$7)+(AC300*'Settings'!$B$14)+(AD300*'Settings'!$B$15)+(AE300*'Settings'!$B$16)+(AF300*'Settings'!$B$17)+(AG300*'Settings'!$B$18)+(U300*'Settings'!$B$13)+(Y300*'Settings'!$B$10)+(Z300*'Settings'!$B$11),VLOOKUP(B300,'Standard Deviations'!A1:C731,3,FALSE))</f>
        <v>231.441043851460</v>
      </c>
      <c r="J300" s="45">
        <f>IF(D300="G",I300/AJ300,I300/Q300)</f>
        <v>3.01151061307003</v>
      </c>
      <c r="K300" s="44">
        <f>VLOOKUP(B300,'D'!A1:F228,6,FALSE)</f>
        <v>-109.294094795063</v>
      </c>
      <c r="L300" s="44">
        <f>_xlfn.IFERROR(K300/H300,"N/A")</f>
        <v>-27.1538123714442</v>
      </c>
      <c r="M300" t="s" s="61">
        <f>IF('Settings'!$E$9="YAHOO",VLOOKUP(B300,'ADP'!A1:E731,2,FALSE),IF('Settings'!$E$9="ESPN",VLOOKUP(B300,'ADP'!A1:E731,3,FALSE),IF('Settings'!$E$9="FANTRAX",VLOOKUP(B300,'ADP'!A1:E731,4,FALSE),VLOOKUP(B300,'ADP'!A1:E731,5,FALSE))))</f>
        <v>329</v>
      </c>
      <c r="N300" t="s" s="61">
        <f>_xlfn.IFERROR(M300-A300,"N/A")</f>
        <v>158</v>
      </c>
      <c r="O300" s="46"/>
      <c r="P300" t="s" s="47">
        <f>IF('Settings'!$E$27="ON",VLOOKUP(B300,'ADP'!A1:H731,8,FALSE)," ")</f>
        <v>109</v>
      </c>
      <c r="Q300" s="48">
        <f>IF('Settings'!$E$12="YES",VLOOKUP(B300,'Player Data'!A1:E734,5,FALSE),82)</f>
        <v>76.85214285714289</v>
      </c>
      <c r="R300" s="46">
        <f>VLOOKUP(B300,'Player Data'!$A1:$AE734,6,FALSE)</f>
        <v>19.8970844291745</v>
      </c>
      <c r="S300" s="48">
        <f>VLOOKUP(B300,'Player Data'!$A1:$AE734,7,FALSE)*$Q300*_xlfn.IFERROR((VLOOKUP(P300,'Settings'!$E$28:$F$33,2,FALSE)+1),1)</f>
        <v>2.78111908816076</v>
      </c>
      <c r="T300" s="48">
        <f>VLOOKUP(B300,'Player Data'!$A1:$AE734,8,FALSE)*$Q300*_xlfn.IFERROR((VLOOKUP(P300,'Settings'!$E$28:$F$33,2,FALSE)+1),1)</f>
        <v>21.4699271441036</v>
      </c>
      <c r="U300" s="48">
        <f>SUM(S300:T300)</f>
        <v>24.2510462322644</v>
      </c>
      <c r="V300" s="48">
        <f>VLOOKUP(B300,'Player Data'!$A1:$AE734,10,FALSE)*$Q300*_xlfn.IFERROR(((VLOOKUP(P300,'Settings'!$E$28:$F$33,2,FALSE)/2)+1),1)</f>
        <v>104.946136228724</v>
      </c>
      <c r="W300" s="48">
        <f>VLOOKUP(B300,'Player Data'!$A1:$AE734,11,FALSE)*$Q300*_xlfn.IFERROR((VLOOKUP(P300,'Settings'!$E$28:$F$33,2,FALSE)+1),1)</f>
        <v>0.0331949318132921</v>
      </c>
      <c r="X300" s="48">
        <f>VLOOKUP(B300,'Player Data'!$A1:$AE734,12,FALSE)*$Q300*_xlfn.IFERROR((VLOOKUP(P300,'Settings'!$E$28:$F$33,2,FALSE)+1),1)</f>
        <v>0.225208591076186</v>
      </c>
      <c r="Y300" s="48">
        <f>VLOOKUP(B300,'Player Data'!$A1:$AE734,13,FALSE)*$Q300</f>
        <v>0.0396444915622901</v>
      </c>
      <c r="Z300" s="48">
        <f>VLOOKUP(B300,'Player Data'!$A1:$AE734,14,FALSE)*$Q300</f>
        <v>0.209602522808786</v>
      </c>
      <c r="AA300" s="48">
        <f>VLOOKUP(B300,'Player Data'!$A1:$AE734,15,FALSE)*$Q300</f>
        <v>132.438422200170</v>
      </c>
      <c r="AB300" s="48">
        <f>VLOOKUP(B300,'Player Data'!$A1:$AE734,16,FALSE)*$Q300</f>
        <v>141.618969049444</v>
      </c>
      <c r="AC300" s="48">
        <f>VLOOKUP(B300,'Player Data'!$A1:$AE734,17,FALSE)*$Q300*_xlfn.IFERROR((VLOOKUP(P300,'Settings'!$E$28:$F$33,2,FALSE)+1),1)</f>
        <v>2.89539981356961</v>
      </c>
      <c r="AD300" s="48">
        <f>VLOOKUP(B300,'Player Data'!$A1:$AE734,18,FALSE)*$Q300</f>
        <v>48.5601262811423</v>
      </c>
      <c r="AE300" s="48">
        <f>VLOOKUP(B300,'Player Data'!$A1:$AE734,19,FALSE)*$Q300*_xlfn.IFERROR((VLOOKUP(P300,'Settings'!$E$28:$F$33,2,FALSE)+1),1)</f>
        <v>0.446425301191298</v>
      </c>
      <c r="AF300" s="48">
        <f>VLOOKUP(B300,'Player Data'!$A1:$AE734,20,FALSE)*$Q300</f>
        <v>0</v>
      </c>
      <c r="AG300" s="48">
        <f>VLOOKUP(B300,'Player Data'!$A1:$AE734,21,FALSE)*$Q300</f>
        <v>0</v>
      </c>
      <c r="AH300" s="49">
        <f>VLOOKUP(B300,'Player Data'!$A1:$AE734,22,FALSE)</f>
        <v>0</v>
      </c>
      <c r="AI300" s="46"/>
      <c r="AJ300" s="50"/>
      <c r="AK300" s="48"/>
      <c r="AL300" s="48"/>
      <c r="AM300" s="48"/>
      <c r="AN300" s="48"/>
      <c r="AO300" s="48"/>
      <c r="AP300" s="48"/>
      <c r="AQ300" s="51"/>
      <c r="AR300" s="52"/>
      <c r="AS300" s="46"/>
    </row>
    <row r="301" ht="21.25" customHeight="1">
      <c r="A301" s="53">
        <f>RANK(K301,K2:K730)</f>
        <v>345</v>
      </c>
      <c r="B301" t="s" s="8">
        <v>453</v>
      </c>
      <c r="C301" t="s" s="39">
        <v>106</v>
      </c>
      <c r="D301" t="s" s="40">
        <f>VLOOKUP(B301,'Player Data'!A1:D734,4,FALSE)</f>
        <v>107</v>
      </c>
      <c r="E301" s="41">
        <f>VLOOKUP(B301,'C'!A1:C218,3,FALSE)</f>
        <v>93</v>
      </c>
      <c r="F301" t="s" s="42">
        <f>VLOOKUP(B301,'Player Data'!A1:B734,2,FALSE)</f>
        <v>204</v>
      </c>
      <c r="G301" s="9">
        <f>VLOOKUP(B301,'Player Data'!A1:D734,3,FALSE)</f>
        <v>21</v>
      </c>
      <c r="H301" s="43">
        <f>_xlfn.IFERROR(VLOOKUP(B301,'ADP'!A1:G731,7,FALSE)/1000000,VLOOKUP(B301,'ADP'!A1:G731,7,FALSE))</f>
        <v>0.894167</v>
      </c>
      <c r="I301" s="44">
        <f>IF('Settings'!$E$15="POINTS",((R301*Q301)*'Settings'!$B$12)+(S301*'Settings'!$B$2)+(T301*'Settings'!$B$3)+(U301*'Settings'!$B$4)+(V301*'Settings'!$B$5)+(X301*'Settings'!$B$9)+(AA301*'Settings'!$B$6)+(W301*'Settings'!$B$8)+(AB301*'Settings'!$B$7)+(AC301*'Settings'!$B$14)+(AD301*'Settings'!$B$15)+(AE301*'Settings'!$B$16)+(AF301*'Settings'!$B$17)+(AG301*'Settings'!$B$18)+(Y301*'Settings'!$B$10)+(Z301*'Settings'!$B$11),VLOOKUP(B301,'Standard Deviations'!A1:C731,3,FALSE))</f>
        <v>264.764340336238</v>
      </c>
      <c r="J301" s="45">
        <f>IF(D301="G",I301/AJ301,I301/Q301)</f>
        <v>3.71664278415495</v>
      </c>
      <c r="K301" s="44">
        <f>IF('Settings'!$E$18="C/LW/RW",VLOOKUP(B301,'C'!A1:F218,6,FALSE),VLOOKUP(B301,'F'!A1:F432,6,FALSE))</f>
        <v>-131.009861299777</v>
      </c>
      <c r="L301" s="44">
        <f>_xlfn.IFERROR(K301/H301,"N/A")</f>
        <v>-146.516099676880</v>
      </c>
      <c r="M301" s="46">
        <f>IF('Settings'!$E$9="YAHOO",VLOOKUP(B301,'ADP'!A1:E731,2,FALSE),IF('Settings'!$E$9="ESPN",VLOOKUP(B301,'ADP'!A1:E731,3,FALSE),IF('Settings'!$E$9="FANTRAX",VLOOKUP(B301,'ADP'!A1:E731,4,FALSE),VLOOKUP(B301,'ADP'!A1:E731,5,FALSE))))</f>
        <v>325.68</v>
      </c>
      <c r="N301" s="46">
        <f>_xlfn.IFERROR(M301-A301,"N/A")</f>
        <v>-19.32</v>
      </c>
      <c r="O301" s="46"/>
      <c r="P301" t="s" s="47">
        <f>IF('Settings'!$E$27="ON",VLOOKUP(B301,'ADP'!A1:H731,8,FALSE)," ")</f>
        <v>159</v>
      </c>
      <c r="Q301" s="48">
        <f>IF('Settings'!$E$12="YES",VLOOKUP(B301,'Player Data'!A1:E734,5,FALSE),82)</f>
        <v>71.2375</v>
      </c>
      <c r="R301" s="46">
        <f>VLOOKUP(B301,'Player Data'!$A1:$AE734,6,FALSE)</f>
        <v>16.8348770803975</v>
      </c>
      <c r="S301" s="48">
        <f>VLOOKUP(B301,'Player Data'!$A1:$AE734,7,FALSE)*$Q301*_xlfn.IFERROR((VLOOKUP(P301,'Settings'!$E$28:$F$33,2,FALSE)+1),1)</f>
        <v>14.8407737295276</v>
      </c>
      <c r="T301" s="48">
        <f>VLOOKUP(B301,'Player Data'!$A1:$AE734,8,FALSE)*$Q301*_xlfn.IFERROR((VLOOKUP(P301,'Settings'!$E$28:$F$33,2,FALSE)+1),1)</f>
        <v>32.3077179866262</v>
      </c>
      <c r="U301" s="48">
        <f>SUM(S301:T301)</f>
        <v>47.1484917161538</v>
      </c>
      <c r="V301" s="48">
        <f>VLOOKUP(B301,'Player Data'!$A1:$AE734,10,FALSE)*$Q301*_xlfn.IFERROR(((VLOOKUP(P301,'Settings'!$E$28:$F$33,2,FALSE)/2)+1),1)</f>
        <v>139.262972752231</v>
      </c>
      <c r="W301" s="48">
        <f>VLOOKUP(B301,'Player Data'!$A1:$AE734,11,FALSE)*$Q301*_xlfn.IFERROR((VLOOKUP(P301,'Settings'!$E$28:$F$33,2,FALSE)+1),1)</f>
        <v>3.97910886119968</v>
      </c>
      <c r="X301" s="48">
        <f>VLOOKUP(B301,'Player Data'!$A1:$AE734,12,FALSE)*$Q301*_xlfn.IFERROR((VLOOKUP(P301,'Settings'!$E$28:$F$33,2,FALSE)+1),1)</f>
        <v>8.07821424430648</v>
      </c>
      <c r="Y301" s="48">
        <f>VLOOKUP(B301,'Player Data'!$A1:$AE734,13,FALSE)*$Q301</f>
        <v>0.040128823622417</v>
      </c>
      <c r="Z301" s="48">
        <f>VLOOKUP(B301,'Player Data'!$A1:$AE734,14,FALSE)*$Q301</f>
        <v>0.0704864134664385</v>
      </c>
      <c r="AA301" s="48">
        <f>VLOOKUP(B301,'Player Data'!$A1:$AE734,15,FALSE)*$Q301</f>
        <v>26.0840553821008</v>
      </c>
      <c r="AB301" s="48">
        <f>VLOOKUP(B301,'Player Data'!$A1:$AE734,16,FALSE)*$Q301</f>
        <v>72.972870797544</v>
      </c>
      <c r="AC301" s="48">
        <f>VLOOKUP(B301,'Player Data'!$A1:$AE734,17,FALSE)*$Q301*_xlfn.IFERROR((VLOOKUP(P301,'Settings'!$E$28:$F$33,2,FALSE)+1),1)</f>
        <v>0.817506050814426</v>
      </c>
      <c r="AD301" s="48">
        <f>VLOOKUP(B301,'Player Data'!$A1:$AE734,18,FALSE)*$Q301</f>
        <v>41.9487408602149</v>
      </c>
      <c r="AE301" s="48">
        <f>VLOOKUP(B301,'Player Data'!$A1:$AE734,19,FALSE)*$Q301*_xlfn.IFERROR((VLOOKUP(P301,'Settings'!$E$28:$F$33,2,FALSE)+1),1)</f>
        <v>2.19734062592272</v>
      </c>
      <c r="AF301" s="48">
        <f>VLOOKUP(B301,'Player Data'!$A1:$AE734,20,FALSE)*$Q301</f>
        <v>114.192717853141</v>
      </c>
      <c r="AG301" s="48">
        <f>VLOOKUP(B301,'Player Data'!$A1:$AE734,21,FALSE)*$Q301</f>
        <v>132.589407378810</v>
      </c>
      <c r="AH301" s="49">
        <f>VLOOKUP(B301,'Player Data'!$A1:$AE734,22,FALSE)</f>
        <v>0.462726859758627</v>
      </c>
      <c r="AI301" s="46"/>
      <c r="AJ301" s="50"/>
      <c r="AK301" s="48"/>
      <c r="AL301" s="48"/>
      <c r="AM301" s="48"/>
      <c r="AN301" s="48"/>
      <c r="AO301" s="48"/>
      <c r="AP301" s="48"/>
      <c r="AQ301" s="51"/>
      <c r="AR301" s="52"/>
      <c r="AS301" s="46"/>
    </row>
    <row r="302" ht="21.25" customHeight="1">
      <c r="A302" s="53">
        <f>RANK(K302,K2:K730)</f>
        <v>290</v>
      </c>
      <c r="B302" t="s" s="8">
        <v>454</v>
      </c>
      <c r="C302" t="s" s="39">
        <v>106</v>
      </c>
      <c r="D302" t="s" s="40">
        <f>VLOOKUP(B302,'Player Data'!A1:D734,4,FALSE)</f>
        <v>129</v>
      </c>
      <c r="E302" s="56">
        <f>VLOOKUP(B302,'D'!A1:C228,3,FALSE)</f>
        <v>87</v>
      </c>
      <c r="F302" t="s" s="42">
        <f>VLOOKUP(B302,'Player Data'!A1:B734,2,FALSE)</f>
        <v>149</v>
      </c>
      <c r="G302" s="9">
        <f>VLOOKUP(B302,'Player Data'!A1:D734,3,FALSE)</f>
        <v>30</v>
      </c>
      <c r="H302" s="43">
        <f>_xlfn.IFERROR(VLOOKUP(B302,'ADP'!A1:G731,7,FALSE)/1000000,VLOOKUP(B302,'ADP'!A1:G731,7,FALSE))</f>
        <v>3.5</v>
      </c>
      <c r="I302" s="44">
        <f>IF('Settings'!$E$15="POINTS",((R302*Q302)*'Settings'!$B$12)+(S302*'Settings'!$B$2)+(T302*'Settings'!$B$3)+(U302*'Settings'!$B$4)+(V302*'Settings'!$B$5)+(X302*'Settings'!$B$9)+(AA302*'Settings'!$B$6)+(W302*'Settings'!$B$8)+(AB302*'Settings'!$B$7)+(AC302*'Settings'!$B$14)+(AD302*'Settings'!$B$15)+(AE302*'Settings'!$B$16)+(AF302*'Settings'!$B$17)+(AG302*'Settings'!$B$18)+(U302*'Settings'!$B$13)+(Y302*'Settings'!$B$10)+(Z302*'Settings'!$B$11),VLOOKUP(B302,'Standard Deviations'!A1:C731,3,FALSE))</f>
        <v>230.588523585998</v>
      </c>
      <c r="J302" s="45">
        <f>IF(D302="G",I302/AJ302,I302/Q302)</f>
        <v>2.91358655066491</v>
      </c>
      <c r="K302" s="44">
        <f>VLOOKUP(B302,'D'!A1:F228,6,FALSE)</f>
        <v>-110.146615060525</v>
      </c>
      <c r="L302" s="44">
        <f>_xlfn.IFERROR(K302/H302,"N/A")</f>
        <v>-31.4704614458643</v>
      </c>
      <c r="M302" t="s" s="61">
        <f>IF('Settings'!$E$9="YAHOO",VLOOKUP(B302,'ADP'!A1:E731,2,FALSE),IF('Settings'!$E$9="ESPN",VLOOKUP(B302,'ADP'!A1:E731,3,FALSE),IF('Settings'!$E$9="FANTRAX",VLOOKUP(B302,'ADP'!A1:E731,4,FALSE),VLOOKUP(B302,'ADP'!A1:E731,5,FALSE))))</f>
        <v>329</v>
      </c>
      <c r="N302" t="s" s="61">
        <f>_xlfn.IFERROR(M302-A302,"N/A")</f>
        <v>158</v>
      </c>
      <c r="O302" s="46"/>
      <c r="P302" t="s" s="47">
        <f>IF('Settings'!$E$27="ON",VLOOKUP(B302,'ADP'!A1:H731,8,FALSE)," ")</f>
        <v>109</v>
      </c>
      <c r="Q302" s="48">
        <f>IF('Settings'!$E$12="YES",VLOOKUP(B302,'Player Data'!A1:E734,5,FALSE),82)</f>
        <v>79.1425</v>
      </c>
      <c r="R302" s="46">
        <f>VLOOKUP(B302,'Player Data'!$A1:$AE734,6,FALSE)</f>
        <v>20.1785387060396</v>
      </c>
      <c r="S302" s="48">
        <f>VLOOKUP(B302,'Player Data'!$A1:$AE734,7,FALSE)*$Q302*_xlfn.IFERROR((VLOOKUP(P302,'Settings'!$E$28:$F$33,2,FALSE)+1),1)</f>
        <v>4.37463038892703</v>
      </c>
      <c r="T302" s="48">
        <f>VLOOKUP(B302,'Player Data'!$A1:$AE734,8,FALSE)*$Q302*_xlfn.IFERROR((VLOOKUP(P302,'Settings'!$E$28:$F$33,2,FALSE)+1),1)</f>
        <v>17.7201594485383</v>
      </c>
      <c r="U302" s="48">
        <f>SUM(S302:T302)</f>
        <v>22.0947898374653</v>
      </c>
      <c r="V302" s="48">
        <f>VLOOKUP(B302,'Player Data'!$A1:$AE734,10,FALSE)*$Q302*_xlfn.IFERROR(((VLOOKUP(P302,'Settings'!$E$28:$F$33,2,FALSE)/2)+1),1)</f>
        <v>108.590913523378</v>
      </c>
      <c r="W302" s="48">
        <f>VLOOKUP(B302,'Player Data'!$A1:$AE734,11,FALSE)*$Q302*_xlfn.IFERROR((VLOOKUP(P302,'Settings'!$E$28:$F$33,2,FALSE)+1),1)</f>
        <v>0.0190478957976642</v>
      </c>
      <c r="X302" s="48">
        <f>VLOOKUP(B302,'Player Data'!$A1:$AE734,12,FALSE)*$Q302*_xlfn.IFERROR((VLOOKUP(P302,'Settings'!$E$28:$F$33,2,FALSE)+1),1)</f>
        <v>0.132564209274805</v>
      </c>
      <c r="Y302" s="48">
        <f>VLOOKUP(B302,'Player Data'!$A1:$AE734,13,FALSE)*$Q302</f>
        <v>0.0266312198304847</v>
      </c>
      <c r="Z302" s="48">
        <f>VLOOKUP(B302,'Player Data'!$A1:$AE734,14,FALSE)*$Q302</f>
        <v>0.454942924786803</v>
      </c>
      <c r="AA302" s="48">
        <f>VLOOKUP(B302,'Player Data'!$A1:$AE734,15,FALSE)*$Q302</f>
        <v>153.010798781395</v>
      </c>
      <c r="AB302" s="48">
        <f>VLOOKUP(B302,'Player Data'!$A1:$AE734,16,FALSE)*$Q302</f>
        <v>104.125865953004</v>
      </c>
      <c r="AC302" s="48">
        <f>VLOOKUP(B302,'Player Data'!$A1:$AE734,17,FALSE)*$Q302*_xlfn.IFERROR((VLOOKUP(P302,'Settings'!$E$28:$F$33,2,FALSE)+1),1)</f>
        <v>0.229884684822605</v>
      </c>
      <c r="AD302" s="48">
        <f>VLOOKUP(B302,'Player Data'!$A1:$AE734,18,FALSE)*$Q302</f>
        <v>53.1168370983699</v>
      </c>
      <c r="AE302" s="48">
        <f>VLOOKUP(B302,'Player Data'!$A1:$AE734,19,FALSE)*$Q302*_xlfn.IFERROR((VLOOKUP(P302,'Settings'!$E$28:$F$33,2,FALSE)+1),1)</f>
        <v>0.675976012884335</v>
      </c>
      <c r="AF302" s="48">
        <f>VLOOKUP(B302,'Player Data'!$A1:$AE734,20,FALSE)*$Q302</f>
        <v>0</v>
      </c>
      <c r="AG302" s="48">
        <f>VLOOKUP(B302,'Player Data'!$A1:$AE734,21,FALSE)*$Q302</f>
        <v>0</v>
      </c>
      <c r="AH302" s="49">
        <f>VLOOKUP(B302,'Player Data'!$A1:$AE734,22,FALSE)</f>
        <v>0</v>
      </c>
      <c r="AI302" s="46"/>
      <c r="AJ302" s="50"/>
      <c r="AK302" s="48"/>
      <c r="AL302" s="48"/>
      <c r="AM302" s="48"/>
      <c r="AN302" s="48"/>
      <c r="AO302" s="48"/>
      <c r="AP302" s="48"/>
      <c r="AQ302" s="51"/>
      <c r="AR302" s="52"/>
      <c r="AS302" s="46"/>
    </row>
    <row r="303" ht="21.25" customHeight="1">
      <c r="A303" s="53">
        <f>RANK(K303,K2:K730)</f>
        <v>247</v>
      </c>
      <c r="B303" t="s" s="8">
        <v>455</v>
      </c>
      <c r="C303" t="s" s="39">
        <v>106</v>
      </c>
      <c r="D303" t="s" s="40">
        <f>VLOOKUP(B303,'Player Data'!A1:D734,4,FALSE)</f>
        <v>107</v>
      </c>
      <c r="E303" s="41">
        <f>VLOOKUP(B303,'C'!A1:C218,3,FALSE)</f>
        <v>65</v>
      </c>
      <c r="F303" t="s" s="42">
        <f>VLOOKUP(B303,'Player Data'!A1:B734,2,FALSE)</f>
        <v>236</v>
      </c>
      <c r="G303" s="9">
        <f>VLOOKUP(B303,'Player Data'!A1:D734,3,FALSE)</f>
        <v>29</v>
      </c>
      <c r="H303" s="43">
        <f>_xlfn.IFERROR(VLOOKUP(B303,'ADP'!A1:G731,7,FALSE)/1000000,VLOOKUP(B303,'ADP'!A1:G731,7,FALSE))</f>
        <v>3</v>
      </c>
      <c r="I303" s="44">
        <f>IF('Settings'!$E$15="POINTS",((R303*Q303)*'Settings'!$B$12)+(S303*'Settings'!$B$2)+(T303*'Settings'!$B$3)+(U303*'Settings'!$B$4)+(V303*'Settings'!$B$5)+(X303*'Settings'!$B$9)+(AA303*'Settings'!$B$6)+(W303*'Settings'!$B$8)+(AB303*'Settings'!$B$7)+(AC303*'Settings'!$B$14)+(AD303*'Settings'!$B$15)+(AE303*'Settings'!$B$16)+(AF303*'Settings'!$B$17)+(AG303*'Settings'!$B$18)+(Y303*'Settings'!$B$10)+(Z303*'Settings'!$B$11),VLOOKUP(B303,'Standard Deviations'!A1:C731,3,FALSE))</f>
        <v>304.525187168220</v>
      </c>
      <c r="J303" s="45">
        <f>IF(D303="G",I303/AJ303,I303/Q303)</f>
        <v>3.86363976814195</v>
      </c>
      <c r="K303" s="44">
        <f>IF('Settings'!$E$18="C/LW/RW",VLOOKUP(B303,'C'!A1:F218,6,FALSE),VLOOKUP(B303,'F'!A1:F432,6,FALSE))</f>
        <v>-91.24901446779501</v>
      </c>
      <c r="L303" s="44">
        <f>_xlfn.IFERROR(K303/H303,"N/A")</f>
        <v>-30.4163381559317</v>
      </c>
      <c r="M303" s="46">
        <f>IF('Settings'!$E$9="YAHOO",VLOOKUP(B303,'ADP'!A1:E731,2,FALSE),IF('Settings'!$E$9="ESPN",VLOOKUP(B303,'ADP'!A1:E731,3,FALSE),IF('Settings'!$E$9="FANTRAX",VLOOKUP(B303,'ADP'!A1:E731,4,FALSE),VLOOKUP(B303,'ADP'!A1:E731,5,FALSE))))</f>
        <v>244.77</v>
      </c>
      <c r="N303" s="46">
        <f>_xlfn.IFERROR(M303-A303,"N/A")</f>
        <v>-2.23</v>
      </c>
      <c r="O303" s="46"/>
      <c r="P303" t="s" s="47">
        <f>IF('Settings'!$E$27="ON",VLOOKUP(B303,'ADP'!A1:H731,8,FALSE)," ")</f>
        <v>109</v>
      </c>
      <c r="Q303" s="48">
        <f>IF('Settings'!$E$12="YES",VLOOKUP(B303,'Player Data'!A1:E734,5,FALSE),82)</f>
        <v>78.8182142857143</v>
      </c>
      <c r="R303" s="46">
        <f>VLOOKUP(B303,'Player Data'!$A1:$AE734,6,FALSE)</f>
        <v>17.6532902225098</v>
      </c>
      <c r="S303" s="48">
        <f>VLOOKUP(B303,'Player Data'!$A1:$AE734,7,FALSE)*$Q303*_xlfn.IFERROR((VLOOKUP(P303,'Settings'!$E$28:$F$33,2,FALSE)+1),1)</f>
        <v>16.9281686035465</v>
      </c>
      <c r="T303" s="48">
        <f>VLOOKUP(B303,'Player Data'!$A1:$AE734,8,FALSE)*$Q303*_xlfn.IFERROR((VLOOKUP(P303,'Settings'!$E$28:$F$33,2,FALSE)+1),1)</f>
        <v>24.4597434316289</v>
      </c>
      <c r="U303" s="48">
        <f>SUM(S303:T303)</f>
        <v>41.3879120351754</v>
      </c>
      <c r="V303" s="48">
        <f>VLOOKUP(B303,'Player Data'!$A1:$AE734,10,FALSE)*$Q303*_xlfn.IFERROR(((VLOOKUP(P303,'Settings'!$E$28:$F$33,2,FALSE)/2)+1),1)</f>
        <v>162.225275934546</v>
      </c>
      <c r="W303" s="48">
        <f>VLOOKUP(B303,'Player Data'!$A1:$AE734,11,FALSE)*$Q303*_xlfn.IFERROR((VLOOKUP(P303,'Settings'!$E$28:$F$33,2,FALSE)+1),1)</f>
        <v>3.83697366378746</v>
      </c>
      <c r="X303" s="48">
        <f>VLOOKUP(B303,'Player Data'!$A1:$AE734,12,FALSE)*$Q303*_xlfn.IFERROR((VLOOKUP(P303,'Settings'!$E$28:$F$33,2,FALSE)+1),1)</f>
        <v>7.34753825407876</v>
      </c>
      <c r="Y303" s="48">
        <f>VLOOKUP(B303,'Player Data'!$A1:$AE734,13,FALSE)*$Q303</f>
        <v>2.32670376207461</v>
      </c>
      <c r="Z303" s="48">
        <f>VLOOKUP(B303,'Player Data'!$A1:$AE734,14,FALSE)*$Q303</f>
        <v>4.45246443707825</v>
      </c>
      <c r="AA303" s="48">
        <f>VLOOKUP(B303,'Player Data'!$A1:$AE734,15,FALSE)*$Q303</f>
        <v>53.8018383599737</v>
      </c>
      <c r="AB303" s="48">
        <f>VLOOKUP(B303,'Player Data'!$A1:$AE734,16,FALSE)*$Q303</f>
        <v>152.202848543829</v>
      </c>
      <c r="AC303" s="48">
        <f>VLOOKUP(B303,'Player Data'!$A1:$AE734,17,FALSE)*$Q303*_xlfn.IFERROR((VLOOKUP(P303,'Settings'!$E$28:$F$33,2,FALSE)+1),1)</f>
        <v>-5.98229212997456</v>
      </c>
      <c r="AD303" s="48">
        <f>VLOOKUP(B303,'Player Data'!$A1:$AE734,18,FALSE)*$Q303</f>
        <v>41.148010390083</v>
      </c>
      <c r="AE303" s="48">
        <f>VLOOKUP(B303,'Player Data'!$A1:$AE734,19,FALSE)*$Q303*_xlfn.IFERROR((VLOOKUP(P303,'Settings'!$E$28:$F$33,2,FALSE)+1),1)</f>
        <v>1.989832453206</v>
      </c>
      <c r="AF303" s="48">
        <f>VLOOKUP(B303,'Player Data'!$A1:$AE734,20,FALSE)*$Q303</f>
        <v>494.314601989981</v>
      </c>
      <c r="AG303" s="48">
        <f>VLOOKUP(B303,'Player Data'!$A1:$AE734,21,FALSE)*$Q303</f>
        <v>518.717877333980</v>
      </c>
      <c r="AH303" s="49">
        <f>VLOOKUP(B303,'Player Data'!$A1:$AE734,22,FALSE)</f>
        <v>0.487955334186183</v>
      </c>
      <c r="AI303" s="46"/>
      <c r="AJ303" s="50"/>
      <c r="AK303" s="48"/>
      <c r="AL303" s="48"/>
      <c r="AM303" s="48"/>
      <c r="AN303" s="48"/>
      <c r="AO303" s="48"/>
      <c r="AP303" s="48"/>
      <c r="AQ303" s="51"/>
      <c r="AR303" s="52"/>
      <c r="AS303" s="46"/>
    </row>
    <row r="304" ht="21.25" customHeight="1">
      <c r="A304" s="53">
        <f>RANK(K304,K2:K730)</f>
        <v>399</v>
      </c>
      <c r="B304" t="s" s="8">
        <v>456</v>
      </c>
      <c r="C304" t="s" s="39">
        <v>106</v>
      </c>
      <c r="D304" t="s" s="40">
        <f>VLOOKUP(B304,'Player Data'!A1:D734,4,FALSE)</f>
        <v>129</v>
      </c>
      <c r="E304" s="56">
        <f>VLOOKUP(B304,'D'!A1:C228,3,FALSE)</f>
        <v>134</v>
      </c>
      <c r="F304" t="s" s="42">
        <f>VLOOKUP(B304,'Player Data'!A1:B734,2,FALSE)</f>
        <v>164</v>
      </c>
      <c r="G304" s="9">
        <f>VLOOKUP(B304,'Player Data'!A1:D734,3,FALSE)</f>
        <v>32</v>
      </c>
      <c r="H304" s="43">
        <f>_xlfn.IFERROR(VLOOKUP(B304,'ADP'!A1:G731,7,FALSE)/1000000,VLOOKUP(B304,'ADP'!A1:G731,7,FALSE))</f>
        <v>5.95</v>
      </c>
      <c r="I304" s="44">
        <f>IF('Settings'!$E$15="POINTS",((R304*Q304)*'Settings'!$B$12)+(S304*'Settings'!$B$2)+(T304*'Settings'!$B$3)+(U304*'Settings'!$B$4)+(V304*'Settings'!$B$5)+(X304*'Settings'!$B$9)+(AA304*'Settings'!$B$6)+(W304*'Settings'!$B$8)+(AB304*'Settings'!$B$7)+(AC304*'Settings'!$B$14)+(AD304*'Settings'!$B$15)+(AE304*'Settings'!$B$16)+(AF304*'Settings'!$B$17)+(AG304*'Settings'!$B$18)+(U304*'Settings'!$B$13)+(Y304*'Settings'!$B$10)+(Z304*'Settings'!$B$11),VLOOKUP(B304,'Standard Deviations'!A1:C731,3,FALSE))</f>
        <v>190.174531393815</v>
      </c>
      <c r="J304" s="45">
        <f>IF(D304="G",I304/AJ304,I304/Q304)</f>
        <v>2.40431606660292</v>
      </c>
      <c r="K304" s="44">
        <f>VLOOKUP(B304,'D'!A1:F228,6,FALSE)</f>
        <v>-150.560607252708</v>
      </c>
      <c r="L304" s="44">
        <f>_xlfn.IFERROR(K304/H304,"N/A")</f>
        <v>-25.3043037399509</v>
      </c>
      <c r="M304" t="s" s="61">
        <f>IF('Settings'!$E$9="YAHOO",VLOOKUP(B304,'ADP'!A1:E731,2,FALSE),IF('Settings'!$E$9="ESPN",VLOOKUP(B304,'ADP'!A1:E731,3,FALSE),IF('Settings'!$E$9="FANTRAX",VLOOKUP(B304,'ADP'!A1:E731,4,FALSE),VLOOKUP(B304,'ADP'!A1:E731,5,FALSE))))</f>
        <v>329</v>
      </c>
      <c r="N304" t="s" s="61">
        <f>_xlfn.IFERROR(M304-A304,"N/A")</f>
        <v>158</v>
      </c>
      <c r="O304" s="46"/>
      <c r="P304" t="s" s="47">
        <f>IF('Settings'!$E$27="ON",VLOOKUP(B304,'ADP'!A1:H731,8,FALSE)," ")</f>
        <v>109</v>
      </c>
      <c r="Q304" s="48">
        <f>IF('Settings'!$E$12="YES",VLOOKUP(B304,'Player Data'!A1:E734,5,FALSE),82)</f>
        <v>79.0971428571429</v>
      </c>
      <c r="R304" s="46">
        <f>VLOOKUP(B304,'Player Data'!$A1:$AE734,6,FALSE)</f>
        <v>17.7943389967472</v>
      </c>
      <c r="S304" s="48">
        <f>VLOOKUP(B304,'Player Data'!$A1:$AE734,7,FALSE)*$Q304*_xlfn.IFERROR((VLOOKUP(P304,'Settings'!$E$28:$F$33,2,FALSE)+1),1)</f>
        <v>5.22956574458111</v>
      </c>
      <c r="T304" s="48">
        <f>VLOOKUP(B304,'Player Data'!$A1:$AE734,8,FALSE)*$Q304*_xlfn.IFERROR((VLOOKUP(P304,'Settings'!$E$28:$F$33,2,FALSE)+1),1)</f>
        <v>17.3110055074644</v>
      </c>
      <c r="U304" s="48">
        <f>SUM(S304:T304)</f>
        <v>22.5405712520455</v>
      </c>
      <c r="V304" s="48">
        <f>VLOOKUP(B304,'Player Data'!$A1:$AE734,10,FALSE)*$Q304*_xlfn.IFERROR(((VLOOKUP(P304,'Settings'!$E$28:$F$33,2,FALSE)/2)+1),1)</f>
        <v>106.305719843708</v>
      </c>
      <c r="W304" s="48">
        <f>VLOOKUP(B304,'Player Data'!$A1:$AE734,11,FALSE)*$Q304*_xlfn.IFERROR((VLOOKUP(P304,'Settings'!$E$28:$F$33,2,FALSE)+1),1)</f>
        <v>1.11905635756305</v>
      </c>
      <c r="X304" s="48">
        <f>VLOOKUP(B304,'Player Data'!$A1:$AE734,12,FALSE)*$Q304*_xlfn.IFERROR((VLOOKUP(P304,'Settings'!$E$28:$F$33,2,FALSE)+1),1)</f>
        <v>5.18454417198715</v>
      </c>
      <c r="Y304" s="48">
        <f>VLOOKUP(B304,'Player Data'!$A1:$AE734,13,FALSE)*$Q304</f>
        <v>0.0180618337373917</v>
      </c>
      <c r="Z304" s="48">
        <f>VLOOKUP(B304,'Player Data'!$A1:$AE734,14,FALSE)*$Q304</f>
        <v>0.22776789176201</v>
      </c>
      <c r="AA304" s="48">
        <f>VLOOKUP(B304,'Player Data'!$A1:$AE734,15,FALSE)*$Q304</f>
        <v>93.1253786119306</v>
      </c>
      <c r="AB304" s="48">
        <f>VLOOKUP(B304,'Player Data'!$A1:$AE734,16,FALSE)*$Q304</f>
        <v>58.1495360378541</v>
      </c>
      <c r="AC304" s="48">
        <f>VLOOKUP(B304,'Player Data'!$A1:$AE734,17,FALSE)*$Q304*_xlfn.IFERROR((VLOOKUP(P304,'Settings'!$E$28:$F$33,2,FALSE)+1),1)</f>
        <v>1.97551958292043</v>
      </c>
      <c r="AD304" s="48">
        <f>VLOOKUP(B304,'Player Data'!$A1:$AE734,18,FALSE)*$Q304</f>
        <v>12.2737656214187</v>
      </c>
      <c r="AE304" s="48">
        <f>VLOOKUP(B304,'Player Data'!$A1:$AE734,19,FALSE)*$Q304*_xlfn.IFERROR((VLOOKUP(P304,'Settings'!$E$28:$F$33,2,FALSE)+1),1)</f>
        <v>0.815829760463083</v>
      </c>
      <c r="AF304" s="48">
        <f>VLOOKUP(B304,'Player Data'!$A1:$AE734,20,FALSE)*$Q304</f>
        <v>0</v>
      </c>
      <c r="AG304" s="48">
        <f>VLOOKUP(B304,'Player Data'!$A1:$AE734,21,FALSE)*$Q304</f>
        <v>0</v>
      </c>
      <c r="AH304" s="49">
        <f>VLOOKUP(B304,'Player Data'!$A1:$AE734,22,FALSE)</f>
        <v>0</v>
      </c>
      <c r="AI304" s="46"/>
      <c r="AJ304" s="48"/>
      <c r="AK304" s="48"/>
      <c r="AL304" s="48"/>
      <c r="AM304" s="48"/>
      <c r="AN304" s="48"/>
      <c r="AO304" s="48"/>
      <c r="AP304" s="48"/>
      <c r="AQ304" s="51"/>
      <c r="AR304" s="52"/>
      <c r="AS304" s="46"/>
    </row>
    <row r="305" ht="21.25" customHeight="1">
      <c r="A305" s="53">
        <f>RANK(K305,K2:K730)</f>
        <v>331</v>
      </c>
      <c r="B305" t="s" s="8">
        <v>457</v>
      </c>
      <c r="C305" t="s" s="39">
        <v>106</v>
      </c>
      <c r="D305" t="s" s="40">
        <f>VLOOKUP(B305,'Player Data'!A1:D734,4,FALSE)</f>
        <v>107</v>
      </c>
      <c r="E305" s="41">
        <f>VLOOKUP(B305,'C'!A1:C218,3,FALSE)</f>
        <v>87</v>
      </c>
      <c r="F305" t="s" s="42">
        <f>VLOOKUP(B305,'Player Data'!A1:B734,2,FALSE)</f>
        <v>151</v>
      </c>
      <c r="G305" s="9">
        <f>VLOOKUP(B305,'Player Data'!A1:D734,3,FALSE)</f>
        <v>23</v>
      </c>
      <c r="H305" s="43">
        <f>_xlfn.IFERROR(VLOOKUP(B305,'ADP'!A1:G731,7,FALSE)/1000000,VLOOKUP(B305,'ADP'!A1:G731,7,FALSE))</f>
        <v>4.4375</v>
      </c>
      <c r="I305" s="44">
        <f>IF('Settings'!$E$15="POINTS",((R305*Q305)*'Settings'!$B$12)+(S305*'Settings'!$B$2)+(T305*'Settings'!$B$3)+(U305*'Settings'!$B$4)+(V305*'Settings'!$B$5)+(X305*'Settings'!$B$9)+(AA305*'Settings'!$B$6)+(W305*'Settings'!$B$8)+(AB305*'Settings'!$B$7)+(AC305*'Settings'!$B$14)+(AD305*'Settings'!$B$15)+(AE305*'Settings'!$B$16)+(AF305*'Settings'!$B$17)+(AG305*'Settings'!$B$18)+(Y305*'Settings'!$B$10)+(Z305*'Settings'!$B$11),VLOOKUP(B305,'Standard Deviations'!A1:C731,3,FALSE))</f>
        <v>271.894860340010</v>
      </c>
      <c r="J305" s="45">
        <f>IF(D305="G",I305/AJ305,I305/Q305)</f>
        <v>3.55429733442282</v>
      </c>
      <c r="K305" s="44">
        <f>IF('Settings'!$E$18="C/LW/RW",VLOOKUP(B305,'C'!A1:F218,6,FALSE),VLOOKUP(B305,'F'!A1:F432,6,FALSE))</f>
        <v>-123.879341296005</v>
      </c>
      <c r="L305" s="44">
        <f>_xlfn.IFERROR(K305/H305,"N/A")</f>
        <v>-27.916471277973</v>
      </c>
      <c r="M305" s="46">
        <f>IF('Settings'!$E$9="YAHOO",VLOOKUP(B305,'ADP'!A1:E731,2,FALSE),IF('Settings'!$E$9="ESPN",VLOOKUP(B305,'ADP'!A1:E731,3,FALSE),IF('Settings'!$E$9="FANTRAX",VLOOKUP(B305,'ADP'!A1:E731,4,FALSE),VLOOKUP(B305,'ADP'!A1:E731,5,FALSE))))</f>
        <v>243.41</v>
      </c>
      <c r="N305" s="46">
        <f>_xlfn.IFERROR(M305-A305,"N/A")</f>
        <v>-87.59</v>
      </c>
      <c r="O305" s="46"/>
      <c r="P305" t="s" s="47">
        <f>IF('Settings'!$E$27="ON",VLOOKUP(B305,'ADP'!A1:H731,8,FALSE)," ")</f>
        <v>109</v>
      </c>
      <c r="Q305" s="48">
        <f>IF('Settings'!$E$12="YES",VLOOKUP(B305,'Player Data'!A1:E734,5,FALSE),82)</f>
        <v>76.4975</v>
      </c>
      <c r="R305" s="46">
        <f>VLOOKUP(B305,'Player Data'!$A1:$AE734,6,FALSE)</f>
        <v>14.8316630350558</v>
      </c>
      <c r="S305" s="48">
        <f>VLOOKUP(B305,'Player Data'!$A1:$AE734,7,FALSE)*$Q305*_xlfn.IFERROR((VLOOKUP(P305,'Settings'!$E$28:$F$33,2,FALSE)+1),1)</f>
        <v>18.6016323596107</v>
      </c>
      <c r="T305" s="48">
        <f>VLOOKUP(B305,'Player Data'!$A1:$AE734,8,FALSE)*$Q305*_xlfn.IFERROR((VLOOKUP(P305,'Settings'!$E$28:$F$33,2,FALSE)+1),1)</f>
        <v>23.581689835059</v>
      </c>
      <c r="U305" s="48">
        <f>SUM(S305:T305)</f>
        <v>42.1833221946697</v>
      </c>
      <c r="V305" s="48">
        <f>VLOOKUP(B305,'Player Data'!$A1:$AE734,10,FALSE)*$Q305*_xlfn.IFERROR(((VLOOKUP(P305,'Settings'!$E$28:$F$33,2,FALSE)/2)+1),1)</f>
        <v>175.734989727414</v>
      </c>
      <c r="W305" s="48">
        <f>VLOOKUP(B305,'Player Data'!$A1:$AE734,11,FALSE)*$Q305*_xlfn.IFERROR((VLOOKUP(P305,'Settings'!$E$28:$F$33,2,FALSE)+1),1)</f>
        <v>1.3829222937612</v>
      </c>
      <c r="X305" s="48">
        <f>VLOOKUP(B305,'Player Data'!$A1:$AE734,12,FALSE)*$Q305*_xlfn.IFERROR((VLOOKUP(P305,'Settings'!$E$28:$F$33,2,FALSE)+1),1)</f>
        <v>4.06729364540707</v>
      </c>
      <c r="Y305" s="48">
        <f>VLOOKUP(B305,'Player Data'!$A1:$AE734,13,FALSE)*$Q305</f>
        <v>0.0225287895053001</v>
      </c>
      <c r="Z305" s="48">
        <f>VLOOKUP(B305,'Player Data'!$A1:$AE734,14,FALSE)*$Q305</f>
        <v>0.0411341802009852</v>
      </c>
      <c r="AA305" s="48">
        <f>VLOOKUP(B305,'Player Data'!$A1:$AE734,15,FALSE)*$Q305</f>
        <v>37.6874349214059</v>
      </c>
      <c r="AB305" s="48">
        <f>VLOOKUP(B305,'Player Data'!$A1:$AE734,16,FALSE)*$Q305</f>
        <v>42.5958581270903</v>
      </c>
      <c r="AC305" s="48">
        <f>VLOOKUP(B305,'Player Data'!$A1:$AE734,17,FALSE)*$Q305*_xlfn.IFERROR((VLOOKUP(P305,'Settings'!$E$28:$F$33,2,FALSE)+1),1)</f>
        <v>4.89678661910568</v>
      </c>
      <c r="AD305" s="48">
        <f>VLOOKUP(B305,'Player Data'!$A1:$AE734,18,FALSE)*$Q305</f>
        <v>26.1341207560657</v>
      </c>
      <c r="AE305" s="48">
        <f>VLOOKUP(B305,'Player Data'!$A1:$AE734,19,FALSE)*$Q305*_xlfn.IFERROR((VLOOKUP(P305,'Settings'!$E$28:$F$33,2,FALSE)+1),1)</f>
        <v>3.1696834178829</v>
      </c>
      <c r="AF305" s="48">
        <f>VLOOKUP(B305,'Player Data'!$A1:$AE734,20,FALSE)*$Q305</f>
        <v>257.814006552545</v>
      </c>
      <c r="AG305" s="48">
        <f>VLOOKUP(B305,'Player Data'!$A1:$AE734,21,FALSE)*$Q305</f>
        <v>363.850594104817</v>
      </c>
      <c r="AH305" s="49">
        <f>VLOOKUP(B305,'Player Data'!$A1:$AE734,22,FALSE)</f>
        <v>0.414715597896239</v>
      </c>
      <c r="AI305" s="46"/>
      <c r="AJ305" s="50"/>
      <c r="AK305" s="48"/>
      <c r="AL305" s="48"/>
      <c r="AM305" s="48"/>
      <c r="AN305" s="48"/>
      <c r="AO305" s="48"/>
      <c r="AP305" s="48"/>
      <c r="AQ305" s="51"/>
      <c r="AR305" s="52"/>
      <c r="AS305" s="46"/>
    </row>
    <row r="306" ht="21.25" customHeight="1">
      <c r="A306" s="53">
        <f>RANK(K306,K2:K730)</f>
        <v>371</v>
      </c>
      <c r="B306" t="s" s="8">
        <v>458</v>
      </c>
      <c r="C306" t="s" s="39">
        <v>106</v>
      </c>
      <c r="D306" t="s" s="40">
        <f>VLOOKUP(B306,'Player Data'!A1:D734,4,FALSE)</f>
        <v>118</v>
      </c>
      <c r="E306" s="54">
        <f>VLOOKUP(B306,'LW'!A1:C156,3,FALSE)</f>
        <v>86</v>
      </c>
      <c r="F306" t="s" s="42">
        <f>VLOOKUP(B306,'Player Data'!A1:B734,2,FALSE)</f>
        <v>139</v>
      </c>
      <c r="G306" s="9">
        <f>VLOOKUP(B306,'Player Data'!A1:D734,3,FALSE)</f>
        <v>28</v>
      </c>
      <c r="H306" s="43">
        <f>_xlfn.IFERROR(VLOOKUP(B306,'ADP'!A1:G731,7,FALSE)/1000000,VLOOKUP(B306,'ADP'!A1:G731,7,FALSE))</f>
        <v>4.75</v>
      </c>
      <c r="I306" s="44">
        <f>IF('Settings'!$E$15="POINTS",((R306*Q306)*'Settings'!$B$12)+(S306*'Settings'!$B$2)+(T306*'Settings'!$B$3)+(U306*'Settings'!$B$4)+(V306*'Settings'!$B$5)+(X306*'Settings'!$B$9)+(AA306*'Settings'!$B$6)+(W306*'Settings'!$B$8)+(AB306*'Settings'!$B$7)+(AC306*'Settings'!$B$14)+(AD306*'Settings'!$B$15)+(AE306*'Settings'!$B$16)+(AF306*'Settings'!$B$17)+(AG306*'Settings'!$B$18)+(Y306*'Settings'!$B$10)+(Z306*'Settings'!$B$11),VLOOKUP(B306,'Standard Deviations'!A1:C731,3,FALSE))</f>
        <v>240.466834156187</v>
      </c>
      <c r="J306" s="45">
        <f>IF(D306="G",I306/AJ306,I306/Q306)</f>
        <v>3.02807283684794</v>
      </c>
      <c r="K306" s="44">
        <f>IF('Settings'!$E$18="C/LW/RW",VLOOKUP(B306,'RW'!A1:F132,6,FALSE),VLOOKUP(B306,'F'!A1:F432,6,FALSE))</f>
        <v>-141.161729550169</v>
      </c>
      <c r="L306" s="44">
        <f>_xlfn.IFERROR(K306/H306,"N/A")</f>
        <v>-29.7182588526672</v>
      </c>
      <c r="M306" t="s" s="61">
        <f>IF('Settings'!$E$9="YAHOO",VLOOKUP(B306,'ADP'!A1:E731,2,FALSE),IF('Settings'!$E$9="ESPN",VLOOKUP(B306,'ADP'!A1:E731,3,FALSE),IF('Settings'!$E$9="FANTRAX",VLOOKUP(B306,'ADP'!A1:E731,4,FALSE),VLOOKUP(B306,'ADP'!A1:E731,5,FALSE))))</f>
        <v>329</v>
      </c>
      <c r="N306" t="s" s="61">
        <f>_xlfn.IFERROR(M306-A306,"N/A")</f>
        <v>158</v>
      </c>
      <c r="O306" s="46"/>
      <c r="P306" t="s" s="47">
        <f>IF('Settings'!$E$27="ON",VLOOKUP(B306,'ADP'!A1:H731,8,FALSE)," ")</f>
        <v>109</v>
      </c>
      <c r="Q306" s="48">
        <f>IF('Settings'!$E$12="YES",VLOOKUP(B306,'Player Data'!A1:E734,5,FALSE),82)</f>
        <v>79.41249999999999</v>
      </c>
      <c r="R306" s="46">
        <f>VLOOKUP(B306,'Player Data'!$A1:$AE734,6,FALSE)</f>
        <v>13.6716344685976</v>
      </c>
      <c r="S306" s="48">
        <f>VLOOKUP(B306,'Player Data'!$A1:$AE734,7,FALSE)*$Q306*_xlfn.IFERROR((VLOOKUP(P306,'Settings'!$E$28:$F$33,2,FALSE)+1),1)</f>
        <v>20.638142940583</v>
      </c>
      <c r="T306" s="48">
        <f>VLOOKUP(B306,'Player Data'!$A1:$AE734,8,FALSE)*$Q306*_xlfn.IFERROR((VLOOKUP(P306,'Settings'!$E$28:$F$33,2,FALSE)+1),1)</f>
        <v>18.2545719173215</v>
      </c>
      <c r="U306" s="48">
        <f>SUM(S306:T306)</f>
        <v>38.8927148579045</v>
      </c>
      <c r="V306" s="48">
        <f>VLOOKUP(B306,'Player Data'!$A1:$AE734,10,FALSE)*$Q306*_xlfn.IFERROR(((VLOOKUP(P306,'Settings'!$E$28:$F$33,2,FALSE)/2)+1),1)</f>
        <v>153.697924072845</v>
      </c>
      <c r="W306" s="48">
        <f>VLOOKUP(B306,'Player Data'!$A1:$AE734,11,FALSE)*$Q306*_xlfn.IFERROR((VLOOKUP(P306,'Settings'!$E$28:$F$33,2,FALSE)+1),1)</f>
        <v>5.3691104136625</v>
      </c>
      <c r="X306" s="48">
        <f>VLOOKUP(B306,'Player Data'!$A1:$AE734,12,FALSE)*$Q306*_xlfn.IFERROR((VLOOKUP(P306,'Settings'!$E$28:$F$33,2,FALSE)+1),1)</f>
        <v>10.0364673855952</v>
      </c>
      <c r="Y306" s="48">
        <f>VLOOKUP(B306,'Player Data'!$A1:$AE734,13,FALSE)*$Q306</f>
        <v>0.007866721737924199</v>
      </c>
      <c r="Z306" s="48">
        <f>VLOOKUP(B306,'Player Data'!$A1:$AE734,14,FALSE)*$Q306</f>
        <v>0.0356871981736425</v>
      </c>
      <c r="AA306" s="48">
        <f>VLOOKUP(B306,'Player Data'!$A1:$AE734,15,FALSE)*$Q306</f>
        <v>18.1055865191581</v>
      </c>
      <c r="AB306" s="48">
        <f>VLOOKUP(B306,'Player Data'!$A1:$AE734,16,FALSE)*$Q306</f>
        <v>27.4333819170019</v>
      </c>
      <c r="AC306" s="48">
        <f>VLOOKUP(B306,'Player Data'!$A1:$AE734,17,FALSE)*$Q306*_xlfn.IFERROR((VLOOKUP(P306,'Settings'!$E$28:$F$33,2,FALSE)+1),1)</f>
        <v>-4.10379710454251</v>
      </c>
      <c r="AD306" s="48">
        <f>VLOOKUP(B306,'Player Data'!$A1:$AE734,18,FALSE)*$Q306</f>
        <v>9.89686139452607</v>
      </c>
      <c r="AE306" s="48">
        <f>VLOOKUP(B306,'Player Data'!$A1:$AE734,19,FALSE)*$Q306*_xlfn.IFERROR((VLOOKUP(P306,'Settings'!$E$28:$F$33,2,FALSE)+1),1)</f>
        <v>2.64207558731655</v>
      </c>
      <c r="AF306" s="48">
        <f>VLOOKUP(B306,'Player Data'!$A1:$AE734,20,FALSE)*$Q306</f>
        <v>0.867562738305887</v>
      </c>
      <c r="AG306" s="48">
        <f>VLOOKUP(B306,'Player Data'!$A1:$AE734,21,FALSE)*$Q306</f>
        <v>3.90978495437612</v>
      </c>
      <c r="AH306" s="49">
        <f>VLOOKUP(B306,'Player Data'!$A1:$AE734,22,FALSE)</f>
        <v>0.181599245881732</v>
      </c>
      <c r="AI306" s="46"/>
      <c r="AJ306" s="50"/>
      <c r="AK306" s="48"/>
      <c r="AL306" s="48"/>
      <c r="AM306" s="48"/>
      <c r="AN306" s="48"/>
      <c r="AO306" s="48"/>
      <c r="AP306" s="48"/>
      <c r="AQ306" s="51"/>
      <c r="AR306" s="52"/>
      <c r="AS306" s="46"/>
    </row>
    <row r="307" ht="21.25" customHeight="1">
      <c r="A307" s="53">
        <f>RANK(K307,K2:K730)</f>
        <v>410</v>
      </c>
      <c r="B307" t="s" s="8">
        <v>459</v>
      </c>
      <c r="C307" t="s" s="39">
        <v>106</v>
      </c>
      <c r="D307" t="s" s="40">
        <f>VLOOKUP(B307,'Player Data'!A1:D734,4,FALSE)</f>
        <v>129</v>
      </c>
      <c r="E307" s="56">
        <f>VLOOKUP(B307,'D'!A1:C228,3,FALSE)</f>
        <v>138</v>
      </c>
      <c r="F307" t="s" s="42">
        <f>VLOOKUP(B307,'Player Data'!A1:B734,2,FALSE)</f>
        <v>189</v>
      </c>
      <c r="G307" s="9">
        <f>VLOOKUP(B307,'Player Data'!A1:D734,3,FALSE)</f>
        <v>23</v>
      </c>
      <c r="H307" s="43">
        <f>_xlfn.IFERROR(VLOOKUP(B307,'ADP'!A1:G731,7,FALSE)/1000000,VLOOKUP(B307,'ADP'!A1:G731,7,FALSE))</f>
        <v>2.6</v>
      </c>
      <c r="I307" s="44">
        <f>IF('Settings'!$E$15="POINTS",((R307*Q307)*'Settings'!$B$12)+(S307*'Settings'!$B$2)+(T307*'Settings'!$B$3)+(U307*'Settings'!$B$4)+(V307*'Settings'!$B$5)+(X307*'Settings'!$B$9)+(AA307*'Settings'!$B$6)+(W307*'Settings'!$B$8)+(AB307*'Settings'!$B$7)+(AC307*'Settings'!$B$14)+(AD307*'Settings'!$B$15)+(AE307*'Settings'!$B$16)+(AF307*'Settings'!$B$17)+(AG307*'Settings'!$B$18)+(U307*'Settings'!$B$13)+(Y307*'Settings'!$B$10)+(Z307*'Settings'!$B$11),VLOOKUP(B307,'Standard Deviations'!A1:C731,3,FALSE))</f>
        <v>186.297648987088</v>
      </c>
      <c r="J307" s="45">
        <f>IF(D307="G",I307/AJ307,I307/Q307)</f>
        <v>2.58387862672799</v>
      </c>
      <c r="K307" s="44">
        <f>VLOOKUP(B307,'D'!A1:F228,6,FALSE)</f>
        <v>-154.437489659435</v>
      </c>
      <c r="L307" s="44">
        <f>_xlfn.IFERROR(K307/H307,"N/A")</f>
        <v>-59.3990344843981</v>
      </c>
      <c r="M307" t="s" s="61">
        <f>IF('Settings'!$E$9="YAHOO",VLOOKUP(B307,'ADP'!A1:E731,2,FALSE),IF('Settings'!$E$9="ESPN",VLOOKUP(B307,'ADP'!A1:E731,3,FALSE),IF('Settings'!$E$9="FANTRAX",VLOOKUP(B307,'ADP'!A1:E731,4,FALSE),VLOOKUP(B307,'ADP'!A1:E731,5,FALSE))))</f>
        <v>329</v>
      </c>
      <c r="N307" t="s" s="61">
        <f>_xlfn.IFERROR(M307-A307,"N/A")</f>
        <v>158</v>
      </c>
      <c r="O307" s="46"/>
      <c r="P307" t="s" s="47">
        <f>IF('Settings'!$E$27="ON",VLOOKUP(B307,'ADP'!A1:H731,8,FALSE)," ")</f>
        <v>109</v>
      </c>
      <c r="Q307" s="48">
        <f>IF('Settings'!$E$12="YES",VLOOKUP(B307,'Player Data'!A1:E734,5,FALSE),82)</f>
        <v>72.09999999999999</v>
      </c>
      <c r="R307" s="46">
        <f>VLOOKUP(B307,'Player Data'!$A1:$AE734,6,FALSE)</f>
        <v>16.7589484984176</v>
      </c>
      <c r="S307" s="48">
        <f>VLOOKUP(B307,'Player Data'!$A1:$AE734,7,FALSE)*$Q307*_xlfn.IFERROR((VLOOKUP(P307,'Settings'!$E$28:$F$33,2,FALSE)+1),1)</f>
        <v>8.09872111687053</v>
      </c>
      <c r="T307" s="48">
        <f>VLOOKUP(B307,'Player Data'!$A1:$AE734,8,FALSE)*$Q307*_xlfn.IFERROR((VLOOKUP(P307,'Settings'!$E$28:$F$33,2,FALSE)+1),1)</f>
        <v>18.6996389195379</v>
      </c>
      <c r="U307" s="48">
        <f>SUM(S307:T307)</f>
        <v>26.7983600364084</v>
      </c>
      <c r="V307" s="48">
        <f>VLOOKUP(B307,'Player Data'!$A1:$AE734,10,FALSE)*$Q307*_xlfn.IFERROR(((VLOOKUP(P307,'Settings'!$E$28:$F$33,2,FALSE)/2)+1),1)</f>
        <v>86.8103521895534</v>
      </c>
      <c r="W307" s="48">
        <f>VLOOKUP(B307,'Player Data'!$A1:$AE734,11,FALSE)*$Q307*_xlfn.IFERROR((VLOOKUP(P307,'Settings'!$E$28:$F$33,2,FALSE)+1),1)</f>
        <v>0.810739046262609</v>
      </c>
      <c r="X307" s="48">
        <f>VLOOKUP(B307,'Player Data'!$A1:$AE734,12,FALSE)*$Q307*_xlfn.IFERROR((VLOOKUP(P307,'Settings'!$E$28:$F$33,2,FALSE)+1),1)</f>
        <v>5.35129745180936</v>
      </c>
      <c r="Y307" s="48">
        <f>VLOOKUP(B307,'Player Data'!$A1:$AE734,13,FALSE)*$Q307</f>
        <v>0.00315549313819941</v>
      </c>
      <c r="Z307" s="48">
        <f>VLOOKUP(B307,'Player Data'!$A1:$AE734,14,FALSE)*$Q307</f>
        <v>0.0117809674990332</v>
      </c>
      <c r="AA307" s="48">
        <f>VLOOKUP(B307,'Player Data'!$A1:$AE734,15,FALSE)*$Q307</f>
        <v>73.1299252999208</v>
      </c>
      <c r="AB307" s="48">
        <f>VLOOKUP(B307,'Player Data'!$A1:$AE734,16,FALSE)*$Q307</f>
        <v>55.0431460912872</v>
      </c>
      <c r="AC307" s="48">
        <f>VLOOKUP(B307,'Player Data'!$A1:$AE734,17,FALSE)*$Q307*_xlfn.IFERROR((VLOOKUP(P307,'Settings'!$E$28:$F$33,2,FALSE)+1),1)</f>
        <v>-4.98134433399497</v>
      </c>
      <c r="AD307" s="48">
        <f>VLOOKUP(B307,'Player Data'!$A1:$AE734,18,FALSE)*$Q307</f>
        <v>20.158848069196</v>
      </c>
      <c r="AE307" s="48">
        <f>VLOOKUP(B307,'Player Data'!$A1:$AE734,19,FALSE)*$Q307*_xlfn.IFERROR((VLOOKUP(P307,'Settings'!$E$28:$F$33,2,FALSE)+1),1)</f>
        <v>0.867833728884189</v>
      </c>
      <c r="AF307" s="48">
        <f>VLOOKUP(B307,'Player Data'!$A1:$AE734,20,FALSE)*$Q307</f>
        <v>0</v>
      </c>
      <c r="AG307" s="48">
        <f>VLOOKUP(B307,'Player Data'!$A1:$AE734,21,FALSE)*$Q307</f>
        <v>0</v>
      </c>
      <c r="AH307" s="49">
        <f>VLOOKUP(B307,'Player Data'!$A1:$AE734,22,FALSE)</f>
        <v>0</v>
      </c>
      <c r="AI307" s="46"/>
      <c r="AJ307" s="50"/>
      <c r="AK307" s="48"/>
      <c r="AL307" s="48"/>
      <c r="AM307" s="48"/>
      <c r="AN307" s="48"/>
      <c r="AO307" s="48"/>
      <c r="AP307" s="48"/>
      <c r="AQ307" s="51"/>
      <c r="AR307" s="52"/>
      <c r="AS307" s="46"/>
    </row>
    <row r="308" ht="21.25" customHeight="1">
      <c r="A308" s="53">
        <f>RANK(K308,K2:K730)</f>
        <v>328</v>
      </c>
      <c r="B308" t="s" s="8">
        <v>460</v>
      </c>
      <c r="C308" t="s" s="39">
        <v>106</v>
      </c>
      <c r="D308" t="s" s="40">
        <f>VLOOKUP(B308,'Player Data'!A1:D734,4,FALSE)</f>
        <v>133</v>
      </c>
      <c r="E308" s="57">
        <f>VLOOKUP(B308,'LW'!A1:C156,3,FALSE)</f>
        <v>76</v>
      </c>
      <c r="F308" t="s" s="42">
        <f>VLOOKUP(B308,'Player Data'!A1:B734,2,FALSE)</f>
        <v>141</v>
      </c>
      <c r="G308" s="9">
        <f>VLOOKUP(B308,'Player Data'!A1:D734,3,FALSE)</f>
        <v>27</v>
      </c>
      <c r="H308" s="43">
        <f>_xlfn.IFERROR(VLOOKUP(B308,'ADP'!A1:G731,7,FALSE)/1000000,VLOOKUP(B308,'ADP'!A1:G731,7,FALSE))</f>
        <v>3</v>
      </c>
      <c r="I308" s="44">
        <f>IF('Settings'!$E$15="POINTS",((R308*Q308)*'Settings'!$B$12)+(S308*'Settings'!$B$2)+(T308*'Settings'!$B$3)+(U308*'Settings'!$B$4)+(V308*'Settings'!$B$5)+(X308*'Settings'!$B$9)+(AA308*'Settings'!$B$6)+(W308*'Settings'!$B$8)+(AB308*'Settings'!$B$7)+(AC308*'Settings'!$B$14)+(AD308*'Settings'!$B$15)+(AE308*'Settings'!$B$16)+(AF308*'Settings'!$B$17)+(AG308*'Settings'!$B$18)+(Y308*'Settings'!$B$10)+(Z308*'Settings'!$B$11),VLOOKUP(B308,'Standard Deviations'!A1:C731,3,FALSE))</f>
        <v>258.467249411365</v>
      </c>
      <c r="J308" s="45">
        <f>IF(D308="G",I308/AJ308,I308/Q308)</f>
        <v>3.87507120556769</v>
      </c>
      <c r="K308" s="44">
        <f>IF('Settings'!$E$18="C/LW/RW",VLOOKUP(B308,'LW'!A1:F156,6,FALSE),VLOOKUP(B308,'F'!A1:F432,6,FALSE))</f>
        <v>-123.161314294991</v>
      </c>
      <c r="L308" s="44">
        <f>_xlfn.IFERROR(K308/H308,"N/A")</f>
        <v>-41.0537714316637</v>
      </c>
      <c r="M308" s="46">
        <f>IF('Settings'!$E$9="YAHOO",VLOOKUP(B308,'ADP'!A1:E731,2,FALSE),IF('Settings'!$E$9="ESPN",VLOOKUP(B308,'ADP'!A1:E731,3,FALSE),IF('Settings'!$E$9="FANTRAX",VLOOKUP(B308,'ADP'!A1:E731,4,FALSE),VLOOKUP(B308,'ADP'!A1:E731,5,FALSE))))</f>
        <v>220.75</v>
      </c>
      <c r="N308" s="46">
        <f>_xlfn.IFERROR(M308-A308,"N/A")</f>
        <v>-107.25</v>
      </c>
      <c r="O308" s="46"/>
      <c r="P308" t="s" s="47">
        <f>IF('Settings'!$E$27="ON",VLOOKUP(B308,'ADP'!A1:H731,8,FALSE)," ")</f>
        <v>109</v>
      </c>
      <c r="Q308" s="48">
        <f>IF('Settings'!$E$12="YES",VLOOKUP(B308,'Player Data'!A1:E734,5,FALSE),82)</f>
        <v>66.7</v>
      </c>
      <c r="R308" s="46">
        <f>VLOOKUP(B308,'Player Data'!$A1:$AE734,6,FALSE)</f>
        <v>15.500003491192</v>
      </c>
      <c r="S308" s="48">
        <f>VLOOKUP(B308,'Player Data'!$A1:$AE734,7,FALSE)*$Q308*_xlfn.IFERROR((VLOOKUP(P308,'Settings'!$E$28:$F$33,2,FALSE)+1),1)</f>
        <v>19.2534070377737</v>
      </c>
      <c r="T308" s="48">
        <f>VLOOKUP(B308,'Player Data'!$A1:$AE734,8,FALSE)*$Q308*_xlfn.IFERROR((VLOOKUP(P308,'Settings'!$E$28:$F$33,2,FALSE)+1),1)</f>
        <v>25.0326309705426</v>
      </c>
      <c r="U308" s="48">
        <f>SUM(S308:T308)</f>
        <v>44.2860380083163</v>
      </c>
      <c r="V308" s="48">
        <f>VLOOKUP(B308,'Player Data'!$A1:$AE734,10,FALSE)*$Q308*_xlfn.IFERROR(((VLOOKUP(P308,'Settings'!$E$28:$F$33,2,FALSE)/2)+1),1)</f>
        <v>144.561489883901</v>
      </c>
      <c r="W308" s="48">
        <f>VLOOKUP(B308,'Player Data'!$A1:$AE734,11,FALSE)*$Q308*_xlfn.IFERROR((VLOOKUP(P308,'Settings'!$E$28:$F$33,2,FALSE)+1),1)</f>
        <v>3.07842642593038</v>
      </c>
      <c r="X308" s="48">
        <f>VLOOKUP(B308,'Player Data'!$A1:$AE734,12,FALSE)*$Q308*_xlfn.IFERROR((VLOOKUP(P308,'Settings'!$E$28:$F$33,2,FALSE)+1),1)</f>
        <v>7.27429633886198</v>
      </c>
      <c r="Y308" s="48">
        <f>VLOOKUP(B308,'Player Data'!$A1:$AE734,13,FALSE)*$Q308</f>
        <v>0.0103288626483843</v>
      </c>
      <c r="Z308" s="48">
        <f>VLOOKUP(B308,'Player Data'!$A1:$AE734,14,FALSE)*$Q308</f>
        <v>0.0359033211159758</v>
      </c>
      <c r="AA308" s="48">
        <f>VLOOKUP(B308,'Player Data'!$A1:$AE734,15,FALSE)*$Q308</f>
        <v>22.582372244876</v>
      </c>
      <c r="AB308" s="48">
        <f>VLOOKUP(B308,'Player Data'!$A1:$AE734,16,FALSE)*$Q308</f>
        <v>52.3411484925399</v>
      </c>
      <c r="AC308" s="48">
        <f>VLOOKUP(B308,'Player Data'!$A1:$AE734,17,FALSE)*$Q308*_xlfn.IFERROR((VLOOKUP(P308,'Settings'!$E$28:$F$33,2,FALSE)+1),1)</f>
        <v>1.09691200279816</v>
      </c>
      <c r="AD308" s="48">
        <f>VLOOKUP(B308,'Player Data'!$A1:$AE734,18,FALSE)*$Q308</f>
        <v>20.6907953181248</v>
      </c>
      <c r="AE308" s="48">
        <f>VLOOKUP(B308,'Player Data'!$A1:$AE734,19,FALSE)*$Q308*_xlfn.IFERROR((VLOOKUP(P308,'Settings'!$E$28:$F$33,2,FALSE)+1),1)</f>
        <v>2.39042127599489</v>
      </c>
      <c r="AF308" s="48">
        <f>VLOOKUP(B308,'Player Data'!$A1:$AE734,20,FALSE)*$Q308</f>
        <v>0.365395502471644</v>
      </c>
      <c r="AG308" s="48">
        <f>VLOOKUP(B308,'Player Data'!$A1:$AE734,21,FALSE)*$Q308</f>
        <v>0.916188341643189</v>
      </c>
      <c r="AH308" s="49">
        <f>VLOOKUP(B308,'Player Data'!$A1:$AE734,22,FALSE)</f>
        <v>0.285112444378554</v>
      </c>
      <c r="AI308" s="46"/>
      <c r="AJ308" s="50"/>
      <c r="AK308" s="48"/>
      <c r="AL308" s="48"/>
      <c r="AM308" s="48"/>
      <c r="AN308" s="48"/>
      <c r="AO308" s="48"/>
      <c r="AP308" s="48"/>
      <c r="AQ308" s="51"/>
      <c r="AR308" s="52"/>
      <c r="AS308" s="46"/>
    </row>
    <row r="309" ht="21.25" customHeight="1">
      <c r="A309" s="53">
        <f>RANK(K309,K2:K730)</f>
        <v>340</v>
      </c>
      <c r="B309" t="s" s="8">
        <v>461</v>
      </c>
      <c r="C309" t="s" s="39">
        <v>106</v>
      </c>
      <c r="D309" t="s" s="40">
        <f>VLOOKUP(B309,'Player Data'!A1:D734,4,FALSE)</f>
        <v>111</v>
      </c>
      <c r="E309" s="54">
        <f>VLOOKUP(B309,'LW'!A1:C156,3,FALSE)</f>
        <v>79</v>
      </c>
      <c r="F309" t="s" s="42">
        <f>VLOOKUP(B309,'Player Data'!A1:B734,2,FALSE)</f>
        <v>119</v>
      </c>
      <c r="G309" s="9">
        <f>VLOOKUP(B309,'Player Data'!A1:D734,3,FALSE)</f>
        <v>30</v>
      </c>
      <c r="H309" s="43">
        <f>_xlfn.IFERROR(VLOOKUP(B309,'ADP'!A1:G731,7,FALSE)/1000000,VLOOKUP(B309,'ADP'!A1:G731,7,FALSE))</f>
        <v>3</v>
      </c>
      <c r="I309" s="44">
        <f>IF('Settings'!$E$15="POINTS",((R309*Q309)*'Settings'!$B$12)+(S309*'Settings'!$B$2)+(T309*'Settings'!$B$3)+(U309*'Settings'!$B$4)+(V309*'Settings'!$B$5)+(X309*'Settings'!$B$9)+(AA309*'Settings'!$B$6)+(W309*'Settings'!$B$8)+(AB309*'Settings'!$B$7)+(AC309*'Settings'!$B$14)+(AD309*'Settings'!$B$15)+(AE309*'Settings'!$B$16)+(AF309*'Settings'!$B$17)+(AG309*'Settings'!$B$18)+(Y309*'Settings'!$B$10)+(Z309*'Settings'!$B$11),VLOOKUP(B309,'Standard Deviations'!A1:C731,3,FALSE))</f>
        <v>253.583202145797</v>
      </c>
      <c r="J309" s="45">
        <f>IF(D309="G",I309/AJ309,I309/Q309)</f>
        <v>3.30843409303365</v>
      </c>
      <c r="K309" s="44">
        <f>IF('Settings'!$E$18="C/LW/RW",VLOOKUP(B309,'LW'!A1:F156,6,FALSE),VLOOKUP(B309,'F'!A1:F432,6,FALSE))</f>
        <v>-128.045361560559</v>
      </c>
      <c r="L309" s="44">
        <f>_xlfn.IFERROR(K309/H309,"N/A")</f>
        <v>-42.681787186853</v>
      </c>
      <c r="M309" s="46">
        <f>IF('Settings'!$E$9="YAHOO",VLOOKUP(B309,'ADP'!A1:E731,2,FALSE),IF('Settings'!$E$9="ESPN",VLOOKUP(B309,'ADP'!A1:E731,3,FALSE),IF('Settings'!$E$9="FANTRAX",VLOOKUP(B309,'ADP'!A1:E731,4,FALSE),VLOOKUP(B309,'ADP'!A1:E731,5,FALSE))))</f>
        <v>223.01</v>
      </c>
      <c r="N309" s="46">
        <f>_xlfn.IFERROR(M309-A309,"N/A")</f>
        <v>-116.99</v>
      </c>
      <c r="O309" s="46"/>
      <c r="P309" t="s" s="47">
        <f>IF('Settings'!$E$27="ON",VLOOKUP(B309,'ADP'!A1:H731,8,FALSE)," ")</f>
        <v>109</v>
      </c>
      <c r="Q309" s="48">
        <f>IF('Settings'!$E$12="YES",VLOOKUP(B309,'Player Data'!A1:E734,5,FALSE),82)</f>
        <v>76.64749999999999</v>
      </c>
      <c r="R309" s="46">
        <f>VLOOKUP(B309,'Player Data'!$A1:$AE734,6,FALSE)</f>
        <v>15.7248093583314</v>
      </c>
      <c r="S309" s="48">
        <f>VLOOKUP(B309,'Player Data'!$A1:$AE734,7,FALSE)*$Q309*_xlfn.IFERROR((VLOOKUP(P309,'Settings'!$E$28:$F$33,2,FALSE)+1),1)</f>
        <v>15.3044774857125</v>
      </c>
      <c r="T309" s="48">
        <f>VLOOKUP(B309,'Player Data'!$A1:$AE734,8,FALSE)*$Q309*_xlfn.IFERROR((VLOOKUP(P309,'Settings'!$E$28:$F$33,2,FALSE)+1),1)</f>
        <v>21.9152992596871</v>
      </c>
      <c r="U309" s="48">
        <f>SUM(S309:T309)</f>
        <v>37.2197767453996</v>
      </c>
      <c r="V309" s="48">
        <f>VLOOKUP(B309,'Player Data'!$A1:$AE734,10,FALSE)*$Q309*_xlfn.IFERROR(((VLOOKUP(P309,'Settings'!$E$28:$F$33,2,FALSE)/2)+1),1)</f>
        <v>183.465702825550</v>
      </c>
      <c r="W309" s="48">
        <f>VLOOKUP(B309,'Player Data'!$A1:$AE734,11,FALSE)*$Q309*_xlfn.IFERROR((VLOOKUP(P309,'Settings'!$E$28:$F$33,2,FALSE)+1),1)</f>
        <v>4.26282450318508</v>
      </c>
      <c r="X309" s="48">
        <f>VLOOKUP(B309,'Player Data'!$A1:$AE734,12,FALSE)*$Q309*_xlfn.IFERROR((VLOOKUP(P309,'Settings'!$E$28:$F$33,2,FALSE)+1),1)</f>
        <v>7.22935915615886</v>
      </c>
      <c r="Y309" s="48">
        <f>VLOOKUP(B309,'Player Data'!$A1:$AE734,13,FALSE)*$Q309</f>
        <v>0.0953210383083988</v>
      </c>
      <c r="Z309" s="48">
        <f>VLOOKUP(B309,'Player Data'!$A1:$AE734,14,FALSE)*$Q309</f>
        <v>0.176374932786486</v>
      </c>
      <c r="AA309" s="48">
        <f>VLOOKUP(B309,'Player Data'!$A1:$AE734,15,FALSE)*$Q309</f>
        <v>28.0923669482725</v>
      </c>
      <c r="AB309" s="48">
        <f>VLOOKUP(B309,'Player Data'!$A1:$AE734,16,FALSE)*$Q309</f>
        <v>51.3414837141815</v>
      </c>
      <c r="AC309" s="48">
        <f>VLOOKUP(B309,'Player Data'!$A1:$AE734,17,FALSE)*$Q309*_xlfn.IFERROR((VLOOKUP(P309,'Settings'!$E$28:$F$33,2,FALSE)+1),1)</f>
        <v>3.78948303417893</v>
      </c>
      <c r="AD309" s="48">
        <f>VLOOKUP(B309,'Player Data'!$A1:$AE734,18,FALSE)*$Q309</f>
        <v>23.6292633217993</v>
      </c>
      <c r="AE309" s="48">
        <f>VLOOKUP(B309,'Player Data'!$A1:$AE734,19,FALSE)*$Q309*_xlfn.IFERROR((VLOOKUP(P309,'Settings'!$E$28:$F$33,2,FALSE)+1),1)</f>
        <v>2.19546220457477</v>
      </c>
      <c r="AF309" s="48">
        <f>VLOOKUP(B309,'Player Data'!$A1:$AE734,20,FALSE)*$Q309</f>
        <v>124.657505033383</v>
      </c>
      <c r="AG309" s="48">
        <f>VLOOKUP(B309,'Player Data'!$A1:$AE734,21,FALSE)*$Q309</f>
        <v>136.355320748312</v>
      </c>
      <c r="AH309" s="49">
        <f>VLOOKUP(B309,'Player Data'!$A1:$AE734,22,FALSE)</f>
        <v>0.477591492525519</v>
      </c>
      <c r="AI309" s="46"/>
      <c r="AJ309" s="50"/>
      <c r="AK309" s="48"/>
      <c r="AL309" s="48"/>
      <c r="AM309" s="48"/>
      <c r="AN309" s="48"/>
      <c r="AO309" s="48"/>
      <c r="AP309" s="48"/>
      <c r="AQ309" s="51"/>
      <c r="AR309" s="52"/>
      <c r="AS309" s="50"/>
    </row>
    <row r="310" ht="21.25" customHeight="1">
      <c r="A310" s="53">
        <f>RANK(K310,K2:K730)</f>
        <v>394</v>
      </c>
      <c r="B310" t="s" s="8">
        <v>462</v>
      </c>
      <c r="C310" t="s" s="39">
        <v>106</v>
      </c>
      <c r="D310" t="s" s="40">
        <f>VLOOKUP(B310,'Player Data'!A1:D734,4,FALSE)</f>
        <v>129</v>
      </c>
      <c r="E310" s="56">
        <f>VLOOKUP(B310,'D'!A1:C228,3,FALSE)</f>
        <v>132</v>
      </c>
      <c r="F310" t="s" s="42">
        <f>VLOOKUP(B310,'Player Data'!A1:B734,2,FALSE)</f>
        <v>122</v>
      </c>
      <c r="G310" s="9">
        <f>VLOOKUP(B310,'Player Data'!A1:D734,3,FALSE)</f>
        <v>29</v>
      </c>
      <c r="H310" s="43">
        <f>_xlfn.IFERROR(VLOOKUP(B310,'ADP'!A1:G731,7,FALSE)/1000000,VLOOKUP(B310,'ADP'!A1:G731,7,FALSE))</f>
        <v>3.6875</v>
      </c>
      <c r="I310" s="44">
        <f>IF('Settings'!$E$15="POINTS",((R310*Q310)*'Settings'!$B$12)+(S310*'Settings'!$B$2)+(T310*'Settings'!$B$3)+(U310*'Settings'!$B$4)+(V310*'Settings'!$B$5)+(X310*'Settings'!$B$9)+(AA310*'Settings'!$B$6)+(W310*'Settings'!$B$8)+(AB310*'Settings'!$B$7)+(AC310*'Settings'!$B$14)+(AD310*'Settings'!$B$15)+(AE310*'Settings'!$B$16)+(AF310*'Settings'!$B$17)+(AG310*'Settings'!$B$18)+(U310*'Settings'!$B$13)+(Y310*'Settings'!$B$10)+(Z310*'Settings'!$B$11),VLOOKUP(B310,'Standard Deviations'!A1:C731,3,FALSE))</f>
        <v>191.490726490783</v>
      </c>
      <c r="J310" s="45">
        <f>IF(D310="G",I310/AJ310,I310/Q310)</f>
        <v>2.49441281309231</v>
      </c>
      <c r="K310" s="44">
        <f>VLOOKUP(B310,'D'!A1:F228,6,FALSE)</f>
        <v>-149.244412155740</v>
      </c>
      <c r="L310" s="44">
        <f>_xlfn.IFERROR(K310/H310,"N/A")</f>
        <v>-40.4730609235905</v>
      </c>
      <c r="M310" t="s" s="61">
        <f>IF('Settings'!$E$9="YAHOO",VLOOKUP(B310,'ADP'!A1:E731,2,FALSE),IF('Settings'!$E$9="ESPN",VLOOKUP(B310,'ADP'!A1:E731,3,FALSE),IF('Settings'!$E$9="FANTRAX",VLOOKUP(B310,'ADP'!A1:E731,4,FALSE),VLOOKUP(B310,'ADP'!A1:E731,5,FALSE))))</f>
        <v>329</v>
      </c>
      <c r="N310" t="s" s="61">
        <f>_xlfn.IFERROR(M310-A310,"N/A")</f>
        <v>158</v>
      </c>
      <c r="O310" s="46"/>
      <c r="P310" t="s" s="47">
        <f>IF('Settings'!$E$27="ON",VLOOKUP(B310,'ADP'!A1:H731,8,FALSE)," ")</f>
        <v>109</v>
      </c>
      <c r="Q310" s="48">
        <f>IF('Settings'!$E$12="YES",VLOOKUP(B310,'Player Data'!A1:E734,5,FALSE),82)</f>
        <v>76.7678571428571</v>
      </c>
      <c r="R310" s="46">
        <f>VLOOKUP(B310,'Player Data'!$A1:$AE734,6,FALSE)</f>
        <v>17.3033809175813</v>
      </c>
      <c r="S310" s="48">
        <f>VLOOKUP(B310,'Player Data'!$A1:$AE734,7,FALSE)*$Q310*_xlfn.IFERROR((VLOOKUP(P310,'Settings'!$E$28:$F$33,2,FALSE)+1),1)</f>
        <v>4.60637246498422</v>
      </c>
      <c r="T310" s="48">
        <f>VLOOKUP(B310,'Player Data'!$A1:$AE734,8,FALSE)*$Q310*_xlfn.IFERROR((VLOOKUP(P310,'Settings'!$E$28:$F$33,2,FALSE)+1),1)</f>
        <v>19.7074466043204</v>
      </c>
      <c r="U310" s="48">
        <f>SUM(S310:T310)</f>
        <v>24.3138190693046</v>
      </c>
      <c r="V310" s="48">
        <f>VLOOKUP(B310,'Player Data'!$A1:$AE734,10,FALSE)*$Q310*_xlfn.IFERROR(((VLOOKUP(P310,'Settings'!$E$28:$F$33,2,FALSE)/2)+1),1)</f>
        <v>108.446240304370</v>
      </c>
      <c r="W310" s="48">
        <f>VLOOKUP(B310,'Player Data'!$A1:$AE734,11,FALSE)*$Q310*_xlfn.IFERROR((VLOOKUP(P310,'Settings'!$E$28:$F$33,2,FALSE)+1),1)</f>
        <v>0.156016470495857</v>
      </c>
      <c r="X310" s="48">
        <f>VLOOKUP(B310,'Player Data'!$A1:$AE734,12,FALSE)*$Q310*_xlfn.IFERROR((VLOOKUP(P310,'Settings'!$E$28:$F$33,2,FALSE)+1),1)</f>
        <v>1.78187891235214</v>
      </c>
      <c r="Y310" s="48">
        <f>VLOOKUP(B310,'Player Data'!$A1:$AE734,13,FALSE)*$Q310</f>
        <v>0.0101827356946318</v>
      </c>
      <c r="Z310" s="48">
        <f>VLOOKUP(B310,'Player Data'!$A1:$AE734,14,FALSE)*$Q310</f>
        <v>0.0384364953521366</v>
      </c>
      <c r="AA310" s="48">
        <f>VLOOKUP(B310,'Player Data'!$A1:$AE734,15,FALSE)*$Q310</f>
        <v>84.0571133851585</v>
      </c>
      <c r="AB310" s="48">
        <f>VLOOKUP(B310,'Player Data'!$A1:$AE734,16,FALSE)*$Q310</f>
        <v>61.2446429996991</v>
      </c>
      <c r="AC310" s="48">
        <f>VLOOKUP(B310,'Player Data'!$A1:$AE734,17,FALSE)*$Q310*_xlfn.IFERROR((VLOOKUP(P310,'Settings'!$E$28:$F$33,2,FALSE)+1),1)</f>
        <v>6.98023096346341</v>
      </c>
      <c r="AD310" s="48">
        <f>VLOOKUP(B310,'Player Data'!$A1:$AE734,18,FALSE)*$Q310</f>
        <v>29.3741294269956</v>
      </c>
      <c r="AE310" s="48">
        <f>VLOOKUP(B310,'Player Data'!$A1:$AE734,19,FALSE)*$Q310*_xlfn.IFERROR((VLOOKUP(P310,'Settings'!$E$28:$F$33,2,FALSE)+1),1)</f>
        <v>0.773319286314834</v>
      </c>
      <c r="AF310" s="48">
        <f>VLOOKUP(B310,'Player Data'!$A1:$AE734,20,FALSE)*$Q310</f>
        <v>0</v>
      </c>
      <c r="AG310" s="48">
        <f>VLOOKUP(B310,'Player Data'!$A1:$AE734,21,FALSE)*$Q310</f>
        <v>0</v>
      </c>
      <c r="AH310" s="49">
        <f>VLOOKUP(B310,'Player Data'!$A1:$AE734,22,FALSE)</f>
        <v>0</v>
      </c>
      <c r="AI310" s="46"/>
      <c r="AJ310" s="50"/>
      <c r="AK310" s="48"/>
      <c r="AL310" s="48"/>
      <c r="AM310" s="48"/>
      <c r="AN310" s="48"/>
      <c r="AO310" s="48"/>
      <c r="AP310" s="48"/>
      <c r="AQ310" s="51"/>
      <c r="AR310" s="52"/>
      <c r="AS310" s="46"/>
    </row>
    <row r="311" ht="21.25" customHeight="1">
      <c r="A311" s="53">
        <f>RANK(K311,K2:K730)</f>
        <v>232</v>
      </c>
      <c r="B311" t="s" s="8">
        <v>463</v>
      </c>
      <c r="C311" t="s" s="39">
        <v>106</v>
      </c>
      <c r="D311" t="s" s="40">
        <f>VLOOKUP(B311,'Player Data'!A1:D734,4,FALSE)</f>
        <v>118</v>
      </c>
      <c r="E311" s="54">
        <f>VLOOKUP(B311,'LW'!A1:C156,3,FALSE)</f>
        <v>56</v>
      </c>
      <c r="F311" t="s" s="42">
        <f>VLOOKUP(B311,'Player Data'!A1:B734,2,FALSE)</f>
        <v>196</v>
      </c>
      <c r="G311" s="9">
        <f>VLOOKUP(B311,'Player Data'!A1:D734,3,FALSE)</f>
        <v>26</v>
      </c>
      <c r="H311" s="43">
        <f>_xlfn.IFERROR(VLOOKUP(B311,'ADP'!A1:G731,7,FALSE)/1000000,VLOOKUP(B311,'ADP'!A1:G731,7,FALSE))</f>
        <v>4.3</v>
      </c>
      <c r="I311" s="44">
        <f>IF('Settings'!$E$15="POINTS",((R311*Q311)*'Settings'!$B$12)+(S311*'Settings'!$B$2)+(T311*'Settings'!$B$3)+(U311*'Settings'!$B$4)+(V311*'Settings'!$B$5)+(X311*'Settings'!$B$9)+(AA311*'Settings'!$B$6)+(W311*'Settings'!$B$8)+(AB311*'Settings'!$B$7)+(AC311*'Settings'!$B$14)+(AD311*'Settings'!$B$15)+(AE311*'Settings'!$B$16)+(AF311*'Settings'!$B$17)+(AG311*'Settings'!$B$18)+(Y311*'Settings'!$B$10)+(Z311*'Settings'!$B$11),VLOOKUP(B311,'Standard Deviations'!A1:C731,3,FALSE))</f>
        <v>295.322499522635</v>
      </c>
      <c r="J311" s="45">
        <f>IF(D311="G",I311/AJ311,I311/Q311)</f>
        <v>3.78265264434035</v>
      </c>
      <c r="K311" s="44">
        <f>IF('Settings'!$E$18="C/LW/RW",VLOOKUP(B311,'RW'!A1:F132,6,FALSE),VLOOKUP(B311,'F'!A1:F432,6,FALSE))</f>
        <v>-86.30606418372101</v>
      </c>
      <c r="L311" s="44">
        <f>_xlfn.IFERROR(K311/H311,"N/A")</f>
        <v>-20.0711777171444</v>
      </c>
      <c r="M311" s="46">
        <f>IF('Settings'!$E$9="YAHOO",VLOOKUP(B311,'ADP'!A1:E731,2,FALSE),IF('Settings'!$E$9="ESPN",VLOOKUP(B311,'ADP'!A1:E731,3,FALSE),IF('Settings'!$E$9="FANTRAX",VLOOKUP(B311,'ADP'!A1:E731,4,FALSE),VLOOKUP(B311,'ADP'!A1:E731,5,FALSE))))</f>
        <v>193.25</v>
      </c>
      <c r="N311" s="46">
        <f>_xlfn.IFERROR(M311-A311,"N/A")</f>
        <v>-38.75</v>
      </c>
      <c r="O311" s="46"/>
      <c r="P311" t="s" s="47">
        <f>IF('Settings'!$E$27="ON",VLOOKUP(B311,'ADP'!A1:H731,8,FALSE)," ")</f>
        <v>109</v>
      </c>
      <c r="Q311" s="48">
        <f>IF('Settings'!$E$12="YES",VLOOKUP(B311,'Player Data'!A1:E734,5,FALSE),82)</f>
        <v>78.0728571428571</v>
      </c>
      <c r="R311" s="46">
        <f>VLOOKUP(B311,'Player Data'!$A1:$AE734,6,FALSE)</f>
        <v>16.7469938562724</v>
      </c>
      <c r="S311" s="48">
        <f>VLOOKUP(B311,'Player Data'!$A1:$AE734,7,FALSE)*$Q311*_xlfn.IFERROR((VLOOKUP(P311,'Settings'!$E$28:$F$33,2,FALSE)+1),1)</f>
        <v>20.2515968907248</v>
      </c>
      <c r="T311" s="48">
        <f>VLOOKUP(B311,'Player Data'!$A1:$AE734,8,FALSE)*$Q311*_xlfn.IFERROR((VLOOKUP(P311,'Settings'!$E$28:$F$33,2,FALSE)+1),1)</f>
        <v>19.5736073560196</v>
      </c>
      <c r="U311" s="48">
        <f>SUM(S311:T311)</f>
        <v>39.8252042467444</v>
      </c>
      <c r="V311" s="48">
        <f>VLOOKUP(B311,'Player Data'!$A1:$AE734,10,FALSE)*$Q311*_xlfn.IFERROR(((VLOOKUP(P311,'Settings'!$E$28:$F$33,2,FALSE)/2)+1),1)</f>
        <v>145.097847693870</v>
      </c>
      <c r="W311" s="48">
        <f>VLOOKUP(B311,'Player Data'!$A1:$AE734,11,FALSE)*$Q311*_xlfn.IFERROR((VLOOKUP(P311,'Settings'!$E$28:$F$33,2,FALSE)+1),1)</f>
        <v>3.62240780471763</v>
      </c>
      <c r="X311" s="48">
        <f>VLOOKUP(B311,'Player Data'!$A1:$AE734,12,FALSE)*$Q311*_xlfn.IFERROR((VLOOKUP(P311,'Settings'!$E$28:$F$33,2,FALSE)+1),1)</f>
        <v>6.13006775095644</v>
      </c>
      <c r="Y311" s="48">
        <f>VLOOKUP(B311,'Player Data'!$A1:$AE734,13,FALSE)*$Q311</f>
        <v>0.426781916956562</v>
      </c>
      <c r="Z311" s="48">
        <f>VLOOKUP(B311,'Player Data'!$A1:$AE734,14,FALSE)*$Q311</f>
        <v>0.522696364123039</v>
      </c>
      <c r="AA311" s="48">
        <f>VLOOKUP(B311,'Player Data'!$A1:$AE734,15,FALSE)*$Q311</f>
        <v>51.8395171888179</v>
      </c>
      <c r="AB311" s="48">
        <f>VLOOKUP(B311,'Player Data'!$A1:$AE734,16,FALSE)*$Q311</f>
        <v>183.821665106897</v>
      </c>
      <c r="AC311" s="48">
        <f>VLOOKUP(B311,'Player Data'!$A1:$AE734,17,FALSE)*$Q311*_xlfn.IFERROR((VLOOKUP(P311,'Settings'!$E$28:$F$33,2,FALSE)+1),1)</f>
        <v>-2.68846759749423</v>
      </c>
      <c r="AD311" s="48">
        <f>VLOOKUP(B311,'Player Data'!$A1:$AE734,18,FALSE)*$Q311</f>
        <v>42.0114461939387</v>
      </c>
      <c r="AE311" s="48">
        <f>VLOOKUP(B311,'Player Data'!$A1:$AE734,19,FALSE)*$Q311*_xlfn.IFERROR((VLOOKUP(P311,'Settings'!$E$28:$F$33,2,FALSE)+1),1)</f>
        <v>2.55568262954629</v>
      </c>
      <c r="AF311" s="48">
        <f>VLOOKUP(B311,'Player Data'!$A1:$AE734,20,FALSE)*$Q311</f>
        <v>29.2310027534627</v>
      </c>
      <c r="AG311" s="48">
        <f>VLOOKUP(B311,'Player Data'!$A1:$AE734,21,FALSE)*$Q311</f>
        <v>46.0041884289089</v>
      </c>
      <c r="AH311" s="49">
        <f>VLOOKUP(B311,'Player Data'!$A1:$AE734,22,FALSE)</f>
        <v>0.388528324233352</v>
      </c>
      <c r="AI311" s="46"/>
      <c r="AJ311" s="50"/>
      <c r="AK311" s="48"/>
      <c r="AL311" s="48"/>
      <c r="AM311" s="48"/>
      <c r="AN311" s="48"/>
      <c r="AO311" s="48"/>
      <c r="AP311" s="48"/>
      <c r="AQ311" s="51"/>
      <c r="AR311" s="52"/>
      <c r="AS311" s="46"/>
    </row>
    <row r="312" ht="21.25" customHeight="1">
      <c r="A312" s="53">
        <f>RANK(K312,K2:K730)</f>
        <v>316</v>
      </c>
      <c r="B312" t="s" s="8">
        <v>464</v>
      </c>
      <c r="C312" t="s" s="39">
        <v>106</v>
      </c>
      <c r="D312" t="s" s="40">
        <f>VLOOKUP(B312,'Player Data'!A1:D734,4,FALSE)</f>
        <v>129</v>
      </c>
      <c r="E312" s="56">
        <f>VLOOKUP(B312,'D'!A1:C228,3,FALSE)</f>
        <v>102</v>
      </c>
      <c r="F312" t="s" s="42">
        <f>VLOOKUP(B312,'Player Data'!A1:B734,2,FALSE)</f>
        <v>115</v>
      </c>
      <c r="G312" s="9">
        <f>VLOOKUP(B312,'Player Data'!A1:D734,3,FALSE)</f>
        <v>24</v>
      </c>
      <c r="H312" s="43">
        <f>_xlfn.IFERROR(VLOOKUP(B312,'ADP'!A1:G731,7,FALSE)/1000000,VLOOKUP(B312,'ADP'!A1:G731,7,FALSE))</f>
        <v>1.4</v>
      </c>
      <c r="I312" s="44">
        <f>IF('Settings'!$E$15="POINTS",((R312*Q312)*'Settings'!$B$12)+(S312*'Settings'!$B$2)+(T312*'Settings'!$B$3)+(U312*'Settings'!$B$4)+(V312*'Settings'!$B$5)+(X312*'Settings'!$B$9)+(AA312*'Settings'!$B$6)+(W312*'Settings'!$B$8)+(AB312*'Settings'!$B$7)+(AC312*'Settings'!$B$14)+(AD312*'Settings'!$B$15)+(AE312*'Settings'!$B$16)+(AF312*'Settings'!$B$17)+(AG312*'Settings'!$B$18)+(U312*'Settings'!$B$13)+(Y312*'Settings'!$B$10)+(Z312*'Settings'!$B$11),VLOOKUP(B312,'Standard Deviations'!A1:C731,3,FALSE))</f>
        <v>219.272430096681</v>
      </c>
      <c r="J312" s="45">
        <f>IF(D312="G",I312/AJ312,I312/Q312)</f>
        <v>2.93616001736316</v>
      </c>
      <c r="K312" s="44">
        <f>VLOOKUP(B312,'D'!A1:F228,6,FALSE)</f>
        <v>-121.462708549842</v>
      </c>
      <c r="L312" s="44">
        <f>_xlfn.IFERROR(K312/H312,"N/A")</f>
        <v>-86.75907753560141</v>
      </c>
      <c r="M312" t="s" s="61">
        <f>IF('Settings'!$E$9="YAHOO",VLOOKUP(B312,'ADP'!A1:E731,2,FALSE),IF('Settings'!$E$9="ESPN",VLOOKUP(B312,'ADP'!A1:E731,3,FALSE),IF('Settings'!$E$9="FANTRAX",VLOOKUP(B312,'ADP'!A1:E731,4,FALSE),VLOOKUP(B312,'ADP'!A1:E731,5,FALSE))))</f>
        <v>329</v>
      </c>
      <c r="N312" t="s" s="61">
        <f>_xlfn.IFERROR(M312-A312,"N/A")</f>
        <v>158</v>
      </c>
      <c r="O312" s="46"/>
      <c r="P312" t="s" s="47">
        <f>IF('Settings'!$E$27="ON",VLOOKUP(B312,'ADP'!A1:H731,8,FALSE)," ")</f>
        <v>109</v>
      </c>
      <c r="Q312" s="48">
        <f>IF('Settings'!$E$12="YES",VLOOKUP(B312,'Player Data'!A1:E734,5,FALSE),82)</f>
        <v>74.68000000000001</v>
      </c>
      <c r="R312" s="46">
        <f>VLOOKUP(B312,'Player Data'!$A1:$AE734,6,FALSE)</f>
        <v>18.9095921721681</v>
      </c>
      <c r="S312" s="48">
        <f>VLOOKUP(B312,'Player Data'!$A1:$AE734,7,FALSE)*$Q312*_xlfn.IFERROR((VLOOKUP(P312,'Settings'!$E$28:$F$33,2,FALSE)+1),1)</f>
        <v>6.43728987769697</v>
      </c>
      <c r="T312" s="48">
        <f>VLOOKUP(B312,'Player Data'!$A1:$AE734,8,FALSE)*$Q312*_xlfn.IFERROR((VLOOKUP(P312,'Settings'!$E$28:$F$33,2,FALSE)+1),1)</f>
        <v>17.8196729135887</v>
      </c>
      <c r="U312" s="48">
        <f>SUM(S312:T312)</f>
        <v>24.2569627912857</v>
      </c>
      <c r="V312" s="48">
        <f>VLOOKUP(B312,'Player Data'!$A1:$AE734,10,FALSE)*$Q312*_xlfn.IFERROR(((VLOOKUP(P312,'Settings'!$E$28:$F$33,2,FALSE)/2)+1),1)</f>
        <v>100.219352609133</v>
      </c>
      <c r="W312" s="48">
        <f>VLOOKUP(B312,'Player Data'!$A1:$AE734,11,FALSE)*$Q312*_xlfn.IFERROR((VLOOKUP(P312,'Settings'!$E$28:$F$33,2,FALSE)+1),1)</f>
        <v>0.216746399783785</v>
      </c>
      <c r="X312" s="48">
        <f>VLOOKUP(B312,'Player Data'!$A1:$AE734,12,FALSE)*$Q312*_xlfn.IFERROR((VLOOKUP(P312,'Settings'!$E$28:$F$33,2,FALSE)+1),1)</f>
        <v>0.9782979990249689</v>
      </c>
      <c r="Y312" s="48">
        <f>VLOOKUP(B312,'Player Data'!$A1:$AE734,13,FALSE)*$Q312</f>
        <v>0.7379273682010949</v>
      </c>
      <c r="Z312" s="48">
        <f>VLOOKUP(B312,'Player Data'!$A1:$AE734,14,FALSE)*$Q312</f>
        <v>1.57955611642045</v>
      </c>
      <c r="AA312" s="48">
        <f>VLOOKUP(B312,'Player Data'!$A1:$AE734,15,FALSE)*$Q312</f>
        <v>105.743734630005</v>
      </c>
      <c r="AB312" s="48">
        <f>VLOOKUP(B312,'Player Data'!$A1:$AE734,16,FALSE)*$Q312</f>
        <v>122.819804215475</v>
      </c>
      <c r="AC312" s="48">
        <f>VLOOKUP(B312,'Player Data'!$A1:$AE734,17,FALSE)*$Q312*_xlfn.IFERROR((VLOOKUP(P312,'Settings'!$E$28:$F$33,2,FALSE)+1),1)</f>
        <v>6.92306221431526</v>
      </c>
      <c r="AD312" s="48">
        <f>VLOOKUP(B312,'Player Data'!$A1:$AE734,18,FALSE)*$Q312</f>
        <v>31.297328971468</v>
      </c>
      <c r="AE312" s="48">
        <f>VLOOKUP(B312,'Player Data'!$A1:$AE734,19,FALSE)*$Q312*_xlfn.IFERROR((VLOOKUP(P312,'Settings'!$E$28:$F$33,2,FALSE)+1),1)</f>
        <v>1.03414890784631</v>
      </c>
      <c r="AF312" s="48">
        <f>VLOOKUP(B312,'Player Data'!$A1:$AE734,20,FALSE)*$Q312</f>
        <v>0</v>
      </c>
      <c r="AG312" s="48">
        <f>VLOOKUP(B312,'Player Data'!$A1:$AE734,21,FALSE)*$Q312</f>
        <v>0</v>
      </c>
      <c r="AH312" s="49">
        <f>VLOOKUP(B312,'Player Data'!$A1:$AE734,22,FALSE)</f>
        <v>0</v>
      </c>
      <c r="AI312" s="46"/>
      <c r="AJ312" s="50"/>
      <c r="AK312" s="48"/>
      <c r="AL312" s="48"/>
      <c r="AM312" s="48"/>
      <c r="AN312" s="48"/>
      <c r="AO312" s="48"/>
      <c r="AP312" s="48"/>
      <c r="AQ312" s="51"/>
      <c r="AR312" s="52"/>
      <c r="AS312" s="46"/>
    </row>
    <row r="313" ht="21.25" customHeight="1">
      <c r="A313" s="53">
        <f>RANK(K313,K2:K730)</f>
        <v>317</v>
      </c>
      <c r="B313" t="s" s="8">
        <v>465</v>
      </c>
      <c r="C313" t="s" s="39">
        <v>106</v>
      </c>
      <c r="D313" t="s" s="40">
        <f>VLOOKUP(B313,'Player Data'!A1:D734,4,FALSE)</f>
        <v>133</v>
      </c>
      <c r="E313" s="57">
        <f>VLOOKUP(B313,'LW'!A1:C156,3,FALSE)</f>
        <v>72</v>
      </c>
      <c r="F313" t="s" s="42">
        <f>VLOOKUP(B313,'Player Data'!A1:B734,2,FALSE)</f>
        <v>194</v>
      </c>
      <c r="G313" s="9">
        <f>VLOOKUP(B313,'Player Data'!A1:D734,3,FALSE)</f>
        <v>30</v>
      </c>
      <c r="H313" s="43">
        <f>_xlfn.IFERROR(VLOOKUP(B313,'ADP'!A1:G731,7,FALSE)/1000000,VLOOKUP(B313,'ADP'!A1:G731,7,FALSE))</f>
        <v>4.5</v>
      </c>
      <c r="I313" s="44">
        <f>IF('Settings'!$E$15="POINTS",((R313*Q313)*'Settings'!$B$12)+(S313*'Settings'!$B$2)+(T313*'Settings'!$B$3)+(U313*'Settings'!$B$4)+(V313*'Settings'!$B$5)+(X313*'Settings'!$B$9)+(AA313*'Settings'!$B$6)+(W313*'Settings'!$B$8)+(AB313*'Settings'!$B$7)+(AC313*'Settings'!$B$14)+(AD313*'Settings'!$B$15)+(AE313*'Settings'!$B$16)+(AF313*'Settings'!$B$17)+(AG313*'Settings'!$B$18)+(Y313*'Settings'!$B$10)+(Z313*'Settings'!$B$11),VLOOKUP(B313,'Standard Deviations'!A1:C731,3,FALSE))</f>
        <v>260.065979286325</v>
      </c>
      <c r="J313" s="45">
        <f>IF(D313="G",I313/AJ313,I313/Q313)</f>
        <v>3.34402449520204</v>
      </c>
      <c r="K313" s="44">
        <f>IF('Settings'!$E$18="C/LW/RW",VLOOKUP(B313,'LW'!A1:F156,6,FALSE),VLOOKUP(B313,'F'!A1:F432,6,FALSE))</f>
        <v>-121.562584420031</v>
      </c>
      <c r="L313" s="44">
        <f>_xlfn.IFERROR(K313/H313,"N/A")</f>
        <v>-27.0139076488958</v>
      </c>
      <c r="M313" t="s" s="61">
        <f>IF('Settings'!$E$9="YAHOO",VLOOKUP(B313,'ADP'!A1:E731,2,FALSE),IF('Settings'!$E$9="ESPN",VLOOKUP(B313,'ADP'!A1:E731,3,FALSE),IF('Settings'!$E$9="FANTRAX",VLOOKUP(B313,'ADP'!A1:E731,4,FALSE),VLOOKUP(B313,'ADP'!A1:E731,5,FALSE))))</f>
        <v>329</v>
      </c>
      <c r="N313" t="s" s="61">
        <f>_xlfn.IFERROR(M313-A313,"N/A")</f>
        <v>158</v>
      </c>
      <c r="O313" s="46"/>
      <c r="P313" t="s" s="47">
        <f>IF('Settings'!$E$27="ON",VLOOKUP(B313,'ADP'!A1:H731,8,FALSE)," ")</f>
        <v>109</v>
      </c>
      <c r="Q313" s="48">
        <f>IF('Settings'!$E$12="YES",VLOOKUP(B313,'Player Data'!A1:E734,5,FALSE),82)</f>
        <v>77.77035714285709</v>
      </c>
      <c r="R313" s="46">
        <f>VLOOKUP(B313,'Player Data'!$A1:$AE734,6,FALSE)</f>
        <v>16.4145319497166</v>
      </c>
      <c r="S313" s="48">
        <f>VLOOKUP(B313,'Player Data'!$A1:$AE734,7,FALSE)*$Q313*_xlfn.IFERROR((VLOOKUP(P313,'Settings'!$E$28:$F$33,2,FALSE)+1),1)</f>
        <v>21.2154990955305</v>
      </c>
      <c r="T313" s="48">
        <f>VLOOKUP(B313,'Player Data'!$A1:$AE734,8,FALSE)*$Q313*_xlfn.IFERROR((VLOOKUP(P313,'Settings'!$E$28:$F$33,2,FALSE)+1),1)</f>
        <v>21.606962343336</v>
      </c>
      <c r="U313" s="48">
        <f>SUM(S313:T313)</f>
        <v>42.8224614388665</v>
      </c>
      <c r="V313" s="48">
        <f>VLOOKUP(B313,'Player Data'!$A1:$AE734,10,FALSE)*$Q313*_xlfn.IFERROR(((VLOOKUP(P313,'Settings'!$E$28:$F$33,2,FALSE)/2)+1),1)</f>
        <v>143.652028090431</v>
      </c>
      <c r="W313" s="48">
        <f>VLOOKUP(B313,'Player Data'!$A1:$AE734,11,FALSE)*$Q313*_xlfn.IFERROR((VLOOKUP(P313,'Settings'!$E$28:$F$33,2,FALSE)+1),1)</f>
        <v>3.87218923360404</v>
      </c>
      <c r="X313" s="48">
        <f>VLOOKUP(B313,'Player Data'!$A1:$AE734,12,FALSE)*$Q313*_xlfn.IFERROR((VLOOKUP(P313,'Settings'!$E$28:$F$33,2,FALSE)+1),1)</f>
        <v>7.18397945791441</v>
      </c>
      <c r="Y313" s="48">
        <f>VLOOKUP(B313,'Player Data'!$A1:$AE734,13,FALSE)*$Q313</f>
        <v>1.36072996657652</v>
      </c>
      <c r="Z313" s="48">
        <f>VLOOKUP(B313,'Player Data'!$A1:$AE734,14,FALSE)*$Q313</f>
        <v>2.51444747477669</v>
      </c>
      <c r="AA313" s="48">
        <f>VLOOKUP(B313,'Player Data'!$A1:$AE734,15,FALSE)*$Q313</f>
        <v>30.3394394843989</v>
      </c>
      <c r="AB313" s="48">
        <f>VLOOKUP(B313,'Player Data'!$A1:$AE734,16,FALSE)*$Q313</f>
        <v>31.002870357845</v>
      </c>
      <c r="AC313" s="48">
        <f>VLOOKUP(B313,'Player Data'!$A1:$AE734,17,FALSE)*$Q313*_xlfn.IFERROR((VLOOKUP(P313,'Settings'!$E$28:$F$33,2,FALSE)+1),1)</f>
        <v>-3.65401224418893</v>
      </c>
      <c r="AD313" s="48">
        <f>VLOOKUP(B313,'Player Data'!$A1:$AE734,18,FALSE)*$Q313</f>
        <v>17.8843472405442</v>
      </c>
      <c r="AE313" s="48">
        <f>VLOOKUP(B313,'Player Data'!$A1:$AE734,19,FALSE)*$Q313*_xlfn.IFERROR((VLOOKUP(P313,'Settings'!$E$28:$F$33,2,FALSE)+1),1)</f>
        <v>2.44132543453917</v>
      </c>
      <c r="AF313" s="48">
        <f>VLOOKUP(B313,'Player Data'!$A1:$AE734,20,FALSE)*$Q313</f>
        <v>9.198465124655741</v>
      </c>
      <c r="AG313" s="48">
        <f>VLOOKUP(B313,'Player Data'!$A1:$AE734,21,FALSE)*$Q313</f>
        <v>10.8419743603228</v>
      </c>
      <c r="AH313" s="49">
        <f>VLOOKUP(B313,'Player Data'!$A1:$AE734,22,FALSE)</f>
        <v>0.458995179798852</v>
      </c>
      <c r="AI313" s="46"/>
      <c r="AJ313" s="50"/>
      <c r="AK313" s="48"/>
      <c r="AL313" s="48"/>
      <c r="AM313" s="48"/>
      <c r="AN313" s="48"/>
      <c r="AO313" s="48"/>
      <c r="AP313" s="48"/>
      <c r="AQ313" s="51"/>
      <c r="AR313" s="52"/>
      <c r="AS313" s="46"/>
    </row>
    <row r="314" ht="21.25" customHeight="1">
      <c r="A314" s="53">
        <f>RANK(K314,K2:K730)</f>
        <v>372</v>
      </c>
      <c r="B314" t="s" s="8">
        <v>466</v>
      </c>
      <c r="C314" t="s" s="39">
        <v>106</v>
      </c>
      <c r="D314" t="s" s="40">
        <f>VLOOKUP(B314,'Player Data'!A1:D734,4,FALSE)</f>
        <v>111</v>
      </c>
      <c r="E314" s="54">
        <f>VLOOKUP(B314,'LW'!A1:C156,3,FALSE)</f>
        <v>87</v>
      </c>
      <c r="F314" t="s" s="42">
        <f>VLOOKUP(B314,'Player Data'!A1:B734,2,FALSE)</f>
        <v>115</v>
      </c>
      <c r="G314" s="9">
        <f>VLOOKUP(B314,'Player Data'!A1:D734,3,FALSE)</f>
        <v>28</v>
      </c>
      <c r="H314" s="43">
        <f>_xlfn.IFERROR(VLOOKUP(B314,'ADP'!A1:G731,7,FALSE)/1000000,VLOOKUP(B314,'ADP'!A1:G731,7,FALSE))</f>
        <v>2.5</v>
      </c>
      <c r="I314" s="44">
        <f>IF('Settings'!$E$15="POINTS",((R314*Q314)*'Settings'!$B$12)+(S314*'Settings'!$B$2)+(T314*'Settings'!$B$3)+(U314*'Settings'!$B$4)+(V314*'Settings'!$B$5)+(X314*'Settings'!$B$9)+(AA314*'Settings'!$B$6)+(W314*'Settings'!$B$8)+(AB314*'Settings'!$B$7)+(AC314*'Settings'!$B$14)+(AD314*'Settings'!$B$15)+(AE314*'Settings'!$B$16)+(AF314*'Settings'!$B$17)+(AG314*'Settings'!$B$18)+(Y314*'Settings'!$B$10)+(Z314*'Settings'!$B$11),VLOOKUP(B314,'Standard Deviations'!A1:C731,3,FALSE))</f>
        <v>240.325171107494</v>
      </c>
      <c r="J314" s="45">
        <f>IF(D314="G",I314/AJ314,I314/Q314)</f>
        <v>3.00379644273272</v>
      </c>
      <c r="K314" s="44">
        <f>IF('Settings'!$E$18="C/LW/RW",VLOOKUP(B314,'LW'!A1:F156,6,FALSE),VLOOKUP(B314,'F'!A1:F432,6,FALSE))</f>
        <v>-141.303392598862</v>
      </c>
      <c r="L314" s="44">
        <f>_xlfn.IFERROR(K314/H314,"N/A")</f>
        <v>-56.5213570395448</v>
      </c>
      <c r="M314" s="46">
        <f>IF('Settings'!$E$9="YAHOO",VLOOKUP(B314,'ADP'!A1:E731,2,FALSE),IF('Settings'!$E$9="ESPN",VLOOKUP(B314,'ADP'!A1:E731,3,FALSE),IF('Settings'!$E$9="FANTRAX",VLOOKUP(B314,'ADP'!A1:E731,4,FALSE),VLOOKUP(B314,'ADP'!A1:E731,5,FALSE))))</f>
        <v>219.87</v>
      </c>
      <c r="N314" s="46">
        <f>_xlfn.IFERROR(M314-A314,"N/A")</f>
        <v>-152.13</v>
      </c>
      <c r="O314" s="46"/>
      <c r="P314" t="s" s="47">
        <f>IF('Settings'!$E$27="ON",VLOOKUP(B314,'ADP'!A1:H731,8,FALSE)," ")</f>
        <v>109</v>
      </c>
      <c r="Q314" s="48">
        <f>IF('Settings'!$E$12="YES",VLOOKUP(B314,'Player Data'!A1:E734,5,FALSE),82)</f>
        <v>80.0071428571429</v>
      </c>
      <c r="R314" s="46">
        <f>VLOOKUP(B314,'Player Data'!$A1:$AE734,6,FALSE)</f>
        <v>14.8002790723873</v>
      </c>
      <c r="S314" s="48">
        <f>VLOOKUP(B314,'Player Data'!$A1:$AE734,7,FALSE)*$Q314*_xlfn.IFERROR((VLOOKUP(P314,'Settings'!$E$28:$F$33,2,FALSE)+1),1)</f>
        <v>14.8292592300223</v>
      </c>
      <c r="T314" s="48">
        <f>VLOOKUP(B314,'Player Data'!$A1:$AE734,8,FALSE)*$Q314*_xlfn.IFERROR((VLOOKUP(P314,'Settings'!$E$28:$F$33,2,FALSE)+1),1)</f>
        <v>28.5375331374985</v>
      </c>
      <c r="U314" s="48">
        <f>SUM(S314:T314)</f>
        <v>43.3667923675208</v>
      </c>
      <c r="V314" s="48">
        <f>VLOOKUP(B314,'Player Data'!$A1:$AE734,10,FALSE)*$Q314*_xlfn.IFERROR(((VLOOKUP(P314,'Settings'!$E$28:$F$33,2,FALSE)/2)+1),1)</f>
        <v>140.185696741713</v>
      </c>
      <c r="W314" s="48">
        <f>VLOOKUP(B314,'Player Data'!$A1:$AE734,11,FALSE)*$Q314*_xlfn.IFERROR((VLOOKUP(P314,'Settings'!$E$28:$F$33,2,FALSE)+1),1)</f>
        <v>3.04552615490595</v>
      </c>
      <c r="X314" s="48">
        <f>VLOOKUP(B314,'Player Data'!$A1:$AE734,12,FALSE)*$Q314*_xlfn.IFERROR((VLOOKUP(P314,'Settings'!$E$28:$F$33,2,FALSE)+1),1)</f>
        <v>8.115444476954019</v>
      </c>
      <c r="Y314" s="48">
        <f>VLOOKUP(B314,'Player Data'!$A1:$AE734,13,FALSE)*$Q314</f>
        <v>0.0130488694373567</v>
      </c>
      <c r="Z314" s="48">
        <f>VLOOKUP(B314,'Player Data'!$A1:$AE734,14,FALSE)*$Q314</f>
        <v>0.0241343032502499</v>
      </c>
      <c r="AA314" s="48">
        <f>VLOOKUP(B314,'Player Data'!$A1:$AE734,15,FALSE)*$Q314</f>
        <v>20.7850728584216</v>
      </c>
      <c r="AB314" s="48">
        <f>VLOOKUP(B314,'Player Data'!$A1:$AE734,16,FALSE)*$Q314</f>
        <v>29.7890070133202</v>
      </c>
      <c r="AC314" s="48">
        <f>VLOOKUP(B314,'Player Data'!$A1:$AE734,17,FALSE)*$Q314*_xlfn.IFERROR((VLOOKUP(P314,'Settings'!$E$28:$F$33,2,FALSE)+1),1)</f>
        <v>3.60306583457112</v>
      </c>
      <c r="AD314" s="48">
        <f>VLOOKUP(B314,'Player Data'!$A1:$AE734,18,FALSE)*$Q314</f>
        <v>47.6515575002098</v>
      </c>
      <c r="AE314" s="48">
        <f>VLOOKUP(B314,'Player Data'!$A1:$AE734,19,FALSE)*$Q314*_xlfn.IFERROR((VLOOKUP(P314,'Settings'!$E$28:$F$33,2,FALSE)+1),1)</f>
        <v>2.38231655374571</v>
      </c>
      <c r="AF314" s="48">
        <f>VLOOKUP(B314,'Player Data'!$A1:$AE734,20,FALSE)*$Q314</f>
        <v>349.660476206055</v>
      </c>
      <c r="AG314" s="48">
        <f>VLOOKUP(B314,'Player Data'!$A1:$AE734,21,FALSE)*$Q314</f>
        <v>346.621153431364</v>
      </c>
      <c r="AH314" s="49">
        <f>VLOOKUP(B314,'Player Data'!$A1:$AE734,22,FALSE)</f>
        <v>0.502182538390589</v>
      </c>
      <c r="AI314" s="46"/>
      <c r="AJ314" s="50"/>
      <c r="AK314" s="48"/>
      <c r="AL314" s="48"/>
      <c r="AM314" s="48"/>
      <c r="AN314" s="48"/>
      <c r="AO314" s="48"/>
      <c r="AP314" s="48"/>
      <c r="AQ314" s="51"/>
      <c r="AR314" s="52"/>
      <c r="AS314" s="46"/>
    </row>
    <row r="315" ht="21.25" customHeight="1">
      <c r="A315" s="53">
        <f>RANK(K315,K2:K730)</f>
        <v>346</v>
      </c>
      <c r="B315" t="s" s="8">
        <v>467</v>
      </c>
      <c r="C315" t="s" s="39">
        <v>106</v>
      </c>
      <c r="D315" t="s" s="40">
        <f>VLOOKUP(B315,'Player Data'!A1:D734,4,FALSE)</f>
        <v>121</v>
      </c>
      <c r="E315" s="55">
        <f>VLOOKUP(B315,'RW'!A1:F132,3,FALSE)</f>
        <v>73</v>
      </c>
      <c r="F315" t="s" s="42">
        <f>VLOOKUP(B315,'Player Data'!A1:B734,2,FALSE)</f>
        <v>225</v>
      </c>
      <c r="G315" s="9">
        <f>VLOOKUP(B315,'Player Data'!A1:D734,3,FALSE)</f>
        <v>25</v>
      </c>
      <c r="H315" s="43">
        <f>_xlfn.IFERROR(VLOOKUP(B315,'ADP'!A1:G731,7,FALSE)/1000000,VLOOKUP(B315,'ADP'!A1:G731,7,FALSE))</f>
        <v>0.758333</v>
      </c>
      <c r="I315" s="44">
        <f>IF('Settings'!$E$15="POINTS",((R315*Q315)*'Settings'!$B$12)+(S315*'Settings'!$B$2)+(T315*'Settings'!$B$3)+(U315*'Settings'!$B$4)+(V315*'Settings'!$B$5)+(X315*'Settings'!$B$9)+(AA315*'Settings'!$B$6)+(W315*'Settings'!$B$8)+(AB315*'Settings'!$B$7)+(AC315*'Settings'!$B$14)+(AD315*'Settings'!$B$15)+(AE315*'Settings'!$B$16)+(AF315*'Settings'!$B$17)+(AG315*'Settings'!$B$18)+(Y315*'Settings'!$B$10)+(Z315*'Settings'!$B$11),VLOOKUP(B315,'Standard Deviations'!A1:C731,3,FALSE))</f>
        <v>250.417498165648</v>
      </c>
      <c r="J315" s="45">
        <f>IF(D315="G",I315/AJ315,I315/Q315)</f>
        <v>3.15307854653296</v>
      </c>
      <c r="K315" s="44">
        <f>IF('Settings'!$E$18="C/LW/RW",VLOOKUP(B315,'RW'!A1:F132,6,FALSE),VLOOKUP(B315,'F'!A1:F432,6,FALSE))</f>
        <v>-131.211065540708</v>
      </c>
      <c r="L315" s="44">
        <f>_xlfn.IFERROR(K315/H315,"N/A")</f>
        <v>-173.025656988036</v>
      </c>
      <c r="M315" s="46">
        <f>IF('Settings'!$E$9="YAHOO",VLOOKUP(B315,'ADP'!A1:E731,2,FALSE),IF('Settings'!$E$9="ESPN",VLOOKUP(B315,'ADP'!A1:E731,3,FALSE),IF('Settings'!$E$9="FANTRAX",VLOOKUP(B315,'ADP'!A1:E731,4,FALSE),VLOOKUP(B315,'ADP'!A1:E731,5,FALSE))))</f>
        <v>389.01</v>
      </c>
      <c r="N315" s="46">
        <f>_xlfn.IFERROR(M315-A315,"N/A")</f>
        <v>43.01</v>
      </c>
      <c r="O315" s="46"/>
      <c r="P315" t="s" s="47">
        <f>IF('Settings'!$E$27="ON",VLOOKUP(B315,'ADP'!A1:H731,8,FALSE)," ")</f>
        <v>109</v>
      </c>
      <c r="Q315" s="48">
        <f>IF('Settings'!$E$12="YES",VLOOKUP(B315,'Player Data'!A1:E734,5,FALSE),82)</f>
        <v>79.42</v>
      </c>
      <c r="R315" s="46">
        <f>VLOOKUP(B315,'Player Data'!$A1:$AE734,6,FALSE)</f>
        <v>15.9991238602388</v>
      </c>
      <c r="S315" s="48">
        <f>VLOOKUP(B315,'Player Data'!$A1:$AE734,7,FALSE)*$Q315*_xlfn.IFERROR((VLOOKUP(P315,'Settings'!$E$28:$F$33,2,FALSE)+1),1)</f>
        <v>18.7046248828167</v>
      </c>
      <c r="T315" s="48">
        <f>VLOOKUP(B315,'Player Data'!$A1:$AE734,8,FALSE)*$Q315*_xlfn.IFERROR((VLOOKUP(P315,'Settings'!$E$28:$F$33,2,FALSE)+1),1)</f>
        <v>19.3961871487385</v>
      </c>
      <c r="U315" s="48">
        <f>SUM(S315:T315)</f>
        <v>38.1008120315552</v>
      </c>
      <c r="V315" s="48">
        <f>VLOOKUP(B315,'Player Data'!$A1:$AE734,10,FALSE)*$Q315*_xlfn.IFERROR(((VLOOKUP(P315,'Settings'!$E$28:$F$33,2,FALSE)/2)+1),1)</f>
        <v>134.350838850218</v>
      </c>
      <c r="W315" s="48">
        <f>VLOOKUP(B315,'Player Data'!$A1:$AE734,11,FALSE)*$Q315*_xlfn.IFERROR((VLOOKUP(P315,'Settings'!$E$28:$F$33,2,FALSE)+1),1)</f>
        <v>5.79147016946153</v>
      </c>
      <c r="X315" s="48">
        <f>VLOOKUP(B315,'Player Data'!$A1:$AE734,12,FALSE)*$Q315*_xlfn.IFERROR((VLOOKUP(P315,'Settings'!$E$28:$F$33,2,FALSE)+1),1)</f>
        <v>12.0018207373661</v>
      </c>
      <c r="Y315" s="48">
        <f>VLOOKUP(B315,'Player Data'!$A1:$AE734,13,FALSE)*$Q315</f>
        <v>0.0036607613469007</v>
      </c>
      <c r="Z315" s="48">
        <f>VLOOKUP(B315,'Player Data'!$A1:$AE734,14,FALSE)*$Q315</f>
        <v>0.00451437371712747</v>
      </c>
      <c r="AA315" s="48">
        <f>VLOOKUP(B315,'Player Data'!$A1:$AE734,15,FALSE)*$Q315</f>
        <v>35.340250243838</v>
      </c>
      <c r="AB315" s="48">
        <f>VLOOKUP(B315,'Player Data'!$A1:$AE734,16,FALSE)*$Q315</f>
        <v>92.8142058091818</v>
      </c>
      <c r="AC315" s="48">
        <f>VLOOKUP(B315,'Player Data'!$A1:$AE734,17,FALSE)*$Q315*_xlfn.IFERROR((VLOOKUP(P315,'Settings'!$E$28:$F$33,2,FALSE)+1),1)</f>
        <v>-5.97649671451176</v>
      </c>
      <c r="AD315" s="48">
        <f>VLOOKUP(B315,'Player Data'!$A1:$AE734,18,FALSE)*$Q315</f>
        <v>18.8858496337337</v>
      </c>
      <c r="AE315" s="48">
        <f>VLOOKUP(B315,'Player Data'!$A1:$AE734,19,FALSE)*$Q315*_xlfn.IFERROR((VLOOKUP(P315,'Settings'!$E$28:$F$33,2,FALSE)+1),1)</f>
        <v>2.19183697244825</v>
      </c>
      <c r="AF315" s="48">
        <f>VLOOKUP(B315,'Player Data'!$A1:$AE734,20,FALSE)*$Q315</f>
        <v>8.93697930510384</v>
      </c>
      <c r="AG315" s="48">
        <f>VLOOKUP(B315,'Player Data'!$A1:$AE734,21,FALSE)*$Q315</f>
        <v>9.3448989883439</v>
      </c>
      <c r="AH315" s="49">
        <f>VLOOKUP(B315,'Player Data'!$A1:$AE734,22,FALSE)</f>
        <v>0.488843605763796</v>
      </c>
      <c r="AI315" s="46"/>
      <c r="AJ315" s="50"/>
      <c r="AK315" s="48"/>
      <c r="AL315" s="48"/>
      <c r="AM315" s="48"/>
      <c r="AN315" s="48"/>
      <c r="AO315" s="48"/>
      <c r="AP315" s="48"/>
      <c r="AQ315" s="51"/>
      <c r="AR315" s="52"/>
      <c r="AS315" s="46"/>
    </row>
    <row r="316" ht="21.25" customHeight="1">
      <c r="A316" s="53">
        <f>RANK(K316,K2:K730)</f>
        <v>349</v>
      </c>
      <c r="B316" t="s" s="8">
        <v>468</v>
      </c>
      <c r="C316" t="s" s="39">
        <v>106</v>
      </c>
      <c r="D316" t="s" s="40">
        <f>VLOOKUP(B316,'Player Data'!A1:D734,4,FALSE)</f>
        <v>129</v>
      </c>
      <c r="E316" s="56">
        <f>VLOOKUP(B316,'D'!A1:C228,3,FALSE)</f>
        <v>111</v>
      </c>
      <c r="F316" t="s" s="42">
        <f>VLOOKUP(B316,'Player Data'!A1:B734,2,FALSE)</f>
        <v>141</v>
      </c>
      <c r="G316" s="9">
        <f>VLOOKUP(B316,'Player Data'!A1:D734,3,FALSE)</f>
        <v>29</v>
      </c>
      <c r="H316" s="43">
        <f>_xlfn.IFERROR(VLOOKUP(B316,'ADP'!A1:G731,7,FALSE)/1000000,VLOOKUP(B316,'ADP'!A1:G731,7,FALSE))</f>
        <v>1.25</v>
      </c>
      <c r="I316" s="44">
        <f>IF('Settings'!$E$15="POINTS",((R316*Q316)*'Settings'!$B$12)+(S316*'Settings'!$B$2)+(T316*'Settings'!$B$3)+(U316*'Settings'!$B$4)+(V316*'Settings'!$B$5)+(X316*'Settings'!$B$9)+(AA316*'Settings'!$B$6)+(W316*'Settings'!$B$8)+(AB316*'Settings'!$B$7)+(AC316*'Settings'!$B$14)+(AD316*'Settings'!$B$15)+(AE316*'Settings'!$B$16)+(AF316*'Settings'!$B$17)+(AG316*'Settings'!$B$18)+(U316*'Settings'!$B$13)+(Y316*'Settings'!$B$10)+(Z316*'Settings'!$B$11),VLOOKUP(B316,'Standard Deviations'!A1:C731,3,FALSE))</f>
        <v>207.950045782601</v>
      </c>
      <c r="J316" s="45">
        <f>IF(D316="G",I316/AJ316,I316/Q316)</f>
        <v>2.81775129786722</v>
      </c>
      <c r="K316" s="44">
        <f>VLOOKUP(B316,'D'!A1:F228,6,FALSE)</f>
        <v>-132.785092863922</v>
      </c>
      <c r="L316" s="44">
        <f>_xlfn.IFERROR(K316/H316,"N/A")</f>
        <v>-106.228074291138</v>
      </c>
      <c r="M316" t="s" s="61">
        <f>IF('Settings'!$E$9="YAHOO",VLOOKUP(B316,'ADP'!A1:E731,2,FALSE),IF('Settings'!$E$9="ESPN",VLOOKUP(B316,'ADP'!A1:E731,3,FALSE),IF('Settings'!$E$9="FANTRAX",VLOOKUP(B316,'ADP'!A1:E731,4,FALSE),VLOOKUP(B316,'ADP'!A1:E731,5,FALSE))))</f>
        <v>329</v>
      </c>
      <c r="N316" t="s" s="61">
        <f>_xlfn.IFERROR(M316-A316,"N/A")</f>
        <v>158</v>
      </c>
      <c r="O316" s="46"/>
      <c r="P316" t="s" s="47">
        <f>IF('Settings'!$E$27="ON",VLOOKUP(B316,'ADP'!A1:H731,8,FALSE)," ")</f>
        <v>109</v>
      </c>
      <c r="Q316" s="48">
        <f>IF('Settings'!$E$12="YES",VLOOKUP(B316,'Player Data'!A1:E734,5,FALSE),82)</f>
        <v>73.8</v>
      </c>
      <c r="R316" s="46">
        <f>VLOOKUP(B316,'Player Data'!$A1:$AE734,6,FALSE)</f>
        <v>22.9203133322888</v>
      </c>
      <c r="S316" s="48">
        <f>VLOOKUP(B316,'Player Data'!$A1:$AE734,7,FALSE)*$Q316*_xlfn.IFERROR((VLOOKUP(P316,'Settings'!$E$28:$F$33,2,FALSE)+1),1)</f>
        <v>2.4537159039641</v>
      </c>
      <c r="T316" s="48">
        <f>VLOOKUP(B316,'Player Data'!$A1:$AE734,8,FALSE)*$Q316*_xlfn.IFERROR((VLOOKUP(P316,'Settings'!$E$28:$F$33,2,FALSE)+1),1)</f>
        <v>22.3959169619677</v>
      </c>
      <c r="U316" s="48">
        <f>SUM(S316:T316)</f>
        <v>24.8496328659318</v>
      </c>
      <c r="V316" s="48">
        <f>VLOOKUP(B316,'Player Data'!$A1:$AE734,10,FALSE)*$Q316*_xlfn.IFERROR(((VLOOKUP(P316,'Settings'!$E$28:$F$33,2,FALSE)/2)+1),1)</f>
        <v>82.3533747324114</v>
      </c>
      <c r="W316" s="48">
        <f>VLOOKUP(B316,'Player Data'!$A1:$AE734,11,FALSE)*$Q316*_xlfn.IFERROR((VLOOKUP(P316,'Settings'!$E$28:$F$33,2,FALSE)+1),1)</f>
        <v>0.224045665240891</v>
      </c>
      <c r="X316" s="48">
        <f>VLOOKUP(B316,'Player Data'!$A1:$AE734,12,FALSE)*$Q316*_xlfn.IFERROR((VLOOKUP(P316,'Settings'!$E$28:$F$33,2,FALSE)+1),1)</f>
        <v>2.26316224055395</v>
      </c>
      <c r="Y316" s="48">
        <f>VLOOKUP(B316,'Player Data'!$A1:$AE734,13,FALSE)*$Q316</f>
        <v>0.0244524408854336</v>
      </c>
      <c r="Z316" s="48">
        <f>VLOOKUP(B316,'Player Data'!$A1:$AE734,14,FALSE)*$Q316</f>
        <v>0.7826862704463911</v>
      </c>
      <c r="AA316" s="48">
        <f>VLOOKUP(B316,'Player Data'!$A1:$AE734,15,FALSE)*$Q316</f>
        <v>120.356419485961</v>
      </c>
      <c r="AB316" s="48">
        <f>VLOOKUP(B316,'Player Data'!$A1:$AE734,16,FALSE)*$Q316</f>
        <v>107.201214715121</v>
      </c>
      <c r="AC316" s="48">
        <f>VLOOKUP(B316,'Player Data'!$A1:$AE734,17,FALSE)*$Q316*_xlfn.IFERROR((VLOOKUP(P316,'Settings'!$E$28:$F$33,2,FALSE)+1),1)</f>
        <v>-0.809268412328868</v>
      </c>
      <c r="AD316" s="48">
        <f>VLOOKUP(B316,'Player Data'!$A1:$AE734,18,FALSE)*$Q316</f>
        <v>40.321233982062</v>
      </c>
      <c r="AE316" s="48">
        <f>VLOOKUP(B316,'Player Data'!$A1:$AE734,19,FALSE)*$Q316*_xlfn.IFERROR((VLOOKUP(P316,'Settings'!$E$28:$F$33,2,FALSE)+1),1)</f>
        <v>0.304642949197269</v>
      </c>
      <c r="AF316" s="48">
        <f>VLOOKUP(B316,'Player Data'!$A1:$AE734,20,FALSE)*$Q316</f>
        <v>0</v>
      </c>
      <c r="AG316" s="48">
        <f>VLOOKUP(B316,'Player Data'!$A1:$AE734,21,FALSE)*$Q316</f>
        <v>0</v>
      </c>
      <c r="AH316" s="49">
        <f>VLOOKUP(B316,'Player Data'!$A1:$AE734,22,FALSE)</f>
        <v>0</v>
      </c>
      <c r="AI316" s="46"/>
      <c r="AJ316" s="50"/>
      <c r="AK316" s="48"/>
      <c r="AL316" s="48"/>
      <c r="AM316" s="48"/>
      <c r="AN316" s="48"/>
      <c r="AO316" s="48"/>
      <c r="AP316" s="48"/>
      <c r="AQ316" s="51"/>
      <c r="AR316" s="52"/>
      <c r="AS316" s="46"/>
    </row>
    <row r="317" ht="21.25" customHeight="1">
      <c r="A317" s="53">
        <f>RANK(K317,K2:K730)</f>
        <v>335</v>
      </c>
      <c r="B317" t="s" s="8">
        <v>469</v>
      </c>
      <c r="C317" t="s" s="39">
        <v>106</v>
      </c>
      <c r="D317" t="s" s="40">
        <f>VLOOKUP(B317,'Player Data'!A1:D734,4,FALSE)</f>
        <v>107</v>
      </c>
      <c r="E317" s="41">
        <f>VLOOKUP(B317,'C'!A1:C218,3,FALSE)</f>
        <v>90</v>
      </c>
      <c r="F317" t="s" s="42">
        <f>VLOOKUP(B317,'Player Data'!A1:B734,2,FALSE)</f>
        <v>202</v>
      </c>
      <c r="G317" s="9">
        <f>VLOOKUP(B317,'Player Data'!A1:D734,3,FALSE)</f>
        <v>23</v>
      </c>
      <c r="H317" s="43">
        <f>_xlfn.IFERROR(VLOOKUP(B317,'ADP'!A1:G731,7,FALSE)/1000000,VLOOKUP(B317,'ADP'!A1:G731,7,FALSE))</f>
        <v>4.82</v>
      </c>
      <c r="I317" s="44">
        <f>IF('Settings'!$E$15="POINTS",((R317*Q317)*'Settings'!$B$12)+(S317*'Settings'!$B$2)+(T317*'Settings'!$B$3)+(U317*'Settings'!$B$4)+(V317*'Settings'!$B$5)+(X317*'Settings'!$B$9)+(AA317*'Settings'!$B$6)+(W317*'Settings'!$B$8)+(AB317*'Settings'!$B$7)+(AC317*'Settings'!$B$14)+(AD317*'Settings'!$B$15)+(AE317*'Settings'!$B$16)+(AF317*'Settings'!$B$17)+(AG317*'Settings'!$B$18)+(Y317*'Settings'!$B$10)+(Z317*'Settings'!$B$11),VLOOKUP(B317,'Standard Deviations'!A1:C731,3,FALSE))</f>
        <v>269.036513206511</v>
      </c>
      <c r="J317" s="45">
        <f>IF(D317="G",I317/AJ317,I317/Q317)</f>
        <v>3.37011791565215</v>
      </c>
      <c r="K317" s="44">
        <f>IF('Settings'!$E$18="C/LW/RW",VLOOKUP(B317,'C'!A1:F218,6,FALSE),VLOOKUP(B317,'F'!A1:F432,6,FALSE))</f>
        <v>-126.737688429504</v>
      </c>
      <c r="L317" s="44">
        <f>_xlfn.IFERROR(K317/H317,"N/A")</f>
        <v>-26.2941262301876</v>
      </c>
      <c r="M317" s="46">
        <f>IF('Settings'!$E$9="YAHOO",VLOOKUP(B317,'ADP'!A1:E731,2,FALSE),IF('Settings'!$E$9="ESPN",VLOOKUP(B317,'ADP'!A1:E731,3,FALSE),IF('Settings'!$E$9="FANTRAX",VLOOKUP(B317,'ADP'!A1:E731,4,FALSE),VLOOKUP(B317,'ADP'!A1:E731,5,FALSE))))</f>
        <v>395.01</v>
      </c>
      <c r="N317" s="46">
        <f>_xlfn.IFERROR(M317-A317,"N/A")</f>
        <v>60.01</v>
      </c>
      <c r="O317" s="46"/>
      <c r="P317" t="s" s="47">
        <f>IF('Settings'!$E$27="ON",VLOOKUP(B317,'ADP'!A1:H731,8,FALSE)," ")</f>
        <v>109</v>
      </c>
      <c r="Q317" s="48">
        <f>IF('Settings'!$E$12="YES",VLOOKUP(B317,'Player Data'!A1:E734,5,FALSE),82)</f>
        <v>79.83</v>
      </c>
      <c r="R317" s="46">
        <f>VLOOKUP(B317,'Player Data'!$A1:$AE734,6,FALSE)</f>
        <v>15.5134607343723</v>
      </c>
      <c r="S317" s="48">
        <f>VLOOKUP(B317,'Player Data'!$A1:$AE734,7,FALSE)*$Q317*_xlfn.IFERROR((VLOOKUP(P317,'Settings'!$E$28:$F$33,2,FALSE)+1),1)</f>
        <v>18.4184863895491</v>
      </c>
      <c r="T317" s="48">
        <f>VLOOKUP(B317,'Player Data'!$A1:$AE734,8,FALSE)*$Q317*_xlfn.IFERROR((VLOOKUP(P317,'Settings'!$E$28:$F$33,2,FALSE)+1),1)</f>
        <v>26.7205214824986</v>
      </c>
      <c r="U317" s="48">
        <f>SUM(S317:T317)</f>
        <v>45.1390078720477</v>
      </c>
      <c r="V317" s="48">
        <f>VLOOKUP(B317,'Player Data'!$A1:$AE734,10,FALSE)*$Q317*_xlfn.IFERROR(((VLOOKUP(P317,'Settings'!$E$28:$F$33,2,FALSE)/2)+1),1)</f>
        <v>132.622753066631</v>
      </c>
      <c r="W317" s="48">
        <f>VLOOKUP(B317,'Player Data'!$A1:$AE734,11,FALSE)*$Q317*_xlfn.IFERROR((VLOOKUP(P317,'Settings'!$E$28:$F$33,2,FALSE)+1),1)</f>
        <v>2.20674154746547</v>
      </c>
      <c r="X317" s="48">
        <f>VLOOKUP(B317,'Player Data'!$A1:$AE734,12,FALSE)*$Q317*_xlfn.IFERROR((VLOOKUP(P317,'Settings'!$E$28:$F$33,2,FALSE)+1),1)</f>
        <v>9.08052909164023</v>
      </c>
      <c r="Y317" s="48">
        <f>VLOOKUP(B317,'Player Data'!$A1:$AE734,13,FALSE)*$Q317</f>
        <v>0.337689892991131</v>
      </c>
      <c r="Z317" s="48">
        <f>VLOOKUP(B317,'Player Data'!$A1:$AE734,14,FALSE)*$Q317</f>
        <v>0.38618285758742</v>
      </c>
      <c r="AA317" s="48">
        <f>VLOOKUP(B317,'Player Data'!$A1:$AE734,15,FALSE)*$Q317</f>
        <v>24.742720684989</v>
      </c>
      <c r="AB317" s="48">
        <f>VLOOKUP(B317,'Player Data'!$A1:$AE734,16,FALSE)*$Q317</f>
        <v>106.146629660238</v>
      </c>
      <c r="AC317" s="48">
        <f>VLOOKUP(B317,'Player Data'!$A1:$AE734,17,FALSE)*$Q317*_xlfn.IFERROR((VLOOKUP(P317,'Settings'!$E$28:$F$33,2,FALSE)+1),1)</f>
        <v>6.98219628880454</v>
      </c>
      <c r="AD317" s="48">
        <f>VLOOKUP(B317,'Player Data'!$A1:$AE734,18,FALSE)*$Q317</f>
        <v>39.7469829425664</v>
      </c>
      <c r="AE317" s="48">
        <f>VLOOKUP(B317,'Player Data'!$A1:$AE734,19,FALSE)*$Q317*_xlfn.IFERROR((VLOOKUP(P317,'Settings'!$E$28:$F$33,2,FALSE)+1),1)</f>
        <v>3.30468887938421</v>
      </c>
      <c r="AF317" s="48">
        <f>VLOOKUP(B317,'Player Data'!$A1:$AE734,20,FALSE)*$Q317</f>
        <v>359.139984173</v>
      </c>
      <c r="AG317" s="48">
        <f>VLOOKUP(B317,'Player Data'!$A1:$AE734,21,FALSE)*$Q317</f>
        <v>349.747451023742</v>
      </c>
      <c r="AH317" s="49">
        <f>VLOOKUP(B317,'Player Data'!$A1:$AE734,22,FALSE)</f>
        <v>0.506624841041689</v>
      </c>
      <c r="AI317" s="46"/>
      <c r="AJ317" s="50"/>
      <c r="AK317" s="48"/>
      <c r="AL317" s="48"/>
      <c r="AM317" s="48"/>
      <c r="AN317" s="48"/>
      <c r="AO317" s="48"/>
      <c r="AP317" s="48"/>
      <c r="AQ317" s="51"/>
      <c r="AR317" s="52"/>
      <c r="AS317" s="46"/>
    </row>
    <row r="318" ht="21.25" customHeight="1">
      <c r="A318" s="53">
        <f>RANK(K318,K2:K730)</f>
        <v>314</v>
      </c>
      <c r="B318" t="s" s="8">
        <v>470</v>
      </c>
      <c r="C318" t="s" s="39">
        <v>106</v>
      </c>
      <c r="D318" t="s" s="40">
        <f>VLOOKUP(B318,'Player Data'!A1:D734,4,FALSE)</f>
        <v>129</v>
      </c>
      <c r="E318" s="56">
        <f>VLOOKUP(B318,'D'!A1:C228,3,FALSE)</f>
        <v>100</v>
      </c>
      <c r="F318" t="s" s="42">
        <f>VLOOKUP(B318,'Player Data'!A1:B734,2,FALSE)</f>
        <v>131</v>
      </c>
      <c r="G318" s="9">
        <f>VLOOKUP(B318,'Player Data'!A1:D734,3,FALSE)</f>
        <v>34</v>
      </c>
      <c r="H318" s="43">
        <f>_xlfn.IFERROR(VLOOKUP(B318,'ADP'!A1:G731,7,FALSE)/1000000,VLOOKUP(B318,'ADP'!A1:G731,7,FALSE))</f>
        <v>6.75</v>
      </c>
      <c r="I318" s="44">
        <f>IF('Settings'!$E$15="POINTS",((R318*Q318)*'Settings'!$B$12)+(S318*'Settings'!$B$2)+(T318*'Settings'!$B$3)+(U318*'Settings'!$B$4)+(V318*'Settings'!$B$5)+(X318*'Settings'!$B$9)+(AA318*'Settings'!$B$6)+(W318*'Settings'!$B$8)+(AB318*'Settings'!$B$7)+(AC318*'Settings'!$B$14)+(AD318*'Settings'!$B$15)+(AE318*'Settings'!$B$16)+(AF318*'Settings'!$B$17)+(AG318*'Settings'!$B$18)+(U318*'Settings'!$B$13)+(Y318*'Settings'!$B$10)+(Z318*'Settings'!$B$11),VLOOKUP(B318,'Standard Deviations'!A1:C731,3,FALSE))</f>
        <v>219.827357100537</v>
      </c>
      <c r="J318" s="45">
        <f>IF(D318="G",I318/AJ318,I318/Q318)</f>
        <v>2.82967515874948</v>
      </c>
      <c r="K318" s="44">
        <f>VLOOKUP(B318,'D'!A1:F228,6,FALSE)</f>
        <v>-120.907781545986</v>
      </c>
      <c r="L318" s="44">
        <f>_xlfn.IFERROR(K318/H318,"N/A")</f>
        <v>-17.9122639327387</v>
      </c>
      <c r="M318" t="s" s="61">
        <f>IF('Settings'!$E$9="YAHOO",VLOOKUP(B318,'ADP'!A1:E731,2,FALSE),IF('Settings'!$E$9="ESPN",VLOOKUP(B318,'ADP'!A1:E731,3,FALSE),IF('Settings'!$E$9="FANTRAX",VLOOKUP(B318,'ADP'!A1:E731,4,FALSE),VLOOKUP(B318,'ADP'!A1:E731,5,FALSE))))</f>
        <v>329</v>
      </c>
      <c r="N318" t="s" s="61">
        <f>_xlfn.IFERROR(M318-A318,"N/A")</f>
        <v>158</v>
      </c>
      <c r="O318" s="46"/>
      <c r="P318" t="s" s="47">
        <f>IF('Settings'!$E$27="ON",VLOOKUP(B318,'ADP'!A1:H731,8,FALSE)," ")</f>
        <v>109</v>
      </c>
      <c r="Q318" s="48">
        <f>IF('Settings'!$E$12="YES",VLOOKUP(B318,'Player Data'!A1:E734,5,FALSE),82)</f>
        <v>77.68642857142861</v>
      </c>
      <c r="R318" s="46">
        <f>VLOOKUP(B318,'Player Data'!$A1:$AE734,6,FALSE)</f>
        <v>21.1934341240124</v>
      </c>
      <c r="S318" s="48">
        <f>VLOOKUP(B318,'Player Data'!$A1:$AE734,7,FALSE)*$Q318*_xlfn.IFERROR((VLOOKUP(P318,'Settings'!$E$28:$F$33,2,FALSE)+1),1)</f>
        <v>3.41648686480421</v>
      </c>
      <c r="T318" s="48">
        <f>VLOOKUP(B318,'Player Data'!$A1:$AE734,8,FALSE)*$Q318*_xlfn.IFERROR((VLOOKUP(P318,'Settings'!$E$28:$F$33,2,FALSE)+1),1)</f>
        <v>18.2526898028692</v>
      </c>
      <c r="U318" s="48">
        <f>SUM(S318:T318)</f>
        <v>21.6691766676734</v>
      </c>
      <c r="V318" s="48">
        <f>VLOOKUP(B318,'Player Data'!$A1:$AE734,10,FALSE)*$Q318*_xlfn.IFERROR(((VLOOKUP(P318,'Settings'!$E$28:$F$33,2,FALSE)/2)+1),1)</f>
        <v>93.40661186298669</v>
      </c>
      <c r="W318" s="48">
        <f>VLOOKUP(B318,'Player Data'!$A1:$AE734,11,FALSE)*$Q318*_xlfn.IFERROR((VLOOKUP(P318,'Settings'!$E$28:$F$33,2,FALSE)+1),1)</f>
        <v>0.0121079123801458</v>
      </c>
      <c r="X318" s="48">
        <f>VLOOKUP(B318,'Player Data'!$A1:$AE734,12,FALSE)*$Q318*_xlfn.IFERROR((VLOOKUP(P318,'Settings'!$E$28:$F$33,2,FALSE)+1),1)</f>
        <v>0.12074344094108</v>
      </c>
      <c r="Y318" s="48">
        <f>VLOOKUP(B318,'Player Data'!$A1:$AE734,13,FALSE)*$Q318</f>
        <v>0.0201423735431127</v>
      </c>
      <c r="Z318" s="48">
        <f>VLOOKUP(B318,'Player Data'!$A1:$AE734,14,FALSE)*$Q318</f>
        <v>0.116898103726113</v>
      </c>
      <c r="AA318" s="48">
        <f>VLOOKUP(B318,'Player Data'!$A1:$AE734,15,FALSE)*$Q318</f>
        <v>160.881730357797</v>
      </c>
      <c r="AB318" s="48">
        <f>VLOOKUP(B318,'Player Data'!$A1:$AE734,16,FALSE)*$Q318</f>
        <v>89.2685179298649</v>
      </c>
      <c r="AC318" s="48">
        <f>VLOOKUP(B318,'Player Data'!$A1:$AE734,17,FALSE)*$Q318*_xlfn.IFERROR((VLOOKUP(P318,'Settings'!$E$28:$F$33,2,FALSE)+1),1)</f>
        <v>-0.449739661677521</v>
      </c>
      <c r="AD318" s="48">
        <f>VLOOKUP(B318,'Player Data'!$A1:$AE734,18,FALSE)*$Q318</f>
        <v>23.7070678937849</v>
      </c>
      <c r="AE318" s="48">
        <f>VLOOKUP(B318,'Player Data'!$A1:$AE734,19,FALSE)*$Q318*_xlfn.IFERROR((VLOOKUP(P318,'Settings'!$E$28:$F$33,2,FALSE)+1),1)</f>
        <v>0.498896437323011</v>
      </c>
      <c r="AF318" s="48">
        <f>VLOOKUP(B318,'Player Data'!$A1:$AE734,20,FALSE)*$Q318</f>
        <v>0</v>
      </c>
      <c r="AG318" s="48">
        <f>VLOOKUP(B318,'Player Data'!$A1:$AE734,21,FALSE)*$Q318</f>
        <v>0.162897518451986</v>
      </c>
      <c r="AH318" s="49">
        <f>VLOOKUP(B318,'Player Data'!$A1:$AE734,22,FALSE)</f>
        <v>0</v>
      </c>
      <c r="AI318" s="46"/>
      <c r="AJ318" s="48"/>
      <c r="AK318" s="48"/>
      <c r="AL318" s="48"/>
      <c r="AM318" s="48"/>
      <c r="AN318" s="48"/>
      <c r="AO318" s="48"/>
      <c r="AP318" s="48"/>
      <c r="AQ318" s="51"/>
      <c r="AR318" s="52"/>
      <c r="AS318" s="46"/>
    </row>
    <row r="319" ht="21.25" customHeight="1">
      <c r="A319" s="53">
        <f>RANK(K319,K2:K730)</f>
        <v>277</v>
      </c>
      <c r="B319" t="s" s="8">
        <v>471</v>
      </c>
      <c r="C319" t="s" s="39">
        <v>106</v>
      </c>
      <c r="D319" t="s" s="40">
        <f>VLOOKUP(B319,'Player Data'!A1:D734,4,FALSE)</f>
        <v>129</v>
      </c>
      <c r="E319" s="56">
        <f>VLOOKUP(B319,'D'!A1:C228,3,FALSE)</f>
        <v>80</v>
      </c>
      <c r="F319" t="s" s="42">
        <f>VLOOKUP(B319,'Player Data'!A1:B734,2,FALSE)</f>
        <v>124</v>
      </c>
      <c r="G319" s="9">
        <f>VLOOKUP(B319,'Player Data'!A1:D734,3,FALSE)</f>
        <v>26</v>
      </c>
      <c r="H319" s="43">
        <f>_xlfn.IFERROR(VLOOKUP(B319,'ADP'!A1:G731,7,FALSE)/1000000,VLOOKUP(B319,'ADP'!A1:G731,7,FALSE))</f>
        <v>5.2</v>
      </c>
      <c r="I319" s="44">
        <f>IF('Settings'!$E$15="POINTS",((R319*Q319)*'Settings'!$B$12)+(S319*'Settings'!$B$2)+(T319*'Settings'!$B$3)+(U319*'Settings'!$B$4)+(V319*'Settings'!$B$5)+(X319*'Settings'!$B$9)+(AA319*'Settings'!$B$6)+(W319*'Settings'!$B$8)+(AB319*'Settings'!$B$7)+(AC319*'Settings'!$B$14)+(AD319*'Settings'!$B$15)+(AE319*'Settings'!$B$16)+(AF319*'Settings'!$B$17)+(AG319*'Settings'!$B$18)+(U319*'Settings'!$B$13)+(Y319*'Settings'!$B$10)+(Z319*'Settings'!$B$11),VLOOKUP(B319,'Standard Deviations'!A1:C731,3,FALSE))</f>
        <v>235.907858584219</v>
      </c>
      <c r="J319" s="45">
        <f>IF(D319="G",I319/AJ319,I319/Q319)</f>
        <v>3.13290648850224</v>
      </c>
      <c r="K319" s="44">
        <f>VLOOKUP(B319,'D'!A1:F228,6,FALSE)</f>
        <v>-104.827280062304</v>
      </c>
      <c r="L319" s="44">
        <f>_xlfn.IFERROR(K319/H319,"N/A")</f>
        <v>-20.1590923196738</v>
      </c>
      <c r="M319" t="s" s="61">
        <f>IF('Settings'!$E$9="YAHOO",VLOOKUP(B319,'ADP'!A1:E731,2,FALSE),IF('Settings'!$E$9="ESPN",VLOOKUP(B319,'ADP'!A1:E731,3,FALSE),IF('Settings'!$E$9="FANTRAX",VLOOKUP(B319,'ADP'!A1:E731,4,FALSE),VLOOKUP(B319,'ADP'!A1:E731,5,FALSE))))</f>
        <v>329</v>
      </c>
      <c r="N319" t="s" s="61">
        <f>_xlfn.IFERROR(M319-A319,"N/A")</f>
        <v>158</v>
      </c>
      <c r="O319" s="46"/>
      <c r="P319" t="s" s="47">
        <f>IF('Settings'!$E$27="ON",VLOOKUP(B319,'ADP'!A1:H731,8,FALSE)," ")</f>
        <v>109</v>
      </c>
      <c r="Q319" s="48">
        <f>IF('Settings'!$E$12="YES",VLOOKUP(B319,'Player Data'!A1:E734,5,FALSE),82)</f>
        <v>75.3</v>
      </c>
      <c r="R319" s="46">
        <f>VLOOKUP(B319,'Player Data'!$A1:$AE734,6,FALSE)</f>
        <v>20.100372894527</v>
      </c>
      <c r="S319" s="48">
        <f>VLOOKUP(B319,'Player Data'!$A1:$AE734,7,FALSE)*$Q319*_xlfn.IFERROR((VLOOKUP(P319,'Settings'!$E$28:$F$33,2,FALSE)+1),1)</f>
        <v>3.78357795982981</v>
      </c>
      <c r="T319" s="48">
        <f>VLOOKUP(B319,'Player Data'!$A1:$AE734,8,FALSE)*$Q319*_xlfn.IFERROR((VLOOKUP(P319,'Settings'!$E$28:$F$33,2,FALSE)+1),1)</f>
        <v>18.4003774667474</v>
      </c>
      <c r="U319" s="48">
        <f>SUM(S319:T319)</f>
        <v>22.1839554265772</v>
      </c>
      <c r="V319" s="48">
        <f>VLOOKUP(B319,'Player Data'!$A1:$AE734,10,FALSE)*$Q319*_xlfn.IFERROR(((VLOOKUP(P319,'Settings'!$E$28:$F$33,2,FALSE)/2)+1),1)</f>
        <v>108.534921245954</v>
      </c>
      <c r="W319" s="48">
        <f>VLOOKUP(B319,'Player Data'!$A1:$AE734,11,FALSE)*$Q319*_xlfn.IFERROR((VLOOKUP(P319,'Settings'!$E$28:$F$33,2,FALSE)+1),1)</f>
        <v>0.021224862213175</v>
      </c>
      <c r="X319" s="48">
        <f>VLOOKUP(B319,'Player Data'!$A1:$AE734,12,FALSE)*$Q319*_xlfn.IFERROR((VLOOKUP(P319,'Settings'!$E$28:$F$33,2,FALSE)+1),1)</f>
        <v>0.143424292794581</v>
      </c>
      <c r="Y319" s="48">
        <f>VLOOKUP(B319,'Player Data'!$A1:$AE734,13,FALSE)*$Q319</f>
        <v>0.0279238007695381</v>
      </c>
      <c r="Z319" s="48">
        <f>VLOOKUP(B319,'Player Data'!$A1:$AE734,14,FALSE)*$Q319</f>
        <v>0.700260399751311</v>
      </c>
      <c r="AA319" s="48">
        <f>VLOOKUP(B319,'Player Data'!$A1:$AE734,15,FALSE)*$Q319</f>
        <v>113.764595045732</v>
      </c>
      <c r="AB319" s="48">
        <f>VLOOKUP(B319,'Player Data'!$A1:$AE734,16,FALSE)*$Q319</f>
        <v>204.521385677589</v>
      </c>
      <c r="AC319" s="48">
        <f>VLOOKUP(B319,'Player Data'!$A1:$AE734,17,FALSE)*$Q319*_xlfn.IFERROR((VLOOKUP(P319,'Settings'!$E$28:$F$33,2,FALSE)+1),1)</f>
        <v>0.064858628602732</v>
      </c>
      <c r="AD319" s="48">
        <f>VLOOKUP(B319,'Player Data'!$A1:$AE734,18,FALSE)*$Q319</f>
        <v>53.2596078412344</v>
      </c>
      <c r="AE319" s="48">
        <f>VLOOKUP(B319,'Player Data'!$A1:$AE734,19,FALSE)*$Q319*_xlfn.IFERROR((VLOOKUP(P319,'Settings'!$E$28:$F$33,2,FALSE)+1),1)</f>
        <v>0.592131325100424</v>
      </c>
      <c r="AF319" s="48">
        <f>VLOOKUP(B319,'Player Data'!$A1:$AE734,20,FALSE)*$Q319</f>
        <v>0</v>
      </c>
      <c r="AG319" s="48">
        <f>VLOOKUP(B319,'Player Data'!$A1:$AE734,21,FALSE)*$Q319</f>
        <v>0</v>
      </c>
      <c r="AH319" s="49">
        <f>VLOOKUP(B319,'Player Data'!$A1:$AE734,22,FALSE)</f>
        <v>0</v>
      </c>
      <c r="AI319" s="46"/>
      <c r="AJ319" s="48"/>
      <c r="AK319" s="48"/>
      <c r="AL319" s="48"/>
      <c r="AM319" s="48"/>
      <c r="AN319" s="48"/>
      <c r="AO319" s="48"/>
      <c r="AP319" s="48"/>
      <c r="AQ319" s="51"/>
      <c r="AR319" s="52"/>
      <c r="AS319" s="46"/>
    </row>
    <row r="320" ht="21.25" customHeight="1">
      <c r="A320" s="53">
        <f>RANK(K320,K2:K730)</f>
        <v>244</v>
      </c>
      <c r="B320" t="s" s="8">
        <v>472</v>
      </c>
      <c r="C320" t="s" s="39">
        <v>106</v>
      </c>
      <c r="D320" t="s" s="40">
        <f>VLOOKUP(B320,'Player Data'!A1:D734,4,FALSE)</f>
        <v>121</v>
      </c>
      <c r="E320" s="55">
        <f>VLOOKUP(B320,'RW'!A1:F132,3,FALSE)</f>
        <v>57</v>
      </c>
      <c r="F320" t="s" s="42">
        <f>VLOOKUP(B320,'Player Data'!A1:B734,2,FALSE)</f>
        <v>258</v>
      </c>
      <c r="G320" s="9">
        <f>VLOOKUP(B320,'Player Data'!A1:D734,3,FALSE)</f>
        <v>29</v>
      </c>
      <c r="H320" s="43">
        <f>_xlfn.IFERROR(VLOOKUP(B320,'ADP'!A1:G731,7,FALSE)/1000000,VLOOKUP(B320,'ADP'!A1:G731,7,FALSE))</f>
        <v>5.5</v>
      </c>
      <c r="I320" s="44">
        <f>IF('Settings'!$E$15="POINTS",((R320*Q320)*'Settings'!$B$12)+(S320*'Settings'!$B$2)+(T320*'Settings'!$B$3)+(U320*'Settings'!$B$4)+(V320*'Settings'!$B$5)+(X320*'Settings'!$B$9)+(AA320*'Settings'!$B$6)+(W320*'Settings'!$B$8)+(AB320*'Settings'!$B$7)+(AC320*'Settings'!$B$14)+(AD320*'Settings'!$B$15)+(AE320*'Settings'!$B$16)+(AF320*'Settings'!$B$17)+(AG320*'Settings'!$B$18)+(Y320*'Settings'!$B$10)+(Z320*'Settings'!$B$11),VLOOKUP(B320,'Standard Deviations'!A1:C731,3,FALSE))</f>
        <v>290.572393062881</v>
      </c>
      <c r="J320" s="45">
        <f>IF(D320="G",I320/AJ320,I320/Q320)</f>
        <v>3.75662671451425</v>
      </c>
      <c r="K320" s="44">
        <f>IF('Settings'!$E$18="C/LW/RW",VLOOKUP(B320,'RW'!A1:F132,6,FALSE),VLOOKUP(B320,'F'!A1:F432,6,FALSE))</f>
        <v>-91.056170643475</v>
      </c>
      <c r="L320" s="44">
        <f>_xlfn.IFERROR(K320/H320,"N/A")</f>
        <v>-16.5556673897227</v>
      </c>
      <c r="M320" s="46">
        <f>IF('Settings'!$E$9="YAHOO",VLOOKUP(B320,'ADP'!A1:E731,2,FALSE),IF('Settings'!$E$9="ESPN",VLOOKUP(B320,'ADP'!A1:E731,3,FALSE),IF('Settings'!$E$9="FANTRAX",VLOOKUP(B320,'ADP'!A1:E731,4,FALSE),VLOOKUP(B320,'ADP'!A1:E731,5,FALSE))))</f>
        <v>403.4</v>
      </c>
      <c r="N320" s="46">
        <f>_xlfn.IFERROR(M320-A320,"N/A")</f>
        <v>159.4</v>
      </c>
      <c r="O320" s="46"/>
      <c r="P320" t="s" s="47">
        <f>IF('Settings'!$E$27="ON",VLOOKUP(B320,'ADP'!A1:H731,8,FALSE)," ")</f>
        <v>109</v>
      </c>
      <c r="Q320" s="48">
        <f>IF('Settings'!$E$12="YES",VLOOKUP(B320,'Player Data'!A1:E734,5,FALSE),82)</f>
        <v>77.3492857142857</v>
      </c>
      <c r="R320" s="46">
        <f>VLOOKUP(B320,'Player Data'!$A1:$AE734,6,FALSE)</f>
        <v>16.7396779730271</v>
      </c>
      <c r="S320" s="48">
        <f>VLOOKUP(B320,'Player Data'!$A1:$AE734,7,FALSE)*$Q320*_xlfn.IFERROR((VLOOKUP(P320,'Settings'!$E$28:$F$33,2,FALSE)+1),1)</f>
        <v>21.2963769729419</v>
      </c>
      <c r="T320" s="48">
        <f>VLOOKUP(B320,'Player Data'!$A1:$AE734,8,FALSE)*$Q320*_xlfn.IFERROR((VLOOKUP(P320,'Settings'!$E$28:$F$33,2,FALSE)+1),1)</f>
        <v>14.3460175521921</v>
      </c>
      <c r="U320" s="48">
        <f>SUM(S320:T320)</f>
        <v>35.642394525134</v>
      </c>
      <c r="V320" s="48">
        <f>VLOOKUP(B320,'Player Data'!$A1:$AE734,10,FALSE)*$Q320*_xlfn.IFERROR(((VLOOKUP(P320,'Settings'!$E$28:$F$33,2,FALSE)/2)+1),1)</f>
        <v>174.769434744183</v>
      </c>
      <c r="W320" s="48">
        <f>VLOOKUP(B320,'Player Data'!$A1:$AE734,11,FALSE)*$Q320*_xlfn.IFERROR((VLOOKUP(P320,'Settings'!$E$28:$F$33,2,FALSE)+1),1)</f>
        <v>2.62842989426722</v>
      </c>
      <c r="X320" s="48">
        <f>VLOOKUP(B320,'Player Data'!$A1:$AE734,12,FALSE)*$Q320*_xlfn.IFERROR((VLOOKUP(P320,'Settings'!$E$28:$F$33,2,FALSE)+1),1)</f>
        <v>3.78489819599106</v>
      </c>
      <c r="Y320" s="48">
        <f>VLOOKUP(B320,'Player Data'!$A1:$AE734,13,FALSE)*$Q320</f>
        <v>1.23372057461373</v>
      </c>
      <c r="Z320" s="48">
        <f>VLOOKUP(B320,'Player Data'!$A1:$AE734,14,FALSE)*$Q320</f>
        <v>1.37559160351726</v>
      </c>
      <c r="AA320" s="48">
        <f>VLOOKUP(B320,'Player Data'!$A1:$AE734,15,FALSE)*$Q320</f>
        <v>49.3379885094635</v>
      </c>
      <c r="AB320" s="48">
        <f>VLOOKUP(B320,'Player Data'!$A1:$AE734,16,FALSE)*$Q320</f>
        <v>147.582996776835</v>
      </c>
      <c r="AC320" s="48">
        <f>VLOOKUP(B320,'Player Data'!$A1:$AE734,17,FALSE)*$Q320*_xlfn.IFERROR((VLOOKUP(P320,'Settings'!$E$28:$F$33,2,FALSE)+1),1)</f>
        <v>-7.87551897789999</v>
      </c>
      <c r="AD320" s="48">
        <f>VLOOKUP(B320,'Player Data'!$A1:$AE734,18,FALSE)*$Q320</f>
        <v>53.7284313267428</v>
      </c>
      <c r="AE320" s="48">
        <f>VLOOKUP(B320,'Player Data'!$A1:$AE734,19,FALSE)*$Q320*_xlfn.IFERROR((VLOOKUP(P320,'Settings'!$E$28:$F$33,2,FALSE)+1),1)</f>
        <v>2.1816458900724</v>
      </c>
      <c r="AF320" s="48">
        <f>VLOOKUP(B320,'Player Data'!$A1:$AE734,20,FALSE)*$Q320</f>
        <v>21.3959230559007</v>
      </c>
      <c r="AG320" s="48">
        <f>VLOOKUP(B320,'Player Data'!$A1:$AE734,21,FALSE)*$Q320</f>
        <v>23.4688128256964</v>
      </c>
      <c r="AH320" s="49">
        <f>VLOOKUP(B320,'Player Data'!$A1:$AE734,22,FALSE)</f>
        <v>0.476898451210476</v>
      </c>
      <c r="AI320" s="46"/>
      <c r="AJ320" s="50"/>
      <c r="AK320" s="48"/>
      <c r="AL320" s="48"/>
      <c r="AM320" s="48"/>
      <c r="AN320" s="48"/>
      <c r="AO320" s="48"/>
      <c r="AP320" s="48"/>
      <c r="AQ320" s="51"/>
      <c r="AR320" s="52"/>
      <c r="AS320" s="46"/>
    </row>
    <row r="321" ht="21.25" customHeight="1">
      <c r="A321" s="53">
        <f>RANK(K321,K2:K730)</f>
        <v>245</v>
      </c>
      <c r="B321" t="s" s="8">
        <v>473</v>
      </c>
      <c r="C321" t="s" s="39">
        <v>106</v>
      </c>
      <c r="D321" t="s" s="40">
        <f>VLOOKUP(B321,'Player Data'!A1:D734,4,FALSE)</f>
        <v>111</v>
      </c>
      <c r="E321" s="54">
        <f>VLOOKUP(B321,'LW'!A1:C156,3,FALSE)</f>
        <v>61</v>
      </c>
      <c r="F321" t="s" s="42">
        <f>VLOOKUP(B321,'Player Data'!A1:B734,2,FALSE)</f>
        <v>113</v>
      </c>
      <c r="G321" s="9">
        <f>VLOOKUP(B321,'Player Data'!A1:D734,3,FALSE)</f>
        <v>26</v>
      </c>
      <c r="H321" s="43">
        <f>_xlfn.IFERROR(VLOOKUP(B321,'ADP'!A1:G731,7,FALSE)/1000000,VLOOKUP(B321,'ADP'!A1:G731,7,FALSE))</f>
        <v>4</v>
      </c>
      <c r="I321" s="44">
        <f>IF('Settings'!$E$15="POINTS",((R321*Q321)*'Settings'!$B$12)+(S321*'Settings'!$B$2)+(T321*'Settings'!$B$3)+(U321*'Settings'!$B$4)+(V321*'Settings'!$B$5)+(X321*'Settings'!$B$9)+(AA321*'Settings'!$B$6)+(W321*'Settings'!$B$8)+(AB321*'Settings'!$B$7)+(AC321*'Settings'!$B$14)+(AD321*'Settings'!$B$15)+(AE321*'Settings'!$B$16)+(AF321*'Settings'!$B$17)+(AG321*'Settings'!$B$18)+(Y321*'Settings'!$B$10)+(Z321*'Settings'!$B$11),VLOOKUP(B321,'Standard Deviations'!A1:C731,3,FALSE))</f>
        <v>290.505394635124</v>
      </c>
      <c r="J321" s="45">
        <f>IF(D321="G",I321/AJ321,I321/Q321)</f>
        <v>3.74204177621013</v>
      </c>
      <c r="K321" s="44">
        <f>IF('Settings'!$E$18="C/LW/RW",VLOOKUP(B321,'LW'!A1:F156,6,FALSE),VLOOKUP(B321,'F'!A1:F432,6,FALSE))</f>
        <v>-91.123169071232</v>
      </c>
      <c r="L321" s="44">
        <f>_xlfn.IFERROR(K321/H321,"N/A")</f>
        <v>-22.780792267808</v>
      </c>
      <c r="M321" s="46">
        <f>IF('Settings'!$E$9="YAHOO",VLOOKUP(B321,'ADP'!A1:E731,2,FALSE),IF('Settings'!$E$9="ESPN",VLOOKUP(B321,'ADP'!A1:E731,3,FALSE),IF('Settings'!$E$9="FANTRAX",VLOOKUP(B321,'ADP'!A1:E731,4,FALSE),VLOOKUP(B321,'ADP'!A1:E731,5,FALSE))))</f>
        <v>297.56</v>
      </c>
      <c r="N321" s="46">
        <f>_xlfn.IFERROR(M321-A321,"N/A")</f>
        <v>52.56</v>
      </c>
      <c r="O321" s="46"/>
      <c r="P321" t="s" s="47">
        <f>IF('Settings'!$E$27="ON",VLOOKUP(B321,'ADP'!A1:H731,8,FALSE)," ")</f>
        <v>109</v>
      </c>
      <c r="Q321" s="48">
        <f>IF('Settings'!$E$12="YES",VLOOKUP(B321,'Player Data'!A1:E734,5,FALSE),82)</f>
        <v>77.63285714285711</v>
      </c>
      <c r="R321" s="46">
        <f>VLOOKUP(B321,'Player Data'!$A1:$AE734,6,FALSE)</f>
        <v>14.3058122803461</v>
      </c>
      <c r="S321" s="48">
        <f>VLOOKUP(B321,'Player Data'!$A1:$AE734,7,FALSE)*$Q321*_xlfn.IFERROR((VLOOKUP(P321,'Settings'!$E$28:$F$33,2,FALSE)+1),1)</f>
        <v>20.1557075737099</v>
      </c>
      <c r="T321" s="48">
        <f>VLOOKUP(B321,'Player Data'!$A1:$AE734,8,FALSE)*$Q321*_xlfn.IFERROR((VLOOKUP(P321,'Settings'!$E$28:$F$33,2,FALSE)+1),1)</f>
        <v>18.3023847723299</v>
      </c>
      <c r="U321" s="48">
        <f>SUM(S321:T321)</f>
        <v>38.4580923460398</v>
      </c>
      <c r="V321" s="48">
        <f>VLOOKUP(B321,'Player Data'!$A1:$AE734,10,FALSE)*$Q321*_xlfn.IFERROR(((VLOOKUP(P321,'Settings'!$E$28:$F$33,2,FALSE)/2)+1),1)</f>
        <v>165.261372578934</v>
      </c>
      <c r="W321" s="48">
        <f>VLOOKUP(B321,'Player Data'!$A1:$AE734,11,FALSE)*$Q321*_xlfn.IFERROR((VLOOKUP(P321,'Settings'!$E$28:$F$33,2,FALSE)+1),1)</f>
        <v>2.34952396937998</v>
      </c>
      <c r="X321" s="48">
        <f>VLOOKUP(B321,'Player Data'!$A1:$AE734,12,FALSE)*$Q321*_xlfn.IFERROR((VLOOKUP(P321,'Settings'!$E$28:$F$33,2,FALSE)+1),1)</f>
        <v>6.47811419514528</v>
      </c>
      <c r="Y321" s="48">
        <f>VLOOKUP(B321,'Player Data'!$A1:$AE734,13,FALSE)*$Q321</f>
        <v>0.00133022295058555</v>
      </c>
      <c r="Z321" s="48">
        <f>VLOOKUP(B321,'Player Data'!$A1:$AE734,14,FALSE)*$Q321</f>
        <v>0.00243941381786313</v>
      </c>
      <c r="AA321" s="48">
        <f>VLOOKUP(B321,'Player Data'!$A1:$AE734,15,FALSE)*$Q321</f>
        <v>33.6320745059026</v>
      </c>
      <c r="AB321" s="48">
        <f>VLOOKUP(B321,'Player Data'!$A1:$AE734,16,FALSE)*$Q321</f>
        <v>181.783815465542</v>
      </c>
      <c r="AC321" s="48">
        <f>VLOOKUP(B321,'Player Data'!$A1:$AE734,17,FALSE)*$Q321*_xlfn.IFERROR((VLOOKUP(P321,'Settings'!$E$28:$F$33,2,FALSE)+1),1)</f>
        <v>3.4046756789974</v>
      </c>
      <c r="AD321" s="48">
        <f>VLOOKUP(B321,'Player Data'!$A1:$AE734,18,FALSE)*$Q321</f>
        <v>30.3963167074779</v>
      </c>
      <c r="AE321" s="48">
        <f>VLOOKUP(B321,'Player Data'!$A1:$AE734,19,FALSE)*$Q321*_xlfn.IFERROR((VLOOKUP(P321,'Settings'!$E$28:$F$33,2,FALSE)+1),1)</f>
        <v>3.18893661896411</v>
      </c>
      <c r="AF321" s="48">
        <f>VLOOKUP(B321,'Player Data'!$A1:$AE734,20,FALSE)*$Q321</f>
        <v>164.693469822192</v>
      </c>
      <c r="AG321" s="48">
        <f>VLOOKUP(B321,'Player Data'!$A1:$AE734,21,FALSE)*$Q321</f>
        <v>141.631992222530</v>
      </c>
      <c r="AH321" s="49">
        <f>VLOOKUP(B321,'Player Data'!$A1:$AE734,22,FALSE)</f>
        <v>0.5376421167305609</v>
      </c>
      <c r="AI321" s="46"/>
      <c r="AJ321" s="50"/>
      <c r="AK321" s="48"/>
      <c r="AL321" s="48"/>
      <c r="AM321" s="48"/>
      <c r="AN321" s="48"/>
      <c r="AO321" s="48"/>
      <c r="AP321" s="48"/>
      <c r="AQ321" s="51"/>
      <c r="AR321" s="52"/>
      <c r="AS321" s="46"/>
    </row>
    <row r="322" ht="21.25" customHeight="1">
      <c r="A322" s="53">
        <f>RANK(K322,K2:K730)</f>
        <v>272</v>
      </c>
      <c r="B322" t="s" s="8">
        <v>474</v>
      </c>
      <c r="C322" t="s" s="39">
        <v>106</v>
      </c>
      <c r="D322" t="s" s="40">
        <f>VLOOKUP(B322,'Player Data'!A1:D734,4,FALSE)</f>
        <v>133</v>
      </c>
      <c r="E322" s="57">
        <f>VLOOKUP(B322,'LW'!A1:C156,3,FALSE)</f>
        <v>67</v>
      </c>
      <c r="F322" t="s" s="42">
        <f>VLOOKUP(B322,'Player Data'!A1:B734,2,FALSE)</f>
        <v>151</v>
      </c>
      <c r="G322" s="9">
        <f>VLOOKUP(B322,'Player Data'!A1:D734,3,FALSE)</f>
        <v>21</v>
      </c>
      <c r="H322" s="43">
        <f>_xlfn.IFERROR(VLOOKUP(B322,'ADP'!A1:G731,7,FALSE)/1000000,VLOOKUP(B322,'ADP'!A1:G731,7,FALSE))</f>
        <v>0</v>
      </c>
      <c r="I322" s="44">
        <f>IF('Settings'!$E$15="POINTS",((R322*Q322)*'Settings'!$B$12)+(S322*'Settings'!$B$2)+(T322*'Settings'!$B$3)+(U322*'Settings'!$B$4)+(V322*'Settings'!$B$5)+(X322*'Settings'!$B$9)+(AA322*'Settings'!$B$6)+(W322*'Settings'!$B$8)+(AB322*'Settings'!$B$7)+(AC322*'Settings'!$B$14)+(AD322*'Settings'!$B$15)+(AE322*'Settings'!$B$16)+(AF322*'Settings'!$B$17)+(AG322*'Settings'!$B$18)+(Y322*'Settings'!$B$10)+(Z322*'Settings'!$B$11),VLOOKUP(B322,'Standard Deviations'!A1:C731,3,FALSE))</f>
        <v>279.653570757277</v>
      </c>
      <c r="J322" s="45">
        <f>IF(D322="G",I322/AJ322,I322/Q322)</f>
        <v>3.43386015173474</v>
      </c>
      <c r="K322" s="44">
        <f>IF('Settings'!$E$18="C/LW/RW",VLOOKUP(B322,'LW'!A1:F156,6,FALSE),VLOOKUP(B322,'F'!A1:F432,6,FALSE))</f>
        <v>-101.974992949079</v>
      </c>
      <c r="L322" t="s" s="60">
        <f>_xlfn.IFERROR(K322/H322,"N/A")</f>
        <v>158</v>
      </c>
      <c r="M322" s="46">
        <f>IF('Settings'!$E$9="YAHOO",VLOOKUP(B322,'ADP'!A1:E731,2,FALSE),IF('Settings'!$E$9="ESPN",VLOOKUP(B322,'ADP'!A1:E731,3,FALSE),IF('Settings'!$E$9="FANTRAX",VLOOKUP(B322,'ADP'!A1:E731,4,FALSE),VLOOKUP(B322,'ADP'!A1:E731,5,FALSE))))</f>
        <v>235.35</v>
      </c>
      <c r="N322" s="46">
        <f>_xlfn.IFERROR(M322-A322,"N/A")</f>
        <v>-36.65</v>
      </c>
      <c r="O322" s="46"/>
      <c r="P322" t="s" s="47">
        <f>IF('Settings'!$E$27="ON",VLOOKUP(B322,'ADP'!A1:H731,8,FALSE)," ")</f>
        <v>116</v>
      </c>
      <c r="Q322" s="48">
        <f>IF('Settings'!$E$12="YES",VLOOKUP(B322,'Player Data'!A1:E734,5,FALSE),82)</f>
        <v>81.44</v>
      </c>
      <c r="R322" s="46">
        <f>VLOOKUP(B322,'Player Data'!$A1:$AE734,6,FALSE)</f>
        <v>15.3390751224217</v>
      </c>
      <c r="S322" s="48">
        <f>VLOOKUP(B322,'Player Data'!$A1:$AE734,7,FALSE)*$Q322*_xlfn.IFERROR((VLOOKUP(P322,'Settings'!$E$28:$F$33,2,FALSE)+1),1)</f>
        <v>21.1015840479571</v>
      </c>
      <c r="T322" s="48">
        <f>VLOOKUP(B322,'Player Data'!$A1:$AE734,8,FALSE)*$Q322*_xlfn.IFERROR((VLOOKUP(P322,'Settings'!$E$28:$F$33,2,FALSE)+1),1)</f>
        <v>23.2186128412868</v>
      </c>
      <c r="U322" s="48">
        <f>SUM(S322:T322)</f>
        <v>44.3201968892439</v>
      </c>
      <c r="V322" s="48">
        <f>VLOOKUP(B322,'Player Data'!$A1:$AE734,10,FALSE)*$Q322*_xlfn.IFERROR(((VLOOKUP(P322,'Settings'!$E$28:$F$33,2,FALSE)/2)+1),1)</f>
        <v>137.906748944241</v>
      </c>
      <c r="W322" s="48">
        <f>VLOOKUP(B322,'Player Data'!$A1:$AE734,11,FALSE)*$Q322*_xlfn.IFERROR((VLOOKUP(P322,'Settings'!$E$28:$F$33,2,FALSE)+1),1)</f>
        <v>2.45956151674405</v>
      </c>
      <c r="X322" s="48">
        <f>VLOOKUP(B322,'Player Data'!$A1:$AE734,12,FALSE)*$Q322*_xlfn.IFERROR((VLOOKUP(P322,'Settings'!$E$28:$F$33,2,FALSE)+1),1)</f>
        <v>4.85800432030935</v>
      </c>
      <c r="Y322" s="48">
        <f>VLOOKUP(B322,'Player Data'!$A1:$AE734,13,FALSE)*$Q322</f>
        <v>0.0185961150373818</v>
      </c>
      <c r="Z322" s="48">
        <f>VLOOKUP(B322,'Player Data'!$A1:$AE734,14,FALSE)*$Q322</f>
        <v>0.0340701214190533</v>
      </c>
      <c r="AA322" s="48">
        <f>VLOOKUP(B322,'Player Data'!$A1:$AE734,15,FALSE)*$Q322</f>
        <v>28.7582179665228</v>
      </c>
      <c r="AB322" s="48">
        <f>VLOOKUP(B322,'Player Data'!$A1:$AE734,16,FALSE)*$Q322</f>
        <v>126.559921277560</v>
      </c>
      <c r="AC322" s="48">
        <f>VLOOKUP(B322,'Player Data'!$A1:$AE734,17,FALSE)*$Q322*_xlfn.IFERROR((VLOOKUP(P322,'Settings'!$E$28:$F$33,2,FALSE)+1),1)</f>
        <v>4.36473928634456</v>
      </c>
      <c r="AD322" s="48">
        <f>VLOOKUP(B322,'Player Data'!$A1:$AE734,18,FALSE)*$Q322</f>
        <v>32.2215302493869</v>
      </c>
      <c r="AE322" s="48">
        <f>VLOOKUP(B322,'Player Data'!$A1:$AE734,19,FALSE)*$Q322*_xlfn.IFERROR((VLOOKUP(P322,'Settings'!$E$28:$F$33,2,FALSE)+1),1)</f>
        <v>3.59567051723368</v>
      </c>
      <c r="AF322" s="48">
        <f>VLOOKUP(B322,'Player Data'!$A1:$AE734,20,FALSE)*$Q322</f>
        <v>24.9209365240683</v>
      </c>
      <c r="AG322" s="48">
        <f>VLOOKUP(B322,'Player Data'!$A1:$AE734,21,FALSE)*$Q322</f>
        <v>46.2080165692677</v>
      </c>
      <c r="AH322" s="49">
        <f>VLOOKUP(B322,'Player Data'!$A1:$AE734,22,FALSE)</f>
        <v>0.350362762845207</v>
      </c>
      <c r="AI322" s="46"/>
      <c r="AJ322" s="50"/>
      <c r="AK322" s="48"/>
      <c r="AL322" s="48"/>
      <c r="AM322" s="48"/>
      <c r="AN322" s="48"/>
      <c r="AO322" s="48"/>
      <c r="AP322" s="48"/>
      <c r="AQ322" s="51"/>
      <c r="AR322" s="52"/>
      <c r="AS322" s="46"/>
    </row>
    <row r="323" ht="21.25" customHeight="1">
      <c r="A323" s="53">
        <f>RANK(K323,K2:K730)</f>
        <v>240</v>
      </c>
      <c r="B323" t="s" s="8">
        <v>475</v>
      </c>
      <c r="C323" t="s" s="39">
        <v>106</v>
      </c>
      <c r="D323" t="s" s="40">
        <f>VLOOKUP(B323,'Player Data'!A1:D734,4,FALSE)</f>
        <v>129</v>
      </c>
      <c r="E323" s="56">
        <f>VLOOKUP(B323,'D'!A1:C228,3,FALSE)</f>
        <v>64</v>
      </c>
      <c r="F323" t="s" s="42">
        <f>VLOOKUP(B323,'Player Data'!A1:B734,2,FALSE)</f>
        <v>166</v>
      </c>
      <c r="G323" s="9">
        <f>VLOOKUP(B323,'Player Data'!A1:D734,3,FALSE)</f>
        <v>23</v>
      </c>
      <c r="H323" s="43">
        <f>_xlfn.IFERROR(VLOOKUP(B323,'ADP'!A1:G731,7,FALSE)/1000000,VLOOKUP(B323,'ADP'!A1:G731,7,FALSE))</f>
        <v>2.675</v>
      </c>
      <c r="I323" s="44">
        <f>IF('Settings'!$E$15="POINTS",((R323*Q323)*'Settings'!$B$12)+(S323*'Settings'!$B$2)+(T323*'Settings'!$B$3)+(U323*'Settings'!$B$4)+(V323*'Settings'!$B$5)+(X323*'Settings'!$B$9)+(AA323*'Settings'!$B$6)+(W323*'Settings'!$B$8)+(AB323*'Settings'!$B$7)+(AC323*'Settings'!$B$14)+(AD323*'Settings'!$B$15)+(AE323*'Settings'!$B$16)+(AF323*'Settings'!$B$17)+(AG323*'Settings'!$B$18)+(U323*'Settings'!$B$13)+(Y323*'Settings'!$B$10)+(Z323*'Settings'!$B$11),VLOOKUP(B323,'Standard Deviations'!A1:C731,3,FALSE))</f>
        <v>251.664335620740</v>
      </c>
      <c r="J323" s="45">
        <f>IF(D323="G",I323/AJ323,I323/Q323)</f>
        <v>3.24916836383371</v>
      </c>
      <c r="K323" s="44">
        <f>VLOOKUP(B323,'D'!A1:F228,6,FALSE)</f>
        <v>-89.07080302578299</v>
      </c>
      <c r="L323" s="44">
        <f>_xlfn.IFERROR(K323/H323,"N/A")</f>
        <v>-33.2974964582366</v>
      </c>
      <c r="M323" s="46">
        <f>IF('Settings'!$E$9="YAHOO",VLOOKUP(B323,'ADP'!A1:E731,2,FALSE),IF('Settings'!$E$9="ESPN",VLOOKUP(B323,'ADP'!A1:E731,3,FALSE),IF('Settings'!$E$9="FANTRAX",VLOOKUP(B323,'ADP'!A1:E731,4,FALSE),VLOOKUP(B323,'ADP'!A1:E731,5,FALSE))))</f>
        <v>442.07</v>
      </c>
      <c r="N323" s="46">
        <f>_xlfn.IFERROR(M323-A323,"N/A")</f>
        <v>202.07</v>
      </c>
      <c r="O323" s="46"/>
      <c r="P323" t="s" s="47">
        <f>IF('Settings'!$E$27="ON",VLOOKUP(B323,'ADP'!A1:H731,8,FALSE)," ")</f>
        <v>109</v>
      </c>
      <c r="Q323" s="48">
        <f>IF('Settings'!$E$12="YES",VLOOKUP(B323,'Player Data'!A1:E734,5,FALSE),82)</f>
        <v>77.455</v>
      </c>
      <c r="R323" s="46">
        <f>VLOOKUP(B323,'Player Data'!$A1:$AE734,6,FALSE)</f>
        <v>20.2711294522433</v>
      </c>
      <c r="S323" s="48">
        <f>VLOOKUP(B323,'Player Data'!$A1:$AE734,7,FALSE)*$Q323*_xlfn.IFERROR((VLOOKUP(P323,'Settings'!$E$28:$F$33,2,FALSE)+1),1)</f>
        <v>7.38916705211755</v>
      </c>
      <c r="T323" s="48">
        <f>VLOOKUP(B323,'Player Data'!$A1:$AE734,8,FALSE)*$Q323*_xlfn.IFERROR((VLOOKUP(P323,'Settings'!$E$28:$F$33,2,FALSE)+1),1)</f>
        <v>13.2019321575077</v>
      </c>
      <c r="U323" s="48">
        <f>SUM(S323:T323)</f>
        <v>20.5910992096253</v>
      </c>
      <c r="V323" s="48">
        <f>VLOOKUP(B323,'Player Data'!$A1:$AE734,10,FALSE)*$Q323*_xlfn.IFERROR(((VLOOKUP(P323,'Settings'!$E$28:$F$33,2,FALSE)/2)+1),1)</f>
        <v>104.138376251171</v>
      </c>
      <c r="W323" s="48">
        <f>VLOOKUP(B323,'Player Data'!$A1:$AE734,11,FALSE)*$Q323*_xlfn.IFERROR((VLOOKUP(P323,'Settings'!$E$28:$F$33,2,FALSE)+1),1)</f>
        <v>0.0246052071027943</v>
      </c>
      <c r="X323" s="48">
        <f>VLOOKUP(B323,'Player Data'!$A1:$AE734,12,FALSE)*$Q323*_xlfn.IFERROR((VLOOKUP(P323,'Settings'!$E$28:$F$33,2,FALSE)+1),1)</f>
        <v>0.170429269501014</v>
      </c>
      <c r="Y323" s="48">
        <f>VLOOKUP(B323,'Player Data'!$A1:$AE734,13,FALSE)*$Q323</f>
        <v>0.39037394156211</v>
      </c>
      <c r="Z323" s="48">
        <f>VLOOKUP(B323,'Player Data'!$A1:$AE734,14,FALSE)*$Q323</f>
        <v>0.877470066909391</v>
      </c>
      <c r="AA323" s="48">
        <f>VLOOKUP(B323,'Player Data'!$A1:$AE734,15,FALSE)*$Q323</f>
        <v>138.335216935426</v>
      </c>
      <c r="AB323" s="48">
        <f>VLOOKUP(B323,'Player Data'!$A1:$AE734,16,FALSE)*$Q323</f>
        <v>223.262202746282</v>
      </c>
      <c r="AC323" s="48">
        <f>VLOOKUP(B323,'Player Data'!$A1:$AE734,17,FALSE)*$Q323*_xlfn.IFERROR((VLOOKUP(P323,'Settings'!$E$28:$F$33,2,FALSE)+1),1)</f>
        <v>-4.50913657002496</v>
      </c>
      <c r="AD323" s="48">
        <f>VLOOKUP(B323,'Player Data'!$A1:$AE734,18,FALSE)*$Q323</f>
        <v>33.2081509832774</v>
      </c>
      <c r="AE323" s="48">
        <f>VLOOKUP(B323,'Player Data'!$A1:$AE734,19,FALSE)*$Q323*_xlfn.IFERROR((VLOOKUP(P323,'Settings'!$E$28:$F$33,2,FALSE)+1),1)</f>
        <v>0.90891104516407</v>
      </c>
      <c r="AF323" s="48">
        <f>VLOOKUP(B323,'Player Data'!$A1:$AE734,20,FALSE)*$Q323</f>
        <v>0</v>
      </c>
      <c r="AG323" s="48">
        <f>VLOOKUP(B323,'Player Data'!$A1:$AE734,21,FALSE)*$Q323</f>
        <v>0</v>
      </c>
      <c r="AH323" s="49">
        <f>VLOOKUP(B323,'Player Data'!$A1:$AE734,22,FALSE)</f>
        <v>0</v>
      </c>
      <c r="AI323" s="46"/>
      <c r="AJ323" s="50"/>
      <c r="AK323" s="48"/>
      <c r="AL323" s="48"/>
      <c r="AM323" s="48"/>
      <c r="AN323" s="48"/>
      <c r="AO323" s="48"/>
      <c r="AP323" s="48"/>
      <c r="AQ323" s="51"/>
      <c r="AR323" s="52"/>
      <c r="AS323" s="46"/>
    </row>
    <row r="324" ht="21.25" customHeight="1">
      <c r="A324" s="53">
        <f>RANK(K324,K2:K730)</f>
        <v>472</v>
      </c>
      <c r="B324" t="s" s="8">
        <v>476</v>
      </c>
      <c r="C324" t="s" s="39">
        <v>106</v>
      </c>
      <c r="D324" t="s" s="40">
        <f>VLOOKUP(B324,'Player Data'!A1:D734,4,FALSE)</f>
        <v>129</v>
      </c>
      <c r="E324" s="56">
        <f>VLOOKUP(B324,'D'!A1:C228,3,FALSE)</f>
        <v>166</v>
      </c>
      <c r="F324" t="s" s="42">
        <f>VLOOKUP(B324,'Player Data'!A1:B734,2,FALSE)</f>
        <v>151</v>
      </c>
      <c r="G324" s="9">
        <f>VLOOKUP(B324,'Player Data'!A1:D734,3,FALSE)</f>
        <v>31</v>
      </c>
      <c r="H324" s="43">
        <f>_xlfn.IFERROR(VLOOKUP(B324,'ADP'!A1:G731,7,FALSE)/1000000,VLOOKUP(B324,'ADP'!A1:G731,7,FALSE))</f>
        <v>0.825</v>
      </c>
      <c r="I324" s="44">
        <f>IF('Settings'!$E$15="POINTS",((R324*Q324)*'Settings'!$B$12)+(S324*'Settings'!$B$2)+(T324*'Settings'!$B$3)+(U324*'Settings'!$B$4)+(V324*'Settings'!$B$5)+(X324*'Settings'!$B$9)+(AA324*'Settings'!$B$6)+(W324*'Settings'!$B$8)+(AB324*'Settings'!$B$7)+(AC324*'Settings'!$B$14)+(AD324*'Settings'!$B$15)+(AE324*'Settings'!$B$16)+(AF324*'Settings'!$B$17)+(AG324*'Settings'!$B$18)+(U324*'Settings'!$B$13)+(Y324*'Settings'!$B$10)+(Z324*'Settings'!$B$11),VLOOKUP(B324,'Standard Deviations'!A1:C731,3,FALSE))</f>
        <v>167.635201229322</v>
      </c>
      <c r="J324" s="45">
        <f>IF(D324="G",I324/AJ324,I324/Q324)</f>
        <v>2.44117083485251</v>
      </c>
      <c r="K324" s="44">
        <f>VLOOKUP(B324,'D'!A1:F228,6,FALSE)</f>
        <v>-173.099937417201</v>
      </c>
      <c r="L324" s="44">
        <f>_xlfn.IFERROR(K324/H324,"N/A")</f>
        <v>-209.818105960244</v>
      </c>
      <c r="M324" s="46">
        <f>IF('Settings'!$E$9="YAHOO",VLOOKUP(B324,'ADP'!A1:E731,2,FALSE),IF('Settings'!$E$9="ESPN",VLOOKUP(B324,'ADP'!A1:E731,3,FALSE),IF('Settings'!$E$9="FANTRAX",VLOOKUP(B324,'ADP'!A1:E731,4,FALSE),VLOOKUP(B324,'ADP'!A1:E731,5,FALSE))))</f>
        <v>467.5</v>
      </c>
      <c r="N324" s="46">
        <f>_xlfn.IFERROR(M324-A324,"N/A")</f>
        <v>-4.5</v>
      </c>
      <c r="O324" s="46"/>
      <c r="P324" t="s" s="47">
        <f>IF('Settings'!$E$27="ON",VLOOKUP(B324,'ADP'!A1:H731,8,FALSE)," ")</f>
        <v>109</v>
      </c>
      <c r="Q324" s="48">
        <f>IF('Settings'!$E$12="YES",VLOOKUP(B324,'Player Data'!A1:E734,5,FALSE),82)</f>
        <v>68.67</v>
      </c>
      <c r="R324" s="46">
        <f>VLOOKUP(B324,'Player Data'!$A1:$AE734,6,FALSE)</f>
        <v>15.9357560849304</v>
      </c>
      <c r="S324" s="48">
        <f>VLOOKUP(B324,'Player Data'!$A1:$AE734,7,FALSE)*$Q324*_xlfn.IFERROR((VLOOKUP(P324,'Settings'!$E$28:$F$33,2,FALSE)+1),1)</f>
        <v>4.11535161191305</v>
      </c>
      <c r="T324" s="48">
        <f>VLOOKUP(B324,'Player Data'!$A1:$AE734,8,FALSE)*$Q324*_xlfn.IFERROR((VLOOKUP(P324,'Settings'!$E$28:$F$33,2,FALSE)+1),1)</f>
        <v>20.0022888001657</v>
      </c>
      <c r="U324" s="48">
        <f>SUM(S324:T324)</f>
        <v>24.1176404120788</v>
      </c>
      <c r="V324" s="48">
        <f>VLOOKUP(B324,'Player Data'!$A1:$AE734,10,FALSE)*$Q324*_xlfn.IFERROR(((VLOOKUP(P324,'Settings'!$E$28:$F$33,2,FALSE)/2)+1),1)</f>
        <v>91.52477186268079</v>
      </c>
      <c r="W324" s="48">
        <f>VLOOKUP(B324,'Player Data'!$A1:$AE734,11,FALSE)*$Q324*_xlfn.IFERROR((VLOOKUP(P324,'Settings'!$E$28:$F$33,2,FALSE)+1),1)</f>
        <v>0.0769480567084819</v>
      </c>
      <c r="X324" s="48">
        <f>VLOOKUP(B324,'Player Data'!$A1:$AE734,12,FALSE)*$Q324*_xlfn.IFERROR((VLOOKUP(P324,'Settings'!$E$28:$F$33,2,FALSE)+1),1)</f>
        <v>5.38632583193697</v>
      </c>
      <c r="Y324" s="48">
        <f>VLOOKUP(B324,'Player Data'!$A1:$AE734,13,FALSE)*$Q324</f>
        <v>0.00893066515651344</v>
      </c>
      <c r="Z324" s="48">
        <f>VLOOKUP(B324,'Player Data'!$A1:$AE734,14,FALSE)*$Q324</f>
        <v>0.0341256261645961</v>
      </c>
      <c r="AA324" s="48">
        <f>VLOOKUP(B324,'Player Data'!$A1:$AE734,15,FALSE)*$Q324</f>
        <v>59.127277090997</v>
      </c>
      <c r="AB324" s="48">
        <f>VLOOKUP(B324,'Player Data'!$A1:$AE734,16,FALSE)*$Q324</f>
        <v>54.859907384194</v>
      </c>
      <c r="AC324" s="48">
        <f>VLOOKUP(B324,'Player Data'!$A1:$AE734,17,FALSE)*$Q324*_xlfn.IFERROR((VLOOKUP(P324,'Settings'!$E$28:$F$33,2,FALSE)+1),1)</f>
        <v>5.04313666193488</v>
      </c>
      <c r="AD324" s="48">
        <f>VLOOKUP(B324,'Player Data'!$A1:$AE734,18,FALSE)*$Q324</f>
        <v>17.7089983038922</v>
      </c>
      <c r="AE324" s="48">
        <f>VLOOKUP(B324,'Player Data'!$A1:$AE734,19,FALSE)*$Q324*_xlfn.IFERROR((VLOOKUP(P324,'Settings'!$E$28:$F$33,2,FALSE)+1),1)</f>
        <v>0.701248229771566</v>
      </c>
      <c r="AF324" s="48">
        <f>VLOOKUP(B324,'Player Data'!$A1:$AE734,20,FALSE)*$Q324</f>
        <v>0</v>
      </c>
      <c r="AG324" s="48">
        <f>VLOOKUP(B324,'Player Data'!$A1:$AE734,21,FALSE)*$Q324</f>
        <v>0</v>
      </c>
      <c r="AH324" s="49">
        <f>VLOOKUP(B324,'Player Data'!$A1:$AE734,22,FALSE)</f>
        <v>0</v>
      </c>
      <c r="AI324" s="46"/>
      <c r="AJ324" s="50"/>
      <c r="AK324" s="48"/>
      <c r="AL324" s="48"/>
      <c r="AM324" s="48"/>
      <c r="AN324" s="48"/>
      <c r="AO324" s="48"/>
      <c r="AP324" s="48"/>
      <c r="AQ324" s="51"/>
      <c r="AR324" s="52"/>
      <c r="AS324" s="46"/>
    </row>
    <row r="325" ht="21.25" customHeight="1">
      <c r="A325" s="53">
        <f>RANK(K325,K2:K730)</f>
        <v>402</v>
      </c>
      <c r="B325" t="s" s="8">
        <v>477</v>
      </c>
      <c r="C325" t="s" s="39">
        <v>106</v>
      </c>
      <c r="D325" t="s" s="40">
        <f>VLOOKUP(B325,'Player Data'!A1:D734,4,FALSE)</f>
        <v>118</v>
      </c>
      <c r="E325" s="54">
        <f>VLOOKUP(B325,'LW'!A1:C156,3,FALSE)</f>
        <v>95</v>
      </c>
      <c r="F325" t="s" s="42">
        <f>VLOOKUP(B325,'Player Data'!A1:B734,2,FALSE)</f>
        <v>234</v>
      </c>
      <c r="G325" s="9">
        <f>VLOOKUP(B325,'Player Data'!A1:D734,3,FALSE)</f>
        <v>30</v>
      </c>
      <c r="H325" s="43">
        <f>_xlfn.IFERROR(VLOOKUP(B325,'ADP'!A1:G731,7,FALSE)/1000000,VLOOKUP(B325,'ADP'!A1:G731,7,FALSE))</f>
        <v>5</v>
      </c>
      <c r="I325" s="44">
        <f>IF('Settings'!$E$15="POINTS",((R325*Q325)*'Settings'!$B$12)+(S325*'Settings'!$B$2)+(T325*'Settings'!$B$3)+(U325*'Settings'!$B$4)+(V325*'Settings'!$B$5)+(X325*'Settings'!$B$9)+(AA325*'Settings'!$B$6)+(W325*'Settings'!$B$8)+(AB325*'Settings'!$B$7)+(AC325*'Settings'!$B$14)+(AD325*'Settings'!$B$15)+(AE325*'Settings'!$B$16)+(AF325*'Settings'!$B$17)+(AG325*'Settings'!$B$18)+(Y325*'Settings'!$B$10)+(Z325*'Settings'!$B$11),VLOOKUP(B325,'Standard Deviations'!A1:C731,3,FALSE))</f>
        <v>230.828011753959</v>
      </c>
      <c r="J325" s="45">
        <f>IF(D325="G",I325/AJ325,I325/Q325)</f>
        <v>2.85219339866501</v>
      </c>
      <c r="K325" s="44">
        <f>IF('Settings'!$E$18="C/LW/RW",VLOOKUP(B325,'RW'!A1:F132,6,FALSE),VLOOKUP(B325,'F'!A1:F432,6,FALSE))</f>
        <v>-150.800551952397</v>
      </c>
      <c r="L325" s="44">
        <f>_xlfn.IFERROR(K325/H325,"N/A")</f>
        <v>-30.1601103904794</v>
      </c>
      <c r="M325" t="s" s="61">
        <f>IF('Settings'!$E$9="YAHOO",VLOOKUP(B325,'ADP'!A1:E731,2,FALSE),IF('Settings'!$E$9="ESPN",VLOOKUP(B325,'ADP'!A1:E731,3,FALSE),IF('Settings'!$E$9="FANTRAX",VLOOKUP(B325,'ADP'!A1:E731,4,FALSE),VLOOKUP(B325,'ADP'!A1:E731,5,FALSE))))</f>
        <v>329</v>
      </c>
      <c r="N325" t="s" s="61">
        <f>_xlfn.IFERROR(M325-A325,"N/A")</f>
        <v>158</v>
      </c>
      <c r="O325" s="46"/>
      <c r="P325" t="s" s="47">
        <f>IF('Settings'!$E$27="ON",VLOOKUP(B325,'ADP'!A1:H731,8,FALSE)," ")</f>
        <v>109</v>
      </c>
      <c r="Q325" s="48">
        <f>IF('Settings'!$E$12="YES",VLOOKUP(B325,'Player Data'!A1:E734,5,FALSE),82)</f>
        <v>80.93000000000001</v>
      </c>
      <c r="R325" s="46">
        <f>VLOOKUP(B325,'Player Data'!$A1:$AE734,6,FALSE)</f>
        <v>15.1524375967013</v>
      </c>
      <c r="S325" s="48">
        <f>VLOOKUP(B325,'Player Data'!$A1:$AE734,7,FALSE)*$Q325*_xlfn.IFERROR((VLOOKUP(P325,'Settings'!$E$28:$F$33,2,FALSE)+1),1)</f>
        <v>14.7987819839788</v>
      </c>
      <c r="T325" s="48">
        <f>VLOOKUP(B325,'Player Data'!$A1:$AE734,8,FALSE)*$Q325*_xlfn.IFERROR((VLOOKUP(P325,'Settings'!$E$28:$F$33,2,FALSE)+1),1)</f>
        <v>26.5384827351302</v>
      </c>
      <c r="U325" s="48">
        <f>SUM(S325:T325)</f>
        <v>41.337264719109</v>
      </c>
      <c r="V325" s="48">
        <f>VLOOKUP(B325,'Player Data'!$A1:$AE734,10,FALSE)*$Q325*_xlfn.IFERROR(((VLOOKUP(P325,'Settings'!$E$28:$F$33,2,FALSE)/2)+1),1)</f>
        <v>128.167000296459</v>
      </c>
      <c r="W325" s="48">
        <f>VLOOKUP(B325,'Player Data'!$A1:$AE734,11,FALSE)*$Q325*_xlfn.IFERROR((VLOOKUP(P325,'Settings'!$E$28:$F$33,2,FALSE)+1),1)</f>
        <v>2.25247527354141</v>
      </c>
      <c r="X325" s="48">
        <f>VLOOKUP(B325,'Player Data'!$A1:$AE734,12,FALSE)*$Q325*_xlfn.IFERROR((VLOOKUP(P325,'Settings'!$E$28:$F$33,2,FALSE)+1),1)</f>
        <v>7.39512925667357</v>
      </c>
      <c r="Y325" s="48">
        <f>VLOOKUP(B325,'Player Data'!$A1:$AE734,13,FALSE)*$Q325</f>
        <v>0.124311055768728</v>
      </c>
      <c r="Z325" s="48">
        <f>VLOOKUP(B325,'Player Data'!$A1:$AE734,14,FALSE)*$Q325</f>
        <v>0.269157405583242</v>
      </c>
      <c r="AA325" s="48">
        <f>VLOOKUP(B325,'Player Data'!$A1:$AE734,15,FALSE)*$Q325</f>
        <v>21.989196652866</v>
      </c>
      <c r="AB325" s="48">
        <f>VLOOKUP(B325,'Player Data'!$A1:$AE734,16,FALSE)*$Q325</f>
        <v>36.0065253393378</v>
      </c>
      <c r="AC325" s="48">
        <f>VLOOKUP(B325,'Player Data'!$A1:$AE734,17,FALSE)*$Q325*_xlfn.IFERROR((VLOOKUP(P325,'Settings'!$E$28:$F$33,2,FALSE)+1),1)</f>
        <v>-9.413607928213461</v>
      </c>
      <c r="AD325" s="48">
        <f>VLOOKUP(B325,'Player Data'!$A1:$AE734,18,FALSE)*$Q325</f>
        <v>49.5491271269664</v>
      </c>
      <c r="AE325" s="48">
        <f>VLOOKUP(B325,'Player Data'!$A1:$AE734,19,FALSE)*$Q325*_xlfn.IFERROR((VLOOKUP(P325,'Settings'!$E$28:$F$33,2,FALSE)+1),1)</f>
        <v>1.41865601718596</v>
      </c>
      <c r="AF325" s="48">
        <f>VLOOKUP(B325,'Player Data'!$A1:$AE734,20,FALSE)*$Q325</f>
        <v>353.654777179024</v>
      </c>
      <c r="AG325" s="48">
        <f>VLOOKUP(B325,'Player Data'!$A1:$AE734,21,FALSE)*$Q325</f>
        <v>452.147831089667</v>
      </c>
      <c r="AH325" s="49">
        <f>VLOOKUP(B325,'Player Data'!$A1:$AE734,22,FALSE)</f>
        <v>0.438885123416105</v>
      </c>
      <c r="AI325" s="46"/>
      <c r="AJ325" s="50"/>
      <c r="AK325" s="48"/>
      <c r="AL325" s="48"/>
      <c r="AM325" s="48"/>
      <c r="AN325" s="48"/>
      <c r="AO325" s="48"/>
      <c r="AP325" s="48"/>
      <c r="AQ325" s="51"/>
      <c r="AR325" s="52"/>
      <c r="AS325" s="46"/>
    </row>
    <row r="326" ht="21.25" customHeight="1">
      <c r="A326" s="53">
        <f>RANK(K326,K2:K730)</f>
        <v>313</v>
      </c>
      <c r="B326" t="s" s="8">
        <v>478</v>
      </c>
      <c r="C326" t="s" s="39">
        <v>106</v>
      </c>
      <c r="D326" t="s" s="40">
        <f>VLOOKUP(B326,'Player Data'!A1:D734,4,FALSE)</f>
        <v>129</v>
      </c>
      <c r="E326" s="56">
        <f>VLOOKUP(B326,'D'!A1:C228,3,FALSE)</f>
        <v>99</v>
      </c>
      <c r="F326" t="s" s="42">
        <f>VLOOKUP(B326,'Player Data'!A1:B734,2,FALSE)</f>
        <v>156</v>
      </c>
      <c r="G326" s="9">
        <f>VLOOKUP(B326,'Player Data'!A1:D734,3,FALSE)</f>
        <v>29</v>
      </c>
      <c r="H326" s="43">
        <f>_xlfn.IFERROR(VLOOKUP(B326,'ADP'!A1:G731,7,FALSE)/1000000,VLOOKUP(B326,'ADP'!A1:G731,7,FALSE))</f>
        <v>3.25</v>
      </c>
      <c r="I326" s="44">
        <f>IF('Settings'!$E$15="POINTS",((R326*Q326)*'Settings'!$B$12)+(S326*'Settings'!$B$2)+(T326*'Settings'!$B$3)+(U326*'Settings'!$B$4)+(V326*'Settings'!$B$5)+(X326*'Settings'!$B$9)+(AA326*'Settings'!$B$6)+(W326*'Settings'!$B$8)+(AB326*'Settings'!$B$7)+(AC326*'Settings'!$B$14)+(AD326*'Settings'!$B$15)+(AE326*'Settings'!$B$16)+(AF326*'Settings'!$B$17)+(AG326*'Settings'!$B$18)+(U326*'Settings'!$B$13)+(Y326*'Settings'!$B$10)+(Z326*'Settings'!$B$11),VLOOKUP(B326,'Standard Deviations'!A1:C731,3,FALSE))</f>
        <v>220.165592978939</v>
      </c>
      <c r="J326" s="45">
        <f>IF(D326="G",I326/AJ326,I326/Q326)</f>
        <v>2.82385120125434</v>
      </c>
      <c r="K326" s="44">
        <f>VLOOKUP(B326,'D'!A1:F228,6,FALSE)</f>
        <v>-120.569545667584</v>
      </c>
      <c r="L326" s="44">
        <f>_xlfn.IFERROR(K326/H326,"N/A")</f>
        <v>-37.098321743872</v>
      </c>
      <c r="M326" t="s" s="61">
        <f>IF('Settings'!$E$9="YAHOO",VLOOKUP(B326,'ADP'!A1:E731,2,FALSE),IF('Settings'!$E$9="ESPN",VLOOKUP(B326,'ADP'!A1:E731,3,FALSE),IF('Settings'!$E$9="FANTRAX",VLOOKUP(B326,'ADP'!A1:E731,4,FALSE),VLOOKUP(B326,'ADP'!A1:E731,5,FALSE))))</f>
        <v>329</v>
      </c>
      <c r="N326" t="s" s="61">
        <f>_xlfn.IFERROR(M326-A326,"N/A")</f>
        <v>158</v>
      </c>
      <c r="O326" s="46"/>
      <c r="P326" t="s" s="47">
        <f>IF('Settings'!$E$27="ON",VLOOKUP(B326,'ADP'!A1:H731,8,FALSE)," ")</f>
        <v>109</v>
      </c>
      <c r="Q326" s="48">
        <f>IF('Settings'!$E$12="YES",VLOOKUP(B326,'Player Data'!A1:E734,5,FALSE),82)</f>
        <v>77.96642857142859</v>
      </c>
      <c r="R326" s="46">
        <f>VLOOKUP(B326,'Player Data'!$A1:$AE734,6,FALSE)</f>
        <v>18.8042336423473</v>
      </c>
      <c r="S326" s="48">
        <f>VLOOKUP(B326,'Player Data'!$A1:$AE734,7,FALSE)*$Q326*_xlfn.IFERROR((VLOOKUP(P326,'Settings'!$E$28:$F$33,2,FALSE)+1),1)</f>
        <v>5.98944491403781</v>
      </c>
      <c r="T326" s="48">
        <f>VLOOKUP(B326,'Player Data'!$A1:$AE734,8,FALSE)*$Q326*_xlfn.IFERROR((VLOOKUP(P326,'Settings'!$E$28:$F$33,2,FALSE)+1),1)</f>
        <v>15.9115321225084</v>
      </c>
      <c r="U326" s="48">
        <f>SUM(S326:T326)</f>
        <v>21.9009770365462</v>
      </c>
      <c r="V326" s="48">
        <f>VLOOKUP(B326,'Player Data'!$A1:$AE734,10,FALSE)*$Q326*_xlfn.IFERROR(((VLOOKUP(P326,'Settings'!$E$28:$F$33,2,FALSE)/2)+1),1)</f>
        <v>100.721313788291</v>
      </c>
      <c r="W326" s="48">
        <f>VLOOKUP(B326,'Player Data'!$A1:$AE734,11,FALSE)*$Q326*_xlfn.IFERROR((VLOOKUP(P326,'Settings'!$E$28:$F$33,2,FALSE)+1),1)</f>
        <v>0.0396748340244535</v>
      </c>
      <c r="X326" s="48">
        <f>VLOOKUP(B326,'Player Data'!$A1:$AE734,12,FALSE)*$Q326*_xlfn.IFERROR((VLOOKUP(P326,'Settings'!$E$28:$F$33,2,FALSE)+1),1)</f>
        <v>0.456634815263479</v>
      </c>
      <c r="Y326" s="48">
        <f>VLOOKUP(B326,'Player Data'!$A1:$AE734,13,FALSE)*$Q326</f>
        <v>0.417452503105381</v>
      </c>
      <c r="Z326" s="48">
        <f>VLOOKUP(B326,'Player Data'!$A1:$AE734,14,FALSE)*$Q326</f>
        <v>0.962445661581337</v>
      </c>
      <c r="AA326" s="48">
        <f>VLOOKUP(B326,'Player Data'!$A1:$AE734,15,FALSE)*$Q326</f>
        <v>111.588910449807</v>
      </c>
      <c r="AB326" s="48">
        <f>VLOOKUP(B326,'Player Data'!$A1:$AE734,16,FALSE)*$Q326</f>
        <v>149.593964224127</v>
      </c>
      <c r="AC326" s="48">
        <f>VLOOKUP(B326,'Player Data'!$A1:$AE734,17,FALSE)*$Q326*_xlfn.IFERROR((VLOOKUP(P326,'Settings'!$E$28:$F$33,2,FALSE)+1),1)</f>
        <v>1.47045496223635</v>
      </c>
      <c r="AD326" s="48">
        <f>VLOOKUP(B326,'Player Data'!$A1:$AE734,18,FALSE)*$Q326</f>
        <v>64.4214872739845</v>
      </c>
      <c r="AE326" s="48">
        <f>VLOOKUP(B326,'Player Data'!$A1:$AE734,19,FALSE)*$Q326*_xlfn.IFERROR((VLOOKUP(P326,'Settings'!$E$28:$F$33,2,FALSE)+1),1)</f>
        <v>0.847863719460457</v>
      </c>
      <c r="AF326" s="48">
        <f>VLOOKUP(B326,'Player Data'!$A1:$AE734,20,FALSE)*$Q326</f>
        <v>0</v>
      </c>
      <c r="AG326" s="48">
        <f>VLOOKUP(B326,'Player Data'!$A1:$AE734,21,FALSE)*$Q326</f>
        <v>0</v>
      </c>
      <c r="AH326" s="49">
        <f>VLOOKUP(B326,'Player Data'!$A1:$AE734,22,FALSE)</f>
        <v>0</v>
      </c>
      <c r="AI326" s="46"/>
      <c r="AJ326" s="50"/>
      <c r="AK326" s="48"/>
      <c r="AL326" s="48"/>
      <c r="AM326" s="48"/>
      <c r="AN326" s="48"/>
      <c r="AO326" s="48"/>
      <c r="AP326" s="48"/>
      <c r="AQ326" s="51"/>
      <c r="AR326" s="52"/>
      <c r="AS326" s="46"/>
    </row>
    <row r="327" ht="21.25" customHeight="1">
      <c r="A327" s="53">
        <f>RANK(K327,K2:K730)</f>
        <v>337</v>
      </c>
      <c r="B327" t="s" s="8">
        <v>479</v>
      </c>
      <c r="C327" t="s" s="39">
        <v>106</v>
      </c>
      <c r="D327" t="s" s="40">
        <f>VLOOKUP(B327,'Player Data'!A1:D734,4,FALSE)</f>
        <v>107</v>
      </c>
      <c r="E327" s="41">
        <f>VLOOKUP(B327,'C'!A1:C218,3,FALSE)</f>
        <v>91</v>
      </c>
      <c r="F327" t="s" s="42">
        <f>VLOOKUP(B327,'Player Data'!A1:B734,2,FALSE)</f>
        <v>124</v>
      </c>
      <c r="G327" s="9">
        <f>VLOOKUP(B327,'Player Data'!A1:D734,3,FALSE)</f>
        <v>26</v>
      </c>
      <c r="H327" s="43">
        <f>_xlfn.IFERROR(VLOOKUP(B327,'ADP'!A1:G731,7,FALSE)/1000000,VLOOKUP(B327,'ADP'!A1:G731,7,FALSE))</f>
        <v>6.08889</v>
      </c>
      <c r="I327" s="44">
        <f>IF('Settings'!$E$15="POINTS",((R327*Q327)*'Settings'!$B$12)+(S327*'Settings'!$B$2)+(T327*'Settings'!$B$3)+(U327*'Settings'!$B$4)+(V327*'Settings'!$B$5)+(X327*'Settings'!$B$9)+(AA327*'Settings'!$B$6)+(W327*'Settings'!$B$8)+(AB327*'Settings'!$B$7)+(AC327*'Settings'!$B$14)+(AD327*'Settings'!$B$15)+(AE327*'Settings'!$B$16)+(AF327*'Settings'!$B$17)+(AG327*'Settings'!$B$18)+(Y327*'Settings'!$B$10)+(Z327*'Settings'!$B$11),VLOOKUP(B327,'Standard Deviations'!A1:C731,3,FALSE))</f>
        <v>268.418974390427</v>
      </c>
      <c r="J327" s="45">
        <f>IF(D327="G",I327/AJ327,I327/Q327)</f>
        <v>3.52874427564814</v>
      </c>
      <c r="K327" s="44">
        <f>IF('Settings'!$E$18="C/LW/RW",VLOOKUP(B327,'C'!A1:F218,6,FALSE),VLOOKUP(B327,'F'!A1:F432,6,FALSE))</f>
        <v>-127.355227245588</v>
      </c>
      <c r="L327" s="44">
        <f>_xlfn.IFERROR(K327/H327,"N/A")</f>
        <v>-20.9160006578519</v>
      </c>
      <c r="M327" s="46">
        <f>IF('Settings'!$E$9="YAHOO",VLOOKUP(B327,'ADP'!A1:E731,2,FALSE),IF('Settings'!$E$9="ESPN",VLOOKUP(B327,'ADP'!A1:E731,3,FALSE),IF('Settings'!$E$9="FANTRAX",VLOOKUP(B327,'ADP'!A1:E731,4,FALSE),VLOOKUP(B327,'ADP'!A1:E731,5,FALSE))))</f>
        <v>417.28</v>
      </c>
      <c r="N327" s="46">
        <f>_xlfn.IFERROR(M327-A327,"N/A")</f>
        <v>80.28</v>
      </c>
      <c r="O327" s="46"/>
      <c r="P327" t="s" s="47">
        <f>IF('Settings'!$E$27="ON",VLOOKUP(B327,'ADP'!A1:H731,8,FALSE)," ")</f>
        <v>109</v>
      </c>
      <c r="Q327" s="48">
        <f>IF('Settings'!$E$12="YES",VLOOKUP(B327,'Player Data'!A1:E734,5,FALSE),82)</f>
        <v>76.0664285714286</v>
      </c>
      <c r="R327" s="46">
        <f>VLOOKUP(B327,'Player Data'!$A1:$AE734,6,FALSE)</f>
        <v>17.3186885598455</v>
      </c>
      <c r="S327" s="48">
        <f>VLOOKUP(B327,'Player Data'!$A1:$AE734,7,FALSE)*$Q327*_xlfn.IFERROR((VLOOKUP(P327,'Settings'!$E$28:$F$33,2,FALSE)+1),1)</f>
        <v>16.2638297024178</v>
      </c>
      <c r="T327" s="48">
        <f>VLOOKUP(B327,'Player Data'!$A1:$AE734,8,FALSE)*$Q327*_xlfn.IFERROR((VLOOKUP(P327,'Settings'!$E$28:$F$33,2,FALSE)+1),1)</f>
        <v>24.6960250418133</v>
      </c>
      <c r="U327" s="48">
        <f>SUM(S327:T327)</f>
        <v>40.9598547442311</v>
      </c>
      <c r="V327" s="48">
        <f>VLOOKUP(B327,'Player Data'!$A1:$AE734,10,FALSE)*$Q327*_xlfn.IFERROR(((VLOOKUP(P327,'Settings'!$E$28:$F$33,2,FALSE)/2)+1),1)</f>
        <v>145.169488414436</v>
      </c>
      <c r="W327" s="48">
        <f>VLOOKUP(B327,'Player Data'!$A1:$AE734,11,FALSE)*$Q327*_xlfn.IFERROR((VLOOKUP(P327,'Settings'!$E$28:$F$33,2,FALSE)+1),1)</f>
        <v>2.44520331828575</v>
      </c>
      <c r="X327" s="48">
        <f>VLOOKUP(B327,'Player Data'!$A1:$AE734,12,FALSE)*$Q327*_xlfn.IFERROR((VLOOKUP(P327,'Settings'!$E$28:$F$33,2,FALSE)+1),1)</f>
        <v>6.30829569460235</v>
      </c>
      <c r="Y327" s="48">
        <f>VLOOKUP(B327,'Player Data'!$A1:$AE734,13,FALSE)*$Q327</f>
        <v>2.05283736744074</v>
      </c>
      <c r="Z327" s="48">
        <f>VLOOKUP(B327,'Player Data'!$A1:$AE734,14,FALSE)*$Q327</f>
        <v>2.16537587380293</v>
      </c>
      <c r="AA327" s="48">
        <f>VLOOKUP(B327,'Player Data'!$A1:$AE734,15,FALSE)*$Q327</f>
        <v>58.9936887033309</v>
      </c>
      <c r="AB327" s="48">
        <f>VLOOKUP(B327,'Player Data'!$A1:$AE734,16,FALSE)*$Q327</f>
        <v>58.9253011904725</v>
      </c>
      <c r="AC327" s="48">
        <f>VLOOKUP(B327,'Player Data'!$A1:$AE734,17,FALSE)*$Q327*_xlfn.IFERROR((VLOOKUP(P327,'Settings'!$E$28:$F$33,2,FALSE)+1),1)</f>
        <v>0.590600362898054</v>
      </c>
      <c r="AD327" s="48">
        <f>VLOOKUP(B327,'Player Data'!$A1:$AE734,18,FALSE)*$Q327</f>
        <v>34.234494865642</v>
      </c>
      <c r="AE327" s="48">
        <f>VLOOKUP(B327,'Player Data'!$A1:$AE734,19,FALSE)*$Q327*_xlfn.IFERROR((VLOOKUP(P327,'Settings'!$E$28:$F$33,2,FALSE)+1),1)</f>
        <v>2.54529525627469</v>
      </c>
      <c r="AF327" s="48">
        <f>VLOOKUP(B327,'Player Data'!$A1:$AE734,20,FALSE)*$Q327</f>
        <v>503.816400516077</v>
      </c>
      <c r="AG327" s="48">
        <f>VLOOKUP(B327,'Player Data'!$A1:$AE734,21,FALSE)*$Q327</f>
        <v>529.335789854337</v>
      </c>
      <c r="AH327" s="49">
        <f>VLOOKUP(B327,'Player Data'!$A1:$AE734,22,FALSE)</f>
        <v>0.487649743389157</v>
      </c>
      <c r="AI327" s="46"/>
      <c r="AJ327" s="50"/>
      <c r="AK327" s="48"/>
      <c r="AL327" s="48"/>
      <c r="AM327" s="48"/>
      <c r="AN327" s="48"/>
      <c r="AO327" s="48"/>
      <c r="AP327" s="48"/>
      <c r="AQ327" s="51"/>
      <c r="AR327" s="52"/>
      <c r="AS327" s="46"/>
    </row>
    <row r="328" ht="21.25" customHeight="1">
      <c r="A328" s="53">
        <f>RANK(K328,K2:K730)</f>
        <v>415</v>
      </c>
      <c r="B328" t="s" s="8">
        <v>480</v>
      </c>
      <c r="C328" t="s" s="39">
        <v>106</v>
      </c>
      <c r="D328" t="s" s="40">
        <f>VLOOKUP(B328,'Player Data'!A1:D734,4,FALSE)</f>
        <v>129</v>
      </c>
      <c r="E328" s="56">
        <f>VLOOKUP(B328,'D'!A1:C228,3,FALSE)</f>
        <v>139</v>
      </c>
      <c r="F328" t="s" s="42">
        <f>VLOOKUP(B328,'Player Data'!A1:B734,2,FALSE)</f>
        <v>189</v>
      </c>
      <c r="G328" s="9">
        <f>VLOOKUP(B328,'Player Data'!A1:D734,3,FALSE)</f>
        <v>19</v>
      </c>
      <c r="H328" s="43">
        <f>_xlfn.IFERROR(VLOOKUP(B328,'ADP'!A1:G731,7,FALSE)/1000000,VLOOKUP(B328,'ADP'!A1:G731,7,FALSE))</f>
        <v>0</v>
      </c>
      <c r="I328" s="44">
        <f>IF('Settings'!$E$15="POINTS",((R328*Q328)*'Settings'!$B$12)+(S328*'Settings'!$B$2)+(T328*'Settings'!$B$3)+(U328*'Settings'!$B$4)+(V328*'Settings'!$B$5)+(X328*'Settings'!$B$9)+(AA328*'Settings'!$B$6)+(W328*'Settings'!$B$8)+(AB328*'Settings'!$B$7)+(AC328*'Settings'!$B$14)+(AD328*'Settings'!$B$15)+(AE328*'Settings'!$B$16)+(AF328*'Settings'!$B$17)+(AG328*'Settings'!$B$18)+(U328*'Settings'!$B$13)+(Y328*'Settings'!$B$10)+(Z328*'Settings'!$B$11),VLOOKUP(B328,'Standard Deviations'!A1:C731,3,FALSE))</f>
        <v>185.360261903018</v>
      </c>
      <c r="J328" s="45">
        <f>IF(D328="G",I328/AJ328,I328/Q328)</f>
        <v>2.57444808198636</v>
      </c>
      <c r="K328" s="44">
        <f>VLOOKUP(B328,'D'!A1:F228,6,FALSE)</f>
        <v>-155.374876743505</v>
      </c>
      <c r="L328" t="s" s="60">
        <f>_xlfn.IFERROR(K328/H328,"N/A")</f>
        <v>158</v>
      </c>
      <c r="M328" t="s" s="61">
        <f>IF('Settings'!$E$9="YAHOO",VLOOKUP(B328,'ADP'!A1:E731,2,FALSE),IF('Settings'!$E$9="ESPN",VLOOKUP(B328,'ADP'!A1:E731,3,FALSE),IF('Settings'!$E$9="FANTRAX",VLOOKUP(B328,'ADP'!A1:E731,4,FALSE),VLOOKUP(B328,'ADP'!A1:E731,5,FALSE))))</f>
        <v>329</v>
      </c>
      <c r="N328" t="s" s="61">
        <f>_xlfn.IFERROR(M328-A328,"N/A")</f>
        <v>158</v>
      </c>
      <c r="O328" s="46"/>
      <c r="P328" t="s" s="47">
        <f>IF('Settings'!$E$27="ON",VLOOKUP(B328,'ADP'!A1:H731,8,FALSE)," ")</f>
        <v>109</v>
      </c>
      <c r="Q328" s="48">
        <f>IF('Settings'!$E$12="YES",VLOOKUP(B328,'Player Data'!A1:E734,5,FALSE),82)</f>
        <v>72</v>
      </c>
      <c r="R328" s="46">
        <f>VLOOKUP(B328,'Player Data'!$A1:$AE734,6,FALSE)</f>
        <v>16</v>
      </c>
      <c r="S328" s="48">
        <f>VLOOKUP(B328,'Player Data'!$A1:$AE734,7,FALSE)*$Q328*_xlfn.IFERROR((VLOOKUP(P328,'Settings'!$E$28:$F$33,2,FALSE)+1),1)</f>
        <v>4.18810182689063</v>
      </c>
      <c r="T328" s="48">
        <f>VLOOKUP(B328,'Player Data'!$A1:$AE734,8,FALSE)*$Q328*_xlfn.IFERROR((VLOOKUP(P328,'Settings'!$E$28:$F$33,2,FALSE)+1),1)</f>
        <v>18.3176463526952</v>
      </c>
      <c r="U328" s="48">
        <f>SUM(S328:T328)</f>
        <v>22.5057481795858</v>
      </c>
      <c r="V328" s="48">
        <f>VLOOKUP(B328,'Player Data'!$A1:$AE734,10,FALSE)*$Q328*_xlfn.IFERROR(((VLOOKUP(P328,'Settings'!$E$28:$F$33,2,FALSE)/2)+1),1)</f>
        <v>99.4538560135226</v>
      </c>
      <c r="W328" s="48">
        <f>VLOOKUP(B328,'Player Data'!$A1:$AE734,11,FALSE)*$Q328*_xlfn.IFERROR((VLOOKUP(P328,'Settings'!$E$28:$F$33,2,FALSE)+1),1)</f>
        <v>0.531466095662373</v>
      </c>
      <c r="X328" s="48">
        <f>VLOOKUP(B328,'Player Data'!$A1:$AE734,12,FALSE)*$Q328*_xlfn.IFERROR((VLOOKUP(P328,'Settings'!$E$28:$F$33,2,FALSE)+1),1)</f>
        <v>2.85595780841968</v>
      </c>
      <c r="Y328" s="48">
        <f>VLOOKUP(B328,'Player Data'!$A1:$AE734,13,FALSE)*$Q328</f>
        <v>0</v>
      </c>
      <c r="Z328" s="48">
        <f>VLOOKUP(B328,'Player Data'!$A1:$AE734,14,FALSE)*$Q328</f>
        <v>0</v>
      </c>
      <c r="AA328" s="48">
        <f>VLOOKUP(B328,'Player Data'!$A1:$AE734,15,FALSE)*$Q328</f>
        <v>79.3756097560973</v>
      </c>
      <c r="AB328" s="48">
        <f>VLOOKUP(B328,'Player Data'!$A1:$AE734,16,FALSE)*$Q328</f>
        <v>88.58452695646029</v>
      </c>
      <c r="AC328" s="48">
        <f>VLOOKUP(B328,'Player Data'!$A1:$AE734,17,FALSE)*$Q328*_xlfn.IFERROR((VLOOKUP(P328,'Settings'!$E$28:$F$33,2,FALSE)+1),1)</f>
        <v>0.149268292682927</v>
      </c>
      <c r="AD328" s="48">
        <f>VLOOKUP(B328,'Player Data'!$A1:$AE734,18,FALSE)*$Q328</f>
        <v>29.4070662929421</v>
      </c>
      <c r="AE328" s="48">
        <f>VLOOKUP(B328,'Player Data'!$A1:$AE734,19,FALSE)*$Q328*_xlfn.IFERROR((VLOOKUP(P328,'Settings'!$E$28:$F$33,2,FALSE)+1),1)</f>
        <v>0.4487839466167</v>
      </c>
      <c r="AF328" s="48">
        <f>VLOOKUP(B328,'Player Data'!$A1:$AE734,20,FALSE)*$Q328</f>
        <v>0</v>
      </c>
      <c r="AG328" s="48">
        <f>VLOOKUP(B328,'Player Data'!$A1:$AE734,21,FALSE)*$Q328</f>
        <v>0</v>
      </c>
      <c r="AH328" s="49">
        <f>VLOOKUP(B328,'Player Data'!$A1:$AE734,22,FALSE)</f>
        <v>0</v>
      </c>
      <c r="AI328" s="46"/>
      <c r="AJ328" s="50"/>
      <c r="AK328" s="48"/>
      <c r="AL328" s="48"/>
      <c r="AM328" s="48"/>
      <c r="AN328" s="48"/>
      <c r="AO328" s="48"/>
      <c r="AP328" s="48"/>
      <c r="AQ328" s="51"/>
      <c r="AR328" s="52"/>
      <c r="AS328" s="46"/>
    </row>
    <row r="329" ht="21.25" customHeight="1">
      <c r="A329" s="53">
        <f>RANK(K329,K2:K730)</f>
        <v>382</v>
      </c>
      <c r="B329" t="s" s="8">
        <v>481</v>
      </c>
      <c r="C329" t="s" s="39">
        <v>106</v>
      </c>
      <c r="D329" t="s" s="40">
        <f>VLOOKUP(B329,'Player Data'!A1:D734,4,FALSE)</f>
        <v>129</v>
      </c>
      <c r="E329" s="56">
        <f>VLOOKUP(B329,'D'!A1:C228,3,FALSE)</f>
        <v>126</v>
      </c>
      <c r="F329" t="s" s="42">
        <f>VLOOKUP(B329,'Player Data'!A1:B734,2,FALSE)</f>
        <v>127</v>
      </c>
      <c r="G329" s="9">
        <f>VLOOKUP(B329,'Player Data'!A1:D734,3,FALSE)</f>
        <v>26</v>
      </c>
      <c r="H329" s="43">
        <f>_xlfn.IFERROR(VLOOKUP(B329,'ADP'!A1:G731,7,FALSE)/1000000,VLOOKUP(B329,'ADP'!A1:G731,7,FALSE))</f>
        <v>4.4</v>
      </c>
      <c r="I329" s="44">
        <f>IF('Settings'!$E$15="POINTS",((R329*Q329)*'Settings'!$B$12)+(S329*'Settings'!$B$2)+(T329*'Settings'!$B$3)+(U329*'Settings'!$B$4)+(V329*'Settings'!$B$5)+(X329*'Settings'!$B$9)+(AA329*'Settings'!$B$6)+(W329*'Settings'!$B$8)+(AB329*'Settings'!$B$7)+(AC329*'Settings'!$B$14)+(AD329*'Settings'!$B$15)+(AE329*'Settings'!$B$16)+(AF329*'Settings'!$B$17)+(AG329*'Settings'!$B$18)+(U329*'Settings'!$B$13)+(Y329*'Settings'!$B$10)+(Z329*'Settings'!$B$11),VLOOKUP(B329,'Standard Deviations'!A1:C731,3,FALSE))</f>
        <v>194.481533207237</v>
      </c>
      <c r="J329" s="45">
        <f>IF(D329="G",I329/AJ329,I329/Q329)</f>
        <v>2.48978475435966</v>
      </c>
      <c r="K329" s="44">
        <f>VLOOKUP(B329,'D'!A1:F228,6,FALSE)</f>
        <v>-146.253605439286</v>
      </c>
      <c r="L329" s="44">
        <f>_xlfn.IFERROR(K329/H329,"N/A")</f>
        <v>-33.2394557816559</v>
      </c>
      <c r="M329" t="s" s="61">
        <f>IF('Settings'!$E$9="YAHOO",VLOOKUP(B329,'ADP'!A1:E731,2,FALSE),IF('Settings'!$E$9="ESPN",VLOOKUP(B329,'ADP'!A1:E731,3,FALSE),IF('Settings'!$E$9="FANTRAX",VLOOKUP(B329,'ADP'!A1:E731,4,FALSE),VLOOKUP(B329,'ADP'!A1:E731,5,FALSE))))</f>
        <v>329</v>
      </c>
      <c r="N329" t="s" s="61">
        <f>_xlfn.IFERROR(M329-A329,"N/A")</f>
        <v>158</v>
      </c>
      <c r="O329" s="46"/>
      <c r="P329" t="s" s="47">
        <f>IF('Settings'!$E$27="ON",VLOOKUP(B329,'ADP'!A1:H731,8,FALSE)," ")</f>
        <v>109</v>
      </c>
      <c r="Q329" s="48">
        <f>IF('Settings'!$E$12="YES",VLOOKUP(B329,'Player Data'!A1:E734,5,FALSE),82)</f>
        <v>78.1117857142857</v>
      </c>
      <c r="R329" s="46">
        <f>VLOOKUP(B329,'Player Data'!$A1:$AE734,6,FALSE)</f>
        <v>21.1003710226372</v>
      </c>
      <c r="S329" s="48">
        <f>VLOOKUP(B329,'Player Data'!$A1:$AE734,7,FALSE)*$Q329*_xlfn.IFERROR((VLOOKUP(P329,'Settings'!$E$28:$F$33,2,FALSE)+1),1)</f>
        <v>3.52375485717587</v>
      </c>
      <c r="T329" s="48">
        <f>VLOOKUP(B329,'Player Data'!$A1:$AE734,8,FALSE)*$Q329*_xlfn.IFERROR((VLOOKUP(P329,'Settings'!$E$28:$F$33,2,FALSE)+1),1)</f>
        <v>19.3571147233749</v>
      </c>
      <c r="U329" s="48">
        <f>SUM(S329:T329)</f>
        <v>22.8808695805508</v>
      </c>
      <c r="V329" s="48">
        <f>VLOOKUP(B329,'Player Data'!$A1:$AE734,10,FALSE)*$Q329*_xlfn.IFERROR(((VLOOKUP(P329,'Settings'!$E$28:$F$33,2,FALSE)/2)+1),1)</f>
        <v>92.7448221643839</v>
      </c>
      <c r="W329" s="48">
        <f>VLOOKUP(B329,'Player Data'!$A1:$AE734,11,FALSE)*$Q329*_xlfn.IFERROR((VLOOKUP(P329,'Settings'!$E$28:$F$33,2,FALSE)+1),1)</f>
        <v>0.09246167468313569</v>
      </c>
      <c r="X329" s="48">
        <f>VLOOKUP(B329,'Player Data'!$A1:$AE734,12,FALSE)*$Q329*_xlfn.IFERROR((VLOOKUP(P329,'Settings'!$E$28:$F$33,2,FALSE)+1),1)</f>
        <v>0.64469694768955</v>
      </c>
      <c r="Y329" s="48">
        <f>VLOOKUP(B329,'Player Data'!$A1:$AE734,13,FALSE)*$Q329</f>
        <v>0.027851328216663</v>
      </c>
      <c r="Z329" s="48">
        <f>VLOOKUP(B329,'Player Data'!$A1:$AE734,14,FALSE)*$Q329</f>
        <v>1.57492221808231</v>
      </c>
      <c r="AA329" s="48">
        <f>VLOOKUP(B329,'Player Data'!$A1:$AE734,15,FALSE)*$Q329</f>
        <v>107.152468770596</v>
      </c>
      <c r="AB329" s="48">
        <f>VLOOKUP(B329,'Player Data'!$A1:$AE734,16,FALSE)*$Q329</f>
        <v>69.81920910466719</v>
      </c>
      <c r="AC329" s="48">
        <f>VLOOKUP(B329,'Player Data'!$A1:$AE734,17,FALSE)*$Q329*_xlfn.IFERROR((VLOOKUP(P329,'Settings'!$E$28:$F$33,2,FALSE)+1),1)</f>
        <v>-0.276204540962189</v>
      </c>
      <c r="AD329" s="48">
        <f>VLOOKUP(B329,'Player Data'!$A1:$AE734,18,FALSE)*$Q329</f>
        <v>24.3754864149439</v>
      </c>
      <c r="AE329" s="48">
        <f>VLOOKUP(B329,'Player Data'!$A1:$AE734,19,FALSE)*$Q329*_xlfn.IFERROR((VLOOKUP(P329,'Settings'!$E$28:$F$33,2,FALSE)+1),1)</f>
        <v>0.517914374433193</v>
      </c>
      <c r="AF329" s="48">
        <f>VLOOKUP(B329,'Player Data'!$A1:$AE734,20,FALSE)*$Q329</f>
        <v>0</v>
      </c>
      <c r="AG329" s="48">
        <f>VLOOKUP(B329,'Player Data'!$A1:$AE734,21,FALSE)*$Q329</f>
        <v>0</v>
      </c>
      <c r="AH329" s="49">
        <f>VLOOKUP(B329,'Player Data'!$A1:$AE734,22,FALSE)</f>
        <v>0</v>
      </c>
      <c r="AI329" s="46"/>
      <c r="AJ329" s="50"/>
      <c r="AK329" s="48"/>
      <c r="AL329" s="48"/>
      <c r="AM329" s="48"/>
      <c r="AN329" s="48"/>
      <c r="AO329" s="48"/>
      <c r="AP329" s="48"/>
      <c r="AQ329" s="51"/>
      <c r="AR329" s="52"/>
      <c r="AS329" s="46"/>
    </row>
    <row r="330" ht="21.25" customHeight="1">
      <c r="A330" s="53">
        <f>RANK(K330,K2:K730)</f>
        <v>264</v>
      </c>
      <c r="B330" t="s" s="8">
        <v>482</v>
      </c>
      <c r="C330" t="s" s="39">
        <v>106</v>
      </c>
      <c r="D330" t="s" s="40">
        <f>VLOOKUP(B330,'Player Data'!A1:D734,4,FALSE)</f>
        <v>129</v>
      </c>
      <c r="E330" s="56">
        <f>VLOOKUP(B330,'D'!A1:C228,3,FALSE)</f>
        <v>74</v>
      </c>
      <c r="F330" t="s" s="42">
        <f>VLOOKUP(B330,'Player Data'!A1:B734,2,FALSE)</f>
        <v>218</v>
      </c>
      <c r="G330" s="9">
        <f>VLOOKUP(B330,'Player Data'!A1:D734,3,FALSE)</f>
        <v>32</v>
      </c>
      <c r="H330" s="43">
        <f>_xlfn.IFERROR(VLOOKUP(B330,'ADP'!A1:G731,7,FALSE)/1000000,VLOOKUP(B330,'ADP'!A1:G731,7,FALSE))</f>
        <v>2.5</v>
      </c>
      <c r="I330" s="44">
        <f>IF('Settings'!$E$15="POINTS",((R330*Q330)*'Settings'!$B$12)+(S330*'Settings'!$B$2)+(T330*'Settings'!$B$3)+(U330*'Settings'!$B$4)+(V330*'Settings'!$B$5)+(X330*'Settings'!$B$9)+(AA330*'Settings'!$B$6)+(W330*'Settings'!$B$8)+(AB330*'Settings'!$B$7)+(AC330*'Settings'!$B$14)+(AD330*'Settings'!$B$15)+(AE330*'Settings'!$B$16)+(AF330*'Settings'!$B$17)+(AG330*'Settings'!$B$18)+(U330*'Settings'!$B$13)+(Y330*'Settings'!$B$10)+(Z330*'Settings'!$B$11),VLOOKUP(B330,'Standard Deviations'!A1:C731,3,FALSE))</f>
        <v>241.301580323012</v>
      </c>
      <c r="J330" s="45">
        <f>IF(D330="G",I330/AJ330,I330/Q330)</f>
        <v>3.09178381315264</v>
      </c>
      <c r="K330" s="44">
        <f>VLOOKUP(B330,'D'!A1:F228,6,FALSE)</f>
        <v>-99.43355832351099</v>
      </c>
      <c r="L330" s="44">
        <f>_xlfn.IFERROR(K330/H330,"N/A")</f>
        <v>-39.7734233294044</v>
      </c>
      <c r="M330" s="46">
        <f>IF('Settings'!$E$9="YAHOO",VLOOKUP(B330,'ADP'!A1:E731,2,FALSE),IF('Settings'!$E$9="ESPN",VLOOKUP(B330,'ADP'!A1:E731,3,FALSE),IF('Settings'!$E$9="FANTRAX",VLOOKUP(B330,'ADP'!A1:E731,4,FALSE),VLOOKUP(B330,'ADP'!A1:E731,5,FALSE))))</f>
        <v>311.42</v>
      </c>
      <c r="N330" s="46">
        <f>_xlfn.IFERROR(M330-A330,"N/A")</f>
        <v>47.42</v>
      </c>
      <c r="O330" s="46"/>
      <c r="P330" t="s" s="47">
        <f>IF('Settings'!$E$27="ON",VLOOKUP(B330,'ADP'!A1:H731,8,FALSE)," ")</f>
        <v>109</v>
      </c>
      <c r="Q330" s="48">
        <f>IF('Settings'!$E$12="YES",VLOOKUP(B330,'Player Data'!A1:E734,5,FALSE),82)</f>
        <v>78.04607142857139</v>
      </c>
      <c r="R330" s="46">
        <f>VLOOKUP(B330,'Player Data'!$A1:$AE734,6,FALSE)</f>
        <v>20.0973199542683</v>
      </c>
      <c r="S330" s="48">
        <f>VLOOKUP(B330,'Player Data'!$A1:$AE734,7,FALSE)*$Q330*_xlfn.IFERROR((VLOOKUP(P330,'Settings'!$E$28:$F$33,2,FALSE)+1),1)</f>
        <v>2.53124400526158</v>
      </c>
      <c r="T330" s="48">
        <f>VLOOKUP(B330,'Player Data'!$A1:$AE734,8,FALSE)*$Q330*_xlfn.IFERROR((VLOOKUP(P330,'Settings'!$E$28:$F$33,2,FALSE)+1),1)</f>
        <v>15.8939168925519</v>
      </c>
      <c r="U330" s="48">
        <f>SUM(S330:T330)</f>
        <v>18.4251608978135</v>
      </c>
      <c r="V330" s="48">
        <f>VLOOKUP(B330,'Player Data'!$A1:$AE734,10,FALSE)*$Q330*_xlfn.IFERROR(((VLOOKUP(P330,'Settings'!$E$28:$F$33,2,FALSE)/2)+1),1)</f>
        <v>91.9901976025956</v>
      </c>
      <c r="W330" s="48">
        <f>VLOOKUP(B330,'Player Data'!$A1:$AE734,11,FALSE)*$Q330*_xlfn.IFERROR((VLOOKUP(P330,'Settings'!$E$28:$F$33,2,FALSE)+1),1)</f>
        <v>0.0195346242160115</v>
      </c>
      <c r="X330" s="48">
        <f>VLOOKUP(B330,'Player Data'!$A1:$AE734,12,FALSE)*$Q330*_xlfn.IFERROR((VLOOKUP(P330,'Settings'!$E$28:$F$33,2,FALSE)+1),1)</f>
        <v>0.145618116240507</v>
      </c>
      <c r="Y330" s="48">
        <f>VLOOKUP(B330,'Player Data'!$A1:$AE734,13,FALSE)*$Q330</f>
        <v>0.0204398413593164</v>
      </c>
      <c r="Z330" s="48">
        <f>VLOOKUP(B330,'Player Data'!$A1:$AE734,14,FALSE)*$Q330</f>
        <v>1.01216461397118</v>
      </c>
      <c r="AA330" s="48">
        <f>VLOOKUP(B330,'Player Data'!$A1:$AE734,15,FALSE)*$Q330</f>
        <v>180.615052183270</v>
      </c>
      <c r="AB330" s="48">
        <f>VLOOKUP(B330,'Player Data'!$A1:$AE734,16,FALSE)*$Q330</f>
        <v>175.609110003218</v>
      </c>
      <c r="AC330" s="48">
        <f>VLOOKUP(B330,'Player Data'!$A1:$AE734,17,FALSE)*$Q330*_xlfn.IFERROR((VLOOKUP(P330,'Settings'!$E$28:$F$33,2,FALSE)+1),1)</f>
        <v>5.25863321201161</v>
      </c>
      <c r="AD330" s="48">
        <f>VLOOKUP(B330,'Player Data'!$A1:$AE734,18,FALSE)*$Q330</f>
        <v>40.9614360768515</v>
      </c>
      <c r="AE330" s="48">
        <f>VLOOKUP(B330,'Player Data'!$A1:$AE734,19,FALSE)*$Q330*_xlfn.IFERROR((VLOOKUP(P330,'Settings'!$E$28:$F$33,2,FALSE)+1),1)</f>
        <v>0.413674334839652</v>
      </c>
      <c r="AF330" s="48">
        <f>VLOOKUP(B330,'Player Data'!$A1:$AE734,20,FALSE)*$Q330</f>
        <v>0</v>
      </c>
      <c r="AG330" s="48">
        <f>VLOOKUP(B330,'Player Data'!$A1:$AE734,21,FALSE)*$Q330</f>
        <v>0</v>
      </c>
      <c r="AH330" s="49">
        <f>VLOOKUP(B330,'Player Data'!$A1:$AE734,22,FALSE)</f>
        <v>0</v>
      </c>
      <c r="AI330" s="46"/>
      <c r="AJ330" s="50"/>
      <c r="AK330" s="48"/>
      <c r="AL330" s="48"/>
      <c r="AM330" s="48"/>
      <c r="AN330" s="48"/>
      <c r="AO330" s="48"/>
      <c r="AP330" s="48"/>
      <c r="AQ330" s="51"/>
      <c r="AR330" s="52"/>
      <c r="AS330" s="46"/>
    </row>
    <row r="331" ht="21.25" customHeight="1">
      <c r="A331" s="53">
        <f>RANK(K331,K2:K730)</f>
        <v>319</v>
      </c>
      <c r="B331" t="s" s="8">
        <v>483</v>
      </c>
      <c r="C331" t="s" s="39">
        <v>106</v>
      </c>
      <c r="D331" t="s" s="40">
        <f>VLOOKUP(B331,'Player Data'!A1:D734,4,FALSE)</f>
        <v>129</v>
      </c>
      <c r="E331" s="56">
        <f>VLOOKUP(B331,'D'!A1:C228,3,FALSE)</f>
        <v>104</v>
      </c>
      <c r="F331" t="s" s="42">
        <f>VLOOKUP(B331,'Player Data'!A1:B734,2,FALSE)</f>
        <v>184</v>
      </c>
      <c r="G331" s="9">
        <f>VLOOKUP(B331,'Player Data'!A1:D734,3,FALSE)</f>
        <v>32</v>
      </c>
      <c r="H331" s="43">
        <f>_xlfn.IFERROR(VLOOKUP(B331,'ADP'!A1:G731,7,FALSE)/1000000,VLOOKUP(B331,'ADP'!A1:G731,7,FALSE))</f>
        <v>4.75</v>
      </c>
      <c r="I331" s="44">
        <f>IF('Settings'!$E$15="POINTS",((R331*Q331)*'Settings'!$B$12)+(S331*'Settings'!$B$2)+(T331*'Settings'!$B$3)+(U331*'Settings'!$B$4)+(V331*'Settings'!$B$5)+(X331*'Settings'!$B$9)+(AA331*'Settings'!$B$6)+(W331*'Settings'!$B$8)+(AB331*'Settings'!$B$7)+(AC331*'Settings'!$B$14)+(AD331*'Settings'!$B$15)+(AE331*'Settings'!$B$16)+(AF331*'Settings'!$B$17)+(AG331*'Settings'!$B$18)+(U331*'Settings'!$B$13)+(Y331*'Settings'!$B$10)+(Z331*'Settings'!$B$11),VLOOKUP(B331,'Standard Deviations'!A1:C731,3,FALSE))</f>
        <v>218.963184858608</v>
      </c>
      <c r="J331" s="45">
        <f>IF(D331="G",I331/AJ331,I331/Q331)</f>
        <v>2.81919933418602</v>
      </c>
      <c r="K331" s="44">
        <f>VLOOKUP(B331,'D'!A1:F228,6,FALSE)</f>
        <v>-121.771953787915</v>
      </c>
      <c r="L331" s="44">
        <f>_xlfn.IFERROR(K331/H331,"N/A")</f>
        <v>-25.6362007974558</v>
      </c>
      <c r="M331" t="s" s="61">
        <f>IF('Settings'!$E$9="YAHOO",VLOOKUP(B331,'ADP'!A1:E731,2,FALSE),IF('Settings'!$E$9="ESPN",VLOOKUP(B331,'ADP'!A1:E731,3,FALSE),IF('Settings'!$E$9="FANTRAX",VLOOKUP(B331,'ADP'!A1:E731,4,FALSE),VLOOKUP(B331,'ADP'!A1:E731,5,FALSE))))</f>
        <v>329</v>
      </c>
      <c r="N331" t="s" s="61">
        <f>_xlfn.IFERROR(M331-A331,"N/A")</f>
        <v>158</v>
      </c>
      <c r="O331" s="46"/>
      <c r="P331" t="s" s="47">
        <f>IF('Settings'!$E$27="ON",VLOOKUP(B331,'ADP'!A1:H731,8,FALSE)," ")</f>
        <v>109</v>
      </c>
      <c r="Q331" s="48">
        <f>IF('Settings'!$E$12="YES",VLOOKUP(B331,'Player Data'!A1:E734,5,FALSE),82)</f>
        <v>77.6685714285714</v>
      </c>
      <c r="R331" s="46">
        <f>VLOOKUP(B331,'Player Data'!$A1:$AE734,6,FALSE)</f>
        <v>19.1562996347</v>
      </c>
      <c r="S331" s="48">
        <f>VLOOKUP(B331,'Player Data'!$A1:$AE734,7,FALSE)*$Q331*_xlfn.IFERROR((VLOOKUP(P331,'Settings'!$E$28:$F$33,2,FALSE)+1),1)</f>
        <v>4.41843976163325</v>
      </c>
      <c r="T331" s="48">
        <f>VLOOKUP(B331,'Player Data'!$A1:$AE734,8,FALSE)*$Q331*_xlfn.IFERROR((VLOOKUP(P331,'Settings'!$E$28:$F$33,2,FALSE)+1),1)</f>
        <v>13.3543362046626</v>
      </c>
      <c r="U331" s="48">
        <f>SUM(S331:T331)</f>
        <v>17.7727759662959</v>
      </c>
      <c r="V331" s="48">
        <f>VLOOKUP(B331,'Player Data'!$A1:$AE734,10,FALSE)*$Q331*_xlfn.IFERROR(((VLOOKUP(P331,'Settings'!$E$28:$F$33,2,FALSE)/2)+1),1)</f>
        <v>111.385661909444</v>
      </c>
      <c r="W331" s="48">
        <f>VLOOKUP(B331,'Player Data'!$A1:$AE734,11,FALSE)*$Q331*_xlfn.IFERROR((VLOOKUP(P331,'Settings'!$E$28:$F$33,2,FALSE)+1),1)</f>
        <v>0.122840247157156</v>
      </c>
      <c r="X331" s="48">
        <f>VLOOKUP(B331,'Player Data'!$A1:$AE734,12,FALSE)*$Q331*_xlfn.IFERROR((VLOOKUP(P331,'Settings'!$E$28:$F$33,2,FALSE)+1),1)</f>
        <v>0.267846964397657</v>
      </c>
      <c r="Y331" s="48">
        <f>VLOOKUP(B331,'Player Data'!$A1:$AE734,13,FALSE)*$Q331</f>
        <v>0.0194461231558958</v>
      </c>
      <c r="Z331" s="48">
        <f>VLOOKUP(B331,'Player Data'!$A1:$AE734,14,FALSE)*$Q331</f>
        <v>0.105779108101525</v>
      </c>
      <c r="AA331" s="48">
        <f>VLOOKUP(B331,'Player Data'!$A1:$AE734,15,FALSE)*$Q331</f>
        <v>137.939262714023</v>
      </c>
      <c r="AB331" s="48">
        <f>VLOOKUP(B331,'Player Data'!$A1:$AE734,16,FALSE)*$Q331</f>
        <v>136.572707157335</v>
      </c>
      <c r="AC331" s="48">
        <f>VLOOKUP(B331,'Player Data'!$A1:$AE734,17,FALSE)*$Q331*_xlfn.IFERROR((VLOOKUP(P331,'Settings'!$E$28:$F$33,2,FALSE)+1),1)</f>
        <v>-5.40337883827995</v>
      </c>
      <c r="AD331" s="48">
        <f>VLOOKUP(B331,'Player Data'!$A1:$AE734,18,FALSE)*$Q331</f>
        <v>49.6169003064589</v>
      </c>
      <c r="AE331" s="48">
        <f>VLOOKUP(B331,'Player Data'!$A1:$AE734,19,FALSE)*$Q331*_xlfn.IFERROR((VLOOKUP(P331,'Settings'!$E$28:$F$33,2,FALSE)+1),1)</f>
        <v>0.5847180247753589</v>
      </c>
      <c r="AF331" s="48">
        <f>VLOOKUP(B331,'Player Data'!$A1:$AE734,20,FALSE)*$Q331</f>
        <v>0</v>
      </c>
      <c r="AG331" s="48">
        <f>VLOOKUP(B331,'Player Data'!$A1:$AE734,21,FALSE)*$Q331</f>
        <v>0</v>
      </c>
      <c r="AH331" s="49">
        <f>VLOOKUP(B331,'Player Data'!$A1:$AE734,22,FALSE)</f>
        <v>0</v>
      </c>
      <c r="AI331" s="46"/>
      <c r="AJ331" s="50"/>
      <c r="AK331" s="48"/>
      <c r="AL331" s="48"/>
      <c r="AM331" s="48"/>
      <c r="AN331" s="48"/>
      <c r="AO331" s="48"/>
      <c r="AP331" s="48"/>
      <c r="AQ331" s="51"/>
      <c r="AR331" s="52"/>
      <c r="AS331" s="46"/>
    </row>
    <row r="332" ht="21.25" customHeight="1">
      <c r="A332" s="53">
        <f>RANK(K332,K2:K730)</f>
        <v>297</v>
      </c>
      <c r="B332" t="s" s="8">
        <v>484</v>
      </c>
      <c r="C332" t="s" s="39">
        <v>106</v>
      </c>
      <c r="D332" t="s" s="40">
        <f>VLOOKUP(B332,'Player Data'!A1:D734,4,FALSE)</f>
        <v>107</v>
      </c>
      <c r="E332" s="41">
        <f>VLOOKUP(B332,'C'!A1:C218,3,FALSE)</f>
        <v>80</v>
      </c>
      <c r="F332" t="s" s="42">
        <f>VLOOKUP(B332,'Player Data'!A1:B734,2,FALSE)</f>
        <v>248</v>
      </c>
      <c r="G332" s="9">
        <f>VLOOKUP(B332,'Player Data'!A1:D734,3,FALSE)</f>
        <v>31</v>
      </c>
      <c r="H332" s="43">
        <f>_xlfn.IFERROR(VLOOKUP(B332,'ADP'!A1:G731,7,FALSE)/1000000,VLOOKUP(B332,'ADP'!A1:G731,7,FALSE))</f>
        <v>5.1666</v>
      </c>
      <c r="I332" s="44">
        <f>IF('Settings'!$E$15="POINTS",((R332*Q332)*'Settings'!$B$12)+(S332*'Settings'!$B$2)+(T332*'Settings'!$B$3)+(U332*'Settings'!$B$4)+(V332*'Settings'!$B$5)+(X332*'Settings'!$B$9)+(AA332*'Settings'!$B$6)+(W332*'Settings'!$B$8)+(AB332*'Settings'!$B$7)+(AC332*'Settings'!$B$14)+(AD332*'Settings'!$B$15)+(AE332*'Settings'!$B$16)+(AF332*'Settings'!$B$17)+(AG332*'Settings'!$B$18)+(Y332*'Settings'!$B$10)+(Z332*'Settings'!$B$11),VLOOKUP(B332,'Standard Deviations'!A1:C731,3,FALSE))</f>
        <v>281.439424041059</v>
      </c>
      <c r="J332" s="45">
        <f>IF(D332="G",I332/AJ332,I332/Q332)</f>
        <v>3.48521004354118</v>
      </c>
      <c r="K332" s="44">
        <f>IF('Settings'!$E$18="C/LW/RW",VLOOKUP(B332,'C'!A1:F218,6,FALSE),VLOOKUP(B332,'F'!A1:F432,6,FALSE))</f>
        <v>-114.334777594956</v>
      </c>
      <c r="L332" s="44">
        <f>_xlfn.IFERROR(K332/H332,"N/A")</f>
        <v>-22.1295973357636</v>
      </c>
      <c r="M332" s="46">
        <f>IF('Settings'!$E$9="YAHOO",VLOOKUP(B332,'ADP'!A1:E731,2,FALSE),IF('Settings'!$E$9="ESPN",VLOOKUP(B332,'ADP'!A1:E731,3,FALSE),IF('Settings'!$E$9="FANTRAX",VLOOKUP(B332,'ADP'!A1:E731,4,FALSE),VLOOKUP(B332,'ADP'!A1:E731,5,FALSE))))</f>
        <v>465.5</v>
      </c>
      <c r="N332" s="46">
        <f>_xlfn.IFERROR(M332-A332,"N/A")</f>
        <v>168.5</v>
      </c>
      <c r="O332" s="46"/>
      <c r="P332" t="s" s="47">
        <f>IF('Settings'!$E$27="ON",VLOOKUP(B332,'ADP'!A1:H731,8,FALSE)," ")</f>
        <v>109</v>
      </c>
      <c r="Q332" s="48">
        <f>IF('Settings'!$E$12="YES",VLOOKUP(B332,'Player Data'!A1:E734,5,FALSE),82)</f>
        <v>80.7525</v>
      </c>
      <c r="R332" s="46">
        <f>VLOOKUP(B332,'Player Data'!$A1:$AE734,6,FALSE)</f>
        <v>17.2796189680724</v>
      </c>
      <c r="S332" s="48">
        <f>VLOOKUP(B332,'Player Data'!$A1:$AE734,7,FALSE)*$Q332*_xlfn.IFERROR((VLOOKUP(P332,'Settings'!$E$28:$F$33,2,FALSE)+1),1)</f>
        <v>15.7696852372005</v>
      </c>
      <c r="T332" s="48">
        <f>VLOOKUP(B332,'Player Data'!$A1:$AE734,8,FALSE)*$Q332*_xlfn.IFERROR((VLOOKUP(P332,'Settings'!$E$28:$F$33,2,FALSE)+1),1)</f>
        <v>28.4584975815202</v>
      </c>
      <c r="U332" s="48">
        <f>SUM(S332:T332)</f>
        <v>44.2281828187207</v>
      </c>
      <c r="V332" s="48">
        <f>VLOOKUP(B332,'Player Data'!$A1:$AE734,10,FALSE)*$Q332*_xlfn.IFERROR(((VLOOKUP(P332,'Settings'!$E$28:$F$33,2,FALSE)/2)+1),1)</f>
        <v>140.746263805523</v>
      </c>
      <c r="W332" s="48">
        <f>VLOOKUP(B332,'Player Data'!$A1:$AE734,11,FALSE)*$Q332*_xlfn.IFERROR((VLOOKUP(P332,'Settings'!$E$28:$F$33,2,FALSE)+1),1)</f>
        <v>0.940775014605956</v>
      </c>
      <c r="X332" s="48">
        <f>VLOOKUP(B332,'Player Data'!$A1:$AE734,12,FALSE)*$Q332*_xlfn.IFERROR((VLOOKUP(P332,'Settings'!$E$28:$F$33,2,FALSE)+1),1)</f>
        <v>1.99850915862256</v>
      </c>
      <c r="Y332" s="48">
        <f>VLOOKUP(B332,'Player Data'!$A1:$AE734,13,FALSE)*$Q332</f>
        <v>1.009719306345</v>
      </c>
      <c r="Z332" s="48">
        <f>VLOOKUP(B332,'Player Data'!$A1:$AE734,14,FALSE)*$Q332</f>
        <v>2.17469944332893</v>
      </c>
      <c r="AA332" s="48">
        <f>VLOOKUP(B332,'Player Data'!$A1:$AE734,15,FALSE)*$Q332</f>
        <v>48.0887620939465</v>
      </c>
      <c r="AB332" s="48">
        <f>VLOOKUP(B332,'Player Data'!$A1:$AE734,16,FALSE)*$Q332</f>
        <v>105.333743570813</v>
      </c>
      <c r="AC332" s="48">
        <f>VLOOKUP(B332,'Player Data'!$A1:$AE734,17,FALSE)*$Q332*_xlfn.IFERROR((VLOOKUP(P332,'Settings'!$E$28:$F$33,2,FALSE)+1),1)</f>
        <v>0.858023844173825</v>
      </c>
      <c r="AD332" s="48">
        <f>VLOOKUP(B332,'Player Data'!$A1:$AE734,18,FALSE)*$Q332</f>
        <v>52.9352072002186</v>
      </c>
      <c r="AE332" s="48">
        <f>VLOOKUP(B332,'Player Data'!$A1:$AE734,19,FALSE)*$Q332*_xlfn.IFERROR((VLOOKUP(P332,'Settings'!$E$28:$F$33,2,FALSE)+1),1)</f>
        <v>2.21660235078945</v>
      </c>
      <c r="AF332" s="48">
        <f>VLOOKUP(B332,'Player Data'!$A1:$AE734,20,FALSE)*$Q332</f>
        <v>476.379388223629</v>
      </c>
      <c r="AG332" s="48">
        <f>VLOOKUP(B332,'Player Data'!$A1:$AE734,21,FALSE)*$Q332</f>
        <v>487.666754236910</v>
      </c>
      <c r="AH332" s="49">
        <f>VLOOKUP(B332,'Player Data'!$A1:$AE734,22,FALSE)</f>
        <v>0.494145837260199</v>
      </c>
      <c r="AI332" s="46"/>
      <c r="AJ332" s="50"/>
      <c r="AK332" s="48"/>
      <c r="AL332" s="48"/>
      <c r="AM332" s="48"/>
      <c r="AN332" s="48"/>
      <c r="AO332" s="48"/>
      <c r="AP332" s="48"/>
      <c r="AQ332" s="51"/>
      <c r="AR332" s="52"/>
      <c r="AS332" s="46"/>
    </row>
    <row r="333" ht="21.25" customHeight="1">
      <c r="A333" s="53">
        <f>RANK(K333,K2:K730)</f>
        <v>318</v>
      </c>
      <c r="B333" t="s" s="8">
        <v>485</v>
      </c>
      <c r="C333" t="s" s="39">
        <v>106</v>
      </c>
      <c r="D333" t="s" s="40">
        <f>VLOOKUP(B333,'Player Data'!A1:D734,4,FALSE)</f>
        <v>129</v>
      </c>
      <c r="E333" s="56">
        <f>VLOOKUP(B333,'D'!A1:C228,3,FALSE)</f>
        <v>103</v>
      </c>
      <c r="F333" t="s" s="42">
        <f>VLOOKUP(B333,'Player Data'!A1:B734,2,FALSE)</f>
        <v>218</v>
      </c>
      <c r="G333" s="9">
        <f>VLOOKUP(B333,'Player Data'!A1:D734,3,FALSE)</f>
        <v>36</v>
      </c>
      <c r="H333" s="43">
        <f>_xlfn.IFERROR(VLOOKUP(B333,'ADP'!A1:G731,7,FALSE)/1000000,VLOOKUP(B333,'ADP'!A1:G731,7,FALSE))</f>
        <v>5.25</v>
      </c>
      <c r="I333" s="44">
        <f>IF('Settings'!$E$15="POINTS",((R333*Q333)*'Settings'!$B$12)+(S333*'Settings'!$B$2)+(T333*'Settings'!$B$3)+(U333*'Settings'!$B$4)+(V333*'Settings'!$B$5)+(X333*'Settings'!$B$9)+(AA333*'Settings'!$B$6)+(W333*'Settings'!$B$8)+(AB333*'Settings'!$B$7)+(AC333*'Settings'!$B$14)+(AD333*'Settings'!$B$15)+(AE333*'Settings'!$B$16)+(AF333*'Settings'!$B$17)+(AG333*'Settings'!$B$18)+(U333*'Settings'!$B$13)+(Y333*'Settings'!$B$10)+(Z333*'Settings'!$B$11),VLOOKUP(B333,'Standard Deviations'!A1:C731,3,FALSE))</f>
        <v>219.123742578291</v>
      </c>
      <c r="J333" s="45">
        <f>IF(D333="G",I333/AJ333,I333/Q333)</f>
        <v>3.0015629410604</v>
      </c>
      <c r="K333" s="44">
        <f>VLOOKUP(B333,'D'!A1:F228,6,FALSE)</f>
        <v>-121.611396068232</v>
      </c>
      <c r="L333" s="44">
        <f>_xlfn.IFERROR(K333/H333,"N/A")</f>
        <v>-23.164075441568</v>
      </c>
      <c r="M333" s="46">
        <f>IF('Settings'!$E$9="YAHOO",VLOOKUP(B333,'ADP'!A1:E731,2,FALSE),IF('Settings'!$E$9="ESPN",VLOOKUP(B333,'ADP'!A1:E731,3,FALSE),IF('Settings'!$E$9="FANTRAX",VLOOKUP(B333,'ADP'!A1:E731,4,FALSE),VLOOKUP(B333,'ADP'!A1:E731,5,FALSE))))</f>
        <v>472.5</v>
      </c>
      <c r="N333" s="46">
        <f>_xlfn.IFERROR(M333-A333,"N/A")</f>
        <v>154.5</v>
      </c>
      <c r="O333" s="46"/>
      <c r="P333" t="s" s="47">
        <f>IF('Settings'!$E$27="ON",VLOOKUP(B333,'ADP'!A1:H731,8,FALSE)," ")</f>
        <v>109</v>
      </c>
      <c r="Q333" s="48">
        <f>IF('Settings'!$E$12="YES",VLOOKUP(B333,'Player Data'!A1:E734,5,FALSE),82)</f>
        <v>73.00321428571429</v>
      </c>
      <c r="R333" s="46">
        <f>VLOOKUP(B333,'Player Data'!$A1:$AE734,6,FALSE)</f>
        <v>19.5396674948032</v>
      </c>
      <c r="S333" s="48">
        <f>VLOOKUP(B333,'Player Data'!$A1:$AE734,7,FALSE)*$Q333*_xlfn.IFERROR((VLOOKUP(P333,'Settings'!$E$28:$F$33,2,FALSE)+1),1)</f>
        <v>4.46267072917552</v>
      </c>
      <c r="T333" s="48">
        <f>VLOOKUP(B333,'Player Data'!$A1:$AE734,8,FALSE)*$Q333*_xlfn.IFERROR((VLOOKUP(P333,'Settings'!$E$28:$F$33,2,FALSE)+1),1)</f>
        <v>13.610631517098</v>
      </c>
      <c r="U333" s="48">
        <f>SUM(S333:T333)</f>
        <v>18.0733022462735</v>
      </c>
      <c r="V333" s="48">
        <f>VLOOKUP(B333,'Player Data'!$A1:$AE734,10,FALSE)*$Q333*_xlfn.IFERROR(((VLOOKUP(P333,'Settings'!$E$28:$F$33,2,FALSE)/2)+1),1)</f>
        <v>81.3146509199522</v>
      </c>
      <c r="W333" s="48">
        <f>VLOOKUP(B333,'Player Data'!$A1:$AE734,11,FALSE)*$Q333*_xlfn.IFERROR((VLOOKUP(P333,'Settings'!$E$28:$F$33,2,FALSE)+1),1)</f>
        <v>0.103699454103549</v>
      </c>
      <c r="X333" s="48">
        <f>VLOOKUP(B333,'Player Data'!$A1:$AE734,12,FALSE)*$Q333*_xlfn.IFERROR((VLOOKUP(P333,'Settings'!$E$28:$F$33,2,FALSE)+1),1)</f>
        <v>0.393370764757109</v>
      </c>
      <c r="Y333" s="48">
        <f>VLOOKUP(B333,'Player Data'!$A1:$AE734,13,FALSE)*$Q333</f>
        <v>0.0327715291236729</v>
      </c>
      <c r="Z333" s="48">
        <f>VLOOKUP(B333,'Player Data'!$A1:$AE734,14,FALSE)*$Q333</f>
        <v>0.130721558851789</v>
      </c>
      <c r="AA333" s="48">
        <f>VLOOKUP(B333,'Player Data'!$A1:$AE734,15,FALSE)*$Q333</f>
        <v>201.949217442657</v>
      </c>
      <c r="AB333" s="48">
        <f>VLOOKUP(B333,'Player Data'!$A1:$AE734,16,FALSE)*$Q333</f>
        <v>65.2658097867948</v>
      </c>
      <c r="AC333" s="48">
        <f>VLOOKUP(B333,'Player Data'!$A1:$AE734,17,FALSE)*$Q333*_xlfn.IFERROR((VLOOKUP(P333,'Settings'!$E$28:$F$33,2,FALSE)+1),1)</f>
        <v>5.81826925537774</v>
      </c>
      <c r="AD333" s="48">
        <f>VLOOKUP(B333,'Player Data'!$A1:$AE734,18,FALSE)*$Q333</f>
        <v>24.3481028392165</v>
      </c>
      <c r="AE333" s="48">
        <f>VLOOKUP(B333,'Player Data'!$A1:$AE734,19,FALSE)*$Q333*_xlfn.IFERROR((VLOOKUP(P333,'Settings'!$E$28:$F$33,2,FALSE)+1),1)</f>
        <v>0.7293221600377811</v>
      </c>
      <c r="AF333" s="48">
        <f>VLOOKUP(B333,'Player Data'!$A1:$AE734,20,FALSE)*$Q333</f>
        <v>0</v>
      </c>
      <c r="AG333" s="48">
        <f>VLOOKUP(B333,'Player Data'!$A1:$AE734,21,FALSE)*$Q333</f>
        <v>0</v>
      </c>
      <c r="AH333" s="49">
        <f>VLOOKUP(B333,'Player Data'!$A1:$AE734,22,FALSE)</f>
        <v>0</v>
      </c>
      <c r="AI333" s="46"/>
      <c r="AJ333" s="50"/>
      <c r="AK333" s="48"/>
      <c r="AL333" s="48"/>
      <c r="AM333" s="48"/>
      <c r="AN333" s="48"/>
      <c r="AO333" s="48"/>
      <c r="AP333" s="48"/>
      <c r="AQ333" s="51"/>
      <c r="AR333" s="52"/>
      <c r="AS333" s="46"/>
    </row>
    <row r="334" ht="21.25" customHeight="1">
      <c r="A334" s="53">
        <f>RANK(K334,K2:K730)</f>
        <v>336</v>
      </c>
      <c r="B334" t="s" s="8">
        <v>486</v>
      </c>
      <c r="C334" t="s" s="39">
        <v>106</v>
      </c>
      <c r="D334" t="s" s="40">
        <f>VLOOKUP(B334,'Player Data'!A1:D734,4,FALSE)</f>
        <v>129</v>
      </c>
      <c r="E334" s="56">
        <f>VLOOKUP(B334,'D'!A1:C228,3,FALSE)</f>
        <v>109</v>
      </c>
      <c r="F334" t="s" s="42">
        <f>VLOOKUP(B334,'Player Data'!A1:B734,2,FALSE)</f>
        <v>238</v>
      </c>
      <c r="G334" s="9">
        <f>VLOOKUP(B334,'Player Data'!A1:D734,3,FALSE)</f>
        <v>28</v>
      </c>
      <c r="H334" s="43">
        <f>_xlfn.IFERROR(VLOOKUP(B334,'ADP'!A1:G731,7,FALSE)/1000000,VLOOKUP(B334,'ADP'!A1:G731,7,FALSE))</f>
        <v>3.75</v>
      </c>
      <c r="I334" s="44">
        <f>IF('Settings'!$E$15="POINTS",((R334*Q334)*'Settings'!$B$12)+(S334*'Settings'!$B$2)+(T334*'Settings'!$B$3)+(U334*'Settings'!$B$4)+(V334*'Settings'!$B$5)+(X334*'Settings'!$B$9)+(AA334*'Settings'!$B$6)+(W334*'Settings'!$B$8)+(AB334*'Settings'!$B$7)+(AC334*'Settings'!$B$14)+(AD334*'Settings'!$B$15)+(AE334*'Settings'!$B$16)+(AF334*'Settings'!$B$17)+(AG334*'Settings'!$B$18)+(U334*'Settings'!$B$13)+(Y334*'Settings'!$B$10)+(Z334*'Settings'!$B$11),VLOOKUP(B334,'Standard Deviations'!A1:C731,3,FALSE))</f>
        <v>213.775803487003</v>
      </c>
      <c r="J334" s="45">
        <f>IF(D334="G",I334/AJ334,I334/Q334)</f>
        <v>2.64627819377883</v>
      </c>
      <c r="K334" s="44">
        <f>VLOOKUP(B334,'D'!A1:F228,6,FALSE)</f>
        <v>-126.959335159520</v>
      </c>
      <c r="L334" s="44">
        <f>_xlfn.IFERROR(K334/H334,"N/A")</f>
        <v>-33.8558227092053</v>
      </c>
      <c r="M334" t="s" s="61">
        <f>IF('Settings'!$E$9="YAHOO",VLOOKUP(B334,'ADP'!A1:E731,2,FALSE),IF('Settings'!$E$9="ESPN",VLOOKUP(B334,'ADP'!A1:E731,3,FALSE),IF('Settings'!$E$9="FANTRAX",VLOOKUP(B334,'ADP'!A1:E731,4,FALSE),VLOOKUP(B334,'ADP'!A1:E731,5,FALSE))))</f>
        <v>329</v>
      </c>
      <c r="N334" t="s" s="61">
        <f>_xlfn.IFERROR(M334-A334,"N/A")</f>
        <v>158</v>
      </c>
      <c r="O334" s="46"/>
      <c r="P334" t="s" s="47">
        <f>IF('Settings'!$E$27="ON",VLOOKUP(B334,'ADP'!A1:H731,8,FALSE)," ")</f>
        <v>109</v>
      </c>
      <c r="Q334" s="48">
        <f>IF('Settings'!$E$12="YES",VLOOKUP(B334,'Player Data'!A1:E734,5,FALSE),82)</f>
        <v>80.78357142857141</v>
      </c>
      <c r="R334" s="46">
        <f>VLOOKUP(B334,'Player Data'!$A1:$AE734,6,FALSE)</f>
        <v>18.4715989786585</v>
      </c>
      <c r="S334" s="48">
        <f>VLOOKUP(B334,'Player Data'!$A1:$AE734,7,FALSE)*$Q334*_xlfn.IFERROR((VLOOKUP(P334,'Settings'!$E$28:$F$33,2,FALSE)+1),1)</f>
        <v>7.19797140173919</v>
      </c>
      <c r="T334" s="48">
        <f>VLOOKUP(B334,'Player Data'!$A1:$AE734,8,FALSE)*$Q334*_xlfn.IFERROR((VLOOKUP(P334,'Settings'!$E$28:$F$33,2,FALSE)+1),1)</f>
        <v>12.8852965413216</v>
      </c>
      <c r="U334" s="48">
        <f>SUM(S334:T334)</f>
        <v>20.0832679430608</v>
      </c>
      <c r="V334" s="48">
        <f>VLOOKUP(B334,'Player Data'!$A1:$AE734,10,FALSE)*$Q334*_xlfn.IFERROR(((VLOOKUP(P334,'Settings'!$E$28:$F$33,2,FALSE)/2)+1),1)</f>
        <v>117.080892443267</v>
      </c>
      <c r="W334" s="48">
        <f>VLOOKUP(B334,'Player Data'!$A1:$AE734,11,FALSE)*$Q334*_xlfn.IFERROR((VLOOKUP(P334,'Settings'!$E$28:$F$33,2,FALSE)+1),1)</f>
        <v>0.0344992587401696</v>
      </c>
      <c r="X334" s="48">
        <f>VLOOKUP(B334,'Player Data'!$A1:$AE734,12,FALSE)*$Q334*_xlfn.IFERROR((VLOOKUP(P334,'Settings'!$E$28:$F$33,2,FALSE)+1),1)</f>
        <v>0.35208900520587</v>
      </c>
      <c r="Y334" s="48">
        <f>VLOOKUP(B334,'Player Data'!$A1:$AE734,13,FALSE)*$Q334</f>
        <v>0.0273730034539405</v>
      </c>
      <c r="Z334" s="48">
        <f>VLOOKUP(B334,'Player Data'!$A1:$AE734,14,FALSE)*$Q334</f>
        <v>0.145896887605478</v>
      </c>
      <c r="AA334" s="48">
        <f>VLOOKUP(B334,'Player Data'!$A1:$AE734,15,FALSE)*$Q334</f>
        <v>82.4555043426694</v>
      </c>
      <c r="AB334" s="48">
        <f>VLOOKUP(B334,'Player Data'!$A1:$AE734,16,FALSE)*$Q334</f>
        <v>170.676201548132</v>
      </c>
      <c r="AC334" s="48">
        <f>VLOOKUP(B334,'Player Data'!$A1:$AE734,17,FALSE)*$Q334*_xlfn.IFERROR((VLOOKUP(P334,'Settings'!$E$28:$F$33,2,FALSE)+1),1)</f>
        <v>2.79793260315187</v>
      </c>
      <c r="AD334" s="48">
        <f>VLOOKUP(B334,'Player Data'!$A1:$AE734,18,FALSE)*$Q334</f>
        <v>63.4507638318374</v>
      </c>
      <c r="AE334" s="48">
        <f>VLOOKUP(B334,'Player Data'!$A1:$AE734,19,FALSE)*$Q334*_xlfn.IFERROR((VLOOKUP(P334,'Settings'!$E$28:$F$33,2,FALSE)+1),1)</f>
        <v>1.20276842521708</v>
      </c>
      <c r="AF334" s="48">
        <f>VLOOKUP(B334,'Player Data'!$A1:$AE734,20,FALSE)*$Q334</f>
        <v>0</v>
      </c>
      <c r="AG334" s="48">
        <f>VLOOKUP(B334,'Player Data'!$A1:$AE734,21,FALSE)*$Q334</f>
        <v>0</v>
      </c>
      <c r="AH334" s="49">
        <f>VLOOKUP(B334,'Player Data'!$A1:$AE734,22,FALSE)</f>
        <v>0</v>
      </c>
      <c r="AI334" s="46"/>
      <c r="AJ334" s="50"/>
      <c r="AK334" s="48"/>
      <c r="AL334" s="48"/>
      <c r="AM334" s="48"/>
      <c r="AN334" s="48"/>
      <c r="AO334" s="48"/>
      <c r="AP334" s="48"/>
      <c r="AQ334" s="51"/>
      <c r="AR334" s="52"/>
      <c r="AS334" s="46"/>
    </row>
    <row r="335" ht="21.25" customHeight="1">
      <c r="A335" s="53">
        <f>RANK(K335,K2:K730)</f>
        <v>289</v>
      </c>
      <c r="B335" t="s" s="8">
        <v>487</v>
      </c>
      <c r="C335" t="s" s="39">
        <v>106</v>
      </c>
      <c r="D335" t="s" s="40">
        <f>VLOOKUP(B335,'Player Data'!A1:D734,4,FALSE)</f>
        <v>187</v>
      </c>
      <c r="E335" s="54">
        <f>VLOOKUP(B335,'RW'!A1:F132,3,FALSE)</f>
        <v>66</v>
      </c>
      <c r="F335" t="s" s="42">
        <f>VLOOKUP(B335,'Player Data'!A1:B734,2,FALSE)</f>
        <v>238</v>
      </c>
      <c r="G335" s="9">
        <f>VLOOKUP(B335,'Player Data'!A1:D734,3,FALSE)</f>
        <v>31</v>
      </c>
      <c r="H335" s="43">
        <f>_xlfn.IFERROR(VLOOKUP(B335,'ADP'!A1:G731,7,FALSE)/1000000,VLOOKUP(B335,'ADP'!A1:G731,7,FALSE))</f>
        <v>4.9</v>
      </c>
      <c r="I335" s="44">
        <f>IF('Settings'!$E$15="POINTS",((R335*Q335)*'Settings'!$B$12)+(S335*'Settings'!$B$2)+(T335*'Settings'!$B$3)+(U335*'Settings'!$B$4)+(V335*'Settings'!$B$5)+(X335*'Settings'!$B$9)+(AA335*'Settings'!$B$6)+(W335*'Settings'!$B$8)+(AB335*'Settings'!$B$7)+(AC335*'Settings'!$B$14)+(AD335*'Settings'!$B$15)+(AE335*'Settings'!$B$16)+(AF335*'Settings'!$B$17)+(AG335*'Settings'!$B$18)+(Y335*'Settings'!$B$10)+(Z335*'Settings'!$B$11),VLOOKUP(B335,'Standard Deviations'!A1:C731,3,FALSE))</f>
        <v>271.737817035630</v>
      </c>
      <c r="J335" s="45">
        <f>IF(D335="G",I335/AJ335,I335/Q335)</f>
        <v>3.32416974035347</v>
      </c>
      <c r="K335" s="44">
        <f>IF('Settings'!$E$18="C/LW/RW",VLOOKUP(B335,'RW'!A1:F132,6,FALSE),VLOOKUP(B335,'F'!A1:F432,6,FALSE))</f>
        <v>-109.890746670726</v>
      </c>
      <c r="L335" s="44">
        <f>_xlfn.IFERROR(K335/H335,"N/A")</f>
        <v>-22.4266829940257</v>
      </c>
      <c r="M335" s="46">
        <f>IF('Settings'!$E$9="YAHOO",VLOOKUP(B335,'ADP'!A1:E731,2,FALSE),IF('Settings'!$E$9="ESPN",VLOOKUP(B335,'ADP'!A1:E731,3,FALSE),IF('Settings'!$E$9="FANTRAX",VLOOKUP(B335,'ADP'!A1:E731,4,FALSE),VLOOKUP(B335,'ADP'!A1:E731,5,FALSE))))</f>
        <v>469.7</v>
      </c>
      <c r="N335" s="46">
        <f>_xlfn.IFERROR(M335-A335,"N/A")</f>
        <v>180.7</v>
      </c>
      <c r="O335" s="46"/>
      <c r="P335" t="s" s="47">
        <f>IF('Settings'!$E$27="ON",VLOOKUP(B335,'ADP'!A1:H731,8,FALSE)," ")</f>
        <v>109</v>
      </c>
      <c r="Q335" s="48">
        <f>IF('Settings'!$E$12="YES",VLOOKUP(B335,'Player Data'!A1:E734,5,FALSE),82)</f>
        <v>81.7460714285714</v>
      </c>
      <c r="R335" s="46">
        <f>VLOOKUP(B335,'Player Data'!$A1:$AE734,6,FALSE)</f>
        <v>14.7084500767195</v>
      </c>
      <c r="S335" s="48">
        <f>VLOOKUP(B335,'Player Data'!$A1:$AE734,7,FALSE)*$Q335*_xlfn.IFERROR((VLOOKUP(P335,'Settings'!$E$28:$F$33,2,FALSE)+1),1)</f>
        <v>15.8097710905443</v>
      </c>
      <c r="T335" s="48">
        <f>VLOOKUP(B335,'Player Data'!$A1:$AE734,8,FALSE)*$Q335*_xlfn.IFERROR((VLOOKUP(P335,'Settings'!$E$28:$F$33,2,FALSE)+1),1)</f>
        <v>18.7782807900541</v>
      </c>
      <c r="U335" s="48">
        <f>SUM(S335:T335)</f>
        <v>34.5880518805984</v>
      </c>
      <c r="V335" s="48">
        <f>VLOOKUP(B335,'Player Data'!$A1:$AE734,10,FALSE)*$Q335*_xlfn.IFERROR(((VLOOKUP(P335,'Settings'!$E$28:$F$33,2,FALSE)/2)+1),1)</f>
        <v>183.419254382655</v>
      </c>
      <c r="W335" s="48">
        <f>VLOOKUP(B335,'Player Data'!$A1:$AE734,11,FALSE)*$Q335*_xlfn.IFERROR((VLOOKUP(P335,'Settings'!$E$28:$F$33,2,FALSE)+1),1)</f>
        <v>0.0584776297018216</v>
      </c>
      <c r="X335" s="48">
        <f>VLOOKUP(B335,'Player Data'!$A1:$AE734,12,FALSE)*$Q335*_xlfn.IFERROR((VLOOKUP(P335,'Settings'!$E$28:$F$33,2,FALSE)+1),1)</f>
        <v>0.125787084553147</v>
      </c>
      <c r="Y335" s="48">
        <f>VLOOKUP(B335,'Player Data'!$A1:$AE734,13,FALSE)*$Q335</f>
        <v>1.11586344006044</v>
      </c>
      <c r="Z335" s="48">
        <f>VLOOKUP(B335,'Player Data'!$A1:$AE734,14,FALSE)*$Q335</f>
        <v>1.43852828842376</v>
      </c>
      <c r="AA335" s="48">
        <f>VLOOKUP(B335,'Player Data'!$A1:$AE734,15,FALSE)*$Q335</f>
        <v>39.5873574682094</v>
      </c>
      <c r="AB335" s="48">
        <f>VLOOKUP(B335,'Player Data'!$A1:$AE734,16,FALSE)*$Q335</f>
        <v>119.514569022955</v>
      </c>
      <c r="AC335" s="48">
        <f>VLOOKUP(B335,'Player Data'!$A1:$AE734,17,FALSE)*$Q335*_xlfn.IFERROR((VLOOKUP(P335,'Settings'!$E$28:$F$33,2,FALSE)+1),1)</f>
        <v>3.63859290265917</v>
      </c>
      <c r="AD335" s="48">
        <f>VLOOKUP(B335,'Player Data'!$A1:$AE734,18,FALSE)*$Q335</f>
        <v>50.4882077879787</v>
      </c>
      <c r="AE335" s="48">
        <f>VLOOKUP(B335,'Player Data'!$A1:$AE734,19,FALSE)*$Q335*_xlfn.IFERROR((VLOOKUP(P335,'Settings'!$E$28:$F$33,2,FALSE)+1),1)</f>
        <v>2.64178508308908</v>
      </c>
      <c r="AF335" s="48">
        <f>VLOOKUP(B335,'Player Data'!$A1:$AE734,20,FALSE)*$Q335</f>
        <v>10.1574242585789</v>
      </c>
      <c r="AG335" s="48">
        <f>VLOOKUP(B335,'Player Data'!$A1:$AE734,21,FALSE)*$Q335</f>
        <v>24.2501213334558</v>
      </c>
      <c r="AH335" s="49">
        <f>VLOOKUP(B335,'Player Data'!$A1:$AE734,22,FALSE)</f>
        <v>0.295209207277205</v>
      </c>
      <c r="AI335" s="46"/>
      <c r="AJ335" s="50"/>
      <c r="AK335" s="48"/>
      <c r="AL335" s="48"/>
      <c r="AM335" s="48"/>
      <c r="AN335" s="48"/>
      <c r="AO335" s="48"/>
      <c r="AP335" s="48"/>
      <c r="AQ335" s="51"/>
      <c r="AR335" s="52"/>
      <c r="AS335" s="46"/>
    </row>
    <row r="336" ht="21.25" customHeight="1">
      <c r="A336" s="53">
        <f>RANK(K336,K2:K730)</f>
        <v>355</v>
      </c>
      <c r="B336" t="s" s="8">
        <v>488</v>
      </c>
      <c r="C336" t="s" s="39">
        <v>106</v>
      </c>
      <c r="D336" t="s" s="40">
        <f>VLOOKUP(B336,'Player Data'!A1:D734,4,FALSE)</f>
        <v>133</v>
      </c>
      <c r="E336" s="57">
        <f>VLOOKUP(B336,'LW'!A1:C156,3,FALSE)</f>
        <v>83</v>
      </c>
      <c r="F336" t="s" s="42">
        <f>VLOOKUP(B336,'Player Data'!A1:B734,2,FALSE)</f>
        <v>164</v>
      </c>
      <c r="G336" s="9">
        <f>VLOOKUP(B336,'Player Data'!A1:D734,3,FALSE)</f>
        <v>29</v>
      </c>
      <c r="H336" s="43">
        <f>_xlfn.IFERROR(VLOOKUP(B336,'ADP'!A1:G731,7,FALSE)/1000000,VLOOKUP(B336,'ADP'!A1:G731,7,FALSE))</f>
        <v>4</v>
      </c>
      <c r="I336" s="44">
        <f>IF('Settings'!$E$15="POINTS",((R336*Q336)*'Settings'!$B$12)+(S336*'Settings'!$B$2)+(T336*'Settings'!$B$3)+(U336*'Settings'!$B$4)+(V336*'Settings'!$B$5)+(X336*'Settings'!$B$9)+(AA336*'Settings'!$B$6)+(W336*'Settings'!$B$8)+(AB336*'Settings'!$B$7)+(AC336*'Settings'!$B$14)+(AD336*'Settings'!$B$15)+(AE336*'Settings'!$B$16)+(AF336*'Settings'!$B$17)+(AG336*'Settings'!$B$18)+(Y336*'Settings'!$B$10)+(Z336*'Settings'!$B$11),VLOOKUP(B336,'Standard Deviations'!A1:C731,3,FALSE))</f>
        <v>247.792054070069</v>
      </c>
      <c r="J336" s="45">
        <f>IF(D336="G",I336/AJ336,I336/Q336)</f>
        <v>3.23066563324731</v>
      </c>
      <c r="K336" s="44">
        <f>IF('Settings'!$E$18="C/LW/RW",VLOOKUP(B336,'LW'!A1:F156,6,FALSE),VLOOKUP(B336,'F'!A1:F432,6,FALSE))</f>
        <v>-133.836509636287</v>
      </c>
      <c r="L336" s="44">
        <f>_xlfn.IFERROR(K336/H336,"N/A")</f>
        <v>-33.4591274090718</v>
      </c>
      <c r="M336" t="s" s="61">
        <f>IF('Settings'!$E$9="YAHOO",VLOOKUP(B336,'ADP'!A1:E731,2,FALSE),IF('Settings'!$E$9="ESPN",VLOOKUP(B336,'ADP'!A1:E731,3,FALSE),IF('Settings'!$E$9="FANTRAX",VLOOKUP(B336,'ADP'!A1:E731,4,FALSE),VLOOKUP(B336,'ADP'!A1:E731,5,FALSE))))</f>
        <v>329</v>
      </c>
      <c r="N336" t="s" s="61">
        <f>_xlfn.IFERROR(M336-A336,"N/A")</f>
        <v>158</v>
      </c>
      <c r="O336" s="46"/>
      <c r="P336" t="s" s="47">
        <f>IF('Settings'!$E$27="ON",VLOOKUP(B336,'ADP'!A1:H731,8,FALSE)," ")</f>
        <v>109</v>
      </c>
      <c r="Q336" s="48">
        <f>IF('Settings'!$E$12="YES",VLOOKUP(B336,'Player Data'!A1:E734,5,FALSE),82)</f>
        <v>76.7</v>
      </c>
      <c r="R336" s="46">
        <f>VLOOKUP(B336,'Player Data'!$A1:$AE734,6,FALSE)</f>
        <v>16.1587729707524</v>
      </c>
      <c r="S336" s="48">
        <f>VLOOKUP(B336,'Player Data'!$A1:$AE734,7,FALSE)*$Q336*_xlfn.IFERROR((VLOOKUP(P336,'Settings'!$E$28:$F$33,2,FALSE)+1),1)</f>
        <v>14.3614901988704</v>
      </c>
      <c r="T336" s="48">
        <f>VLOOKUP(B336,'Player Data'!$A1:$AE734,8,FALSE)*$Q336*_xlfn.IFERROR((VLOOKUP(P336,'Settings'!$E$28:$F$33,2,FALSE)+1),1)</f>
        <v>22.0890344841564</v>
      </c>
      <c r="U336" s="48">
        <f>SUM(S336:T336)</f>
        <v>36.4505246830268</v>
      </c>
      <c r="V336" s="48">
        <f>VLOOKUP(B336,'Player Data'!$A1:$AE734,10,FALSE)*$Q336*_xlfn.IFERROR(((VLOOKUP(P336,'Settings'!$E$28:$F$33,2,FALSE)/2)+1),1)</f>
        <v>164.341844005115</v>
      </c>
      <c r="W336" s="48">
        <f>VLOOKUP(B336,'Player Data'!$A1:$AE734,11,FALSE)*$Q336*_xlfn.IFERROR((VLOOKUP(P336,'Settings'!$E$28:$F$33,2,FALSE)+1),1)</f>
        <v>3.15398019786398</v>
      </c>
      <c r="X336" s="48">
        <f>VLOOKUP(B336,'Player Data'!$A1:$AE734,12,FALSE)*$Q336*_xlfn.IFERROR((VLOOKUP(P336,'Settings'!$E$28:$F$33,2,FALSE)+1),1)</f>
        <v>5.04540858849974</v>
      </c>
      <c r="Y336" s="48">
        <f>VLOOKUP(B336,'Player Data'!$A1:$AE734,13,FALSE)*$Q336</f>
        <v>0.342519242315268</v>
      </c>
      <c r="Z336" s="48">
        <f>VLOOKUP(B336,'Player Data'!$A1:$AE734,14,FALSE)*$Q336</f>
        <v>0.682631431176656</v>
      </c>
      <c r="AA336" s="48">
        <f>VLOOKUP(B336,'Player Data'!$A1:$AE734,15,FALSE)*$Q336</f>
        <v>43.7732373010685</v>
      </c>
      <c r="AB336" s="48">
        <f>VLOOKUP(B336,'Player Data'!$A1:$AE734,16,FALSE)*$Q336</f>
        <v>45.9017648289519</v>
      </c>
      <c r="AC336" s="48">
        <f>VLOOKUP(B336,'Player Data'!$A1:$AE734,17,FALSE)*$Q336*_xlfn.IFERROR((VLOOKUP(P336,'Settings'!$E$28:$F$33,2,FALSE)+1),1)</f>
        <v>1.94800202020658</v>
      </c>
      <c r="AD336" s="48">
        <f>VLOOKUP(B336,'Player Data'!$A1:$AE734,18,FALSE)*$Q336</f>
        <v>16.2697937998506</v>
      </c>
      <c r="AE336" s="48">
        <f>VLOOKUP(B336,'Player Data'!$A1:$AE734,19,FALSE)*$Q336*_xlfn.IFERROR((VLOOKUP(P336,'Settings'!$E$28:$F$33,2,FALSE)+1),1)</f>
        <v>2.24044054154555</v>
      </c>
      <c r="AF336" s="48">
        <f>VLOOKUP(B336,'Player Data'!$A1:$AE734,20,FALSE)*$Q336</f>
        <v>7.89625082815105</v>
      </c>
      <c r="AG336" s="48">
        <f>VLOOKUP(B336,'Player Data'!$A1:$AE734,21,FALSE)*$Q336</f>
        <v>9.62192997099997</v>
      </c>
      <c r="AH336" s="49">
        <f>VLOOKUP(B336,'Player Data'!$A1:$AE734,22,FALSE)</f>
        <v>0.450746051698117</v>
      </c>
      <c r="AI336" s="46"/>
      <c r="AJ336" s="48"/>
      <c r="AK336" s="48"/>
      <c r="AL336" s="48"/>
      <c r="AM336" s="48"/>
      <c r="AN336" s="48"/>
      <c r="AO336" s="48"/>
      <c r="AP336" s="48"/>
      <c r="AQ336" s="51"/>
      <c r="AR336" s="52"/>
      <c r="AS336" s="46"/>
    </row>
    <row r="337" ht="21.25" customHeight="1">
      <c r="A337" s="53">
        <f>RANK(K337,K2:K730)</f>
        <v>299</v>
      </c>
      <c r="B337" t="s" s="8">
        <v>489</v>
      </c>
      <c r="C337" t="s" s="39">
        <v>106</v>
      </c>
      <c r="D337" t="s" s="40">
        <f>VLOOKUP(B337,'Player Data'!A1:D734,4,FALSE)</f>
        <v>129</v>
      </c>
      <c r="E337" s="56">
        <f>VLOOKUP(B337,'D'!A1:C228,3,FALSE)</f>
        <v>91</v>
      </c>
      <c r="F337" t="s" s="42">
        <f>VLOOKUP(B337,'Player Data'!A1:B734,2,FALSE)</f>
        <v>139</v>
      </c>
      <c r="G337" s="9">
        <f>VLOOKUP(B337,'Player Data'!A1:D734,3,FALSE)</f>
        <v>28</v>
      </c>
      <c r="H337" s="43">
        <f>_xlfn.IFERROR(VLOOKUP(B337,'ADP'!A1:G731,7,FALSE)/1000000,VLOOKUP(B337,'ADP'!A1:G731,7,FALSE))</f>
        <v>3.33333333333333</v>
      </c>
      <c r="I337" s="44">
        <f>IF('Settings'!$E$15="POINTS",((R337*Q337)*'Settings'!$B$12)+(S337*'Settings'!$B$2)+(T337*'Settings'!$B$3)+(U337*'Settings'!$B$4)+(V337*'Settings'!$B$5)+(X337*'Settings'!$B$9)+(AA337*'Settings'!$B$6)+(W337*'Settings'!$B$8)+(AB337*'Settings'!$B$7)+(AC337*'Settings'!$B$14)+(AD337*'Settings'!$B$15)+(AE337*'Settings'!$B$16)+(AF337*'Settings'!$B$17)+(AG337*'Settings'!$B$18)+(U337*'Settings'!$B$13)+(Y337*'Settings'!$B$10)+(Z337*'Settings'!$B$11),VLOOKUP(B337,'Standard Deviations'!A1:C731,3,FALSE))</f>
        <v>225.820631297840</v>
      </c>
      <c r="J337" s="45">
        <f>IF(D337="G",I337/AJ337,I337/Q337)</f>
        <v>2.91456674364791</v>
      </c>
      <c r="K337" s="44">
        <f>VLOOKUP(B337,'D'!A1:F228,6,FALSE)</f>
        <v>-114.914507348683</v>
      </c>
      <c r="L337" s="44">
        <f>_xlfn.IFERROR(K337/H337,"N/A")</f>
        <v>-34.4743522046049</v>
      </c>
      <c r="M337" s="46">
        <f>IF('Settings'!$E$9="YAHOO",VLOOKUP(B337,'ADP'!A1:E731,2,FALSE),IF('Settings'!$E$9="ESPN",VLOOKUP(B337,'ADP'!A1:E731,3,FALSE),IF('Settings'!$E$9="FANTRAX",VLOOKUP(B337,'ADP'!A1:E731,4,FALSE),VLOOKUP(B337,'ADP'!A1:E731,5,FALSE))))</f>
        <v>459.52</v>
      </c>
      <c r="N337" s="46">
        <f>_xlfn.IFERROR(M337-A337,"N/A")</f>
        <v>160.52</v>
      </c>
      <c r="O337" s="46"/>
      <c r="P337" t="s" s="47">
        <f>IF('Settings'!$E$27="ON",VLOOKUP(B337,'ADP'!A1:H731,8,FALSE)," ")</f>
        <v>109</v>
      </c>
      <c r="Q337" s="48">
        <f>IF('Settings'!$E$12="YES",VLOOKUP(B337,'Player Data'!A1:E734,5,FALSE),82)</f>
        <v>77.48</v>
      </c>
      <c r="R337" s="46">
        <f>VLOOKUP(B337,'Player Data'!$A1:$AE734,6,FALSE)</f>
        <v>18.658760376882</v>
      </c>
      <c r="S337" s="48">
        <f>VLOOKUP(B337,'Player Data'!$A1:$AE734,7,FALSE)*$Q337*_xlfn.IFERROR((VLOOKUP(P337,'Settings'!$E$28:$F$33,2,FALSE)+1),1)</f>
        <v>4.15327974731409</v>
      </c>
      <c r="T337" s="48">
        <f>VLOOKUP(B337,'Player Data'!$A1:$AE734,8,FALSE)*$Q337*_xlfn.IFERROR((VLOOKUP(P337,'Settings'!$E$28:$F$33,2,FALSE)+1),1)</f>
        <v>15.9189544402419</v>
      </c>
      <c r="U337" s="48">
        <f>SUM(S337:T337)</f>
        <v>20.072234187556</v>
      </c>
      <c r="V337" s="48">
        <f>VLOOKUP(B337,'Player Data'!$A1:$AE734,10,FALSE)*$Q337*_xlfn.IFERROR(((VLOOKUP(P337,'Settings'!$E$28:$F$33,2,FALSE)/2)+1),1)</f>
        <v>102.786647701363</v>
      </c>
      <c r="W337" s="48">
        <f>VLOOKUP(B337,'Player Data'!$A1:$AE734,11,FALSE)*$Q337*_xlfn.IFERROR((VLOOKUP(P337,'Settings'!$E$28:$F$33,2,FALSE)+1),1)</f>
        <v>0.0221518363562826</v>
      </c>
      <c r="X337" s="48">
        <f>VLOOKUP(B337,'Player Data'!$A1:$AE734,12,FALSE)*$Q337*_xlfn.IFERROR((VLOOKUP(P337,'Settings'!$E$28:$F$33,2,FALSE)+1),1)</f>
        <v>0.151891978746537</v>
      </c>
      <c r="Y337" s="48">
        <f>VLOOKUP(B337,'Player Data'!$A1:$AE734,13,FALSE)*$Q337</f>
        <v>0.424127847665428</v>
      </c>
      <c r="Z337" s="48">
        <f>VLOOKUP(B337,'Player Data'!$A1:$AE734,14,FALSE)*$Q337</f>
        <v>0.644779025574739</v>
      </c>
      <c r="AA337" s="48">
        <f>VLOOKUP(B337,'Player Data'!$A1:$AE734,15,FALSE)*$Q337</f>
        <v>116.661093916994</v>
      </c>
      <c r="AB337" s="48">
        <f>VLOOKUP(B337,'Player Data'!$A1:$AE734,16,FALSE)*$Q337</f>
        <v>193.442321015490</v>
      </c>
      <c r="AC337" s="48">
        <f>VLOOKUP(B337,'Player Data'!$A1:$AE734,17,FALSE)*$Q337*_xlfn.IFERROR((VLOOKUP(P337,'Settings'!$E$28:$F$33,2,FALSE)+1),1)</f>
        <v>-1.44476278834714</v>
      </c>
      <c r="AD337" s="48">
        <f>VLOOKUP(B337,'Player Data'!$A1:$AE734,18,FALSE)*$Q337</f>
        <v>55.3955173806398</v>
      </c>
      <c r="AE337" s="48">
        <f>VLOOKUP(B337,'Player Data'!$A1:$AE734,19,FALSE)*$Q337*_xlfn.IFERROR((VLOOKUP(P337,'Settings'!$E$28:$F$33,2,FALSE)+1),1)</f>
        <v>0.5316989546620911</v>
      </c>
      <c r="AF337" s="48">
        <f>VLOOKUP(B337,'Player Data'!$A1:$AE734,20,FALSE)*$Q337</f>
        <v>0</v>
      </c>
      <c r="AG337" s="48">
        <f>VLOOKUP(B337,'Player Data'!$A1:$AE734,21,FALSE)*$Q337</f>
        <v>0</v>
      </c>
      <c r="AH337" s="49">
        <f>VLOOKUP(B337,'Player Data'!$A1:$AE734,22,FALSE)</f>
        <v>0</v>
      </c>
      <c r="AI337" s="46"/>
      <c r="AJ337" s="50"/>
      <c r="AK337" s="48"/>
      <c r="AL337" s="48"/>
      <c r="AM337" s="48"/>
      <c r="AN337" s="48"/>
      <c r="AO337" s="48"/>
      <c r="AP337" s="48"/>
      <c r="AQ337" s="51"/>
      <c r="AR337" s="52"/>
      <c r="AS337" s="46"/>
    </row>
    <row r="338" ht="21.25" customHeight="1">
      <c r="A338" s="53">
        <f>RANK(K338,K2:K730)</f>
        <v>312</v>
      </c>
      <c r="B338" t="s" s="8">
        <v>490</v>
      </c>
      <c r="C338" t="s" s="39">
        <v>106</v>
      </c>
      <c r="D338" t="s" s="40">
        <f>VLOOKUP(B338,'Player Data'!A1:D734,4,FALSE)</f>
        <v>129</v>
      </c>
      <c r="E338" s="56">
        <f>VLOOKUP(B338,'D'!A1:C228,3,FALSE)</f>
        <v>98</v>
      </c>
      <c r="F338" t="s" s="42">
        <f>VLOOKUP(B338,'Player Data'!A1:B734,2,FALSE)</f>
        <v>115</v>
      </c>
      <c r="G338" s="9">
        <f>VLOOKUP(B338,'Player Data'!A1:D734,3,FALSE)</f>
        <v>29</v>
      </c>
      <c r="H338" s="43">
        <f>_xlfn.IFERROR(VLOOKUP(B338,'ADP'!A1:G731,7,FALSE)/1000000,VLOOKUP(B338,'ADP'!A1:G731,7,FALSE))</f>
        <v>2</v>
      </c>
      <c r="I338" s="44">
        <f>IF('Settings'!$E$15="POINTS",((R338*Q338)*'Settings'!$B$12)+(S338*'Settings'!$B$2)+(T338*'Settings'!$B$3)+(U338*'Settings'!$B$4)+(V338*'Settings'!$B$5)+(X338*'Settings'!$B$9)+(AA338*'Settings'!$B$6)+(W338*'Settings'!$B$8)+(AB338*'Settings'!$B$7)+(AC338*'Settings'!$B$14)+(AD338*'Settings'!$B$15)+(AE338*'Settings'!$B$16)+(AF338*'Settings'!$B$17)+(AG338*'Settings'!$B$18)+(U338*'Settings'!$B$13)+(Y338*'Settings'!$B$10)+(Z338*'Settings'!$B$11),VLOOKUP(B338,'Standard Deviations'!A1:C731,3,FALSE))</f>
        <v>220.190313605291</v>
      </c>
      <c r="J338" s="45">
        <f>IF(D338="G",I338/AJ338,I338/Q338)</f>
        <v>2.98741079720519</v>
      </c>
      <c r="K338" s="44">
        <f>VLOOKUP(B338,'D'!A1:F228,6,FALSE)</f>
        <v>-120.544825041232</v>
      </c>
      <c r="L338" s="44">
        <f>_xlfn.IFERROR(K338/H338,"N/A")</f>
        <v>-60.272412520616</v>
      </c>
      <c r="M338" s="46">
        <f>IF('Settings'!$E$9="YAHOO",VLOOKUP(B338,'ADP'!A1:E731,2,FALSE),IF('Settings'!$E$9="ESPN",VLOOKUP(B338,'ADP'!A1:E731,3,FALSE),IF('Settings'!$E$9="FANTRAX",VLOOKUP(B338,'ADP'!A1:E731,4,FALSE),VLOOKUP(B338,'ADP'!A1:E731,5,FALSE))))</f>
        <v>402.4</v>
      </c>
      <c r="N338" s="46">
        <f>_xlfn.IFERROR(M338-A338,"N/A")</f>
        <v>90.40000000000001</v>
      </c>
      <c r="O338" s="46"/>
      <c r="P338" t="s" s="47">
        <f>IF('Settings'!$E$27="ON",VLOOKUP(B338,'ADP'!A1:H731,8,FALSE)," ")</f>
        <v>109</v>
      </c>
      <c r="Q338" s="48">
        <f>IF('Settings'!$E$12="YES",VLOOKUP(B338,'Player Data'!A1:E734,5,FALSE),82)</f>
        <v>73.70607142857141</v>
      </c>
      <c r="R338" s="46">
        <f>VLOOKUP(B338,'Player Data'!$A1:$AE734,6,FALSE)</f>
        <v>19.3274571443278</v>
      </c>
      <c r="S338" s="48">
        <f>VLOOKUP(B338,'Player Data'!$A1:$AE734,7,FALSE)*$Q338*_xlfn.IFERROR((VLOOKUP(P338,'Settings'!$E$28:$F$33,2,FALSE)+1),1)</f>
        <v>3.32280582677453</v>
      </c>
      <c r="T338" s="48">
        <f>VLOOKUP(B338,'Player Data'!$A1:$AE734,8,FALSE)*$Q338*_xlfn.IFERROR((VLOOKUP(P338,'Settings'!$E$28:$F$33,2,FALSE)+1),1)</f>
        <v>17.3714455319984</v>
      </c>
      <c r="U338" s="48">
        <f>SUM(S338:T338)</f>
        <v>20.6942513587729</v>
      </c>
      <c r="V338" s="48">
        <f>VLOOKUP(B338,'Player Data'!$A1:$AE734,10,FALSE)*$Q338*_xlfn.IFERROR(((VLOOKUP(P338,'Settings'!$E$28:$F$33,2,FALSE)/2)+1),1)</f>
        <v>86.9891752095636</v>
      </c>
      <c r="W338" s="48">
        <f>VLOOKUP(B338,'Player Data'!$A1:$AE734,11,FALSE)*$Q338*_xlfn.IFERROR((VLOOKUP(P338,'Settings'!$E$28:$F$33,2,FALSE)+1),1)</f>
        <v>0.0194665432462373</v>
      </c>
      <c r="X338" s="48">
        <f>VLOOKUP(B338,'Player Data'!$A1:$AE734,12,FALSE)*$Q338*_xlfn.IFERROR((VLOOKUP(P338,'Settings'!$E$28:$F$33,2,FALSE)+1),1)</f>
        <v>0.136279852124668</v>
      </c>
      <c r="Y338" s="48">
        <f>VLOOKUP(B338,'Player Data'!$A1:$AE734,13,FALSE)*$Q338</f>
        <v>0.0301013590913197</v>
      </c>
      <c r="Z338" s="48">
        <f>VLOOKUP(B338,'Player Data'!$A1:$AE734,14,FALSE)*$Q338</f>
        <v>0.164221267502993</v>
      </c>
      <c r="AA338" s="48">
        <f>VLOOKUP(B338,'Player Data'!$A1:$AE734,15,FALSE)*$Q338</f>
        <v>145.552115902451</v>
      </c>
      <c r="AB338" s="48">
        <f>VLOOKUP(B338,'Player Data'!$A1:$AE734,16,FALSE)*$Q338</f>
        <v>146.097050791190</v>
      </c>
      <c r="AC338" s="48">
        <f>VLOOKUP(B338,'Player Data'!$A1:$AE734,17,FALSE)*$Q338*_xlfn.IFERROR((VLOOKUP(P338,'Settings'!$E$28:$F$33,2,FALSE)+1),1)</f>
        <v>5.33306432934076</v>
      </c>
      <c r="AD338" s="48">
        <f>VLOOKUP(B338,'Player Data'!$A1:$AE734,18,FALSE)*$Q338</f>
        <v>38.685638735919</v>
      </c>
      <c r="AE338" s="48">
        <f>VLOOKUP(B338,'Player Data'!$A1:$AE734,19,FALSE)*$Q338*_xlfn.IFERROR((VLOOKUP(P338,'Settings'!$E$28:$F$33,2,FALSE)+1),1)</f>
        <v>0.533807872882928</v>
      </c>
      <c r="AF338" s="48">
        <f>VLOOKUP(B338,'Player Data'!$A1:$AE734,20,FALSE)*$Q338</f>
        <v>0</v>
      </c>
      <c r="AG338" s="48">
        <f>VLOOKUP(B338,'Player Data'!$A1:$AE734,21,FALSE)*$Q338</f>
        <v>0</v>
      </c>
      <c r="AH338" s="49">
        <f>VLOOKUP(B338,'Player Data'!$A1:$AE734,22,FALSE)</f>
        <v>0</v>
      </c>
      <c r="AI338" s="46"/>
      <c r="AJ338" s="50"/>
      <c r="AK338" s="48"/>
      <c r="AL338" s="48"/>
      <c r="AM338" s="48"/>
      <c r="AN338" s="48"/>
      <c r="AO338" s="48"/>
      <c r="AP338" s="48"/>
      <c r="AQ338" s="51"/>
      <c r="AR338" s="52"/>
      <c r="AS338" s="50"/>
    </row>
    <row r="339" ht="21.25" customHeight="1">
      <c r="A339" s="53">
        <f>RANK(K339,K2:K730)</f>
        <v>360</v>
      </c>
      <c r="B339" t="s" s="8">
        <v>491</v>
      </c>
      <c r="C339" t="s" s="39">
        <v>106</v>
      </c>
      <c r="D339" t="s" s="40">
        <f>VLOOKUP(B339,'Player Data'!A1:D734,4,FALSE)</f>
        <v>121</v>
      </c>
      <c r="E339" s="55">
        <f>VLOOKUP(B339,'RW'!A1:F132,3,FALSE)</f>
        <v>76</v>
      </c>
      <c r="F339" t="s" s="42">
        <f>VLOOKUP(B339,'Player Data'!A1:B734,2,FALSE)</f>
        <v>149</v>
      </c>
      <c r="G339" s="9">
        <f>VLOOKUP(B339,'Player Data'!A1:D734,3,FALSE)</f>
        <v>32</v>
      </c>
      <c r="H339" s="43">
        <f>_xlfn.IFERROR(VLOOKUP(B339,'ADP'!A1:G731,7,FALSE)/1000000,VLOOKUP(B339,'ADP'!A1:G731,7,FALSE))</f>
        <v>5</v>
      </c>
      <c r="I339" s="44">
        <f>IF('Settings'!$E$15="POINTS",((R339*Q339)*'Settings'!$B$12)+(S339*'Settings'!$B$2)+(T339*'Settings'!$B$3)+(U339*'Settings'!$B$4)+(V339*'Settings'!$B$5)+(X339*'Settings'!$B$9)+(AA339*'Settings'!$B$6)+(W339*'Settings'!$B$8)+(AB339*'Settings'!$B$7)+(AC339*'Settings'!$B$14)+(AD339*'Settings'!$B$15)+(AE339*'Settings'!$B$16)+(AF339*'Settings'!$B$17)+(AG339*'Settings'!$B$18)+(Y339*'Settings'!$B$10)+(Z339*'Settings'!$B$11),VLOOKUP(B339,'Standard Deviations'!A1:C731,3,FALSE))</f>
        <v>245.592183327954</v>
      </c>
      <c r="J339" s="45">
        <f>IF(D339="G",I339/AJ339,I339/Q339)</f>
        <v>3.28692755278558</v>
      </c>
      <c r="K339" s="44">
        <f>IF('Settings'!$E$18="C/LW/RW",VLOOKUP(B339,'RW'!A1:F132,6,FALSE),VLOOKUP(B339,'F'!A1:F432,6,FALSE))</f>
        <v>-136.036380378402</v>
      </c>
      <c r="L339" s="44">
        <f>_xlfn.IFERROR(K339/H339,"N/A")</f>
        <v>-27.2072760756804</v>
      </c>
      <c r="M339" t="s" s="61">
        <f>IF('Settings'!$E$9="YAHOO",VLOOKUP(B339,'ADP'!A1:E731,2,FALSE),IF('Settings'!$E$9="ESPN",VLOOKUP(B339,'ADP'!A1:E731,3,FALSE),IF('Settings'!$E$9="FANTRAX",VLOOKUP(B339,'ADP'!A1:E731,4,FALSE),VLOOKUP(B339,'ADP'!A1:E731,5,FALSE))))</f>
        <v>329</v>
      </c>
      <c r="N339" t="s" s="61">
        <f>_xlfn.IFERROR(M339-A339,"N/A")</f>
        <v>158</v>
      </c>
      <c r="O339" s="46"/>
      <c r="P339" t="s" s="47">
        <f>IF('Settings'!$E$27="ON",VLOOKUP(B339,'ADP'!A1:H731,8,FALSE)," ")</f>
        <v>109</v>
      </c>
      <c r="Q339" s="48">
        <f>IF('Settings'!$E$12="YES",VLOOKUP(B339,'Player Data'!A1:E734,5,FALSE),82)</f>
        <v>74.7178571428571</v>
      </c>
      <c r="R339" s="46">
        <f>VLOOKUP(B339,'Player Data'!$A1:$AE734,6,FALSE)</f>
        <v>15.7671854159198</v>
      </c>
      <c r="S339" s="48">
        <f>VLOOKUP(B339,'Player Data'!$A1:$AE734,7,FALSE)*$Q339*_xlfn.IFERROR((VLOOKUP(P339,'Settings'!$E$28:$F$33,2,FALSE)+1),1)</f>
        <v>16.6721044445721</v>
      </c>
      <c r="T339" s="48">
        <f>VLOOKUP(B339,'Player Data'!$A1:$AE734,8,FALSE)*$Q339*_xlfn.IFERROR((VLOOKUP(P339,'Settings'!$E$28:$F$33,2,FALSE)+1),1)</f>
        <v>19.9201919474341</v>
      </c>
      <c r="U339" s="48">
        <f>SUM(S339:T339)</f>
        <v>36.5922963920062</v>
      </c>
      <c r="V339" s="48">
        <f>VLOOKUP(B339,'Player Data'!$A1:$AE734,10,FALSE)*$Q339*_xlfn.IFERROR(((VLOOKUP(P339,'Settings'!$E$28:$F$33,2,FALSE)/2)+1),1)</f>
        <v>153.559197539489</v>
      </c>
      <c r="W339" s="48">
        <f>VLOOKUP(B339,'Player Data'!$A1:$AE734,11,FALSE)*$Q339*_xlfn.IFERROR((VLOOKUP(P339,'Settings'!$E$28:$F$33,2,FALSE)+1),1)</f>
        <v>2.56724500234826</v>
      </c>
      <c r="X339" s="48">
        <f>VLOOKUP(B339,'Player Data'!$A1:$AE734,12,FALSE)*$Q339*_xlfn.IFERROR((VLOOKUP(P339,'Settings'!$E$28:$F$33,2,FALSE)+1),1)</f>
        <v>5.83748792207636</v>
      </c>
      <c r="Y339" s="48">
        <f>VLOOKUP(B339,'Player Data'!$A1:$AE734,13,FALSE)*$Q339</f>
        <v>0.167771131936361</v>
      </c>
      <c r="Z339" s="48">
        <f>VLOOKUP(B339,'Player Data'!$A1:$AE734,14,FALSE)*$Q339</f>
        <v>0.223005343580827</v>
      </c>
      <c r="AA339" s="48">
        <f>VLOOKUP(B339,'Player Data'!$A1:$AE734,15,FALSE)*$Q339</f>
        <v>22.7348583123761</v>
      </c>
      <c r="AB339" s="48">
        <f>VLOOKUP(B339,'Player Data'!$A1:$AE734,16,FALSE)*$Q339</f>
        <v>88.8563954879332</v>
      </c>
      <c r="AC339" s="48">
        <f>VLOOKUP(B339,'Player Data'!$A1:$AE734,17,FALSE)*$Q339*_xlfn.IFERROR((VLOOKUP(P339,'Settings'!$E$28:$F$33,2,FALSE)+1),1)</f>
        <v>1.88262717907827</v>
      </c>
      <c r="AD339" s="48">
        <f>VLOOKUP(B339,'Player Data'!$A1:$AE734,18,FALSE)*$Q339</f>
        <v>35.5989299665259</v>
      </c>
      <c r="AE339" s="48">
        <f>VLOOKUP(B339,'Player Data'!$A1:$AE734,19,FALSE)*$Q339*_xlfn.IFERROR((VLOOKUP(P339,'Settings'!$E$28:$F$33,2,FALSE)+1),1)</f>
        <v>2.5762045445849</v>
      </c>
      <c r="AF339" s="48">
        <f>VLOOKUP(B339,'Player Data'!$A1:$AE734,20,FALSE)*$Q339</f>
        <v>11.8918755478614</v>
      </c>
      <c r="AG339" s="48">
        <f>VLOOKUP(B339,'Player Data'!$A1:$AE734,21,FALSE)*$Q339</f>
        <v>22.1517018249348</v>
      </c>
      <c r="AH339" s="49">
        <f>VLOOKUP(B339,'Player Data'!$A1:$AE734,22,FALSE)</f>
        <v>0.349313335012909</v>
      </c>
      <c r="AI339" s="46"/>
      <c r="AJ339" s="50"/>
      <c r="AK339" s="48"/>
      <c r="AL339" s="48"/>
      <c r="AM339" s="48"/>
      <c r="AN339" s="48"/>
      <c r="AO339" s="48"/>
      <c r="AP339" s="48"/>
      <c r="AQ339" s="51"/>
      <c r="AR339" s="52"/>
      <c r="AS339" s="46"/>
    </row>
    <row r="340" ht="21.25" customHeight="1">
      <c r="A340" s="53">
        <f>RANK(K340,K2:K730)</f>
        <v>369</v>
      </c>
      <c r="B340" t="s" s="8">
        <v>492</v>
      </c>
      <c r="C340" t="s" s="39">
        <v>106</v>
      </c>
      <c r="D340" t="s" s="40">
        <f>VLOOKUP(B340,'Player Data'!A1:D734,4,FALSE)</f>
        <v>129</v>
      </c>
      <c r="E340" s="56">
        <f>VLOOKUP(B340,'D'!A1:C228,3,FALSE)</f>
        <v>120</v>
      </c>
      <c r="F340" t="s" s="42">
        <f>VLOOKUP(B340,'Player Data'!A1:B734,2,FALSE)</f>
        <v>218</v>
      </c>
      <c r="G340" s="9">
        <f>VLOOKUP(B340,'Player Data'!A1:D734,3,FALSE)</f>
        <v>24</v>
      </c>
      <c r="H340" s="43">
        <f>_xlfn.IFERROR(VLOOKUP(B340,'ADP'!A1:G731,7,FALSE)/1000000,VLOOKUP(B340,'ADP'!A1:G731,7,FALSE))</f>
        <v>2.29415</v>
      </c>
      <c r="I340" s="44">
        <f>IF('Settings'!$E$15="POINTS",((R340*Q340)*'Settings'!$B$12)+(S340*'Settings'!$B$2)+(T340*'Settings'!$B$3)+(U340*'Settings'!$B$4)+(V340*'Settings'!$B$5)+(X340*'Settings'!$B$9)+(AA340*'Settings'!$B$6)+(W340*'Settings'!$B$8)+(AB340*'Settings'!$B$7)+(AC340*'Settings'!$B$14)+(AD340*'Settings'!$B$15)+(AE340*'Settings'!$B$16)+(AF340*'Settings'!$B$17)+(AG340*'Settings'!$B$18)+(U340*'Settings'!$B$13)+(Y340*'Settings'!$B$10)+(Z340*'Settings'!$B$11),VLOOKUP(B340,'Standard Deviations'!A1:C731,3,FALSE))</f>
        <v>200.642191647545</v>
      </c>
      <c r="J340" s="45">
        <f>IF(D340="G",I340/AJ340,I340/Q340)</f>
        <v>2.60095342348795</v>
      </c>
      <c r="K340" s="44">
        <f>VLOOKUP(B340,'D'!A1:F228,6,FALSE)</f>
        <v>-140.092946998978</v>
      </c>
      <c r="L340" s="44">
        <f>_xlfn.IFERROR(K340/H340,"N/A")</f>
        <v>-61.0652952069298</v>
      </c>
      <c r="M340" t="s" s="61">
        <f>IF('Settings'!$E$9="YAHOO",VLOOKUP(B340,'ADP'!A1:E731,2,FALSE),IF('Settings'!$E$9="ESPN",VLOOKUP(B340,'ADP'!A1:E731,3,FALSE),IF('Settings'!$E$9="FANTRAX",VLOOKUP(B340,'ADP'!A1:E731,4,FALSE),VLOOKUP(B340,'ADP'!A1:E731,5,FALSE))))</f>
        <v>329</v>
      </c>
      <c r="N340" t="s" s="61">
        <f>_xlfn.IFERROR(M340-A340,"N/A")</f>
        <v>158</v>
      </c>
      <c r="O340" s="46"/>
      <c r="P340" t="s" s="47">
        <f>IF('Settings'!$E$27="ON",VLOOKUP(B340,'ADP'!A1:H731,8,FALSE)," ")</f>
        <v>109</v>
      </c>
      <c r="Q340" s="48">
        <f>IF('Settings'!$E$12="YES",VLOOKUP(B340,'Player Data'!A1:E734,5,FALSE),82)</f>
        <v>77.1417857142857</v>
      </c>
      <c r="R340" s="46">
        <f>VLOOKUP(B340,'Player Data'!$A1:$AE734,6,FALSE)</f>
        <v>17.2500533962327</v>
      </c>
      <c r="S340" s="48">
        <f>VLOOKUP(B340,'Player Data'!$A1:$AE734,7,FALSE)*$Q340*_xlfn.IFERROR((VLOOKUP(P340,'Settings'!$E$28:$F$33,2,FALSE)+1),1)</f>
        <v>4.46195533284185</v>
      </c>
      <c r="T340" s="48">
        <f>VLOOKUP(B340,'Player Data'!$A1:$AE734,8,FALSE)*$Q340*_xlfn.IFERROR((VLOOKUP(P340,'Settings'!$E$28:$F$33,2,FALSE)+1),1)</f>
        <v>15.0524190351526</v>
      </c>
      <c r="U340" s="48">
        <f>SUM(S340:T340)</f>
        <v>19.5143743679945</v>
      </c>
      <c r="V340" s="48">
        <f>VLOOKUP(B340,'Player Data'!$A1:$AE734,10,FALSE)*$Q340*_xlfn.IFERROR(((VLOOKUP(P340,'Settings'!$E$28:$F$33,2,FALSE)/2)+1),1)</f>
        <v>105.643987107467</v>
      </c>
      <c r="W340" s="48">
        <f>VLOOKUP(B340,'Player Data'!$A1:$AE734,11,FALSE)*$Q340*_xlfn.IFERROR((VLOOKUP(P340,'Settings'!$E$28:$F$33,2,FALSE)+1),1)</f>
        <v>0.0161656950347685</v>
      </c>
      <c r="X340" s="48">
        <f>VLOOKUP(B340,'Player Data'!$A1:$AE734,12,FALSE)*$Q340*_xlfn.IFERROR((VLOOKUP(P340,'Settings'!$E$28:$F$33,2,FALSE)+1),1)</f>
        <v>0.110089660532632</v>
      </c>
      <c r="Y340" s="48">
        <f>VLOOKUP(B340,'Player Data'!$A1:$AE734,13,FALSE)*$Q340</f>
        <v>0.0250077624483489</v>
      </c>
      <c r="Z340" s="48">
        <f>VLOOKUP(B340,'Player Data'!$A1:$AE734,14,FALSE)*$Q340</f>
        <v>0.093080995485713</v>
      </c>
      <c r="AA340" s="48">
        <f>VLOOKUP(B340,'Player Data'!$A1:$AE734,15,FALSE)*$Q340</f>
        <v>112.766361699527</v>
      </c>
      <c r="AB340" s="48">
        <f>VLOOKUP(B340,'Player Data'!$A1:$AE734,16,FALSE)*$Q340</f>
        <v>104.059196599320</v>
      </c>
      <c r="AC340" s="48">
        <f>VLOOKUP(B340,'Player Data'!$A1:$AE734,17,FALSE)*$Q340*_xlfn.IFERROR((VLOOKUP(P340,'Settings'!$E$28:$F$33,2,FALSE)+1),1)</f>
        <v>4.08490450006473</v>
      </c>
      <c r="AD340" s="48">
        <f>VLOOKUP(B340,'Player Data'!$A1:$AE734,18,FALSE)*$Q340</f>
        <v>37.5736369684263</v>
      </c>
      <c r="AE340" s="48">
        <f>VLOOKUP(B340,'Player Data'!$A1:$AE734,19,FALSE)*$Q340*_xlfn.IFERROR((VLOOKUP(P340,'Settings'!$E$28:$F$33,2,FALSE)+1),1)</f>
        <v>0.729205244757442</v>
      </c>
      <c r="AF340" s="48">
        <f>VLOOKUP(B340,'Player Data'!$A1:$AE734,20,FALSE)*$Q340</f>
        <v>0</v>
      </c>
      <c r="AG340" s="48">
        <f>VLOOKUP(B340,'Player Data'!$A1:$AE734,21,FALSE)*$Q340</f>
        <v>0</v>
      </c>
      <c r="AH340" s="49">
        <f>VLOOKUP(B340,'Player Data'!$A1:$AE734,22,FALSE)</f>
        <v>0</v>
      </c>
      <c r="AI340" s="46"/>
      <c r="AJ340" s="48"/>
      <c r="AK340" s="48"/>
      <c r="AL340" s="48"/>
      <c r="AM340" s="48"/>
      <c r="AN340" s="48"/>
      <c r="AO340" s="48"/>
      <c r="AP340" s="48"/>
      <c r="AQ340" s="51"/>
      <c r="AR340" s="52"/>
      <c r="AS340" s="46"/>
    </row>
    <row r="341" ht="21.25" customHeight="1">
      <c r="A341" s="53">
        <f>RANK(K341,K2:K730)</f>
        <v>363</v>
      </c>
      <c r="B341" t="s" s="8">
        <v>493</v>
      </c>
      <c r="C341" t="s" s="39">
        <v>106</v>
      </c>
      <c r="D341" t="s" s="40">
        <f>VLOOKUP(B341,'Player Data'!A1:D734,4,FALSE)</f>
        <v>107</v>
      </c>
      <c r="E341" s="41">
        <f>VLOOKUP(B341,'C'!A1:C218,3,FALSE)</f>
        <v>96</v>
      </c>
      <c r="F341" t="s" s="42">
        <f>VLOOKUP(B341,'Player Data'!A1:B734,2,FALSE)</f>
        <v>236</v>
      </c>
      <c r="G341" s="9">
        <f>VLOOKUP(B341,'Player Data'!A1:D734,3,FALSE)</f>
        <v>24</v>
      </c>
      <c r="H341" s="43">
        <f>_xlfn.IFERROR(VLOOKUP(B341,'ADP'!A1:G731,7,FALSE)/1000000,VLOOKUP(B341,'ADP'!A1:G731,7,FALSE))</f>
        <v>0</v>
      </c>
      <c r="I341" s="44">
        <f>IF('Settings'!$E$15="POINTS",((R341*Q341)*'Settings'!$B$12)+(S341*'Settings'!$B$2)+(T341*'Settings'!$B$3)+(U341*'Settings'!$B$4)+(V341*'Settings'!$B$5)+(X341*'Settings'!$B$9)+(AA341*'Settings'!$B$6)+(W341*'Settings'!$B$8)+(AB341*'Settings'!$B$7)+(AC341*'Settings'!$B$14)+(AD341*'Settings'!$B$15)+(AE341*'Settings'!$B$16)+(AF341*'Settings'!$B$17)+(AG341*'Settings'!$B$18)+(Y341*'Settings'!$B$10)+(Z341*'Settings'!$B$11),VLOOKUP(B341,'Standard Deviations'!A1:C731,3,FALSE))</f>
        <v>259.184664492259</v>
      </c>
      <c r="J341" s="45">
        <f>IF(D341="G",I341/AJ341,I341/Q341)</f>
        <v>3.43563977322719</v>
      </c>
      <c r="K341" s="44">
        <f>IF('Settings'!$E$18="C/LW/RW",VLOOKUP(B341,'C'!A1:F218,6,FALSE),VLOOKUP(B341,'F'!A1:F432,6,FALSE))</f>
        <v>-136.589537143756</v>
      </c>
      <c r="L341" t="s" s="60">
        <f>_xlfn.IFERROR(K341/H341,"N/A")</f>
        <v>158</v>
      </c>
      <c r="M341" s="46">
        <f>IF('Settings'!$E$9="YAHOO",VLOOKUP(B341,'ADP'!A1:E731,2,FALSE),IF('Settings'!$E$9="ESPN",VLOOKUP(B341,'ADP'!A1:E731,3,FALSE),IF('Settings'!$E$9="FANTRAX",VLOOKUP(B341,'ADP'!A1:E731,4,FALSE),VLOOKUP(B341,'ADP'!A1:E731,5,FALSE))))</f>
        <v>223.52</v>
      </c>
      <c r="N341" s="46">
        <f>_xlfn.IFERROR(M341-A341,"N/A")</f>
        <v>-139.48</v>
      </c>
      <c r="O341" s="46"/>
      <c r="P341" t="s" s="47">
        <f>IF('Settings'!$E$27="ON",VLOOKUP(B341,'ADP'!A1:H731,8,FALSE)," ")</f>
        <v>109</v>
      </c>
      <c r="Q341" s="48">
        <f>IF('Settings'!$E$12="YES",VLOOKUP(B341,'Player Data'!A1:E734,5,FALSE),82)</f>
        <v>75.44</v>
      </c>
      <c r="R341" s="46">
        <f>VLOOKUP(B341,'Player Data'!$A1:$AE734,6,FALSE)</f>
        <v>16.1254938841505</v>
      </c>
      <c r="S341" s="48">
        <f>VLOOKUP(B341,'Player Data'!$A1:$AE734,7,FALSE)*$Q341*_xlfn.IFERROR((VLOOKUP(P341,'Settings'!$E$28:$F$33,2,FALSE)+1),1)</f>
        <v>16.0699946792945</v>
      </c>
      <c r="T341" s="48">
        <f>VLOOKUP(B341,'Player Data'!$A1:$AE734,8,FALSE)*$Q341*_xlfn.IFERROR((VLOOKUP(P341,'Settings'!$E$28:$F$33,2,FALSE)+1),1)</f>
        <v>24.5236631521726</v>
      </c>
      <c r="U341" s="48">
        <f>SUM(S341:T341)</f>
        <v>40.5936578314671</v>
      </c>
      <c r="V341" s="48">
        <f>VLOOKUP(B341,'Player Data'!$A1:$AE734,10,FALSE)*$Q341*_xlfn.IFERROR(((VLOOKUP(P341,'Settings'!$E$28:$F$33,2,FALSE)/2)+1),1)</f>
        <v>142.796256063592</v>
      </c>
      <c r="W341" s="48">
        <f>VLOOKUP(B341,'Player Data'!$A1:$AE734,11,FALSE)*$Q341*_xlfn.IFERROR((VLOOKUP(P341,'Settings'!$E$28:$F$33,2,FALSE)+1),1)</f>
        <v>1.84575374673503</v>
      </c>
      <c r="X341" s="48">
        <f>VLOOKUP(B341,'Player Data'!$A1:$AE734,12,FALSE)*$Q341*_xlfn.IFERROR((VLOOKUP(P341,'Settings'!$E$28:$F$33,2,FALSE)+1),1)</f>
        <v>5.96210283297076</v>
      </c>
      <c r="Y341" s="48">
        <f>VLOOKUP(B341,'Player Data'!$A1:$AE734,13,FALSE)*$Q341</f>
        <v>0.0731798357819623</v>
      </c>
      <c r="Z341" s="48">
        <f>VLOOKUP(B341,'Player Data'!$A1:$AE734,14,FALSE)*$Q341</f>
        <v>0.13305034449604</v>
      </c>
      <c r="AA341" s="48">
        <f>VLOOKUP(B341,'Player Data'!$A1:$AE734,15,FALSE)*$Q341</f>
        <v>45.7358404963772</v>
      </c>
      <c r="AB341" s="48">
        <f>VLOOKUP(B341,'Player Data'!$A1:$AE734,16,FALSE)*$Q341</f>
        <v>75.0662000397584</v>
      </c>
      <c r="AC341" s="48">
        <f>VLOOKUP(B341,'Player Data'!$A1:$AE734,17,FALSE)*$Q341*_xlfn.IFERROR((VLOOKUP(P341,'Settings'!$E$28:$F$33,2,FALSE)+1),1)</f>
        <v>-5.07666213737564</v>
      </c>
      <c r="AD341" s="48">
        <f>VLOOKUP(B341,'Player Data'!$A1:$AE734,18,FALSE)*$Q341</f>
        <v>23.9606845838918</v>
      </c>
      <c r="AE341" s="48">
        <f>VLOOKUP(B341,'Player Data'!$A1:$AE734,19,FALSE)*$Q341*_xlfn.IFERROR((VLOOKUP(P341,'Settings'!$E$28:$F$33,2,FALSE)+1),1)</f>
        <v>1.88895784798651</v>
      </c>
      <c r="AF341" s="48">
        <f>VLOOKUP(B341,'Player Data'!$A1:$AE734,20,FALSE)*$Q341</f>
        <v>401.933551942167</v>
      </c>
      <c r="AG341" s="48">
        <f>VLOOKUP(B341,'Player Data'!$A1:$AE734,21,FALSE)*$Q341</f>
        <v>458.871126341094</v>
      </c>
      <c r="AH341" s="49">
        <f>VLOOKUP(B341,'Player Data'!$A1:$AE734,22,FALSE)</f>
        <v>0.466927703905792</v>
      </c>
      <c r="AI341" s="46"/>
      <c r="AJ341" s="48"/>
      <c r="AK341" s="48"/>
      <c r="AL341" s="48"/>
      <c r="AM341" s="48"/>
      <c r="AN341" s="48"/>
      <c r="AO341" s="48"/>
      <c r="AP341" s="48"/>
      <c r="AQ341" s="51"/>
      <c r="AR341" s="52"/>
      <c r="AS341" s="46"/>
    </row>
    <row r="342" ht="21.25" customHeight="1">
      <c r="A342" s="53">
        <f>RANK(K342,K2:K730)</f>
        <v>348</v>
      </c>
      <c r="B342" t="s" s="8">
        <v>494</v>
      </c>
      <c r="C342" t="s" s="39">
        <v>106</v>
      </c>
      <c r="D342" t="s" s="40">
        <f>VLOOKUP(B342,'Player Data'!A1:D734,4,FALSE)</f>
        <v>133</v>
      </c>
      <c r="E342" s="57">
        <f>VLOOKUP(B342,'LW'!A1:C156,3,FALSE)</f>
        <v>81</v>
      </c>
      <c r="F342" t="s" s="42">
        <f>VLOOKUP(B342,'Player Data'!A1:B734,2,FALSE)</f>
        <v>124</v>
      </c>
      <c r="G342" s="9">
        <f>VLOOKUP(B342,'Player Data'!A1:D734,3,FALSE)</f>
        <v>31</v>
      </c>
      <c r="H342" s="43">
        <f>_xlfn.IFERROR(VLOOKUP(B342,'ADP'!A1:G731,7,FALSE)/1000000,VLOOKUP(B342,'ADP'!A1:G731,7,FALSE))</f>
        <v>2</v>
      </c>
      <c r="I342" s="44">
        <f>IF('Settings'!$E$15="POINTS",((R342*Q342)*'Settings'!$B$12)+(S342*'Settings'!$B$2)+(T342*'Settings'!$B$3)+(U342*'Settings'!$B$4)+(V342*'Settings'!$B$5)+(X342*'Settings'!$B$9)+(AA342*'Settings'!$B$6)+(W342*'Settings'!$B$8)+(AB342*'Settings'!$B$7)+(AC342*'Settings'!$B$14)+(AD342*'Settings'!$B$15)+(AE342*'Settings'!$B$16)+(AF342*'Settings'!$B$17)+(AG342*'Settings'!$B$18)+(Y342*'Settings'!$B$10)+(Z342*'Settings'!$B$11),VLOOKUP(B342,'Standard Deviations'!A1:C731,3,FALSE))</f>
        <v>249.765667058566</v>
      </c>
      <c r="J342" s="45">
        <f>IF(D342="G",I342/AJ342,I342/Q342)</f>
        <v>3.1190214378085</v>
      </c>
      <c r="K342" s="44">
        <f>IF('Settings'!$E$18="C/LW/RW",VLOOKUP(B342,'LW'!A1:F156,6,FALSE),VLOOKUP(B342,'F'!A1:F432,6,FALSE))</f>
        <v>-131.862896647790</v>
      </c>
      <c r="L342" s="44">
        <f>_xlfn.IFERROR(K342/H342,"N/A")</f>
        <v>-65.931448323895</v>
      </c>
      <c r="M342" t="s" s="61">
        <f>IF('Settings'!$E$9="YAHOO",VLOOKUP(B342,'ADP'!A1:E731,2,FALSE),IF('Settings'!$E$9="ESPN",VLOOKUP(B342,'ADP'!A1:E731,3,FALSE),IF('Settings'!$E$9="FANTRAX",VLOOKUP(B342,'ADP'!A1:E731,4,FALSE),VLOOKUP(B342,'ADP'!A1:E731,5,FALSE))))</f>
        <v>329</v>
      </c>
      <c r="N342" t="s" s="61">
        <f>_xlfn.IFERROR(M342-A342,"N/A")</f>
        <v>158</v>
      </c>
      <c r="O342" s="46"/>
      <c r="P342" t="s" s="47">
        <f>IF('Settings'!$E$27="ON",VLOOKUP(B342,'ADP'!A1:H731,8,FALSE)," ")</f>
        <v>109</v>
      </c>
      <c r="Q342" s="48">
        <f>IF('Settings'!$E$12="YES",VLOOKUP(B342,'Player Data'!A1:E734,5,FALSE),82)</f>
        <v>80.0782142857143</v>
      </c>
      <c r="R342" s="46">
        <f>VLOOKUP(B342,'Player Data'!$A1:$AE734,6,FALSE)</f>
        <v>15.7947745426829</v>
      </c>
      <c r="S342" s="48">
        <f>VLOOKUP(B342,'Player Data'!$A1:$AE734,7,FALSE)*$Q342*_xlfn.IFERROR((VLOOKUP(P342,'Settings'!$E$28:$F$33,2,FALSE)+1),1)</f>
        <v>16.5154614828952</v>
      </c>
      <c r="T342" s="48">
        <f>VLOOKUP(B342,'Player Data'!$A1:$AE734,8,FALSE)*$Q342*_xlfn.IFERROR((VLOOKUP(P342,'Settings'!$E$28:$F$33,2,FALSE)+1),1)</f>
        <v>21.0864448117399</v>
      </c>
      <c r="U342" s="48">
        <f>SUM(S342:T342)</f>
        <v>37.6019062946351</v>
      </c>
      <c r="V342" s="48">
        <f>VLOOKUP(B342,'Player Data'!$A1:$AE734,10,FALSE)*$Q342*_xlfn.IFERROR(((VLOOKUP(P342,'Settings'!$E$28:$F$33,2,FALSE)/2)+1),1)</f>
        <v>150.315983321124</v>
      </c>
      <c r="W342" s="48">
        <f>VLOOKUP(B342,'Player Data'!$A1:$AE734,11,FALSE)*$Q342*_xlfn.IFERROR((VLOOKUP(P342,'Settings'!$E$28:$F$33,2,FALSE)+1),1)</f>
        <v>1.9892061041575</v>
      </c>
      <c r="X342" s="48">
        <f>VLOOKUP(B342,'Player Data'!$A1:$AE734,12,FALSE)*$Q342*_xlfn.IFERROR((VLOOKUP(P342,'Settings'!$E$28:$F$33,2,FALSE)+1),1)</f>
        <v>6.18421903142144</v>
      </c>
      <c r="Y342" s="48">
        <f>VLOOKUP(B342,'Player Data'!$A1:$AE734,13,FALSE)*$Q342</f>
        <v>0.775246591569096</v>
      </c>
      <c r="Z342" s="48">
        <f>VLOOKUP(B342,'Player Data'!$A1:$AE734,14,FALSE)*$Q342</f>
        <v>0.90001830217231</v>
      </c>
      <c r="AA342" s="48">
        <f>VLOOKUP(B342,'Player Data'!$A1:$AE734,15,FALSE)*$Q342</f>
        <v>41.1516575892994</v>
      </c>
      <c r="AB342" s="48">
        <f>VLOOKUP(B342,'Player Data'!$A1:$AE734,16,FALSE)*$Q342</f>
        <v>58.6115955630479</v>
      </c>
      <c r="AC342" s="48">
        <f>VLOOKUP(B342,'Player Data'!$A1:$AE734,17,FALSE)*$Q342*_xlfn.IFERROR((VLOOKUP(P342,'Settings'!$E$28:$F$33,2,FALSE)+1),1)</f>
        <v>0.0963949234483963</v>
      </c>
      <c r="AD342" s="48">
        <f>VLOOKUP(B342,'Player Data'!$A1:$AE734,18,FALSE)*$Q342</f>
        <v>22.4786649196808</v>
      </c>
      <c r="AE342" s="48">
        <f>VLOOKUP(B342,'Player Data'!$A1:$AE734,19,FALSE)*$Q342*_xlfn.IFERROR((VLOOKUP(P342,'Settings'!$E$28:$F$33,2,FALSE)+1),1)</f>
        <v>2.58467572132481</v>
      </c>
      <c r="AF342" s="48">
        <f>VLOOKUP(B342,'Player Data'!$A1:$AE734,20,FALSE)*$Q342</f>
        <v>15.6408478522998</v>
      </c>
      <c r="AG342" s="48">
        <f>VLOOKUP(B342,'Player Data'!$A1:$AE734,21,FALSE)*$Q342</f>
        <v>19.7541865389726</v>
      </c>
      <c r="AH342" s="49">
        <f>VLOOKUP(B342,'Player Data'!$A1:$AE734,22,FALSE)</f>
        <v>0.441893845317367</v>
      </c>
      <c r="AI342" s="46"/>
      <c r="AJ342" s="50"/>
      <c r="AK342" s="48"/>
      <c r="AL342" s="48"/>
      <c r="AM342" s="48"/>
      <c r="AN342" s="48"/>
      <c r="AO342" s="48"/>
      <c r="AP342" s="48"/>
      <c r="AQ342" s="51"/>
      <c r="AR342" s="52"/>
      <c r="AS342" s="50"/>
    </row>
    <row r="343" ht="21.25" customHeight="1">
      <c r="A343" s="53">
        <f>RANK(K343,K2:K730)</f>
        <v>351</v>
      </c>
      <c r="B343" t="s" s="8">
        <v>495</v>
      </c>
      <c r="C343" t="s" s="39">
        <v>106</v>
      </c>
      <c r="D343" t="s" s="40">
        <f>VLOOKUP(B343,'Player Data'!A1:D734,4,FALSE)</f>
        <v>129</v>
      </c>
      <c r="E343" s="56">
        <f>VLOOKUP(B343,'D'!A1:C228,3,FALSE)</f>
        <v>112</v>
      </c>
      <c r="F343" t="s" s="42">
        <f>VLOOKUP(B343,'Player Data'!A1:B734,2,FALSE)</f>
        <v>127</v>
      </c>
      <c r="G343" s="9">
        <f>VLOOKUP(B343,'Player Data'!A1:D734,3,FALSE)</f>
        <v>26</v>
      </c>
      <c r="H343" s="43">
        <f>_xlfn.IFERROR(VLOOKUP(B343,'ADP'!A1:G731,7,FALSE)/1000000,VLOOKUP(B343,'ADP'!A1:G731,7,FALSE))</f>
        <v>3.0167</v>
      </c>
      <c r="I343" s="44">
        <f>IF('Settings'!$E$15="POINTS",((R343*Q343)*'Settings'!$B$12)+(S343*'Settings'!$B$2)+(T343*'Settings'!$B$3)+(U343*'Settings'!$B$4)+(V343*'Settings'!$B$5)+(X343*'Settings'!$B$9)+(AA343*'Settings'!$B$6)+(W343*'Settings'!$B$8)+(AB343*'Settings'!$B$7)+(AC343*'Settings'!$B$14)+(AD343*'Settings'!$B$15)+(AE343*'Settings'!$B$16)+(AF343*'Settings'!$B$17)+(AG343*'Settings'!$B$18)+(U343*'Settings'!$B$13)+(Y343*'Settings'!$B$10)+(Z343*'Settings'!$B$11),VLOOKUP(B343,'Standard Deviations'!A1:C731,3,FALSE))</f>
        <v>207.750263156354</v>
      </c>
      <c r="J343" s="45">
        <f>IF(D343="G",I343/AJ343,I343/Q343)</f>
        <v>2.63558849548181</v>
      </c>
      <c r="K343" s="44">
        <f>VLOOKUP(B343,'D'!A1:F228,6,FALSE)</f>
        <v>-132.984875490169</v>
      </c>
      <c r="L343" s="44">
        <f>_xlfn.IFERROR(K343/H343,"N/A")</f>
        <v>-44.0828970365529</v>
      </c>
      <c r="M343" s="46">
        <f>IF('Settings'!$E$9="YAHOO",VLOOKUP(B343,'ADP'!A1:E731,2,FALSE),IF('Settings'!$E$9="ESPN",VLOOKUP(B343,'ADP'!A1:E731,3,FALSE),IF('Settings'!$E$9="FANTRAX",VLOOKUP(B343,'ADP'!A1:E731,4,FALSE),VLOOKUP(B343,'ADP'!A1:E731,5,FALSE))))</f>
        <v>403.5</v>
      </c>
      <c r="N343" s="46">
        <f>_xlfn.IFERROR(M343-A343,"N/A")</f>
        <v>52.5</v>
      </c>
      <c r="O343" s="46"/>
      <c r="P343" t="s" s="47">
        <f>IF('Settings'!$E$27="ON",VLOOKUP(B343,'ADP'!A1:H731,8,FALSE)," ")</f>
        <v>109</v>
      </c>
      <c r="Q343" s="48">
        <f>IF('Settings'!$E$12="YES",VLOOKUP(B343,'Player Data'!A1:E734,5,FALSE),82)</f>
        <v>78.825</v>
      </c>
      <c r="R343" s="46">
        <f>VLOOKUP(B343,'Player Data'!$A1:$AE734,6,FALSE)</f>
        <v>20.4845571646341</v>
      </c>
      <c r="S343" s="48">
        <f>VLOOKUP(B343,'Player Data'!$A1:$AE734,7,FALSE)*$Q343*_xlfn.IFERROR((VLOOKUP(P343,'Settings'!$E$28:$F$33,2,FALSE)+1),1)</f>
        <v>2.98313613825706</v>
      </c>
      <c r="T343" s="48">
        <f>VLOOKUP(B343,'Player Data'!$A1:$AE734,8,FALSE)*$Q343*_xlfn.IFERROR((VLOOKUP(P343,'Settings'!$E$28:$F$33,2,FALSE)+1),1)</f>
        <v>16.4391205448772</v>
      </c>
      <c r="U343" s="48">
        <f>SUM(S343:T343)</f>
        <v>19.4222566831343</v>
      </c>
      <c r="V343" s="48">
        <f>VLOOKUP(B343,'Player Data'!$A1:$AE734,10,FALSE)*$Q343*_xlfn.IFERROR(((VLOOKUP(P343,'Settings'!$E$28:$F$33,2,FALSE)/2)+1),1)</f>
        <v>91.6793520255177</v>
      </c>
      <c r="W343" s="48">
        <f>VLOOKUP(B343,'Player Data'!$A1:$AE734,11,FALSE)*$Q343*_xlfn.IFERROR((VLOOKUP(P343,'Settings'!$E$28:$F$33,2,FALSE)+1),1)</f>
        <v>0.19312532300007</v>
      </c>
      <c r="X343" s="48">
        <f>VLOOKUP(B343,'Player Data'!$A1:$AE734,12,FALSE)*$Q343*_xlfn.IFERROR((VLOOKUP(P343,'Settings'!$E$28:$F$33,2,FALSE)+1),1)</f>
        <v>0.450092838614289</v>
      </c>
      <c r="Y343" s="48">
        <f>VLOOKUP(B343,'Player Data'!$A1:$AE734,13,FALSE)*$Q343</f>
        <v>0.0305175960774997</v>
      </c>
      <c r="Z343" s="48">
        <f>VLOOKUP(B343,'Player Data'!$A1:$AE734,14,FALSE)*$Q343</f>
        <v>0.504914930419745</v>
      </c>
      <c r="AA343" s="48">
        <f>VLOOKUP(B343,'Player Data'!$A1:$AE734,15,FALSE)*$Q343</f>
        <v>142.187001010574</v>
      </c>
      <c r="AB343" s="48">
        <f>VLOOKUP(B343,'Player Data'!$A1:$AE734,16,FALSE)*$Q343</f>
        <v>108.263130082720</v>
      </c>
      <c r="AC343" s="48">
        <f>VLOOKUP(B343,'Player Data'!$A1:$AE734,17,FALSE)*$Q343*_xlfn.IFERROR((VLOOKUP(P343,'Settings'!$E$28:$F$33,2,FALSE)+1),1)</f>
        <v>0.715539505048402</v>
      </c>
      <c r="AD343" s="48">
        <f>VLOOKUP(B343,'Player Data'!$A1:$AE734,18,FALSE)*$Q343</f>
        <v>43.7934145302548</v>
      </c>
      <c r="AE343" s="48">
        <f>VLOOKUP(B343,'Player Data'!$A1:$AE734,19,FALSE)*$Q343*_xlfn.IFERROR((VLOOKUP(P343,'Settings'!$E$28:$F$33,2,FALSE)+1),1)</f>
        <v>0.438455326637765</v>
      </c>
      <c r="AF343" s="48">
        <f>VLOOKUP(B343,'Player Data'!$A1:$AE734,20,FALSE)*$Q343</f>
        <v>0</v>
      </c>
      <c r="AG343" s="48">
        <f>VLOOKUP(B343,'Player Data'!$A1:$AE734,21,FALSE)*$Q343</f>
        <v>0</v>
      </c>
      <c r="AH343" s="49">
        <f>VLOOKUP(B343,'Player Data'!$A1:$AE734,22,FALSE)</f>
        <v>0</v>
      </c>
      <c r="AI343" s="46"/>
      <c r="AJ343" s="50"/>
      <c r="AK343" s="48"/>
      <c r="AL343" s="48"/>
      <c r="AM343" s="48"/>
      <c r="AN343" s="48"/>
      <c r="AO343" s="48"/>
      <c r="AP343" s="48"/>
      <c r="AQ343" s="51"/>
      <c r="AR343" s="52"/>
      <c r="AS343" s="46"/>
    </row>
    <row r="344" ht="21.25" customHeight="1">
      <c r="A344" s="53">
        <f>RANK(K344,K2:K730)</f>
        <v>484</v>
      </c>
      <c r="B344" t="s" s="8">
        <v>496</v>
      </c>
      <c r="C344" t="s" s="39">
        <v>106</v>
      </c>
      <c r="D344" t="s" s="40">
        <f>VLOOKUP(B344,'Player Data'!A1:D734,4,FALSE)</f>
        <v>107</v>
      </c>
      <c r="E344" s="41">
        <f>VLOOKUP(B344,'C'!A1:C218,3,FALSE)</f>
        <v>124</v>
      </c>
      <c r="F344" t="s" s="42">
        <f>VLOOKUP(B344,'Player Data'!A1:B734,2,FALSE)</f>
        <v>166</v>
      </c>
      <c r="G344" s="9">
        <f>VLOOKUP(B344,'Player Data'!A1:D734,3,FALSE)</f>
        <v>35</v>
      </c>
      <c r="H344" s="43">
        <f>_xlfn.IFERROR(VLOOKUP(B344,'ADP'!A1:G731,7,FALSE)/1000000,VLOOKUP(B344,'ADP'!A1:G731,7,FALSE))</f>
        <v>9.199999999999999</v>
      </c>
      <c r="I344" s="44">
        <f>IF('Settings'!$E$15="POINTS",((R344*Q344)*'Settings'!$B$12)+(S344*'Settings'!$B$2)+(T344*'Settings'!$B$3)+(U344*'Settings'!$B$4)+(V344*'Settings'!$B$5)+(X344*'Settings'!$B$9)+(AA344*'Settings'!$B$6)+(W344*'Settings'!$B$8)+(AB344*'Settings'!$B$7)+(AC344*'Settings'!$B$14)+(AD344*'Settings'!$B$15)+(AE344*'Settings'!$B$16)+(AF344*'Settings'!$B$17)+(AG344*'Settings'!$B$18)+(Y344*'Settings'!$B$10)+(Z344*'Settings'!$B$11),VLOOKUP(B344,'Standard Deviations'!A1:C731,3,FALSE))</f>
        <v>219.319991309329</v>
      </c>
      <c r="J344" s="45">
        <f>IF(D344="G",I344/AJ344,I344/Q344)</f>
        <v>3.28815579174406</v>
      </c>
      <c r="K344" s="44">
        <f>IF('Settings'!$E$18="C/LW/RW",VLOOKUP(B344,'C'!A1:F218,6,FALSE),VLOOKUP(B344,'F'!A1:F432,6,FALSE))</f>
        <v>-176.454210326686</v>
      </c>
      <c r="L344" s="44">
        <f>_xlfn.IFERROR(K344/H344,"N/A")</f>
        <v>-19.179805470292</v>
      </c>
      <c r="M344" s="46">
        <f>IF('Settings'!$E$9="YAHOO",VLOOKUP(B344,'ADP'!A1:E731,2,FALSE),IF('Settings'!$E$9="ESPN",VLOOKUP(B344,'ADP'!A1:E731,3,FALSE),IF('Settings'!$E$9="FANTRAX",VLOOKUP(B344,'ADP'!A1:E731,4,FALSE),VLOOKUP(B344,'ADP'!A1:E731,5,FALSE))))</f>
        <v>330.03</v>
      </c>
      <c r="N344" s="46">
        <f>_xlfn.IFERROR(M344-A344,"N/A")</f>
        <v>-153.97</v>
      </c>
      <c r="O344" s="46"/>
      <c r="P344" t="s" s="47">
        <f>IF('Settings'!$E$27="ON",VLOOKUP(B344,'ADP'!A1:H731,8,FALSE)," ")</f>
        <v>109</v>
      </c>
      <c r="Q344" s="48">
        <f>IF('Settings'!$E$12="YES",VLOOKUP(B344,'Player Data'!A1:E734,5,FALSE),82)</f>
        <v>66.7</v>
      </c>
      <c r="R344" s="46">
        <f>VLOOKUP(B344,'Player Data'!$A1:$AE734,6,FALSE)</f>
        <v>16.9030468764843</v>
      </c>
      <c r="S344" s="48">
        <f>VLOOKUP(B344,'Player Data'!$A1:$AE734,7,FALSE)*$Q344*_xlfn.IFERROR((VLOOKUP(P344,'Settings'!$E$28:$F$33,2,FALSE)+1),1)</f>
        <v>11.5837743875703</v>
      </c>
      <c r="T344" s="48">
        <f>VLOOKUP(B344,'Player Data'!$A1:$AE734,8,FALSE)*$Q344*_xlfn.IFERROR((VLOOKUP(P344,'Settings'!$E$28:$F$33,2,FALSE)+1),1)</f>
        <v>28.9254463758759</v>
      </c>
      <c r="U344" s="48">
        <f>SUM(S344:T344)</f>
        <v>40.5092207634462</v>
      </c>
      <c r="V344" s="48">
        <f>VLOOKUP(B344,'Player Data'!$A1:$AE734,10,FALSE)*$Q344*_xlfn.IFERROR(((VLOOKUP(P344,'Settings'!$E$28:$F$33,2,FALSE)/2)+1),1)</f>
        <v>107.843872513676</v>
      </c>
      <c r="W344" s="48">
        <f>VLOOKUP(B344,'Player Data'!$A1:$AE734,11,FALSE)*$Q344*_xlfn.IFERROR((VLOOKUP(P344,'Settings'!$E$28:$F$33,2,FALSE)+1),1)</f>
        <v>4.36048619643527</v>
      </c>
      <c r="X344" s="48">
        <f>VLOOKUP(B344,'Player Data'!$A1:$AE734,12,FALSE)*$Q344*_xlfn.IFERROR((VLOOKUP(P344,'Settings'!$E$28:$F$33,2,FALSE)+1),1)</f>
        <v>15.8582649737801</v>
      </c>
      <c r="Y344" s="48">
        <f>VLOOKUP(B344,'Player Data'!$A1:$AE734,13,FALSE)*$Q344</f>
        <v>0.0315261252985874</v>
      </c>
      <c r="Z344" s="48">
        <f>VLOOKUP(B344,'Player Data'!$A1:$AE734,14,FALSE)*$Q344</f>
        <v>0.0610976254580903</v>
      </c>
      <c r="AA344" s="48">
        <f>VLOOKUP(B344,'Player Data'!$A1:$AE734,15,FALSE)*$Q344</f>
        <v>32.7251942636411</v>
      </c>
      <c r="AB344" s="48">
        <f>VLOOKUP(B344,'Player Data'!$A1:$AE734,16,FALSE)*$Q344</f>
        <v>40.0397551922393</v>
      </c>
      <c r="AC344" s="48">
        <f>VLOOKUP(B344,'Player Data'!$A1:$AE734,17,FALSE)*$Q344*_xlfn.IFERROR((VLOOKUP(P344,'Settings'!$E$28:$F$33,2,FALSE)+1),1)</f>
        <v>-3.44796690695876</v>
      </c>
      <c r="AD344" s="48">
        <f>VLOOKUP(B344,'Player Data'!$A1:$AE734,18,FALSE)*$Q344</f>
        <v>21.0410259266683</v>
      </c>
      <c r="AE344" s="48">
        <f>VLOOKUP(B344,'Player Data'!$A1:$AE734,19,FALSE)*$Q344*_xlfn.IFERROR((VLOOKUP(P344,'Settings'!$E$28:$F$33,2,FALSE)+1),1)</f>
        <v>1.42487243978792</v>
      </c>
      <c r="AF344" s="48">
        <f>VLOOKUP(B344,'Player Data'!$A1:$AE734,20,FALSE)*$Q344</f>
        <v>418.939336361521</v>
      </c>
      <c r="AG344" s="48">
        <f>VLOOKUP(B344,'Player Data'!$A1:$AE734,21,FALSE)*$Q344</f>
        <v>447.881160792675</v>
      </c>
      <c r="AH344" s="49">
        <f>VLOOKUP(B344,'Player Data'!$A1:$AE734,22,FALSE)</f>
        <v>0.483305756770767</v>
      </c>
      <c r="AI344" s="46"/>
      <c r="AJ344" s="50"/>
      <c r="AK344" s="48"/>
      <c r="AL344" s="48"/>
      <c r="AM344" s="48"/>
      <c r="AN344" s="48"/>
      <c r="AO344" s="48"/>
      <c r="AP344" s="48"/>
      <c r="AQ344" s="51"/>
      <c r="AR344" s="52"/>
      <c r="AS344" s="46"/>
    </row>
    <row r="345" ht="21.25" customHeight="1">
      <c r="A345" s="53">
        <f>RANK(K345,K2:K730)</f>
        <v>356</v>
      </c>
      <c r="B345" t="s" s="8">
        <v>497</v>
      </c>
      <c r="C345" t="s" s="39">
        <v>106</v>
      </c>
      <c r="D345" t="s" s="40">
        <f>VLOOKUP(B345,'Player Data'!A1:D734,4,FALSE)</f>
        <v>129</v>
      </c>
      <c r="E345" s="56">
        <f>VLOOKUP(B345,'D'!A1:C228,3,FALSE)</f>
        <v>113</v>
      </c>
      <c r="F345" t="s" s="42">
        <f>VLOOKUP(B345,'Player Data'!A1:B734,2,FALSE)</f>
        <v>108</v>
      </c>
      <c r="G345" s="9">
        <f>VLOOKUP(B345,'Player Data'!A1:D734,3,FALSE)</f>
        <v>29</v>
      </c>
      <c r="H345" s="43">
        <f>_xlfn.IFERROR(VLOOKUP(B345,'ADP'!A1:G731,7,FALSE)/1000000,VLOOKUP(B345,'ADP'!A1:G731,7,FALSE))</f>
        <v>3.25</v>
      </c>
      <c r="I345" s="44">
        <f>IF('Settings'!$E$15="POINTS",((R345*Q345)*'Settings'!$B$12)+(S345*'Settings'!$B$2)+(T345*'Settings'!$B$3)+(U345*'Settings'!$B$4)+(V345*'Settings'!$B$5)+(X345*'Settings'!$B$9)+(AA345*'Settings'!$B$6)+(W345*'Settings'!$B$8)+(AB345*'Settings'!$B$7)+(AC345*'Settings'!$B$14)+(AD345*'Settings'!$B$15)+(AE345*'Settings'!$B$16)+(AF345*'Settings'!$B$17)+(AG345*'Settings'!$B$18)+(U345*'Settings'!$B$13)+(Y345*'Settings'!$B$10)+(Z345*'Settings'!$B$11),VLOOKUP(B345,'Standard Deviations'!A1:C731,3,FALSE))</f>
        <v>206.694801734410</v>
      </c>
      <c r="J345" s="45">
        <f>IF(D345="G",I345/AJ345,I345/Q345)</f>
        <v>2.56172735860636</v>
      </c>
      <c r="K345" s="44">
        <f>VLOOKUP(B345,'D'!A1:F228,6,FALSE)</f>
        <v>-134.040336912113</v>
      </c>
      <c r="L345" s="44">
        <f>_xlfn.IFERROR(K345/H345,"N/A")</f>
        <v>-41.2431805883425</v>
      </c>
      <c r="M345" t="s" s="61">
        <f>IF('Settings'!$E$9="YAHOO",VLOOKUP(B345,'ADP'!A1:E731,2,FALSE),IF('Settings'!$E$9="ESPN",VLOOKUP(B345,'ADP'!A1:E731,3,FALSE),IF('Settings'!$E$9="FANTRAX",VLOOKUP(B345,'ADP'!A1:E731,4,FALSE),VLOOKUP(B345,'ADP'!A1:E731,5,FALSE))))</f>
        <v>329</v>
      </c>
      <c r="N345" t="s" s="61">
        <f>_xlfn.IFERROR(M345-A345,"N/A")</f>
        <v>158</v>
      </c>
      <c r="O345" s="46"/>
      <c r="P345" t="s" s="47">
        <f>IF('Settings'!$E$27="ON",VLOOKUP(B345,'ADP'!A1:H731,8,FALSE)," ")</f>
        <v>109</v>
      </c>
      <c r="Q345" s="48">
        <f>IF('Settings'!$E$12="YES",VLOOKUP(B345,'Player Data'!A1:E734,5,FALSE),82)</f>
        <v>80.6857142857143</v>
      </c>
      <c r="R345" s="46">
        <f>VLOOKUP(B345,'Player Data'!$A1:$AE734,6,FALSE)</f>
        <v>18.929549623939</v>
      </c>
      <c r="S345" s="48">
        <f>VLOOKUP(B345,'Player Data'!$A1:$AE734,7,FALSE)*$Q345*_xlfn.IFERROR((VLOOKUP(P345,'Settings'!$E$28:$F$33,2,FALSE)+1),1)</f>
        <v>3.36710097624044</v>
      </c>
      <c r="T345" s="48">
        <f>VLOOKUP(B345,'Player Data'!$A1:$AE734,8,FALSE)*$Q345*_xlfn.IFERROR((VLOOKUP(P345,'Settings'!$E$28:$F$33,2,FALSE)+1),1)</f>
        <v>17.2728685733446</v>
      </c>
      <c r="U345" s="48">
        <f>SUM(S345:T345)</f>
        <v>20.639969549585</v>
      </c>
      <c r="V345" s="48">
        <f>VLOOKUP(B345,'Player Data'!$A1:$AE734,10,FALSE)*$Q345*_xlfn.IFERROR(((VLOOKUP(P345,'Settings'!$E$28:$F$33,2,FALSE)/2)+1),1)</f>
        <v>94.5915181488247</v>
      </c>
      <c r="W345" s="48">
        <f>VLOOKUP(B345,'Player Data'!$A1:$AE734,11,FALSE)*$Q345*_xlfn.IFERROR((VLOOKUP(P345,'Settings'!$E$28:$F$33,2,FALSE)+1),1)</f>
        <v>0.0203059893918357</v>
      </c>
      <c r="X345" s="48">
        <f>VLOOKUP(B345,'Player Data'!$A1:$AE734,12,FALSE)*$Q345*_xlfn.IFERROR((VLOOKUP(P345,'Settings'!$E$28:$F$33,2,FALSE)+1),1)</f>
        <v>0.144949281198276</v>
      </c>
      <c r="Y345" s="48">
        <f>VLOOKUP(B345,'Player Data'!$A1:$AE734,13,FALSE)*$Q345</f>
        <v>0.0203981338725038</v>
      </c>
      <c r="Z345" s="48">
        <f>VLOOKUP(B345,'Player Data'!$A1:$AE734,14,FALSE)*$Q345</f>
        <v>0.845294568569117</v>
      </c>
      <c r="AA345" s="48">
        <f>VLOOKUP(B345,'Player Data'!$A1:$AE734,15,FALSE)*$Q345</f>
        <v>116.653584975804</v>
      </c>
      <c r="AB345" s="48">
        <f>VLOOKUP(B345,'Player Data'!$A1:$AE734,16,FALSE)*$Q345</f>
        <v>129.644403687366</v>
      </c>
      <c r="AC345" s="48">
        <f>VLOOKUP(B345,'Player Data'!$A1:$AE734,17,FALSE)*$Q345*_xlfn.IFERROR((VLOOKUP(P345,'Settings'!$E$28:$F$33,2,FALSE)+1),1)</f>
        <v>4.50004609405684</v>
      </c>
      <c r="AD345" s="48">
        <f>VLOOKUP(B345,'Player Data'!$A1:$AE734,18,FALSE)*$Q345</f>
        <v>21.5101543045785</v>
      </c>
      <c r="AE345" s="48">
        <f>VLOOKUP(B345,'Player Data'!$A1:$AE734,19,FALSE)*$Q345*_xlfn.IFERROR((VLOOKUP(P345,'Settings'!$E$28:$F$33,2,FALSE)+1),1)</f>
        <v>0.532975936612378</v>
      </c>
      <c r="AF345" s="48">
        <f>VLOOKUP(B345,'Player Data'!$A1:$AE734,20,FALSE)*$Q345</f>
        <v>0</v>
      </c>
      <c r="AG345" s="48">
        <f>VLOOKUP(B345,'Player Data'!$A1:$AE734,21,FALSE)*$Q345</f>
        <v>0</v>
      </c>
      <c r="AH345" s="49">
        <f>VLOOKUP(B345,'Player Data'!$A1:$AE734,22,FALSE)</f>
        <v>0</v>
      </c>
      <c r="AI345" s="46"/>
      <c r="AJ345" s="48"/>
      <c r="AK345" s="48"/>
      <c r="AL345" s="48"/>
      <c r="AM345" s="48"/>
      <c r="AN345" s="48"/>
      <c r="AO345" s="48"/>
      <c r="AP345" s="48"/>
      <c r="AQ345" s="51"/>
      <c r="AR345" s="52"/>
      <c r="AS345" s="46"/>
    </row>
    <row r="346" ht="21.25" customHeight="1">
      <c r="A346" s="53">
        <f>RANK(K346,K2:K730)</f>
        <v>378</v>
      </c>
      <c r="B346" t="s" s="8">
        <v>498</v>
      </c>
      <c r="C346" t="s" s="39">
        <v>106</v>
      </c>
      <c r="D346" t="s" s="40">
        <f>VLOOKUP(B346,'Player Data'!A1:D734,4,FALSE)</f>
        <v>107</v>
      </c>
      <c r="E346" s="41">
        <f>VLOOKUP(B346,'C'!A1:C218,3,FALSE)</f>
        <v>99</v>
      </c>
      <c r="F346" t="s" s="42">
        <f>VLOOKUP(B346,'Player Data'!A1:B734,2,FALSE)</f>
        <v>225</v>
      </c>
      <c r="G346" s="9">
        <f>VLOOKUP(B346,'Player Data'!A1:D734,3,FALSE)</f>
        <v>29</v>
      </c>
      <c r="H346" s="43">
        <f>_xlfn.IFERROR(VLOOKUP(B346,'ADP'!A1:G731,7,FALSE)/1000000,VLOOKUP(B346,'ADP'!A1:G731,7,FALSE))</f>
        <v>4.25</v>
      </c>
      <c r="I346" s="44">
        <f>IF('Settings'!$E$15="POINTS",((R346*Q346)*'Settings'!$B$12)+(S346*'Settings'!$B$2)+(T346*'Settings'!$B$3)+(U346*'Settings'!$B$4)+(V346*'Settings'!$B$5)+(X346*'Settings'!$B$9)+(AA346*'Settings'!$B$6)+(W346*'Settings'!$B$8)+(AB346*'Settings'!$B$7)+(AC346*'Settings'!$B$14)+(AD346*'Settings'!$B$15)+(AE346*'Settings'!$B$16)+(AF346*'Settings'!$B$17)+(AG346*'Settings'!$B$18)+(Y346*'Settings'!$B$10)+(Z346*'Settings'!$B$11),VLOOKUP(B346,'Standard Deviations'!A1:C731,3,FALSE))</f>
        <v>251.911539844084</v>
      </c>
      <c r="J346" s="45">
        <f>IF(D346="G",I346/AJ346,I346/Q346)</f>
        <v>3.44566776692265</v>
      </c>
      <c r="K346" s="44">
        <f>IF('Settings'!$E$18="C/LW/RW",VLOOKUP(B346,'C'!A1:F218,6,FALSE),VLOOKUP(B346,'F'!A1:F432,6,FALSE))</f>
        <v>-143.862661791931</v>
      </c>
      <c r="L346" s="44">
        <f>_xlfn.IFERROR(K346/H346,"N/A")</f>
        <v>-33.8500380686896</v>
      </c>
      <c r="M346" s="46">
        <f>IF('Settings'!$E$9="YAHOO",VLOOKUP(B346,'ADP'!A1:E731,2,FALSE),IF('Settings'!$E$9="ESPN",VLOOKUP(B346,'ADP'!A1:E731,3,FALSE),IF('Settings'!$E$9="FANTRAX",VLOOKUP(B346,'ADP'!A1:E731,4,FALSE),VLOOKUP(B346,'ADP'!A1:E731,5,FALSE))))</f>
        <v>291.1</v>
      </c>
      <c r="N346" s="46">
        <f>_xlfn.IFERROR(M346-A346,"N/A")</f>
        <v>-86.90000000000001</v>
      </c>
      <c r="O346" s="46"/>
      <c r="P346" t="s" s="47">
        <f>IF('Settings'!$E$27="ON",VLOOKUP(B346,'ADP'!A1:H731,8,FALSE)," ")</f>
        <v>109</v>
      </c>
      <c r="Q346" s="48">
        <f>IF('Settings'!$E$12="YES",VLOOKUP(B346,'Player Data'!A1:E734,5,FALSE),82)</f>
        <v>73.1096428571429</v>
      </c>
      <c r="R346" s="46">
        <f>VLOOKUP(B346,'Player Data'!$A1:$AE734,6,FALSE)</f>
        <v>16.100251273948</v>
      </c>
      <c r="S346" s="48">
        <f>VLOOKUP(B346,'Player Data'!$A1:$AE734,7,FALSE)*$Q346*_xlfn.IFERROR((VLOOKUP(P346,'Settings'!$E$28:$F$33,2,FALSE)+1),1)</f>
        <v>18.9068206497359</v>
      </c>
      <c r="T346" s="48">
        <f>VLOOKUP(B346,'Player Data'!$A1:$AE734,8,FALSE)*$Q346*_xlfn.IFERROR((VLOOKUP(P346,'Settings'!$E$28:$F$33,2,FALSE)+1),1)</f>
        <v>19.3773078031456</v>
      </c>
      <c r="U346" s="48">
        <f>SUM(S346:T346)</f>
        <v>38.2841284528815</v>
      </c>
      <c r="V346" s="48">
        <f>VLOOKUP(B346,'Player Data'!$A1:$AE734,10,FALSE)*$Q346*_xlfn.IFERROR(((VLOOKUP(P346,'Settings'!$E$28:$F$33,2,FALSE)/2)+1),1)</f>
        <v>158.304644102916</v>
      </c>
      <c r="W346" s="48">
        <f>VLOOKUP(B346,'Player Data'!$A1:$AE734,11,FALSE)*$Q346*_xlfn.IFERROR((VLOOKUP(P346,'Settings'!$E$28:$F$33,2,FALSE)+1),1)</f>
        <v>2.12090145364434</v>
      </c>
      <c r="X346" s="48">
        <f>VLOOKUP(B346,'Player Data'!$A1:$AE734,12,FALSE)*$Q346*_xlfn.IFERROR((VLOOKUP(P346,'Settings'!$E$28:$F$33,2,FALSE)+1),1)</f>
        <v>5.53057735378483</v>
      </c>
      <c r="Y346" s="48">
        <f>VLOOKUP(B346,'Player Data'!$A1:$AE734,13,FALSE)*$Q346</f>
        <v>0.0988985226034146</v>
      </c>
      <c r="Z346" s="48">
        <f>VLOOKUP(B346,'Player Data'!$A1:$AE734,14,FALSE)*$Q346</f>
        <v>0.181114267554026</v>
      </c>
      <c r="AA346" s="48">
        <f>VLOOKUP(B346,'Player Data'!$A1:$AE734,15,FALSE)*$Q346</f>
        <v>37.5641377140907</v>
      </c>
      <c r="AB346" s="48">
        <f>VLOOKUP(B346,'Player Data'!$A1:$AE734,16,FALSE)*$Q346</f>
        <v>41.6092162688955</v>
      </c>
      <c r="AC346" s="48">
        <f>VLOOKUP(B346,'Player Data'!$A1:$AE734,17,FALSE)*$Q346*_xlfn.IFERROR((VLOOKUP(P346,'Settings'!$E$28:$F$33,2,FALSE)+1),1)</f>
        <v>-6.57739621787928</v>
      </c>
      <c r="AD346" s="48">
        <f>VLOOKUP(B346,'Player Data'!$A1:$AE734,18,FALSE)*$Q346</f>
        <v>25.9577569229525</v>
      </c>
      <c r="AE346" s="48">
        <f>VLOOKUP(B346,'Player Data'!$A1:$AE734,19,FALSE)*$Q346*_xlfn.IFERROR((VLOOKUP(P346,'Settings'!$E$28:$F$33,2,FALSE)+1),1)</f>
        <v>2.21553058621396</v>
      </c>
      <c r="AF346" s="48">
        <f>VLOOKUP(B346,'Player Data'!$A1:$AE734,20,FALSE)*$Q346</f>
        <v>83.2479199580779</v>
      </c>
      <c r="AG346" s="48">
        <f>VLOOKUP(B346,'Player Data'!$A1:$AE734,21,FALSE)*$Q346</f>
        <v>54.5316097722427</v>
      </c>
      <c r="AH346" s="49">
        <f>VLOOKUP(B346,'Player Data'!$A1:$AE734,22,FALSE)</f>
        <v>0.604211090871199</v>
      </c>
      <c r="AI346" s="46"/>
      <c r="AJ346" s="48"/>
      <c r="AK346" s="48"/>
      <c r="AL346" s="48"/>
      <c r="AM346" s="48"/>
      <c r="AN346" s="48"/>
      <c r="AO346" s="48"/>
      <c r="AP346" s="48"/>
      <c r="AQ346" s="51"/>
      <c r="AR346" s="52"/>
      <c r="AS346" s="46"/>
    </row>
    <row r="347" ht="21.25" customHeight="1">
      <c r="A347" s="53">
        <f>RANK(K347,K2:K730)</f>
        <v>417</v>
      </c>
      <c r="B347" t="s" s="8">
        <v>499</v>
      </c>
      <c r="C347" t="s" s="39">
        <v>106</v>
      </c>
      <c r="D347" t="s" s="40">
        <f>VLOOKUP(B347,'Player Data'!A1:D734,4,FALSE)</f>
        <v>107</v>
      </c>
      <c r="E347" s="41">
        <f>VLOOKUP(B347,'C'!A1:C218,3,FALSE)</f>
        <v>105</v>
      </c>
      <c r="F347" t="s" s="42">
        <f>VLOOKUP(B347,'Player Data'!A1:B734,2,FALSE)</f>
        <v>164</v>
      </c>
      <c r="G347" s="9">
        <f>VLOOKUP(B347,'Player Data'!A1:D734,3,FALSE)</f>
        <v>21</v>
      </c>
      <c r="H347" s="43">
        <f>_xlfn.IFERROR(VLOOKUP(B347,'ADP'!A1:G731,7,FALSE)/1000000,VLOOKUP(B347,'ADP'!A1:G731,7,FALSE))</f>
        <v>0.849167</v>
      </c>
      <c r="I347" s="44">
        <f>IF('Settings'!$E$15="POINTS",((R347*Q347)*'Settings'!$B$12)+(S347*'Settings'!$B$2)+(T347*'Settings'!$B$3)+(U347*'Settings'!$B$4)+(V347*'Settings'!$B$5)+(X347*'Settings'!$B$9)+(AA347*'Settings'!$B$6)+(W347*'Settings'!$B$8)+(AB347*'Settings'!$B$7)+(AC347*'Settings'!$B$14)+(AD347*'Settings'!$B$15)+(AE347*'Settings'!$B$16)+(AF347*'Settings'!$B$17)+(AG347*'Settings'!$B$18)+(Y347*'Settings'!$B$10)+(Z347*'Settings'!$B$11),VLOOKUP(B347,'Standard Deviations'!A1:C731,3,FALSE))</f>
        <v>239.943592149655</v>
      </c>
      <c r="J347" s="45">
        <f>IF(D347="G",I347/AJ347,I347/Q347)</f>
        <v>3.51823448899787</v>
      </c>
      <c r="K347" s="44">
        <f>IF('Settings'!$E$18="C/LW/RW",VLOOKUP(B347,'C'!A1:F218,6,FALSE),VLOOKUP(B347,'F'!A1:F432,6,FALSE))</f>
        <v>-155.830609486360</v>
      </c>
      <c r="L347" s="44">
        <f>_xlfn.IFERROR(K347/H347,"N/A")</f>
        <v>-183.509968576688</v>
      </c>
      <c r="M347" s="46">
        <f>IF('Settings'!$E$9="YAHOO",VLOOKUP(B347,'ADP'!A1:E731,2,FALSE),IF('Settings'!$E$9="ESPN",VLOOKUP(B347,'ADP'!A1:E731,3,FALSE),IF('Settings'!$E$9="FANTRAX",VLOOKUP(B347,'ADP'!A1:E731,4,FALSE),VLOOKUP(B347,'ADP'!A1:E731,5,FALSE))))</f>
        <v>239.55</v>
      </c>
      <c r="N347" s="46">
        <f>_xlfn.IFERROR(M347-A347,"N/A")</f>
        <v>-177.45</v>
      </c>
      <c r="O347" s="46"/>
      <c r="P347" t="s" s="47">
        <f>IF('Settings'!$E$27="ON",VLOOKUP(B347,'ADP'!A1:H731,8,FALSE)," ")</f>
        <v>109</v>
      </c>
      <c r="Q347" s="48">
        <f>IF('Settings'!$E$12="YES",VLOOKUP(B347,'Player Data'!A1:E734,5,FALSE),82)</f>
        <v>68.2</v>
      </c>
      <c r="R347" s="46">
        <f>VLOOKUP(B347,'Player Data'!$A1:$AE734,6,FALSE)</f>
        <v>15.6599429646475</v>
      </c>
      <c r="S347" s="48">
        <f>VLOOKUP(B347,'Player Data'!$A1:$AE734,7,FALSE)*$Q347*_xlfn.IFERROR((VLOOKUP(P347,'Settings'!$E$28:$F$33,2,FALSE)+1),1)</f>
        <v>13.827706367848</v>
      </c>
      <c r="T347" s="48">
        <f>VLOOKUP(B347,'Player Data'!$A1:$AE734,8,FALSE)*$Q347*_xlfn.IFERROR((VLOOKUP(P347,'Settings'!$E$28:$F$33,2,FALSE)+1),1)</f>
        <v>29.1250516127627</v>
      </c>
      <c r="U347" s="48">
        <f>SUM(S347:T347)</f>
        <v>42.9527579806107</v>
      </c>
      <c r="V347" s="48">
        <f>VLOOKUP(B347,'Player Data'!$A1:$AE734,10,FALSE)*$Q347*_xlfn.IFERROR(((VLOOKUP(P347,'Settings'!$E$28:$F$33,2,FALSE)/2)+1),1)</f>
        <v>126.126742248418</v>
      </c>
      <c r="W347" s="48">
        <f>VLOOKUP(B347,'Player Data'!$A1:$AE734,11,FALSE)*$Q347*_xlfn.IFERROR((VLOOKUP(P347,'Settings'!$E$28:$F$33,2,FALSE)+1),1)</f>
        <v>2.29189400679856</v>
      </c>
      <c r="X347" s="48">
        <f>VLOOKUP(B347,'Player Data'!$A1:$AE734,12,FALSE)*$Q347*_xlfn.IFERROR((VLOOKUP(P347,'Settings'!$E$28:$F$33,2,FALSE)+1),1)</f>
        <v>7.49058959786483</v>
      </c>
      <c r="Y347" s="48">
        <f>VLOOKUP(B347,'Player Data'!$A1:$AE734,13,FALSE)*$Q347</f>
        <v>0.00106452476986404</v>
      </c>
      <c r="Z347" s="48">
        <f>VLOOKUP(B347,'Player Data'!$A1:$AE734,14,FALSE)*$Q347</f>
        <v>0.00189259936598581</v>
      </c>
      <c r="AA347" s="48">
        <f>VLOOKUP(B347,'Player Data'!$A1:$AE734,15,FALSE)*$Q347</f>
        <v>27.7459438094808</v>
      </c>
      <c r="AB347" s="48">
        <f>VLOOKUP(B347,'Player Data'!$A1:$AE734,16,FALSE)*$Q347</f>
        <v>53.6145217134801</v>
      </c>
      <c r="AC347" s="48">
        <f>VLOOKUP(B347,'Player Data'!$A1:$AE734,17,FALSE)*$Q347*_xlfn.IFERROR((VLOOKUP(P347,'Settings'!$E$28:$F$33,2,FALSE)+1),1)</f>
        <v>2.50025358135894</v>
      </c>
      <c r="AD347" s="48">
        <f>VLOOKUP(B347,'Player Data'!$A1:$AE734,18,FALSE)*$Q347</f>
        <v>21.3419750409656</v>
      </c>
      <c r="AE347" s="48">
        <f>VLOOKUP(B347,'Player Data'!$A1:$AE734,19,FALSE)*$Q347*_xlfn.IFERROR((VLOOKUP(P347,'Settings'!$E$28:$F$33,2,FALSE)+1),1)</f>
        <v>2.1571684772344</v>
      </c>
      <c r="AF347" s="48">
        <f>VLOOKUP(B347,'Player Data'!$A1:$AE734,20,FALSE)*$Q347</f>
        <v>3.24876318456276</v>
      </c>
      <c r="AG347" s="48">
        <f>VLOOKUP(B347,'Player Data'!$A1:$AE734,21,FALSE)*$Q347</f>
        <v>11.9593368002927</v>
      </c>
      <c r="AH347" s="49">
        <f>VLOOKUP(B347,'Player Data'!$A1:$AE734,22,FALSE)</f>
        <v>0.213620582965521</v>
      </c>
      <c r="AI347" s="46"/>
      <c r="AJ347" s="50"/>
      <c r="AK347" s="48"/>
      <c r="AL347" s="48"/>
      <c r="AM347" s="48"/>
      <c r="AN347" s="48"/>
      <c r="AO347" s="48"/>
      <c r="AP347" s="48"/>
      <c r="AQ347" s="51"/>
      <c r="AR347" s="52"/>
      <c r="AS347" s="46"/>
    </row>
    <row r="348" ht="21.25" customHeight="1">
      <c r="A348" s="53">
        <f>RANK(K348,K2:K730)</f>
        <v>334</v>
      </c>
      <c r="B348" t="s" s="8">
        <v>500</v>
      </c>
      <c r="C348" t="s" s="39">
        <v>106</v>
      </c>
      <c r="D348" t="s" s="40">
        <f>VLOOKUP(B348,'Player Data'!A1:D734,4,FALSE)</f>
        <v>129</v>
      </c>
      <c r="E348" s="56">
        <f>VLOOKUP(B348,'D'!A1:C228,3,FALSE)</f>
        <v>108</v>
      </c>
      <c r="F348" t="s" s="42">
        <f>VLOOKUP(B348,'Player Data'!A1:B734,2,FALSE)</f>
        <v>204</v>
      </c>
      <c r="G348" s="9">
        <f>VLOOKUP(B348,'Player Data'!A1:D734,3,FALSE)</f>
        <v>24</v>
      </c>
      <c r="H348" s="43">
        <f>_xlfn.IFERROR(VLOOKUP(B348,'ADP'!A1:G731,7,FALSE)/1000000,VLOOKUP(B348,'ADP'!A1:G731,7,FALSE))</f>
        <v>4.125</v>
      </c>
      <c r="I348" s="44">
        <f>IF('Settings'!$E$15="POINTS",((R348*Q348)*'Settings'!$B$12)+(S348*'Settings'!$B$2)+(T348*'Settings'!$B$3)+(U348*'Settings'!$B$4)+(V348*'Settings'!$B$5)+(X348*'Settings'!$B$9)+(AA348*'Settings'!$B$6)+(W348*'Settings'!$B$8)+(AB348*'Settings'!$B$7)+(AC348*'Settings'!$B$14)+(AD348*'Settings'!$B$15)+(AE348*'Settings'!$B$16)+(AF348*'Settings'!$B$17)+(AG348*'Settings'!$B$18)+(U348*'Settings'!$B$13)+(Y348*'Settings'!$B$10)+(Z348*'Settings'!$B$11),VLOOKUP(B348,'Standard Deviations'!A1:C731,3,FALSE))</f>
        <v>214.204570692414</v>
      </c>
      <c r="J348" s="45">
        <f>IF(D348="G",I348/AJ348,I348/Q348)</f>
        <v>2.76706680355961</v>
      </c>
      <c r="K348" s="44">
        <f>VLOOKUP(B348,'D'!A1:F228,6,FALSE)</f>
        <v>-126.530567954109</v>
      </c>
      <c r="L348" s="44">
        <f>_xlfn.IFERROR(K348/H348,"N/A")</f>
        <v>-30.674077079784</v>
      </c>
      <c r="M348" t="s" s="61">
        <f>IF('Settings'!$E$9="YAHOO",VLOOKUP(B348,'ADP'!A1:E731,2,FALSE),IF('Settings'!$E$9="ESPN",VLOOKUP(B348,'ADP'!A1:E731,3,FALSE),IF('Settings'!$E$9="FANTRAX",VLOOKUP(B348,'ADP'!A1:E731,4,FALSE),VLOOKUP(B348,'ADP'!A1:E731,5,FALSE))))</f>
        <v>329</v>
      </c>
      <c r="N348" t="s" s="61">
        <f>_xlfn.IFERROR(M348-A348,"N/A")</f>
        <v>158</v>
      </c>
      <c r="O348" s="46"/>
      <c r="P348" t="s" s="47">
        <f>IF('Settings'!$E$27="ON",VLOOKUP(B348,'ADP'!A1:H731,8,FALSE)," ")</f>
        <v>109</v>
      </c>
      <c r="Q348" s="48">
        <f>IF('Settings'!$E$12="YES",VLOOKUP(B348,'Player Data'!A1:E734,5,FALSE),82)</f>
        <v>77.4121428571429</v>
      </c>
      <c r="R348" s="46">
        <f>VLOOKUP(B348,'Player Data'!$A1:$AE734,6,FALSE)</f>
        <v>21.5779769816702</v>
      </c>
      <c r="S348" s="48">
        <f>VLOOKUP(B348,'Player Data'!$A1:$AE734,7,FALSE)*$Q348*_xlfn.IFERROR((VLOOKUP(P348,'Settings'!$E$28:$F$33,2,FALSE)+1),1)</f>
        <v>4.21398283674384</v>
      </c>
      <c r="T348" s="48">
        <f>VLOOKUP(B348,'Player Data'!$A1:$AE734,8,FALSE)*$Q348*_xlfn.IFERROR((VLOOKUP(P348,'Settings'!$E$28:$F$33,2,FALSE)+1),1)</f>
        <v>15.8844110046727</v>
      </c>
      <c r="U348" s="48">
        <f>SUM(S348:T348)</f>
        <v>20.0983938414165</v>
      </c>
      <c r="V348" s="48">
        <f>VLOOKUP(B348,'Player Data'!$A1:$AE734,10,FALSE)*$Q348*_xlfn.IFERROR(((VLOOKUP(P348,'Settings'!$E$28:$F$33,2,FALSE)/2)+1),1)</f>
        <v>92.3881798442379</v>
      </c>
      <c r="W348" s="48">
        <f>VLOOKUP(B348,'Player Data'!$A1:$AE734,11,FALSE)*$Q348*_xlfn.IFERROR((VLOOKUP(P348,'Settings'!$E$28:$F$33,2,FALSE)+1),1)</f>
        <v>0.09212477845816069</v>
      </c>
      <c r="X348" s="48">
        <f>VLOOKUP(B348,'Player Data'!$A1:$AE734,12,FALSE)*$Q348*_xlfn.IFERROR((VLOOKUP(P348,'Settings'!$E$28:$F$33,2,FALSE)+1),1)</f>
        <v>0.216584521629746</v>
      </c>
      <c r="Y348" s="48">
        <f>VLOOKUP(B348,'Player Data'!$A1:$AE734,13,FALSE)*$Q348</f>
        <v>0.0277172934637155</v>
      </c>
      <c r="Z348" s="48">
        <f>VLOOKUP(B348,'Player Data'!$A1:$AE734,14,FALSE)*$Q348</f>
        <v>1.08279602377683</v>
      </c>
      <c r="AA348" s="48">
        <f>VLOOKUP(B348,'Player Data'!$A1:$AE734,15,FALSE)*$Q348</f>
        <v>123.642593053420</v>
      </c>
      <c r="AB348" s="48">
        <f>VLOOKUP(B348,'Player Data'!$A1:$AE734,16,FALSE)*$Q348</f>
        <v>149.629745666664</v>
      </c>
      <c r="AC348" s="48">
        <f>VLOOKUP(B348,'Player Data'!$A1:$AE734,17,FALSE)*$Q348*_xlfn.IFERROR((VLOOKUP(P348,'Settings'!$E$28:$F$33,2,FALSE)+1),1)</f>
        <v>0.494289987496165</v>
      </c>
      <c r="AD348" s="48">
        <f>VLOOKUP(B348,'Player Data'!$A1:$AE734,18,FALSE)*$Q348</f>
        <v>30.2416393116982</v>
      </c>
      <c r="AE348" s="48">
        <f>VLOOKUP(B348,'Player Data'!$A1:$AE734,19,FALSE)*$Q348*_xlfn.IFERROR((VLOOKUP(P348,'Settings'!$E$28:$F$33,2,FALSE)+1),1)</f>
        <v>0.623926747545192</v>
      </c>
      <c r="AF348" s="48">
        <f>VLOOKUP(B348,'Player Data'!$A1:$AE734,20,FALSE)*$Q348</f>
        <v>0</v>
      </c>
      <c r="AG348" s="48">
        <f>VLOOKUP(B348,'Player Data'!$A1:$AE734,21,FALSE)*$Q348</f>
        <v>0</v>
      </c>
      <c r="AH348" s="49">
        <f>VLOOKUP(B348,'Player Data'!$A1:$AE734,22,FALSE)</f>
        <v>0</v>
      </c>
      <c r="AI348" s="46"/>
      <c r="AJ348" s="50"/>
      <c r="AK348" s="48"/>
      <c r="AL348" s="48"/>
      <c r="AM348" s="48"/>
      <c r="AN348" s="48"/>
      <c r="AO348" s="48"/>
      <c r="AP348" s="48"/>
      <c r="AQ348" s="51"/>
      <c r="AR348" s="52"/>
      <c r="AS348" s="46"/>
    </row>
    <row r="349" ht="21.25" customHeight="1">
      <c r="A349" s="53">
        <f>RANK(K349,K2:K730)</f>
        <v>373</v>
      </c>
      <c r="B349" t="s" s="8">
        <v>501</v>
      </c>
      <c r="C349" t="s" s="39">
        <v>106</v>
      </c>
      <c r="D349" t="s" s="40">
        <f>VLOOKUP(B349,'Player Data'!A1:D734,4,FALSE)</f>
        <v>118</v>
      </c>
      <c r="E349" s="54">
        <f>VLOOKUP(B349,'LW'!A1:C156,3,FALSE)</f>
        <v>88</v>
      </c>
      <c r="F349" t="s" s="42">
        <f>VLOOKUP(B349,'Player Data'!A1:B734,2,FALSE)</f>
        <v>292</v>
      </c>
      <c r="G349" s="9">
        <f>VLOOKUP(B349,'Player Data'!A1:D734,3,FALSE)</f>
        <v>32</v>
      </c>
      <c r="H349" s="43">
        <f>_xlfn.IFERROR(VLOOKUP(B349,'ADP'!A1:G731,7,FALSE)/1000000,VLOOKUP(B349,'ADP'!A1:G731,7,FALSE))</f>
        <v>4.277</v>
      </c>
      <c r="I349" s="44">
        <f>IF('Settings'!$E$15="POINTS",((R349*Q349)*'Settings'!$B$12)+(S349*'Settings'!$B$2)+(T349*'Settings'!$B$3)+(U349*'Settings'!$B$4)+(V349*'Settings'!$B$5)+(X349*'Settings'!$B$9)+(AA349*'Settings'!$B$6)+(W349*'Settings'!$B$8)+(AB349*'Settings'!$B$7)+(AC349*'Settings'!$B$14)+(AD349*'Settings'!$B$15)+(AE349*'Settings'!$B$16)+(AF349*'Settings'!$B$17)+(AG349*'Settings'!$B$18)+(Y349*'Settings'!$B$10)+(Z349*'Settings'!$B$11),VLOOKUP(B349,'Standard Deviations'!A1:C731,3,FALSE))</f>
        <v>239.718642623044</v>
      </c>
      <c r="J349" s="45">
        <f>IF(D349="G",I349/AJ349,I349/Q349)</f>
        <v>2.98430599849064</v>
      </c>
      <c r="K349" s="44">
        <f>IF('Settings'!$E$18="C/LW/RW",VLOOKUP(B349,'RW'!A1:F132,6,FALSE),VLOOKUP(B349,'F'!A1:F432,6,FALSE))</f>
        <v>-141.909921083312</v>
      </c>
      <c r="L349" s="44">
        <f>_xlfn.IFERROR(K349/H349,"N/A")</f>
        <v>-33.179780473068</v>
      </c>
      <c r="M349" t="s" s="61">
        <f>IF('Settings'!$E$9="YAHOO",VLOOKUP(B349,'ADP'!A1:E731,2,FALSE),IF('Settings'!$E$9="ESPN",VLOOKUP(B349,'ADP'!A1:E731,3,FALSE),IF('Settings'!$E$9="FANTRAX",VLOOKUP(B349,'ADP'!A1:E731,4,FALSE),VLOOKUP(B349,'ADP'!A1:E731,5,FALSE))))</f>
        <v>329</v>
      </c>
      <c r="N349" t="s" s="61">
        <f>_xlfn.IFERROR(M349-A349,"N/A")</f>
        <v>158</v>
      </c>
      <c r="O349" s="46"/>
      <c r="P349" t="s" s="47">
        <f>IF('Settings'!$E$27="ON",VLOOKUP(B349,'ADP'!A1:H731,8,FALSE)," ")</f>
        <v>109</v>
      </c>
      <c r="Q349" s="48">
        <f>IF('Settings'!$E$12="YES",VLOOKUP(B349,'Player Data'!A1:E734,5,FALSE),82)</f>
        <v>80.32642857142859</v>
      </c>
      <c r="R349" s="46">
        <f>VLOOKUP(B349,'Player Data'!$A1:$AE734,6,FALSE)</f>
        <v>14.4734531789996</v>
      </c>
      <c r="S349" s="48">
        <f>VLOOKUP(B349,'Player Data'!$A1:$AE734,7,FALSE)*$Q349*_xlfn.IFERROR((VLOOKUP(P349,'Settings'!$E$28:$F$33,2,FALSE)+1),1)</f>
        <v>15.9577025617017</v>
      </c>
      <c r="T349" s="48">
        <f>VLOOKUP(B349,'Player Data'!$A1:$AE734,8,FALSE)*$Q349*_xlfn.IFERROR((VLOOKUP(P349,'Settings'!$E$28:$F$33,2,FALSE)+1),1)</f>
        <v>21.8814468047864</v>
      </c>
      <c r="U349" s="48">
        <f>SUM(S349:T349)</f>
        <v>37.8391493664881</v>
      </c>
      <c r="V349" s="48">
        <f>VLOOKUP(B349,'Player Data'!$A1:$AE734,10,FALSE)*$Q349*_xlfn.IFERROR(((VLOOKUP(P349,'Settings'!$E$28:$F$33,2,FALSE)/2)+1),1)</f>
        <v>140.699142246921</v>
      </c>
      <c r="W349" s="48">
        <f>VLOOKUP(B349,'Player Data'!$A1:$AE734,11,FALSE)*$Q349*_xlfn.IFERROR((VLOOKUP(P349,'Settings'!$E$28:$F$33,2,FALSE)+1),1)</f>
        <v>1.5427740547307</v>
      </c>
      <c r="X349" s="48">
        <f>VLOOKUP(B349,'Player Data'!$A1:$AE734,12,FALSE)*$Q349*_xlfn.IFERROR((VLOOKUP(P349,'Settings'!$E$28:$F$33,2,FALSE)+1),1)</f>
        <v>4.86669259450247</v>
      </c>
      <c r="Y349" s="48">
        <f>VLOOKUP(B349,'Player Data'!$A1:$AE734,13,FALSE)*$Q349</f>
        <v>0</v>
      </c>
      <c r="Z349" s="48">
        <f>VLOOKUP(B349,'Player Data'!$A1:$AE734,14,FALSE)*$Q349</f>
        <v>0</v>
      </c>
      <c r="AA349" s="48">
        <f>VLOOKUP(B349,'Player Data'!$A1:$AE734,15,FALSE)*$Q349</f>
        <v>29.0030015427845</v>
      </c>
      <c r="AB349" s="48">
        <f>VLOOKUP(B349,'Player Data'!$A1:$AE734,16,FALSE)*$Q349</f>
        <v>69.6542751446966</v>
      </c>
      <c r="AC349" s="48">
        <f>VLOOKUP(B349,'Player Data'!$A1:$AE734,17,FALSE)*$Q349*_xlfn.IFERROR((VLOOKUP(P349,'Settings'!$E$28:$F$33,2,FALSE)+1),1)</f>
        <v>1.89352216609413</v>
      </c>
      <c r="AD349" s="48">
        <f>VLOOKUP(B349,'Player Data'!$A1:$AE734,18,FALSE)*$Q349</f>
        <v>24.6514917710131</v>
      </c>
      <c r="AE349" s="48">
        <f>VLOOKUP(B349,'Player Data'!$A1:$AE734,19,FALSE)*$Q349*_xlfn.IFERROR((VLOOKUP(P349,'Settings'!$E$28:$F$33,2,FALSE)+1),1)</f>
        <v>0</v>
      </c>
      <c r="AF349" s="48">
        <f>VLOOKUP(B349,'Player Data'!$A1:$AE734,20,FALSE)*$Q349</f>
        <v>16.7553514029244</v>
      </c>
      <c r="AG349" s="48">
        <f>VLOOKUP(B349,'Player Data'!$A1:$AE734,21,FALSE)*$Q349</f>
        <v>25.3297121192148</v>
      </c>
      <c r="AH349" s="49">
        <f>VLOOKUP(B349,'Player Data'!$A1:$AE734,22,FALSE)</f>
        <v>0.398130595528508</v>
      </c>
      <c r="AI349" s="46"/>
      <c r="AJ349" s="48"/>
      <c r="AK349" s="48"/>
      <c r="AL349" s="48"/>
      <c r="AM349" s="48"/>
      <c r="AN349" s="48"/>
      <c r="AO349" s="48"/>
      <c r="AP349" s="48"/>
      <c r="AQ349" s="51"/>
      <c r="AR349" s="52"/>
      <c r="AS349" s="46"/>
    </row>
    <row r="350" ht="21.25" customHeight="1">
      <c r="A350" s="53">
        <f>RANK(K350,K2:K730)</f>
        <v>423</v>
      </c>
      <c r="B350" t="s" s="8">
        <v>502</v>
      </c>
      <c r="C350" t="s" s="39">
        <v>106</v>
      </c>
      <c r="D350" t="s" s="40">
        <f>VLOOKUP(B350,'Player Data'!A1:D734,4,FALSE)</f>
        <v>129</v>
      </c>
      <c r="E350" s="56">
        <f>VLOOKUP(B350,'D'!A1:C228,3,FALSE)</f>
        <v>143</v>
      </c>
      <c r="F350" t="s" s="42">
        <f>VLOOKUP(B350,'Player Data'!A1:B734,2,FALSE)</f>
        <v>189</v>
      </c>
      <c r="G350" s="9">
        <f>VLOOKUP(B350,'Player Data'!A1:D734,3,FALSE)</f>
        <v>25</v>
      </c>
      <c r="H350" s="43">
        <f>_xlfn.IFERROR(VLOOKUP(B350,'ADP'!A1:G731,7,FALSE)/1000000,VLOOKUP(B350,'ADP'!A1:G731,7,FALSE))</f>
        <v>2.333</v>
      </c>
      <c r="I350" s="44">
        <f>IF('Settings'!$E$15="POINTS",((R350*Q350)*'Settings'!$B$12)+(S350*'Settings'!$B$2)+(T350*'Settings'!$B$3)+(U350*'Settings'!$B$4)+(V350*'Settings'!$B$5)+(X350*'Settings'!$B$9)+(AA350*'Settings'!$B$6)+(W350*'Settings'!$B$8)+(AB350*'Settings'!$B$7)+(AC350*'Settings'!$B$14)+(AD350*'Settings'!$B$15)+(AE350*'Settings'!$B$16)+(AF350*'Settings'!$B$17)+(AG350*'Settings'!$B$18)+(U350*'Settings'!$B$13)+(Y350*'Settings'!$B$10)+(Z350*'Settings'!$B$11),VLOOKUP(B350,'Standard Deviations'!A1:C731,3,FALSE))</f>
        <v>181.955692044127</v>
      </c>
      <c r="J350" s="45">
        <f>IF(D350="G",I350/AJ350,I350/Q350)</f>
        <v>2.44893259817129</v>
      </c>
      <c r="K350" s="44">
        <f>VLOOKUP(B350,'D'!A1:F228,6,FALSE)</f>
        <v>-158.779446602396</v>
      </c>
      <c r="L350" s="44">
        <f>_xlfn.IFERROR(K350/H350,"N/A")</f>
        <v>-68.058056837718</v>
      </c>
      <c r="M350" t="s" s="61">
        <f>IF('Settings'!$E$9="YAHOO",VLOOKUP(B350,'ADP'!A1:E731,2,FALSE),IF('Settings'!$E$9="ESPN",VLOOKUP(B350,'ADP'!A1:E731,3,FALSE),IF('Settings'!$E$9="FANTRAX",VLOOKUP(B350,'ADP'!A1:E731,4,FALSE),VLOOKUP(B350,'ADP'!A1:E731,5,FALSE))))</f>
        <v>329</v>
      </c>
      <c r="N350" t="s" s="61">
        <f>_xlfn.IFERROR(M350-A350,"N/A")</f>
        <v>158</v>
      </c>
      <c r="O350" s="46"/>
      <c r="P350" t="s" s="47">
        <f>IF('Settings'!$E$27="ON",VLOOKUP(B350,'ADP'!A1:H731,8,FALSE)," ")</f>
        <v>109</v>
      </c>
      <c r="Q350" s="48">
        <f>IF('Settings'!$E$12="YES",VLOOKUP(B350,'Player Data'!A1:E734,5,FALSE),82)</f>
        <v>74.3</v>
      </c>
      <c r="R350" s="46">
        <f>VLOOKUP(B350,'Player Data'!$A1:$AE734,6,FALSE)</f>
        <v>17.7037000463034</v>
      </c>
      <c r="S350" s="48">
        <f>VLOOKUP(B350,'Player Data'!$A1:$AE734,7,FALSE)*$Q350*_xlfn.IFERROR((VLOOKUP(P350,'Settings'!$E$28:$F$33,2,FALSE)+1),1)</f>
        <v>4.80761619135067</v>
      </c>
      <c r="T350" s="48">
        <f>VLOOKUP(B350,'Player Data'!$A1:$AE734,8,FALSE)*$Q350*_xlfn.IFERROR((VLOOKUP(P350,'Settings'!$E$28:$F$33,2,FALSE)+1),1)</f>
        <v>17.1040431413095</v>
      </c>
      <c r="U350" s="48">
        <f>SUM(S350:T350)</f>
        <v>21.9116593326602</v>
      </c>
      <c r="V350" s="48">
        <f>VLOOKUP(B350,'Player Data'!$A1:$AE734,10,FALSE)*$Q350*_xlfn.IFERROR(((VLOOKUP(P350,'Settings'!$E$28:$F$33,2,FALSE)/2)+1),1)</f>
        <v>90.1593447382558</v>
      </c>
      <c r="W350" s="48">
        <f>VLOOKUP(B350,'Player Data'!$A1:$AE734,11,FALSE)*$Q350*_xlfn.IFERROR((VLOOKUP(P350,'Settings'!$E$28:$F$33,2,FALSE)+1),1)</f>
        <v>0.254721710538433</v>
      </c>
      <c r="X350" s="48">
        <f>VLOOKUP(B350,'Player Data'!$A1:$AE734,12,FALSE)*$Q350*_xlfn.IFERROR((VLOOKUP(P350,'Settings'!$E$28:$F$33,2,FALSE)+1),1)</f>
        <v>1.32680389084106</v>
      </c>
      <c r="Y350" s="48">
        <f>VLOOKUP(B350,'Player Data'!$A1:$AE734,13,FALSE)*$Q350</f>
        <v>0.0294144014861507</v>
      </c>
      <c r="Z350" s="48">
        <f>VLOOKUP(B350,'Player Data'!$A1:$AE734,14,FALSE)*$Q350</f>
        <v>0.362948762787124</v>
      </c>
      <c r="AA350" s="48">
        <f>VLOOKUP(B350,'Player Data'!$A1:$AE734,15,FALSE)*$Q350</f>
        <v>89.4432813409976</v>
      </c>
      <c r="AB350" s="48">
        <f>VLOOKUP(B350,'Player Data'!$A1:$AE734,16,FALSE)*$Q350</f>
        <v>73.92831677567651</v>
      </c>
      <c r="AC350" s="48">
        <f>VLOOKUP(B350,'Player Data'!$A1:$AE734,17,FALSE)*$Q350*_xlfn.IFERROR((VLOOKUP(P350,'Settings'!$E$28:$F$33,2,FALSE)+1),1)</f>
        <v>-5.2255703132875</v>
      </c>
      <c r="AD350" s="48">
        <f>VLOOKUP(B350,'Player Data'!$A1:$AE734,18,FALSE)*$Q350</f>
        <v>27.6099834891831</v>
      </c>
      <c r="AE350" s="48">
        <f>VLOOKUP(B350,'Player Data'!$A1:$AE734,19,FALSE)*$Q350*_xlfn.IFERROR((VLOOKUP(P350,'Settings'!$E$28:$F$33,2,FALSE)+1),1)</f>
        <v>0.515169176241007</v>
      </c>
      <c r="AF350" s="48">
        <f>VLOOKUP(B350,'Player Data'!$A1:$AE734,20,FALSE)*$Q350</f>
        <v>0</v>
      </c>
      <c r="AG350" s="48">
        <f>VLOOKUP(B350,'Player Data'!$A1:$AE734,21,FALSE)*$Q350</f>
        <v>0</v>
      </c>
      <c r="AH350" s="49">
        <f>VLOOKUP(B350,'Player Data'!$A1:$AE734,22,FALSE)</f>
        <v>0</v>
      </c>
      <c r="AI350" s="46"/>
      <c r="AJ350" s="48"/>
      <c r="AK350" s="48"/>
      <c r="AL350" s="48"/>
      <c r="AM350" s="48"/>
      <c r="AN350" s="48"/>
      <c r="AO350" s="48"/>
      <c r="AP350" s="48"/>
      <c r="AQ350" s="51"/>
      <c r="AR350" s="52"/>
      <c r="AS350" s="46"/>
    </row>
    <row r="351" ht="21.25" customHeight="1">
      <c r="A351" s="53">
        <f>RANK(K351,K2:K730)</f>
        <v>341</v>
      </c>
      <c r="B351" t="s" s="8">
        <v>503</v>
      </c>
      <c r="C351" t="s" s="39">
        <v>106</v>
      </c>
      <c r="D351" t="s" s="40">
        <f>VLOOKUP(B351,'Player Data'!A1:D734,4,FALSE)</f>
        <v>111</v>
      </c>
      <c r="E351" s="54">
        <f>VLOOKUP(B351,'LW'!A1:C156,3,FALSE)</f>
        <v>80</v>
      </c>
      <c r="F351" t="s" s="42">
        <f>VLOOKUP(B351,'Player Data'!A1:B734,2,FALSE)</f>
        <v>236</v>
      </c>
      <c r="G351" s="9">
        <f>VLOOKUP(B351,'Player Data'!A1:D734,3,FALSE)</f>
        <v>24</v>
      </c>
      <c r="H351" s="43">
        <f>_xlfn.IFERROR(VLOOKUP(B351,'ADP'!A1:G731,7,FALSE)/1000000,VLOOKUP(B351,'ADP'!A1:G731,7,FALSE))</f>
        <v>2.625</v>
      </c>
      <c r="I351" s="44">
        <f>IF('Settings'!$E$15="POINTS",((R351*Q351)*'Settings'!$B$12)+(S351*'Settings'!$B$2)+(T351*'Settings'!$B$3)+(U351*'Settings'!$B$4)+(V351*'Settings'!$B$5)+(X351*'Settings'!$B$9)+(AA351*'Settings'!$B$6)+(W351*'Settings'!$B$8)+(AB351*'Settings'!$B$7)+(AC351*'Settings'!$B$14)+(AD351*'Settings'!$B$15)+(AE351*'Settings'!$B$16)+(AF351*'Settings'!$B$17)+(AG351*'Settings'!$B$18)+(Y351*'Settings'!$B$10)+(Z351*'Settings'!$B$11),VLOOKUP(B351,'Standard Deviations'!A1:C731,3,FALSE))</f>
        <v>252.698927595027</v>
      </c>
      <c r="J351" s="45">
        <f>IF(D351="G",I351/AJ351,I351/Q351)</f>
        <v>3.40599019570748</v>
      </c>
      <c r="K351" s="44">
        <f>IF('Settings'!$E$18="C/LW/RW",VLOOKUP(B351,'LW'!A1:F156,6,FALSE),VLOOKUP(B351,'F'!A1:F432,6,FALSE))</f>
        <v>-128.929636111329</v>
      </c>
      <c r="L351" s="44">
        <f>_xlfn.IFERROR(K351/H351,"N/A")</f>
        <v>-49.1160518519349</v>
      </c>
      <c r="M351" t="s" s="61">
        <f>IF('Settings'!$E$9="YAHOO",VLOOKUP(B351,'ADP'!A1:E731,2,FALSE),IF('Settings'!$E$9="ESPN",VLOOKUP(B351,'ADP'!A1:E731,3,FALSE),IF('Settings'!$E$9="FANTRAX",VLOOKUP(B351,'ADP'!A1:E731,4,FALSE),VLOOKUP(B351,'ADP'!A1:E731,5,FALSE))))</f>
        <v>329</v>
      </c>
      <c r="N351" t="s" s="61">
        <f>_xlfn.IFERROR(M351-A351,"N/A")</f>
        <v>158</v>
      </c>
      <c r="O351" s="46"/>
      <c r="P351" t="s" s="47">
        <f>IF('Settings'!$E$27="ON",VLOOKUP(B351,'ADP'!A1:H731,8,FALSE)," ")</f>
        <v>109</v>
      </c>
      <c r="Q351" s="48">
        <f>IF('Settings'!$E$12="YES",VLOOKUP(B351,'Player Data'!A1:E734,5,FALSE),82)</f>
        <v>74.1925</v>
      </c>
      <c r="R351" s="46">
        <f>VLOOKUP(B351,'Player Data'!$A1:$AE734,6,FALSE)</f>
        <v>17.9930099085366</v>
      </c>
      <c r="S351" s="48">
        <f>VLOOKUP(B351,'Player Data'!$A1:$AE734,7,FALSE)*$Q351*_xlfn.IFERROR((VLOOKUP(P351,'Settings'!$E$28:$F$33,2,FALSE)+1),1)</f>
        <v>15.9129218055568</v>
      </c>
      <c r="T351" s="48">
        <f>VLOOKUP(B351,'Player Data'!$A1:$AE734,8,FALSE)*$Q351*_xlfn.IFERROR((VLOOKUP(P351,'Settings'!$E$28:$F$33,2,FALSE)+1),1)</f>
        <v>25.3066211911672</v>
      </c>
      <c r="U351" s="48">
        <f>SUM(S351:T351)</f>
        <v>41.219542996724</v>
      </c>
      <c r="V351" s="48">
        <f>VLOOKUP(B351,'Player Data'!$A1:$AE734,10,FALSE)*$Q351*_xlfn.IFERROR(((VLOOKUP(P351,'Settings'!$E$28:$F$33,2,FALSE)/2)+1),1)</f>
        <v>107.907785966905</v>
      </c>
      <c r="W351" s="48">
        <f>VLOOKUP(B351,'Player Data'!$A1:$AE734,11,FALSE)*$Q351*_xlfn.IFERROR((VLOOKUP(P351,'Settings'!$E$28:$F$33,2,FALSE)+1),1)</f>
        <v>3.60079090242824</v>
      </c>
      <c r="X351" s="48">
        <f>VLOOKUP(B351,'Player Data'!$A1:$AE734,12,FALSE)*$Q351*_xlfn.IFERROR((VLOOKUP(P351,'Settings'!$E$28:$F$33,2,FALSE)+1),1)</f>
        <v>8.71832742661878</v>
      </c>
      <c r="Y351" s="48">
        <f>VLOOKUP(B351,'Player Data'!$A1:$AE734,13,FALSE)*$Q351</f>
        <v>0.99427956600722</v>
      </c>
      <c r="Z351" s="48">
        <f>VLOOKUP(B351,'Player Data'!$A1:$AE734,14,FALSE)*$Q351</f>
        <v>1.92640516062651</v>
      </c>
      <c r="AA351" s="48">
        <f>VLOOKUP(B351,'Player Data'!$A1:$AE734,15,FALSE)*$Q351</f>
        <v>54.7989464551299</v>
      </c>
      <c r="AB351" s="48">
        <f>VLOOKUP(B351,'Player Data'!$A1:$AE734,16,FALSE)*$Q351</f>
        <v>79.8589574569971</v>
      </c>
      <c r="AC351" s="48">
        <f>VLOOKUP(B351,'Player Data'!$A1:$AE734,17,FALSE)*$Q351*_xlfn.IFERROR((VLOOKUP(P351,'Settings'!$E$28:$F$33,2,FALSE)+1),1)</f>
        <v>-3.96415134321814</v>
      </c>
      <c r="AD351" s="48">
        <f>VLOOKUP(B351,'Player Data'!$A1:$AE734,18,FALSE)*$Q351</f>
        <v>17.828933030464</v>
      </c>
      <c r="AE351" s="48">
        <f>VLOOKUP(B351,'Player Data'!$A1:$AE734,19,FALSE)*$Q351*_xlfn.IFERROR((VLOOKUP(P351,'Settings'!$E$28:$F$33,2,FALSE)+1),1)</f>
        <v>1.87049461613898</v>
      </c>
      <c r="AF351" s="48">
        <f>VLOOKUP(B351,'Player Data'!$A1:$AE734,20,FALSE)*$Q351</f>
        <v>329.795089247350</v>
      </c>
      <c r="AG351" s="48">
        <f>VLOOKUP(B351,'Player Data'!$A1:$AE734,21,FALSE)*$Q351</f>
        <v>607.937477887862</v>
      </c>
      <c r="AH351" s="49">
        <f>VLOOKUP(B351,'Player Data'!$A1:$AE734,22,FALSE)</f>
        <v>0.351694183187941</v>
      </c>
      <c r="AI351" s="46"/>
      <c r="AJ351" s="50"/>
      <c r="AK351" s="48"/>
      <c r="AL351" s="48"/>
      <c r="AM351" s="48"/>
      <c r="AN351" s="48"/>
      <c r="AO351" s="48"/>
      <c r="AP351" s="48"/>
      <c r="AQ351" s="51"/>
      <c r="AR351" s="52"/>
      <c r="AS351" s="50"/>
    </row>
    <row r="352" ht="21.25" customHeight="1">
      <c r="A352" s="53">
        <f>RANK(K352,K2:K730)</f>
        <v>315</v>
      </c>
      <c r="B352" t="s" s="8">
        <v>504</v>
      </c>
      <c r="C352" t="s" s="39">
        <v>106</v>
      </c>
      <c r="D352" t="s" s="40">
        <f>VLOOKUP(B352,'Player Data'!A1:D734,4,FALSE)</f>
        <v>129</v>
      </c>
      <c r="E352" s="56">
        <f>VLOOKUP(B352,'D'!A1:C228,3,FALSE)</f>
        <v>101</v>
      </c>
      <c r="F352" t="s" s="42">
        <f>VLOOKUP(B352,'Player Data'!A1:B734,2,FALSE)</f>
        <v>149</v>
      </c>
      <c r="G352" s="9">
        <f>VLOOKUP(B352,'Player Data'!A1:D734,3,FALSE)</f>
        <v>23</v>
      </c>
      <c r="H352" s="43">
        <f>_xlfn.IFERROR(VLOOKUP(B352,'ADP'!A1:G731,7,FALSE)/1000000,VLOOKUP(B352,'ADP'!A1:G731,7,FALSE))</f>
        <v>2.5</v>
      </c>
      <c r="I352" s="44">
        <f>IF('Settings'!$E$15="POINTS",((R352*Q352)*'Settings'!$B$12)+(S352*'Settings'!$B$2)+(T352*'Settings'!$B$3)+(U352*'Settings'!$B$4)+(V352*'Settings'!$B$5)+(X352*'Settings'!$B$9)+(AA352*'Settings'!$B$6)+(W352*'Settings'!$B$8)+(AB352*'Settings'!$B$7)+(AC352*'Settings'!$B$14)+(AD352*'Settings'!$B$15)+(AE352*'Settings'!$B$16)+(AF352*'Settings'!$B$17)+(AG352*'Settings'!$B$18)+(U352*'Settings'!$B$13)+(Y352*'Settings'!$B$10)+(Z352*'Settings'!$B$11),VLOOKUP(B352,'Standard Deviations'!A1:C731,3,FALSE))</f>
        <v>219.502920676447</v>
      </c>
      <c r="J352" s="45">
        <f>IF(D352="G",I352/AJ352,I352/Q352)</f>
        <v>2.73491025953291</v>
      </c>
      <c r="K352" s="44">
        <f>VLOOKUP(B352,'D'!A1:F228,6,FALSE)</f>
        <v>-121.232217970076</v>
      </c>
      <c r="L352" s="44">
        <f>_xlfn.IFERROR(K352/H352,"N/A")</f>
        <v>-48.4928871880304</v>
      </c>
      <c r="M352" t="s" s="61">
        <f>IF('Settings'!$E$9="YAHOO",VLOOKUP(B352,'ADP'!A1:E731,2,FALSE),IF('Settings'!$E$9="ESPN",VLOOKUP(B352,'ADP'!A1:E731,3,FALSE),IF('Settings'!$E$9="FANTRAX",VLOOKUP(B352,'ADP'!A1:E731,4,FALSE),VLOOKUP(B352,'ADP'!A1:E731,5,FALSE))))</f>
        <v>329</v>
      </c>
      <c r="N352" t="s" s="61">
        <f>_xlfn.IFERROR(M352-A352,"N/A")</f>
        <v>158</v>
      </c>
      <c r="O352" s="46"/>
      <c r="P352" t="s" s="47">
        <f>IF('Settings'!$E$27="ON",VLOOKUP(B352,'ADP'!A1:H731,8,FALSE)," ")</f>
        <v>109</v>
      </c>
      <c r="Q352" s="48">
        <f>IF('Settings'!$E$12="YES",VLOOKUP(B352,'Player Data'!A1:E734,5,FALSE),82)</f>
        <v>80.25964285714289</v>
      </c>
      <c r="R352" s="46">
        <f>VLOOKUP(B352,'Player Data'!$A1:$AE734,6,FALSE)</f>
        <v>18.5202262886716</v>
      </c>
      <c r="S352" s="48">
        <f>VLOOKUP(B352,'Player Data'!$A1:$AE734,7,FALSE)*$Q352*_xlfn.IFERROR((VLOOKUP(P352,'Settings'!$E$28:$F$33,2,FALSE)+1),1)</f>
        <v>2.80420133003544</v>
      </c>
      <c r="T352" s="48">
        <f>VLOOKUP(B352,'Player Data'!$A1:$AE734,8,FALSE)*$Q352*_xlfn.IFERROR((VLOOKUP(P352,'Settings'!$E$28:$F$33,2,FALSE)+1),1)</f>
        <v>15.4592131833234</v>
      </c>
      <c r="U352" s="48">
        <f>SUM(S352:T352)</f>
        <v>18.2634145133588</v>
      </c>
      <c r="V352" s="48">
        <f>VLOOKUP(B352,'Player Data'!$A1:$AE734,10,FALSE)*$Q352*_xlfn.IFERROR(((VLOOKUP(P352,'Settings'!$E$28:$F$33,2,FALSE)/2)+1),1)</f>
        <v>100.476696030782</v>
      </c>
      <c r="W352" s="48">
        <f>VLOOKUP(B352,'Player Data'!$A1:$AE734,11,FALSE)*$Q352*_xlfn.IFERROR((VLOOKUP(P352,'Settings'!$E$28:$F$33,2,FALSE)+1),1)</f>
        <v>0.0118085994608734</v>
      </c>
      <c r="X352" s="48">
        <f>VLOOKUP(B352,'Player Data'!$A1:$AE734,12,FALSE)*$Q352*_xlfn.IFERROR((VLOOKUP(P352,'Settings'!$E$28:$F$33,2,FALSE)+1),1)</f>
        <v>0.0979094999782858</v>
      </c>
      <c r="Y352" s="48">
        <f>VLOOKUP(B352,'Player Data'!$A1:$AE734,13,FALSE)*$Q352</f>
        <v>0.0260898008347325</v>
      </c>
      <c r="Z352" s="48">
        <f>VLOOKUP(B352,'Player Data'!$A1:$AE734,14,FALSE)*$Q352</f>
        <v>0.134693755368215</v>
      </c>
      <c r="AA352" s="48">
        <f>VLOOKUP(B352,'Player Data'!$A1:$AE734,15,FALSE)*$Q352</f>
        <v>127.335065291439</v>
      </c>
      <c r="AB352" s="48">
        <f>VLOOKUP(B352,'Player Data'!$A1:$AE734,16,FALSE)*$Q352</f>
        <v>185.324427877882</v>
      </c>
      <c r="AC352" s="48">
        <f>VLOOKUP(B352,'Player Data'!$A1:$AE734,17,FALSE)*$Q352*_xlfn.IFERROR((VLOOKUP(P352,'Settings'!$E$28:$F$33,2,FALSE)+1),1)</f>
        <v>-0.64663676542982</v>
      </c>
      <c r="AD352" s="48">
        <f>VLOOKUP(B352,'Player Data'!$A1:$AE734,18,FALSE)*$Q352</f>
        <v>40.6604817233154</v>
      </c>
      <c r="AE352" s="48">
        <f>VLOOKUP(B352,'Player Data'!$A1:$AE734,19,FALSE)*$Q352*_xlfn.IFERROR((VLOOKUP(P352,'Settings'!$E$28:$F$33,2,FALSE)+1),1)</f>
        <v>0.433310397879633</v>
      </c>
      <c r="AF352" s="48">
        <f>VLOOKUP(B352,'Player Data'!$A1:$AE734,20,FALSE)*$Q352</f>
        <v>0</v>
      </c>
      <c r="AG352" s="48">
        <f>VLOOKUP(B352,'Player Data'!$A1:$AE734,21,FALSE)*$Q352</f>
        <v>0</v>
      </c>
      <c r="AH352" s="49">
        <f>VLOOKUP(B352,'Player Data'!$A1:$AE734,22,FALSE)</f>
        <v>0</v>
      </c>
      <c r="AI352" s="46"/>
      <c r="AJ352" s="50"/>
      <c r="AK352" s="48"/>
      <c r="AL352" s="48"/>
      <c r="AM352" s="48"/>
      <c r="AN352" s="48"/>
      <c r="AO352" s="48"/>
      <c r="AP352" s="48"/>
      <c r="AQ352" s="51"/>
      <c r="AR352" s="52"/>
      <c r="AS352" s="46"/>
    </row>
    <row r="353" ht="21.25" customHeight="1">
      <c r="A353" s="53">
        <f>RANK(K353,K2:K730)</f>
        <v>364</v>
      </c>
      <c r="B353" t="s" s="8">
        <v>505</v>
      </c>
      <c r="C353" t="s" s="39">
        <v>106</v>
      </c>
      <c r="D353" t="s" s="40">
        <f>VLOOKUP(B353,'Player Data'!A1:D734,4,FALSE)</f>
        <v>129</v>
      </c>
      <c r="E353" s="56">
        <f>VLOOKUP(B353,'D'!A1:C228,3,FALSE)</f>
        <v>117</v>
      </c>
      <c r="F353" t="s" s="42">
        <f>VLOOKUP(B353,'Player Data'!A1:B734,2,FALSE)</f>
        <v>164</v>
      </c>
      <c r="G353" s="9">
        <f>VLOOKUP(B353,'Player Data'!A1:D734,3,FALSE)</f>
        <v>30</v>
      </c>
      <c r="H353" s="43">
        <f>_xlfn.IFERROR(VLOOKUP(B353,'ADP'!A1:G731,7,FALSE)/1000000,VLOOKUP(B353,'ADP'!A1:G731,7,FALSE))</f>
        <v>3</v>
      </c>
      <c r="I353" s="44">
        <f>IF('Settings'!$E$15="POINTS",((R353*Q353)*'Settings'!$B$12)+(S353*'Settings'!$B$2)+(T353*'Settings'!$B$3)+(U353*'Settings'!$B$4)+(V353*'Settings'!$B$5)+(X353*'Settings'!$B$9)+(AA353*'Settings'!$B$6)+(W353*'Settings'!$B$8)+(AB353*'Settings'!$B$7)+(AC353*'Settings'!$B$14)+(AD353*'Settings'!$B$15)+(AE353*'Settings'!$B$16)+(AF353*'Settings'!$B$17)+(AG353*'Settings'!$B$18)+(U353*'Settings'!$B$13)+(Y353*'Settings'!$B$10)+(Z353*'Settings'!$B$11),VLOOKUP(B353,'Standard Deviations'!A1:C731,3,FALSE))</f>
        <v>202.955230454085</v>
      </c>
      <c r="J353" s="45">
        <f>IF(D353="G",I353/AJ353,I353/Q353)</f>
        <v>2.58212761391966</v>
      </c>
      <c r="K353" s="44">
        <f>VLOOKUP(B353,'D'!A1:F228,6,FALSE)</f>
        <v>-137.779908192438</v>
      </c>
      <c r="L353" s="44">
        <f>_xlfn.IFERROR(K353/H353,"N/A")</f>
        <v>-45.926636064146</v>
      </c>
      <c r="M353" t="s" s="61">
        <f>IF('Settings'!$E$9="YAHOO",VLOOKUP(B353,'ADP'!A1:E731,2,FALSE),IF('Settings'!$E$9="ESPN",VLOOKUP(B353,'ADP'!A1:E731,3,FALSE),IF('Settings'!$E$9="FANTRAX",VLOOKUP(B353,'ADP'!A1:E731,4,FALSE),VLOOKUP(B353,'ADP'!A1:E731,5,FALSE))))</f>
        <v>329</v>
      </c>
      <c r="N353" t="s" s="61">
        <f>_xlfn.IFERROR(M353-A353,"N/A")</f>
        <v>158</v>
      </c>
      <c r="O353" s="46"/>
      <c r="P353" t="s" s="47">
        <f>IF('Settings'!$E$27="ON",VLOOKUP(B353,'ADP'!A1:H731,8,FALSE)," ")</f>
        <v>109</v>
      </c>
      <c r="Q353" s="48">
        <f>IF('Settings'!$E$12="YES",VLOOKUP(B353,'Player Data'!A1:E734,5,FALSE),82)</f>
        <v>78.59999999999999</v>
      </c>
      <c r="R353" s="46">
        <f>VLOOKUP(B353,'Player Data'!$A1:$AE734,6,FALSE)</f>
        <v>19.3800172713415</v>
      </c>
      <c r="S353" s="48">
        <f>VLOOKUP(B353,'Player Data'!$A1:$AE734,7,FALSE)*$Q353*_xlfn.IFERROR((VLOOKUP(P353,'Settings'!$E$28:$F$33,2,FALSE)+1),1)</f>
        <v>2.76975267331412</v>
      </c>
      <c r="T353" s="48">
        <f>VLOOKUP(B353,'Player Data'!$A1:$AE734,8,FALSE)*$Q353*_xlfn.IFERROR((VLOOKUP(P353,'Settings'!$E$28:$F$33,2,FALSE)+1),1)</f>
        <v>17.7406655403715</v>
      </c>
      <c r="U353" s="48">
        <f>SUM(S353:T353)</f>
        <v>20.5104182136856</v>
      </c>
      <c r="V353" s="48">
        <f>VLOOKUP(B353,'Player Data'!$A1:$AE734,10,FALSE)*$Q353*_xlfn.IFERROR(((VLOOKUP(P353,'Settings'!$E$28:$F$33,2,FALSE)/2)+1),1)</f>
        <v>92.95736245126579</v>
      </c>
      <c r="W353" s="48">
        <f>VLOOKUP(B353,'Player Data'!$A1:$AE734,11,FALSE)*$Q353*_xlfn.IFERROR((VLOOKUP(P353,'Settings'!$E$28:$F$33,2,FALSE)+1),1)</f>
        <v>0.0221403482516191</v>
      </c>
      <c r="X353" s="48">
        <f>VLOOKUP(B353,'Player Data'!$A1:$AE734,12,FALSE)*$Q353*_xlfn.IFERROR((VLOOKUP(P353,'Settings'!$E$28:$F$33,2,FALSE)+1),1)</f>
        <v>0.159527711152874</v>
      </c>
      <c r="Y353" s="48">
        <f>VLOOKUP(B353,'Player Data'!$A1:$AE734,13,FALSE)*$Q353</f>
        <v>0.687037345855508</v>
      </c>
      <c r="Z353" s="48">
        <f>VLOOKUP(B353,'Player Data'!$A1:$AE734,14,FALSE)*$Q353</f>
        <v>2.15442493694209</v>
      </c>
      <c r="AA353" s="48">
        <f>VLOOKUP(B353,'Player Data'!$A1:$AE734,15,FALSE)*$Q353</f>
        <v>111.005664179517</v>
      </c>
      <c r="AB353" s="48">
        <f>VLOOKUP(B353,'Player Data'!$A1:$AE734,16,FALSE)*$Q353</f>
        <v>123.915934455127</v>
      </c>
      <c r="AC353" s="48">
        <f>VLOOKUP(B353,'Player Data'!$A1:$AE734,17,FALSE)*$Q353*_xlfn.IFERROR((VLOOKUP(P353,'Settings'!$E$28:$F$33,2,FALSE)+1),1)</f>
        <v>2.69127893472486</v>
      </c>
      <c r="AD353" s="48">
        <f>VLOOKUP(B353,'Player Data'!$A1:$AE734,18,FALSE)*$Q353</f>
        <v>41.1222628876515</v>
      </c>
      <c r="AE353" s="48">
        <f>VLOOKUP(B353,'Player Data'!$A1:$AE734,19,FALSE)*$Q353*_xlfn.IFERROR((VLOOKUP(P353,'Settings'!$E$28:$F$33,2,FALSE)+1),1)</f>
        <v>0.432090687903347</v>
      </c>
      <c r="AF353" s="48">
        <f>VLOOKUP(B353,'Player Data'!$A1:$AE734,20,FALSE)*$Q353</f>
        <v>0</v>
      </c>
      <c r="AG353" s="48">
        <f>VLOOKUP(B353,'Player Data'!$A1:$AE734,21,FALSE)*$Q353</f>
        <v>0</v>
      </c>
      <c r="AH353" s="49">
        <f>VLOOKUP(B353,'Player Data'!$A1:$AE734,22,FALSE)</f>
        <v>0</v>
      </c>
      <c r="AI353" s="46"/>
      <c r="AJ353" s="48"/>
      <c r="AK353" s="48"/>
      <c r="AL353" s="48"/>
      <c r="AM353" s="48"/>
      <c r="AN353" s="48"/>
      <c r="AO353" s="48"/>
      <c r="AP353" s="48"/>
      <c r="AQ353" s="51"/>
      <c r="AR353" s="52"/>
      <c r="AS353" s="46"/>
    </row>
    <row r="354" ht="21.25" customHeight="1">
      <c r="A354" s="53">
        <f>RANK(K354,K2:K730)</f>
        <v>391</v>
      </c>
      <c r="B354" t="s" s="8">
        <v>506</v>
      </c>
      <c r="C354" t="s" s="39">
        <v>106</v>
      </c>
      <c r="D354" t="s" s="40">
        <f>VLOOKUP(B354,'Player Data'!A1:D734,4,FALSE)</f>
        <v>129</v>
      </c>
      <c r="E354" s="56">
        <f>VLOOKUP(B354,'D'!A1:C228,3,FALSE)</f>
        <v>129</v>
      </c>
      <c r="F354" t="s" s="42">
        <f>VLOOKUP(B354,'Player Data'!A1:B734,2,FALSE)</f>
        <v>115</v>
      </c>
      <c r="G354" s="9">
        <f>VLOOKUP(B354,'Player Data'!A1:D734,3,FALSE)</f>
        <v>39</v>
      </c>
      <c r="H354" s="43">
        <f>_xlfn.IFERROR(VLOOKUP(B354,'ADP'!A1:G731,7,FALSE)/1000000,VLOOKUP(B354,'ADP'!A1:G731,7,FALSE))</f>
        <v>0.8</v>
      </c>
      <c r="I354" s="44">
        <f>IF('Settings'!$E$15="POINTS",((R354*Q354)*'Settings'!$B$12)+(S354*'Settings'!$B$2)+(T354*'Settings'!$B$3)+(U354*'Settings'!$B$4)+(V354*'Settings'!$B$5)+(X354*'Settings'!$B$9)+(AA354*'Settings'!$B$6)+(W354*'Settings'!$B$8)+(AB354*'Settings'!$B$7)+(AC354*'Settings'!$B$14)+(AD354*'Settings'!$B$15)+(AE354*'Settings'!$B$16)+(AF354*'Settings'!$B$17)+(AG354*'Settings'!$B$18)+(U354*'Settings'!$B$13)+(Y354*'Settings'!$B$10)+(Z354*'Settings'!$B$11),VLOOKUP(B354,'Standard Deviations'!A1:C731,3,FALSE))</f>
        <v>191.898203000446</v>
      </c>
      <c r="J354" s="45">
        <f>IF(D354="G",I354/AJ354,I354/Q354)</f>
        <v>2.59321895946549</v>
      </c>
      <c r="K354" s="44">
        <f>VLOOKUP(B354,'D'!A1:F228,6,FALSE)</f>
        <v>-148.836935646077</v>
      </c>
      <c r="L354" s="44">
        <f>_xlfn.IFERROR(K354/H354,"N/A")</f>
        <v>-186.046169557596</v>
      </c>
      <c r="M354" t="s" s="61">
        <f>IF('Settings'!$E$9="YAHOO",VLOOKUP(B354,'ADP'!A1:E731,2,FALSE),IF('Settings'!$E$9="ESPN",VLOOKUP(B354,'ADP'!A1:E731,3,FALSE),IF('Settings'!$E$9="FANTRAX",VLOOKUP(B354,'ADP'!A1:E731,4,FALSE),VLOOKUP(B354,'ADP'!A1:E731,5,FALSE))))</f>
        <v>329</v>
      </c>
      <c r="N354" t="s" s="61">
        <f>_xlfn.IFERROR(M354-A354,"N/A")</f>
        <v>158</v>
      </c>
      <c r="O354" s="46"/>
      <c r="P354" t="s" s="47">
        <f>IF('Settings'!$E$27="ON",VLOOKUP(B354,'ADP'!A1:H731,8,FALSE)," ")</f>
        <v>109</v>
      </c>
      <c r="Q354" s="48">
        <f>IF('Settings'!$E$12="YES",VLOOKUP(B354,'Player Data'!A1:E734,5,FALSE),82)</f>
        <v>74</v>
      </c>
      <c r="R354" s="46">
        <f>VLOOKUP(B354,'Player Data'!$A1:$AE734,6,FALSE)</f>
        <v>17.4222828850632</v>
      </c>
      <c r="S354" s="48">
        <f>VLOOKUP(B354,'Player Data'!$A1:$AE734,7,FALSE)*$Q354*_xlfn.IFERROR((VLOOKUP(P354,'Settings'!$E$28:$F$33,2,FALSE)+1),1)</f>
        <v>4.26508022982912</v>
      </c>
      <c r="T354" s="48">
        <f>VLOOKUP(B354,'Player Data'!$A1:$AE734,8,FALSE)*$Q354*_xlfn.IFERROR((VLOOKUP(P354,'Settings'!$E$28:$F$33,2,FALSE)+1),1)</f>
        <v>13.997674817618</v>
      </c>
      <c r="U354" s="48">
        <f>SUM(S354:T354)</f>
        <v>18.2627550474471</v>
      </c>
      <c r="V354" s="48">
        <f>VLOOKUP(B354,'Player Data'!$A1:$AE734,10,FALSE)*$Q354*_xlfn.IFERROR(((VLOOKUP(P354,'Settings'!$E$28:$F$33,2,FALSE)/2)+1),1)</f>
        <v>99.9814037720294</v>
      </c>
      <c r="W354" s="48">
        <f>VLOOKUP(B354,'Player Data'!$A1:$AE734,11,FALSE)*$Q354*_xlfn.IFERROR((VLOOKUP(P354,'Settings'!$E$28:$F$33,2,FALSE)+1),1)</f>
        <v>0.0502555427718858</v>
      </c>
      <c r="X354" s="48">
        <f>VLOOKUP(B354,'Player Data'!$A1:$AE734,12,FALSE)*$Q354*_xlfn.IFERROR((VLOOKUP(P354,'Settings'!$E$28:$F$33,2,FALSE)+1),1)</f>
        <v>0.316093442680774</v>
      </c>
      <c r="Y354" s="48">
        <f>VLOOKUP(B354,'Player Data'!$A1:$AE734,13,FALSE)*$Q354</f>
        <v>0.804406605549367</v>
      </c>
      <c r="Z354" s="48">
        <f>VLOOKUP(B354,'Player Data'!$A1:$AE734,14,FALSE)*$Q354</f>
        <v>0.951508919991479</v>
      </c>
      <c r="AA354" s="48">
        <f>VLOOKUP(B354,'Player Data'!$A1:$AE734,15,FALSE)*$Q354</f>
        <v>124.271512634357</v>
      </c>
      <c r="AB354" s="48">
        <f>VLOOKUP(B354,'Player Data'!$A1:$AE734,16,FALSE)*$Q354</f>
        <v>66.73136588073911</v>
      </c>
      <c r="AC354" s="48">
        <f>VLOOKUP(B354,'Player Data'!$A1:$AE734,17,FALSE)*$Q354*_xlfn.IFERROR((VLOOKUP(P354,'Settings'!$E$28:$F$33,2,FALSE)+1),1)</f>
        <v>5.73822864125133</v>
      </c>
      <c r="AD354" s="48">
        <f>VLOOKUP(B354,'Player Data'!$A1:$AE734,18,FALSE)*$Q354</f>
        <v>35.9458088775311</v>
      </c>
      <c r="AE354" s="48">
        <f>VLOOKUP(B354,'Player Data'!$A1:$AE734,19,FALSE)*$Q354*_xlfn.IFERROR((VLOOKUP(P354,'Settings'!$E$28:$F$33,2,FALSE)+1),1)</f>
        <v>0.6851840052809069</v>
      </c>
      <c r="AF354" s="48">
        <f>VLOOKUP(B354,'Player Data'!$A1:$AE734,20,FALSE)*$Q354</f>
        <v>0</v>
      </c>
      <c r="AG354" s="48">
        <f>VLOOKUP(B354,'Player Data'!$A1:$AE734,21,FALSE)*$Q354</f>
        <v>0</v>
      </c>
      <c r="AH354" s="49">
        <f>VLOOKUP(B354,'Player Data'!$A1:$AE734,22,FALSE)</f>
        <v>0</v>
      </c>
      <c r="AI354" s="46"/>
      <c r="AJ354" s="50"/>
      <c r="AK354" s="48"/>
      <c r="AL354" s="48"/>
      <c r="AM354" s="48"/>
      <c r="AN354" s="48"/>
      <c r="AO354" s="48"/>
      <c r="AP354" s="48"/>
      <c r="AQ354" s="51"/>
      <c r="AR354" s="52"/>
      <c r="AS354" s="46"/>
    </row>
    <row r="355" ht="21.25" customHeight="1">
      <c r="A355" s="53">
        <f>RANK(K355,K2:K730)</f>
        <v>342</v>
      </c>
      <c r="B355" t="s" s="8">
        <v>507</v>
      </c>
      <c r="C355" t="s" s="39">
        <v>106</v>
      </c>
      <c r="D355" t="s" s="40">
        <f>VLOOKUP(B355,'Player Data'!A1:D734,4,FALSE)</f>
        <v>129</v>
      </c>
      <c r="E355" s="56">
        <f>VLOOKUP(B355,'D'!A1:C228,3,FALSE)</f>
        <v>110</v>
      </c>
      <c r="F355" t="s" s="42">
        <f>VLOOKUP(B355,'Player Data'!A1:B734,2,FALSE)</f>
        <v>248</v>
      </c>
      <c r="G355" s="9">
        <f>VLOOKUP(B355,'Player Data'!A1:D734,3,FALSE)</f>
        <v>30</v>
      </c>
      <c r="H355" s="43">
        <f>_xlfn.IFERROR(VLOOKUP(B355,'ADP'!A1:G731,7,FALSE)/1000000,VLOOKUP(B355,'ADP'!A1:G731,7,FALSE))</f>
        <v>4.6</v>
      </c>
      <c r="I355" s="44">
        <f>IF('Settings'!$E$15="POINTS",((R355*Q355)*'Settings'!$B$12)+(S355*'Settings'!$B$2)+(T355*'Settings'!$B$3)+(U355*'Settings'!$B$4)+(V355*'Settings'!$B$5)+(X355*'Settings'!$B$9)+(AA355*'Settings'!$B$6)+(W355*'Settings'!$B$8)+(AB355*'Settings'!$B$7)+(AC355*'Settings'!$B$14)+(AD355*'Settings'!$B$15)+(AE355*'Settings'!$B$16)+(AF355*'Settings'!$B$17)+(AG355*'Settings'!$B$18)+(U355*'Settings'!$B$13)+(Y355*'Settings'!$B$10)+(Z355*'Settings'!$B$11),VLOOKUP(B355,'Standard Deviations'!A1:C731,3,FALSE))</f>
        <v>210.522444110840</v>
      </c>
      <c r="J355" s="45">
        <f>IF(D355="G",I355/AJ355,I355/Q355)</f>
        <v>2.65099882399924</v>
      </c>
      <c r="K355" s="44">
        <f>VLOOKUP(B355,'D'!A1:F228,6,FALSE)</f>
        <v>-130.212694535683</v>
      </c>
      <c r="L355" s="44">
        <f>_xlfn.IFERROR(K355/H355,"N/A")</f>
        <v>-28.3071075077572</v>
      </c>
      <c r="M355" t="s" s="61">
        <f>IF('Settings'!$E$9="YAHOO",VLOOKUP(B355,'ADP'!A1:E731,2,FALSE),IF('Settings'!$E$9="ESPN",VLOOKUP(B355,'ADP'!A1:E731,3,FALSE),IF('Settings'!$E$9="FANTRAX",VLOOKUP(B355,'ADP'!A1:E731,4,FALSE),VLOOKUP(B355,'ADP'!A1:E731,5,FALSE))))</f>
        <v>329</v>
      </c>
      <c r="N355" t="s" s="61">
        <f>_xlfn.IFERROR(M355-A355,"N/A")</f>
        <v>158</v>
      </c>
      <c r="O355" s="46"/>
      <c r="P355" t="s" s="47">
        <f>IF('Settings'!$E$27="ON",VLOOKUP(B355,'ADP'!A1:H731,8,FALSE)," ")</f>
        <v>109</v>
      </c>
      <c r="Q355" s="48">
        <f>IF('Settings'!$E$12="YES",VLOOKUP(B355,'Player Data'!A1:E734,5,FALSE),82)</f>
        <v>79.41249999999999</v>
      </c>
      <c r="R355" s="46">
        <f>VLOOKUP(B355,'Player Data'!$A1:$AE734,6,FALSE)</f>
        <v>19.1786486699695</v>
      </c>
      <c r="S355" s="48">
        <f>VLOOKUP(B355,'Player Data'!$A1:$AE734,7,FALSE)*$Q355*_xlfn.IFERROR((VLOOKUP(P355,'Settings'!$E$28:$F$33,2,FALSE)+1),1)</f>
        <v>5.31320944932169</v>
      </c>
      <c r="T355" s="48">
        <f>VLOOKUP(B355,'Player Data'!$A1:$AE734,8,FALSE)*$Q355*_xlfn.IFERROR((VLOOKUP(P355,'Settings'!$E$28:$F$33,2,FALSE)+1),1)</f>
        <v>15.0441760315069</v>
      </c>
      <c r="U355" s="48">
        <f>SUM(S355:T355)</f>
        <v>20.3573854808286</v>
      </c>
      <c r="V355" s="48">
        <f>VLOOKUP(B355,'Player Data'!$A1:$AE734,10,FALSE)*$Q355*_xlfn.IFERROR(((VLOOKUP(P355,'Settings'!$E$28:$F$33,2,FALSE)/2)+1),1)</f>
        <v>90.02114979620259</v>
      </c>
      <c r="W355" s="48">
        <f>VLOOKUP(B355,'Player Data'!$A1:$AE734,11,FALSE)*$Q355*_xlfn.IFERROR((VLOOKUP(P355,'Settings'!$E$28:$F$33,2,FALSE)+1),1)</f>
        <v>0.0197990625822999</v>
      </c>
      <c r="X355" s="48">
        <f>VLOOKUP(B355,'Player Data'!$A1:$AE734,12,FALSE)*$Q355*_xlfn.IFERROR((VLOOKUP(P355,'Settings'!$E$28:$F$33,2,FALSE)+1),1)</f>
        <v>0.136506760628451</v>
      </c>
      <c r="Y355" s="48">
        <f>VLOOKUP(B355,'Player Data'!$A1:$AE734,13,FALSE)*$Q355</f>
        <v>0.0281916212091726</v>
      </c>
      <c r="Z355" s="48">
        <f>VLOOKUP(B355,'Player Data'!$A1:$AE734,14,FALSE)*$Q355</f>
        <v>0.477107408729089</v>
      </c>
      <c r="AA355" s="48">
        <f>VLOOKUP(B355,'Player Data'!$A1:$AE734,15,FALSE)*$Q355</f>
        <v>118.001755630932</v>
      </c>
      <c r="AB355" s="48">
        <f>VLOOKUP(B355,'Player Data'!$A1:$AE734,16,FALSE)*$Q355</f>
        <v>146.059223853383</v>
      </c>
      <c r="AC355" s="48">
        <f>VLOOKUP(B355,'Player Data'!$A1:$AE734,17,FALSE)*$Q355*_xlfn.IFERROR((VLOOKUP(P355,'Settings'!$E$28:$F$33,2,FALSE)+1),1)</f>
        <v>0.0254428467555894</v>
      </c>
      <c r="AD355" s="48">
        <f>VLOOKUP(B355,'Player Data'!$A1:$AE734,18,FALSE)*$Q355</f>
        <v>53.1507838029758</v>
      </c>
      <c r="AE355" s="48">
        <f>VLOOKUP(B355,'Player Data'!$A1:$AE734,19,FALSE)*$Q355*_xlfn.IFERROR((VLOOKUP(P355,'Settings'!$E$28:$F$33,2,FALSE)+1),1)</f>
        <v>0.746829906777129</v>
      </c>
      <c r="AF355" s="48">
        <f>VLOOKUP(B355,'Player Data'!$A1:$AE734,20,FALSE)*$Q355</f>
        <v>0</v>
      </c>
      <c r="AG355" s="48">
        <f>VLOOKUP(B355,'Player Data'!$A1:$AE734,21,FALSE)*$Q355</f>
        <v>0</v>
      </c>
      <c r="AH355" s="49">
        <f>VLOOKUP(B355,'Player Data'!$A1:$AE734,22,FALSE)</f>
        <v>0</v>
      </c>
      <c r="AI355" s="46"/>
      <c r="AJ355" s="48"/>
      <c r="AK355" s="48"/>
      <c r="AL355" s="48"/>
      <c r="AM355" s="48"/>
      <c r="AN355" s="48"/>
      <c r="AO355" s="48"/>
      <c r="AP355" s="48"/>
      <c r="AQ355" s="51"/>
      <c r="AR355" s="52"/>
      <c r="AS355" s="46"/>
    </row>
    <row r="356" ht="21.25" customHeight="1">
      <c r="A356" s="53">
        <f>RANK(K356,K2:K730)</f>
        <v>471</v>
      </c>
      <c r="B356" t="s" s="8">
        <v>508</v>
      </c>
      <c r="C356" t="s" s="39">
        <v>106</v>
      </c>
      <c r="D356" t="s" s="40">
        <f>VLOOKUP(B356,'Player Data'!A1:D734,4,FALSE)</f>
        <v>129</v>
      </c>
      <c r="E356" s="56">
        <f>VLOOKUP(B356,'D'!A1:C228,3,FALSE)</f>
        <v>165</v>
      </c>
      <c r="F356" t="s" s="42">
        <f>VLOOKUP(B356,'Player Data'!A1:B734,2,FALSE)</f>
        <v>119</v>
      </c>
      <c r="G356" s="9">
        <f>VLOOKUP(B356,'Player Data'!A1:D734,3,FALSE)</f>
        <v>32</v>
      </c>
      <c r="H356" s="43">
        <f>_xlfn.IFERROR(VLOOKUP(B356,'ADP'!A1:G731,7,FALSE)/1000000,VLOOKUP(B356,'ADP'!A1:G731,7,FALSE))</f>
        <v>2.25</v>
      </c>
      <c r="I356" s="44">
        <f>IF('Settings'!$E$15="POINTS",((R356*Q356)*'Settings'!$B$12)+(S356*'Settings'!$B$2)+(T356*'Settings'!$B$3)+(U356*'Settings'!$B$4)+(V356*'Settings'!$B$5)+(X356*'Settings'!$B$9)+(AA356*'Settings'!$B$6)+(W356*'Settings'!$B$8)+(AB356*'Settings'!$B$7)+(AC356*'Settings'!$B$14)+(AD356*'Settings'!$B$15)+(AE356*'Settings'!$B$16)+(AF356*'Settings'!$B$17)+(AG356*'Settings'!$B$18)+(U356*'Settings'!$B$13)+(Y356*'Settings'!$B$10)+(Z356*'Settings'!$B$11),VLOOKUP(B356,'Standard Deviations'!A1:C731,3,FALSE))</f>
        <v>167.833579580518</v>
      </c>
      <c r="J356" s="45">
        <f>IF(D356="G",I356/AJ356,I356/Q356)</f>
        <v>2.23232780315444</v>
      </c>
      <c r="K356" s="44">
        <f>VLOOKUP(B356,'D'!A1:F228,6,FALSE)</f>
        <v>-172.901559066005</v>
      </c>
      <c r="L356" s="44">
        <f>_xlfn.IFERROR(K356/H356,"N/A")</f>
        <v>-76.84513736266889</v>
      </c>
      <c r="M356" s="46">
        <f>IF('Settings'!$E$9="YAHOO",VLOOKUP(B356,'ADP'!A1:E731,2,FALSE),IF('Settings'!$E$9="ESPN",VLOOKUP(B356,'ADP'!A1:E731,3,FALSE),IF('Settings'!$E$9="FANTRAX",VLOOKUP(B356,'ADP'!A1:E731,4,FALSE),VLOOKUP(B356,'ADP'!A1:E731,5,FALSE))))</f>
        <v>385.2</v>
      </c>
      <c r="N356" s="46">
        <f>_xlfn.IFERROR(M356-A356,"N/A")</f>
        <v>-85.8</v>
      </c>
      <c r="O356" s="46"/>
      <c r="P356" t="s" s="47">
        <f>IF('Settings'!$E$27="ON",VLOOKUP(B356,'ADP'!A1:H731,8,FALSE)," ")</f>
        <v>109</v>
      </c>
      <c r="Q356" s="48">
        <f>IF('Settings'!$E$12="YES",VLOOKUP(B356,'Player Data'!A1:E734,5,FALSE),82)</f>
        <v>75.1832142857143</v>
      </c>
      <c r="R356" s="46">
        <f>VLOOKUP(B356,'Player Data'!$A1:$AE734,6,FALSE)</f>
        <v>17.101886266570</v>
      </c>
      <c r="S356" s="48">
        <f>VLOOKUP(B356,'Player Data'!$A1:$AE734,7,FALSE)*$Q356*_xlfn.IFERROR((VLOOKUP(P356,'Settings'!$E$28:$F$33,2,FALSE)+1),1)</f>
        <v>2.37374614225619</v>
      </c>
      <c r="T356" s="48">
        <f>VLOOKUP(B356,'Player Data'!$A1:$AE734,8,FALSE)*$Q356*_xlfn.IFERROR((VLOOKUP(P356,'Settings'!$E$28:$F$33,2,FALSE)+1),1)</f>
        <v>17.1096836558918</v>
      </c>
      <c r="U356" s="48">
        <f>SUM(S356:T356)</f>
        <v>19.483429798148</v>
      </c>
      <c r="V356" s="48">
        <f>VLOOKUP(B356,'Player Data'!$A1:$AE734,10,FALSE)*$Q356*_xlfn.IFERROR(((VLOOKUP(P356,'Settings'!$E$28:$F$33,2,FALSE)/2)+1),1)</f>
        <v>106.597158682282</v>
      </c>
      <c r="W356" s="48">
        <f>VLOOKUP(B356,'Player Data'!$A1:$AE734,11,FALSE)*$Q356*_xlfn.IFERROR((VLOOKUP(P356,'Settings'!$E$28:$F$33,2,FALSE)+1),1)</f>
        <v>0.420410349044814</v>
      </c>
      <c r="X356" s="48">
        <f>VLOOKUP(B356,'Player Data'!$A1:$AE734,12,FALSE)*$Q356*_xlfn.IFERROR((VLOOKUP(P356,'Settings'!$E$28:$F$33,2,FALSE)+1),1)</f>
        <v>2.76301252503894</v>
      </c>
      <c r="Y356" s="48">
        <f>VLOOKUP(B356,'Player Data'!$A1:$AE734,13,FALSE)*$Q356</f>
        <v>0.0146367753675981</v>
      </c>
      <c r="Z356" s="48">
        <f>VLOOKUP(B356,'Player Data'!$A1:$AE734,14,FALSE)*$Q356</f>
        <v>0.302251299240135</v>
      </c>
      <c r="AA356" s="48">
        <f>VLOOKUP(B356,'Player Data'!$A1:$AE734,15,FALSE)*$Q356</f>
        <v>62.3766498865192</v>
      </c>
      <c r="AB356" s="48">
        <f>VLOOKUP(B356,'Player Data'!$A1:$AE734,16,FALSE)*$Q356</f>
        <v>82.92505635923619</v>
      </c>
      <c r="AC356" s="48">
        <f>VLOOKUP(B356,'Player Data'!$A1:$AE734,17,FALSE)*$Q356*_xlfn.IFERROR((VLOOKUP(P356,'Settings'!$E$28:$F$33,2,FALSE)+1),1)</f>
        <v>0.00175913063226576</v>
      </c>
      <c r="AD356" s="48">
        <f>VLOOKUP(B356,'Player Data'!$A1:$AE734,18,FALSE)*$Q356</f>
        <v>34.0752215279489</v>
      </c>
      <c r="AE356" s="48">
        <f>VLOOKUP(B356,'Player Data'!$A1:$AE734,19,FALSE)*$Q356*_xlfn.IFERROR((VLOOKUP(P356,'Settings'!$E$28:$F$33,2,FALSE)+1),1)</f>
        <v>0.340519298580679</v>
      </c>
      <c r="AF356" s="48">
        <f>VLOOKUP(B356,'Player Data'!$A1:$AE734,20,FALSE)*$Q356</f>
        <v>0</v>
      </c>
      <c r="AG356" s="48">
        <f>VLOOKUP(B356,'Player Data'!$A1:$AE734,21,FALSE)*$Q356</f>
        <v>0</v>
      </c>
      <c r="AH356" s="49">
        <f>VLOOKUP(B356,'Player Data'!$A1:$AE734,22,FALSE)</f>
        <v>0</v>
      </c>
      <c r="AI356" s="46"/>
      <c r="AJ356" s="48"/>
      <c r="AK356" s="48"/>
      <c r="AL356" s="48"/>
      <c r="AM356" s="48"/>
      <c r="AN356" s="48"/>
      <c r="AO356" s="48"/>
      <c r="AP356" s="48"/>
      <c r="AQ356" s="51"/>
      <c r="AR356" s="52"/>
      <c r="AS356" s="46"/>
    </row>
    <row r="357" ht="21.25" customHeight="1">
      <c r="A357" s="53">
        <f>RANK(K357,K2:K730)</f>
        <v>385</v>
      </c>
      <c r="B357" t="s" s="8">
        <v>509</v>
      </c>
      <c r="C357" t="s" s="39">
        <v>106</v>
      </c>
      <c r="D357" t="s" s="40">
        <f>VLOOKUP(B357,'Player Data'!A1:D734,4,FALSE)</f>
        <v>129</v>
      </c>
      <c r="E357" s="56">
        <f>VLOOKUP(B357,'D'!A1:C228,3,FALSE)</f>
        <v>127</v>
      </c>
      <c r="F357" t="s" s="42">
        <f>VLOOKUP(B357,'Player Data'!A1:B734,2,FALSE)</f>
        <v>131</v>
      </c>
      <c r="G357" s="9">
        <f>VLOOKUP(B357,'Player Data'!A1:D734,3,FALSE)</f>
        <v>25</v>
      </c>
      <c r="H357" s="43">
        <f>_xlfn.IFERROR(VLOOKUP(B357,'ADP'!A1:G731,7,FALSE)/1000000,VLOOKUP(B357,'ADP'!A1:G731,7,FALSE))</f>
        <v>2.5</v>
      </c>
      <c r="I357" s="44">
        <f>IF('Settings'!$E$15="POINTS",((R357*Q357)*'Settings'!$B$12)+(S357*'Settings'!$B$2)+(T357*'Settings'!$B$3)+(U357*'Settings'!$B$4)+(V357*'Settings'!$B$5)+(X357*'Settings'!$B$9)+(AA357*'Settings'!$B$6)+(W357*'Settings'!$B$8)+(AB357*'Settings'!$B$7)+(AC357*'Settings'!$B$14)+(AD357*'Settings'!$B$15)+(AE357*'Settings'!$B$16)+(AF357*'Settings'!$B$17)+(AG357*'Settings'!$B$18)+(U357*'Settings'!$B$13)+(Y357*'Settings'!$B$10)+(Z357*'Settings'!$B$11),VLOOKUP(B357,'Standard Deviations'!A1:C731,3,FALSE))</f>
        <v>194.109727539609</v>
      </c>
      <c r="J357" s="45">
        <f>IF(D357="G",I357/AJ357,I357/Q357)</f>
        <v>2.52239137669641</v>
      </c>
      <c r="K357" s="44">
        <f>VLOOKUP(B357,'D'!A1:F228,6,FALSE)</f>
        <v>-146.625411106914</v>
      </c>
      <c r="L357" s="44">
        <f>_xlfn.IFERROR(K357/H357,"N/A")</f>
        <v>-58.6501644427656</v>
      </c>
      <c r="M357" t="s" s="61">
        <f>IF('Settings'!$E$9="YAHOO",VLOOKUP(B357,'ADP'!A1:E731,2,FALSE),IF('Settings'!$E$9="ESPN",VLOOKUP(B357,'ADP'!A1:E731,3,FALSE),IF('Settings'!$E$9="FANTRAX",VLOOKUP(B357,'ADP'!A1:E731,4,FALSE),VLOOKUP(B357,'ADP'!A1:E731,5,FALSE))))</f>
        <v>329</v>
      </c>
      <c r="N357" t="s" s="61">
        <f>_xlfn.IFERROR(M357-A357,"N/A")</f>
        <v>158</v>
      </c>
      <c r="O357" s="46"/>
      <c r="P357" t="s" s="47">
        <f>IF('Settings'!$E$27="ON",VLOOKUP(B357,'ADP'!A1:H731,8,FALSE)," ")</f>
        <v>109</v>
      </c>
      <c r="Q357" s="48">
        <f>IF('Settings'!$E$12="YES",VLOOKUP(B357,'Player Data'!A1:E734,5,FALSE),82)</f>
        <v>76.9546428571429</v>
      </c>
      <c r="R357" s="46">
        <f>VLOOKUP(B357,'Player Data'!$A1:$AE734,6,FALSE)</f>
        <v>17.8321984042791</v>
      </c>
      <c r="S357" s="48">
        <f>VLOOKUP(B357,'Player Data'!$A1:$AE734,7,FALSE)*$Q357*_xlfn.IFERROR((VLOOKUP(P357,'Settings'!$E$28:$F$33,2,FALSE)+1),1)</f>
        <v>2.96440491285774</v>
      </c>
      <c r="T357" s="48">
        <f>VLOOKUP(B357,'Player Data'!$A1:$AE734,8,FALSE)*$Q357*_xlfn.IFERROR((VLOOKUP(P357,'Settings'!$E$28:$F$33,2,FALSE)+1),1)</f>
        <v>15.4659905493297</v>
      </c>
      <c r="U357" s="48">
        <f>SUM(S357:T357)</f>
        <v>18.4303954621874</v>
      </c>
      <c r="V357" s="48">
        <f>VLOOKUP(B357,'Player Data'!$A1:$AE734,10,FALSE)*$Q357*_xlfn.IFERROR(((VLOOKUP(P357,'Settings'!$E$28:$F$33,2,FALSE)/2)+1),1)</f>
        <v>99.88613950439699</v>
      </c>
      <c r="W357" s="48">
        <f>VLOOKUP(B357,'Player Data'!$A1:$AE734,11,FALSE)*$Q357*_xlfn.IFERROR((VLOOKUP(P357,'Settings'!$E$28:$F$33,2,FALSE)+1),1)</f>
        <v>0.122346462123054</v>
      </c>
      <c r="X357" s="48">
        <f>VLOOKUP(B357,'Player Data'!$A1:$AE734,12,FALSE)*$Q357*_xlfn.IFERROR((VLOOKUP(P357,'Settings'!$E$28:$F$33,2,FALSE)+1),1)</f>
        <v>0.534272358511147</v>
      </c>
      <c r="Y357" s="48">
        <f>VLOOKUP(B357,'Player Data'!$A1:$AE734,13,FALSE)*$Q357</f>
        <v>0.0271856576310206</v>
      </c>
      <c r="Z357" s="48">
        <f>VLOOKUP(B357,'Player Data'!$A1:$AE734,14,FALSE)*$Q357</f>
        <v>0.100268382981644</v>
      </c>
      <c r="AA357" s="48">
        <f>VLOOKUP(B357,'Player Data'!$A1:$AE734,15,FALSE)*$Q357</f>
        <v>116.750391693032</v>
      </c>
      <c r="AB357" s="48">
        <f>VLOOKUP(B357,'Player Data'!$A1:$AE734,16,FALSE)*$Q357</f>
        <v>103.412525676331</v>
      </c>
      <c r="AC357" s="48">
        <f>VLOOKUP(B357,'Player Data'!$A1:$AE734,17,FALSE)*$Q357*_xlfn.IFERROR((VLOOKUP(P357,'Settings'!$E$28:$F$33,2,FALSE)+1),1)</f>
        <v>-1.00903907661049</v>
      </c>
      <c r="AD357" s="48">
        <f>VLOOKUP(B357,'Player Data'!$A1:$AE734,18,FALSE)*$Q357</f>
        <v>39.4971009766991</v>
      </c>
      <c r="AE357" s="48">
        <f>VLOOKUP(B357,'Player Data'!$A1:$AE734,19,FALSE)*$Q357*_xlfn.IFERROR((VLOOKUP(P357,'Settings'!$E$28:$F$33,2,FALSE)+1),1)</f>
        <v>0.432880648552504</v>
      </c>
      <c r="AF357" s="48">
        <f>VLOOKUP(B357,'Player Data'!$A1:$AE734,20,FALSE)*$Q357</f>
        <v>0</v>
      </c>
      <c r="AG357" s="48">
        <f>VLOOKUP(B357,'Player Data'!$A1:$AE734,21,FALSE)*$Q357</f>
        <v>0</v>
      </c>
      <c r="AH357" s="49">
        <f>VLOOKUP(B357,'Player Data'!$A1:$AE734,22,FALSE)</f>
        <v>0</v>
      </c>
      <c r="AI357" s="46"/>
      <c r="AJ357" s="50"/>
      <c r="AK357" s="48"/>
      <c r="AL357" s="48"/>
      <c r="AM357" s="48"/>
      <c r="AN357" s="48"/>
      <c r="AO357" s="48"/>
      <c r="AP357" s="48"/>
      <c r="AQ357" s="51"/>
      <c r="AR357" s="52"/>
      <c r="AS357" s="46"/>
    </row>
    <row r="358" ht="21.25" customHeight="1">
      <c r="A358" s="53">
        <f>RANK(K358,K2:K730)</f>
        <v>395</v>
      </c>
      <c r="B358" t="s" s="8">
        <v>510</v>
      </c>
      <c r="C358" t="s" s="39">
        <v>106</v>
      </c>
      <c r="D358" t="s" s="40">
        <f>VLOOKUP(B358,'Player Data'!A1:D734,4,FALSE)</f>
        <v>129</v>
      </c>
      <c r="E358" s="56">
        <f>VLOOKUP(B358,'D'!A1:C228,3,FALSE)</f>
        <v>133</v>
      </c>
      <c r="F358" t="s" s="42">
        <f>VLOOKUP(B358,'Player Data'!A1:B734,2,FALSE)</f>
        <v>238</v>
      </c>
      <c r="G358" s="9">
        <f>VLOOKUP(B358,'Player Data'!A1:D734,3,FALSE)</f>
        <v>33</v>
      </c>
      <c r="H358" s="43">
        <f>_xlfn.IFERROR(VLOOKUP(B358,'ADP'!A1:G731,7,FALSE)/1000000,VLOOKUP(B358,'ADP'!A1:G731,7,FALSE))</f>
        <v>4.5</v>
      </c>
      <c r="I358" s="44">
        <f>IF('Settings'!$E$15="POINTS",((R358*Q358)*'Settings'!$B$12)+(S358*'Settings'!$B$2)+(T358*'Settings'!$B$3)+(U358*'Settings'!$B$4)+(V358*'Settings'!$B$5)+(X358*'Settings'!$B$9)+(AA358*'Settings'!$B$6)+(W358*'Settings'!$B$8)+(AB358*'Settings'!$B$7)+(AC358*'Settings'!$B$14)+(AD358*'Settings'!$B$15)+(AE358*'Settings'!$B$16)+(AF358*'Settings'!$B$17)+(AG358*'Settings'!$B$18)+(U358*'Settings'!$B$13)+(Y358*'Settings'!$B$10)+(Z358*'Settings'!$B$11),VLOOKUP(B358,'Standard Deviations'!A1:C731,3,FALSE))</f>
        <v>191.343556057860</v>
      </c>
      <c r="J358" s="45">
        <f>IF(D358="G",I358/AJ358,I358/Q358)</f>
        <v>2.55465361893004</v>
      </c>
      <c r="K358" s="44">
        <f>VLOOKUP(B358,'D'!A1:F228,6,FALSE)</f>
        <v>-149.391582588663</v>
      </c>
      <c r="L358" s="44">
        <f>_xlfn.IFERROR(K358/H358,"N/A")</f>
        <v>-33.1981294641473</v>
      </c>
      <c r="M358" t="s" s="61">
        <f>IF('Settings'!$E$9="YAHOO",VLOOKUP(B358,'ADP'!A1:E731,2,FALSE),IF('Settings'!$E$9="ESPN",VLOOKUP(B358,'ADP'!A1:E731,3,FALSE),IF('Settings'!$E$9="FANTRAX",VLOOKUP(B358,'ADP'!A1:E731,4,FALSE),VLOOKUP(B358,'ADP'!A1:E731,5,FALSE))))</f>
        <v>329</v>
      </c>
      <c r="N358" t="s" s="61">
        <f>_xlfn.IFERROR(M358-A358,"N/A")</f>
        <v>158</v>
      </c>
      <c r="O358" s="46"/>
      <c r="P358" t="s" s="47">
        <f>IF('Settings'!$E$27="ON",VLOOKUP(B358,'ADP'!A1:H731,8,FALSE)," ")</f>
        <v>109</v>
      </c>
      <c r="Q358" s="48">
        <f>IF('Settings'!$E$12="YES",VLOOKUP(B358,'Player Data'!A1:E734,5,FALSE),82)</f>
        <v>74.90000000000001</v>
      </c>
      <c r="R358" s="46">
        <f>VLOOKUP(B358,'Player Data'!$A1:$AE734,6,FALSE)</f>
        <v>19.8791305522983</v>
      </c>
      <c r="S358" s="48">
        <f>VLOOKUP(B358,'Player Data'!$A1:$AE734,7,FALSE)*$Q358*_xlfn.IFERROR((VLOOKUP(P358,'Settings'!$E$28:$F$33,2,FALSE)+1),1)</f>
        <v>3.15695506281009</v>
      </c>
      <c r="T358" s="48">
        <f>VLOOKUP(B358,'Player Data'!$A1:$AE734,8,FALSE)*$Q358*_xlfn.IFERROR((VLOOKUP(P358,'Settings'!$E$28:$F$33,2,FALSE)+1),1)</f>
        <v>15.7250618393889</v>
      </c>
      <c r="U358" s="48">
        <f>SUM(S358:T358)</f>
        <v>18.882016902199</v>
      </c>
      <c r="V358" s="48">
        <f>VLOOKUP(B358,'Player Data'!$A1:$AE734,10,FALSE)*$Q358*_xlfn.IFERROR(((VLOOKUP(P358,'Settings'!$E$28:$F$33,2,FALSE)/2)+1),1)</f>
        <v>86.2721890373832</v>
      </c>
      <c r="W358" s="48">
        <f>VLOOKUP(B358,'Player Data'!$A1:$AE734,11,FALSE)*$Q358*_xlfn.IFERROR((VLOOKUP(P358,'Settings'!$E$28:$F$33,2,FALSE)+1),1)</f>
        <v>0.0623960763623072</v>
      </c>
      <c r="X358" s="48">
        <f>VLOOKUP(B358,'Player Data'!$A1:$AE734,12,FALSE)*$Q358*_xlfn.IFERROR((VLOOKUP(P358,'Settings'!$E$28:$F$33,2,FALSE)+1),1)</f>
        <v>0.680528492133412</v>
      </c>
      <c r="Y358" s="48">
        <f>VLOOKUP(B358,'Player Data'!$A1:$AE734,13,FALSE)*$Q358</f>
        <v>0.0192257162446032</v>
      </c>
      <c r="Z358" s="48">
        <f>VLOOKUP(B358,'Player Data'!$A1:$AE734,14,FALSE)*$Q358</f>
        <v>0.109509661248195</v>
      </c>
      <c r="AA358" s="48">
        <f>VLOOKUP(B358,'Player Data'!$A1:$AE734,15,FALSE)*$Q358</f>
        <v>139.670752116189</v>
      </c>
      <c r="AB358" s="48">
        <f>VLOOKUP(B358,'Player Data'!$A1:$AE734,16,FALSE)*$Q358</f>
        <v>67.0863314310605</v>
      </c>
      <c r="AC358" s="48">
        <f>VLOOKUP(B358,'Player Data'!$A1:$AE734,17,FALSE)*$Q358*_xlfn.IFERROR((VLOOKUP(P358,'Settings'!$E$28:$F$33,2,FALSE)+1),1)</f>
        <v>4.15488869490127</v>
      </c>
      <c r="AD358" s="48">
        <f>VLOOKUP(B358,'Player Data'!$A1:$AE734,18,FALSE)*$Q358</f>
        <v>22.1981495467242</v>
      </c>
      <c r="AE358" s="48">
        <f>VLOOKUP(B358,'Player Data'!$A1:$AE734,19,FALSE)*$Q358*_xlfn.IFERROR((VLOOKUP(P358,'Settings'!$E$28:$F$33,2,FALSE)+1),1)</f>
        <v>0.5275216665156111</v>
      </c>
      <c r="AF358" s="48">
        <f>VLOOKUP(B358,'Player Data'!$A1:$AE734,20,FALSE)*$Q358</f>
        <v>0</v>
      </c>
      <c r="AG358" s="48">
        <f>VLOOKUP(B358,'Player Data'!$A1:$AE734,21,FALSE)*$Q358</f>
        <v>0</v>
      </c>
      <c r="AH358" s="49">
        <f>VLOOKUP(B358,'Player Data'!$A1:$AE734,22,FALSE)</f>
        <v>0</v>
      </c>
      <c r="AI358" s="46"/>
      <c r="AJ358" s="50"/>
      <c r="AK358" s="48"/>
      <c r="AL358" s="48"/>
      <c r="AM358" s="48"/>
      <c r="AN358" s="48"/>
      <c r="AO358" s="48"/>
      <c r="AP358" s="48"/>
      <c r="AQ358" s="51"/>
      <c r="AR358" s="52"/>
      <c r="AS358" s="46"/>
    </row>
    <row r="359" ht="21.25" customHeight="1">
      <c r="A359" s="53">
        <f>RANK(K359,K2:K730)</f>
        <v>367</v>
      </c>
      <c r="B359" t="s" s="8">
        <v>511</v>
      </c>
      <c r="C359" t="s" s="39">
        <v>106</v>
      </c>
      <c r="D359" t="s" s="40">
        <f>VLOOKUP(B359,'Player Data'!A1:D734,4,FALSE)</f>
        <v>129</v>
      </c>
      <c r="E359" s="56">
        <f>VLOOKUP(B359,'D'!A1:C228,3,FALSE)</f>
        <v>118</v>
      </c>
      <c r="F359" t="s" s="42">
        <f>VLOOKUP(B359,'Player Data'!A1:B734,2,FALSE)</f>
        <v>173</v>
      </c>
      <c r="G359" s="9">
        <f>VLOOKUP(B359,'Player Data'!A1:D734,3,FALSE)</f>
        <v>33</v>
      </c>
      <c r="H359" s="43">
        <f>_xlfn.IFERROR(VLOOKUP(B359,'ADP'!A1:G731,7,FALSE)/1000000,VLOOKUP(B359,'ADP'!A1:G731,7,FALSE))</f>
        <v>1.1</v>
      </c>
      <c r="I359" s="44">
        <f>IF('Settings'!$E$15="POINTS",((R359*Q359)*'Settings'!$B$12)+(S359*'Settings'!$B$2)+(T359*'Settings'!$B$3)+(U359*'Settings'!$B$4)+(V359*'Settings'!$B$5)+(X359*'Settings'!$B$9)+(AA359*'Settings'!$B$6)+(W359*'Settings'!$B$8)+(AB359*'Settings'!$B$7)+(AC359*'Settings'!$B$14)+(AD359*'Settings'!$B$15)+(AE359*'Settings'!$B$16)+(AF359*'Settings'!$B$17)+(AG359*'Settings'!$B$18)+(U359*'Settings'!$B$13)+(Y359*'Settings'!$B$10)+(Z359*'Settings'!$B$11),VLOOKUP(B359,'Standard Deviations'!A1:C731,3,FALSE))</f>
        <v>201.610811263108</v>
      </c>
      <c r="J359" s="45">
        <f>IF(D359="G",I359/AJ359,I359/Q359)</f>
        <v>2.76978691691626</v>
      </c>
      <c r="K359" s="44">
        <f>VLOOKUP(B359,'D'!A1:F228,6,FALSE)</f>
        <v>-139.124327383415</v>
      </c>
      <c r="L359" s="44">
        <f>_xlfn.IFERROR(K359/H359,"N/A")</f>
        <v>-126.476661257650</v>
      </c>
      <c r="M359" s="46">
        <f>IF('Settings'!$E$9="YAHOO",VLOOKUP(B359,'ADP'!A1:E731,2,FALSE),IF('Settings'!$E$9="ESPN",VLOOKUP(B359,'ADP'!A1:E731,3,FALSE),IF('Settings'!$E$9="FANTRAX",VLOOKUP(B359,'ADP'!A1:E731,4,FALSE),VLOOKUP(B359,'ADP'!A1:E731,5,FALSE))))</f>
        <v>1224.6</v>
      </c>
      <c r="N359" s="46">
        <f>_xlfn.IFERROR(M359-A359,"N/A")</f>
        <v>857.6</v>
      </c>
      <c r="O359" s="46"/>
      <c r="P359" t="s" s="47">
        <f>IF('Settings'!$E$27="ON",VLOOKUP(B359,'ADP'!A1:H731,8,FALSE)," ")</f>
        <v>109</v>
      </c>
      <c r="Q359" s="48">
        <f>IF('Settings'!$E$12="YES",VLOOKUP(B359,'Player Data'!A1:E734,5,FALSE),82)</f>
        <v>72.7892857142857</v>
      </c>
      <c r="R359" s="46">
        <f>VLOOKUP(B359,'Player Data'!$A1:$AE734,6,FALSE)</f>
        <v>17.3739744120479</v>
      </c>
      <c r="S359" s="48">
        <f>VLOOKUP(B359,'Player Data'!$A1:$AE734,7,FALSE)*$Q359*_xlfn.IFERROR((VLOOKUP(P359,'Settings'!$E$28:$F$33,2,FALSE)+1),1)</f>
        <v>4.38453020766612</v>
      </c>
      <c r="T359" s="48">
        <f>VLOOKUP(B359,'Player Data'!$A1:$AE734,8,FALSE)*$Q359*_xlfn.IFERROR((VLOOKUP(P359,'Settings'!$E$28:$F$33,2,FALSE)+1),1)</f>
        <v>10.759781072769</v>
      </c>
      <c r="U359" s="48">
        <f>SUM(S359:T359)</f>
        <v>15.1443112804351</v>
      </c>
      <c r="V359" s="48">
        <f>VLOOKUP(B359,'Player Data'!$A1:$AE734,10,FALSE)*$Q359*_xlfn.IFERROR(((VLOOKUP(P359,'Settings'!$E$28:$F$33,2,FALSE)/2)+1),1)</f>
        <v>115.472936464627</v>
      </c>
      <c r="W359" s="48">
        <f>VLOOKUP(B359,'Player Data'!$A1:$AE734,11,FALSE)*$Q359*_xlfn.IFERROR((VLOOKUP(P359,'Settings'!$E$28:$F$33,2,FALSE)+1),1)</f>
        <v>0.021797073494086</v>
      </c>
      <c r="X359" s="48">
        <f>VLOOKUP(B359,'Player Data'!$A1:$AE734,12,FALSE)*$Q359*_xlfn.IFERROR((VLOOKUP(P359,'Settings'!$E$28:$F$33,2,FALSE)+1),1)</f>
        <v>0.224168637886913</v>
      </c>
      <c r="Y359" s="48">
        <f>VLOOKUP(B359,'Player Data'!$A1:$AE734,13,FALSE)*$Q359</f>
        <v>0.0264487505593755</v>
      </c>
      <c r="Z359" s="48">
        <f>VLOOKUP(B359,'Player Data'!$A1:$AE734,14,FALSE)*$Q359</f>
        <v>1.21094802153278</v>
      </c>
      <c r="AA359" s="48">
        <f>VLOOKUP(B359,'Player Data'!$A1:$AE734,15,FALSE)*$Q359</f>
        <v>127.084235812639</v>
      </c>
      <c r="AB359" s="48">
        <f>VLOOKUP(B359,'Player Data'!$A1:$AE734,16,FALSE)*$Q359</f>
        <v>103.602399714418</v>
      </c>
      <c r="AC359" s="48">
        <f>VLOOKUP(B359,'Player Data'!$A1:$AE734,17,FALSE)*$Q359*_xlfn.IFERROR((VLOOKUP(P359,'Settings'!$E$28:$F$33,2,FALSE)+1),1)</f>
        <v>-0.524944210691868</v>
      </c>
      <c r="AD359" s="48">
        <f>VLOOKUP(B359,'Player Data'!$A1:$AE734,18,FALSE)*$Q359</f>
        <v>43.5662073261007</v>
      </c>
      <c r="AE359" s="48">
        <f>VLOOKUP(B359,'Player Data'!$A1:$AE734,19,FALSE)*$Q359*_xlfn.IFERROR((VLOOKUP(P359,'Settings'!$E$28:$F$33,2,FALSE)+1),1)</f>
        <v>0.6593715570362499</v>
      </c>
      <c r="AF359" s="48">
        <f>VLOOKUP(B359,'Player Data'!$A1:$AE734,20,FALSE)*$Q359</f>
        <v>0</v>
      </c>
      <c r="AG359" s="48">
        <f>VLOOKUP(B359,'Player Data'!$A1:$AE734,21,FALSE)*$Q359</f>
        <v>0.152224513111808</v>
      </c>
      <c r="AH359" s="49">
        <f>VLOOKUP(B359,'Player Data'!$A1:$AE734,22,FALSE)</f>
        <v>0</v>
      </c>
      <c r="AI359" s="46"/>
      <c r="AJ359" s="50"/>
      <c r="AK359" s="48"/>
      <c r="AL359" s="48"/>
      <c r="AM359" s="48"/>
      <c r="AN359" s="48"/>
      <c r="AO359" s="48"/>
      <c r="AP359" s="48"/>
      <c r="AQ359" s="51"/>
      <c r="AR359" s="52"/>
      <c r="AS359" s="46"/>
    </row>
    <row r="360" ht="21.25" customHeight="1">
      <c r="A360" s="53">
        <f>RANK(K360,K2:K730)</f>
        <v>407</v>
      </c>
      <c r="B360" t="s" s="8">
        <v>512</v>
      </c>
      <c r="C360" t="s" s="39">
        <v>106</v>
      </c>
      <c r="D360" t="s" s="40">
        <f>VLOOKUP(B360,'Player Data'!A1:D734,4,FALSE)</f>
        <v>187</v>
      </c>
      <c r="E360" s="54">
        <f>VLOOKUP(B360,'RW'!A1:F132,3,FALSE)</f>
        <v>82</v>
      </c>
      <c r="F360" t="s" s="42">
        <f>VLOOKUP(B360,'Player Data'!A1:B734,2,FALSE)</f>
        <v>170</v>
      </c>
      <c r="G360" s="9">
        <f>VLOOKUP(B360,'Player Data'!A1:D734,3,FALSE)</f>
        <v>31</v>
      </c>
      <c r="H360" s="43">
        <f>_xlfn.IFERROR(VLOOKUP(B360,'ADP'!A1:G731,7,FALSE)/1000000,VLOOKUP(B360,'ADP'!A1:G731,7,FALSE))</f>
        <v>5</v>
      </c>
      <c r="I360" s="44">
        <f>IF('Settings'!$E$15="POINTS",((R360*Q360)*'Settings'!$B$12)+(S360*'Settings'!$B$2)+(T360*'Settings'!$B$3)+(U360*'Settings'!$B$4)+(V360*'Settings'!$B$5)+(X360*'Settings'!$B$9)+(AA360*'Settings'!$B$6)+(W360*'Settings'!$B$8)+(AB360*'Settings'!$B$7)+(AC360*'Settings'!$B$14)+(AD360*'Settings'!$B$15)+(AE360*'Settings'!$B$16)+(AF360*'Settings'!$B$17)+(AG360*'Settings'!$B$18)+(Y360*'Settings'!$B$10)+(Z360*'Settings'!$B$11),VLOOKUP(B360,'Standard Deviations'!A1:C731,3,FALSE))</f>
        <v>229.213799750828</v>
      </c>
      <c r="J360" s="45">
        <f>IF(D360="G",I360/AJ360,I360/Q360)</f>
        <v>2.84771751408695</v>
      </c>
      <c r="K360" s="44">
        <f>IF('Settings'!$E$18="C/LW/RW",VLOOKUP(B360,'RW'!A1:F132,6,FALSE),VLOOKUP(B360,'F'!A1:F432,6,FALSE))</f>
        <v>-152.414763955528</v>
      </c>
      <c r="L360" s="44">
        <f>_xlfn.IFERROR(K360/H360,"N/A")</f>
        <v>-30.4829527911056</v>
      </c>
      <c r="M360" t="s" s="61">
        <f>IF('Settings'!$E$9="YAHOO",VLOOKUP(B360,'ADP'!A1:E731,2,FALSE),IF('Settings'!$E$9="ESPN",VLOOKUP(B360,'ADP'!A1:E731,3,FALSE),IF('Settings'!$E$9="FANTRAX",VLOOKUP(B360,'ADP'!A1:E731,4,FALSE),VLOOKUP(B360,'ADP'!A1:E731,5,FALSE))))</f>
        <v>329</v>
      </c>
      <c r="N360" t="s" s="61">
        <f>_xlfn.IFERROR(M360-A360,"N/A")</f>
        <v>158</v>
      </c>
      <c r="O360" s="46"/>
      <c r="P360" t="s" s="47">
        <f>IF('Settings'!$E$27="ON",VLOOKUP(B360,'ADP'!A1:H731,8,FALSE)," ")</f>
        <v>109</v>
      </c>
      <c r="Q360" s="48">
        <f>IF('Settings'!$E$12="YES",VLOOKUP(B360,'Player Data'!A1:E734,5,FALSE),82)</f>
        <v>80.49035714285711</v>
      </c>
      <c r="R360" s="46">
        <f>VLOOKUP(B360,'Player Data'!$A1:$AE734,6,FALSE)</f>
        <v>16.1211501967687</v>
      </c>
      <c r="S360" s="48">
        <f>VLOOKUP(B360,'Player Data'!$A1:$AE734,7,FALSE)*$Q360*_xlfn.IFERROR((VLOOKUP(P360,'Settings'!$E$28:$F$33,2,FALSE)+1),1)</f>
        <v>10.0597391654375</v>
      </c>
      <c r="T360" s="48">
        <f>VLOOKUP(B360,'Player Data'!$A1:$AE734,8,FALSE)*$Q360*_xlfn.IFERROR((VLOOKUP(P360,'Settings'!$E$28:$F$33,2,FALSE)+1),1)</f>
        <v>28.3604351907985</v>
      </c>
      <c r="U360" s="48">
        <f>SUM(S360:T360)</f>
        <v>38.420174356236</v>
      </c>
      <c r="V360" s="48">
        <f>VLOOKUP(B360,'Player Data'!$A1:$AE734,10,FALSE)*$Q360*_xlfn.IFERROR(((VLOOKUP(P360,'Settings'!$E$28:$F$33,2,FALSE)/2)+1),1)</f>
        <v>109.216557360376</v>
      </c>
      <c r="W360" s="48">
        <f>VLOOKUP(B360,'Player Data'!$A1:$AE734,11,FALSE)*$Q360*_xlfn.IFERROR((VLOOKUP(P360,'Settings'!$E$28:$F$33,2,FALSE)+1),1)</f>
        <v>1.40238495792443</v>
      </c>
      <c r="X360" s="48">
        <f>VLOOKUP(B360,'Player Data'!$A1:$AE734,12,FALSE)*$Q360*_xlfn.IFERROR((VLOOKUP(P360,'Settings'!$E$28:$F$33,2,FALSE)+1),1)</f>
        <v>8.391956189621601</v>
      </c>
      <c r="Y360" s="48">
        <f>VLOOKUP(B360,'Player Data'!$A1:$AE734,13,FALSE)*$Q360</f>
        <v>0.0593555361222372</v>
      </c>
      <c r="Z360" s="48">
        <f>VLOOKUP(B360,'Player Data'!$A1:$AE734,14,FALSE)*$Q360</f>
        <v>0.114898309725436</v>
      </c>
      <c r="AA360" s="48">
        <f>VLOOKUP(B360,'Player Data'!$A1:$AE734,15,FALSE)*$Q360</f>
        <v>49.6938542280227</v>
      </c>
      <c r="AB360" s="48">
        <f>VLOOKUP(B360,'Player Data'!$A1:$AE734,16,FALSE)*$Q360</f>
        <v>76.7146620812544</v>
      </c>
      <c r="AC360" s="48">
        <f>VLOOKUP(B360,'Player Data'!$A1:$AE734,17,FALSE)*$Q360*_xlfn.IFERROR((VLOOKUP(P360,'Settings'!$E$28:$F$33,2,FALSE)+1),1)</f>
        <v>-0.560121982426325</v>
      </c>
      <c r="AD360" s="48">
        <f>VLOOKUP(B360,'Player Data'!$A1:$AE734,18,FALSE)*$Q360</f>
        <v>23.0285523000264</v>
      </c>
      <c r="AE360" s="48">
        <f>VLOOKUP(B360,'Player Data'!$A1:$AE734,19,FALSE)*$Q360*_xlfn.IFERROR((VLOOKUP(P360,'Settings'!$E$28:$F$33,2,FALSE)+1),1)</f>
        <v>1.61478956652889</v>
      </c>
      <c r="AF360" s="48">
        <f>VLOOKUP(B360,'Player Data'!$A1:$AE734,20,FALSE)*$Q360</f>
        <v>227.643410385222</v>
      </c>
      <c r="AG360" s="48">
        <f>VLOOKUP(B360,'Player Data'!$A1:$AE734,21,FALSE)*$Q360</f>
        <v>257.999411485591</v>
      </c>
      <c r="AH360" s="49">
        <f>VLOOKUP(B360,'Player Data'!$A1:$AE734,22,FALSE)</f>
        <v>0.468746576976644</v>
      </c>
      <c r="AI360" s="46"/>
      <c r="AJ360" s="50"/>
      <c r="AK360" s="48"/>
      <c r="AL360" s="48"/>
      <c r="AM360" s="48"/>
      <c r="AN360" s="48"/>
      <c r="AO360" s="48"/>
      <c r="AP360" s="48"/>
      <c r="AQ360" s="51"/>
      <c r="AR360" s="52"/>
      <c r="AS360" s="46"/>
    </row>
    <row r="361" ht="21.25" customHeight="1">
      <c r="A361" s="53">
        <f>RANK(K361,K2:K730)</f>
        <v>365</v>
      </c>
      <c r="B361" t="s" s="8">
        <v>513</v>
      </c>
      <c r="C361" t="s" s="39">
        <v>106</v>
      </c>
      <c r="D361" t="s" s="40">
        <f>VLOOKUP(B361,'Player Data'!A1:D734,4,FALSE)</f>
        <v>133</v>
      </c>
      <c r="E361" s="57">
        <f>VLOOKUP(B361,'LW'!A1:C156,3,FALSE)</f>
        <v>84</v>
      </c>
      <c r="F361" t="s" s="42">
        <f>VLOOKUP(B361,'Player Data'!A1:B734,2,FALSE)</f>
        <v>131</v>
      </c>
      <c r="G361" s="9">
        <f>VLOOKUP(B361,'Player Data'!A1:D734,3,FALSE)</f>
        <v>33</v>
      </c>
      <c r="H361" s="43">
        <f>_xlfn.IFERROR(VLOOKUP(B361,'ADP'!A1:G731,7,FALSE)/1000000,VLOOKUP(B361,'ADP'!A1:G731,7,FALSE))</f>
        <v>3.185</v>
      </c>
      <c r="I361" s="44">
        <f>IF('Settings'!$E$15="POINTS",((R361*Q361)*'Settings'!$B$12)+(S361*'Settings'!$B$2)+(T361*'Settings'!$B$3)+(U361*'Settings'!$B$4)+(V361*'Settings'!$B$5)+(X361*'Settings'!$B$9)+(AA361*'Settings'!$B$6)+(W361*'Settings'!$B$8)+(AB361*'Settings'!$B$7)+(AC361*'Settings'!$B$14)+(AD361*'Settings'!$B$15)+(AE361*'Settings'!$B$16)+(AF361*'Settings'!$B$17)+(AG361*'Settings'!$B$18)+(Y361*'Settings'!$B$10)+(Z361*'Settings'!$B$11),VLOOKUP(B361,'Standard Deviations'!A1:C731,3,FALSE))</f>
        <v>242.896203004053</v>
      </c>
      <c r="J361" s="45">
        <f>IF(D361="G",I361/AJ361,I361/Q361)</f>
        <v>3.23742898276036</v>
      </c>
      <c r="K361" s="44">
        <f>IF('Settings'!$E$18="C/LW/RW",VLOOKUP(B361,'LW'!A1:F156,6,FALSE),VLOOKUP(B361,'F'!A1:F432,6,FALSE))</f>
        <v>-138.732360702303</v>
      </c>
      <c r="L361" s="44">
        <f>_xlfn.IFERROR(K361/H361,"N/A")</f>
        <v>-43.5580410368298</v>
      </c>
      <c r="M361" t="s" s="61">
        <f>IF('Settings'!$E$9="YAHOO",VLOOKUP(B361,'ADP'!A1:E731,2,FALSE),IF('Settings'!$E$9="ESPN",VLOOKUP(B361,'ADP'!A1:E731,3,FALSE),IF('Settings'!$E$9="FANTRAX",VLOOKUP(B361,'ADP'!A1:E731,4,FALSE),VLOOKUP(B361,'ADP'!A1:E731,5,FALSE))))</f>
        <v>329</v>
      </c>
      <c r="N361" t="s" s="61">
        <f>_xlfn.IFERROR(M361-A361,"N/A")</f>
        <v>158</v>
      </c>
      <c r="O361" s="46"/>
      <c r="P361" t="s" s="47">
        <f>IF('Settings'!$E$27="ON",VLOOKUP(B361,'ADP'!A1:H731,8,FALSE)," ")</f>
        <v>109</v>
      </c>
      <c r="Q361" s="48">
        <f>IF('Settings'!$E$12="YES",VLOOKUP(B361,'Player Data'!A1:E734,5,FALSE),82)</f>
        <v>75.0275</v>
      </c>
      <c r="R361" s="46">
        <f>VLOOKUP(B361,'Player Data'!$A1:$AE734,6,FALSE)</f>
        <v>16.6429271501802</v>
      </c>
      <c r="S361" s="48">
        <f>VLOOKUP(B361,'Player Data'!$A1:$AE734,7,FALSE)*$Q361*_xlfn.IFERROR((VLOOKUP(P361,'Settings'!$E$28:$F$33,2,FALSE)+1),1)</f>
        <v>14.1185302418411</v>
      </c>
      <c r="T361" s="48">
        <f>VLOOKUP(B361,'Player Data'!$A1:$AE734,8,FALSE)*$Q361*_xlfn.IFERROR((VLOOKUP(P361,'Settings'!$E$28:$F$33,2,FALSE)+1),1)</f>
        <v>25.2166769443896</v>
      </c>
      <c r="U361" s="48">
        <f>SUM(S361:T361)</f>
        <v>39.3352071862307</v>
      </c>
      <c r="V361" s="48">
        <f>VLOOKUP(B361,'Player Data'!$A1:$AE734,10,FALSE)*$Q361*_xlfn.IFERROR(((VLOOKUP(P361,'Settings'!$E$28:$F$33,2,FALSE)/2)+1),1)</f>
        <v>133.485721473174</v>
      </c>
      <c r="W361" s="48">
        <f>VLOOKUP(B361,'Player Data'!$A1:$AE734,11,FALSE)*$Q361*_xlfn.IFERROR((VLOOKUP(P361,'Settings'!$E$28:$F$33,2,FALSE)+1),1)</f>
        <v>1.84589001875365</v>
      </c>
      <c r="X361" s="48">
        <f>VLOOKUP(B361,'Player Data'!$A1:$AE734,12,FALSE)*$Q361*_xlfn.IFERROR((VLOOKUP(P361,'Settings'!$E$28:$F$33,2,FALSE)+1),1)</f>
        <v>5.2873566862174</v>
      </c>
      <c r="Y361" s="48">
        <f>VLOOKUP(B361,'Player Data'!$A1:$AE734,13,FALSE)*$Q361</f>
        <v>1.57638934197272</v>
      </c>
      <c r="Z361" s="48">
        <f>VLOOKUP(B361,'Player Data'!$A1:$AE734,14,FALSE)*$Q361</f>
        <v>1.7186478686152</v>
      </c>
      <c r="AA361" s="48">
        <f>VLOOKUP(B361,'Player Data'!$A1:$AE734,15,FALSE)*$Q361</f>
        <v>41.0496420845417</v>
      </c>
      <c r="AB361" s="48">
        <f>VLOOKUP(B361,'Player Data'!$A1:$AE734,16,FALSE)*$Q361</f>
        <v>52.031234266042</v>
      </c>
      <c r="AC361" s="48">
        <f>VLOOKUP(B361,'Player Data'!$A1:$AE734,17,FALSE)*$Q361*_xlfn.IFERROR((VLOOKUP(P361,'Settings'!$E$28:$F$33,2,FALSE)+1),1)</f>
        <v>-1.76338374524184</v>
      </c>
      <c r="AD361" s="48">
        <f>VLOOKUP(B361,'Player Data'!$A1:$AE734,18,FALSE)*$Q361</f>
        <v>24.275651467633</v>
      </c>
      <c r="AE361" s="48">
        <f>VLOOKUP(B361,'Player Data'!$A1:$AE734,19,FALSE)*$Q361*_xlfn.IFERROR((VLOOKUP(P361,'Settings'!$E$28:$F$33,2,FALSE)+1),1)</f>
        <v>2.06167467244027</v>
      </c>
      <c r="AF361" s="48">
        <f>VLOOKUP(B361,'Player Data'!$A1:$AE734,20,FALSE)*$Q361</f>
        <v>18.0481881322477</v>
      </c>
      <c r="AG361" s="48">
        <f>VLOOKUP(B361,'Player Data'!$A1:$AE734,21,FALSE)*$Q361</f>
        <v>21.6830306467408</v>
      </c>
      <c r="AH361" s="49">
        <f>VLOOKUP(B361,'Player Data'!$A1:$AE734,22,FALSE)</f>
        <v>0.45425709774079</v>
      </c>
      <c r="AI361" s="46"/>
      <c r="AJ361" s="50"/>
      <c r="AK361" s="48"/>
      <c r="AL361" s="48"/>
      <c r="AM361" s="48"/>
      <c r="AN361" s="48"/>
      <c r="AO361" s="48"/>
      <c r="AP361" s="48"/>
      <c r="AQ361" s="51"/>
      <c r="AR361" s="52"/>
      <c r="AS361" s="46"/>
    </row>
    <row r="362" ht="21.25" customHeight="1">
      <c r="A362" s="53">
        <f>RANK(K362,K2:K730)</f>
        <v>397</v>
      </c>
      <c r="B362" t="s" s="8">
        <v>514</v>
      </c>
      <c r="C362" t="s" s="39">
        <v>106</v>
      </c>
      <c r="D362" t="s" s="40">
        <f>VLOOKUP(B362,'Player Data'!A1:D734,4,FALSE)</f>
        <v>133</v>
      </c>
      <c r="E362" s="57">
        <f>VLOOKUP(B362,'LW'!A1:C156,3,FALSE)</f>
        <v>92</v>
      </c>
      <c r="F362" t="s" s="42">
        <f>VLOOKUP(B362,'Player Data'!A1:B734,2,FALSE)</f>
        <v>122</v>
      </c>
      <c r="G362" s="9">
        <f>VLOOKUP(B362,'Player Data'!A1:D734,3,FALSE)</f>
        <v>34</v>
      </c>
      <c r="H362" s="43">
        <f>_xlfn.IFERROR(VLOOKUP(B362,'ADP'!A1:G731,7,FALSE)/1000000,VLOOKUP(B362,'ADP'!A1:G731,7,FALSE))</f>
        <v>1</v>
      </c>
      <c r="I362" s="44">
        <f>IF('Settings'!$E$15="POINTS",((R362*Q362)*'Settings'!$B$12)+(S362*'Settings'!$B$2)+(T362*'Settings'!$B$3)+(U362*'Settings'!$B$4)+(V362*'Settings'!$B$5)+(X362*'Settings'!$B$9)+(AA362*'Settings'!$B$6)+(W362*'Settings'!$B$8)+(AB362*'Settings'!$B$7)+(AC362*'Settings'!$B$14)+(AD362*'Settings'!$B$15)+(AE362*'Settings'!$B$16)+(AF362*'Settings'!$B$17)+(AG362*'Settings'!$B$18)+(Y362*'Settings'!$B$10)+(Z362*'Settings'!$B$11),VLOOKUP(B362,'Standard Deviations'!A1:C731,3,FALSE))</f>
        <v>231.502187232761</v>
      </c>
      <c r="J362" s="45">
        <f>IF(D362="G",I362/AJ362,I362/Q362)</f>
        <v>2.95651080403258</v>
      </c>
      <c r="K362" s="44">
        <f>IF('Settings'!$E$18="C/LW/RW",VLOOKUP(B362,'LW'!A1:F156,6,FALSE),VLOOKUP(B362,'F'!A1:F432,6,FALSE))</f>
        <v>-150.126376473595</v>
      </c>
      <c r="L362" s="44">
        <f>_xlfn.IFERROR(K362/H362,"N/A")</f>
        <v>-150.126376473595</v>
      </c>
      <c r="M362" t="s" s="61">
        <f>IF('Settings'!$E$9="YAHOO",VLOOKUP(B362,'ADP'!A1:E731,2,FALSE),IF('Settings'!$E$9="ESPN",VLOOKUP(B362,'ADP'!A1:E731,3,FALSE),IF('Settings'!$E$9="FANTRAX",VLOOKUP(B362,'ADP'!A1:E731,4,FALSE),VLOOKUP(B362,'ADP'!A1:E731,5,FALSE))))</f>
        <v>329</v>
      </c>
      <c r="N362" t="s" s="61">
        <f>_xlfn.IFERROR(M362-A362,"N/A")</f>
        <v>158</v>
      </c>
      <c r="O362" s="46"/>
      <c r="P362" t="s" s="47">
        <f>IF('Settings'!$E$27="ON",VLOOKUP(B362,'ADP'!A1:H731,8,FALSE)," ")</f>
        <v>109</v>
      </c>
      <c r="Q362" s="48">
        <f>IF('Settings'!$E$12="YES",VLOOKUP(B362,'Player Data'!A1:E734,5,FALSE),82)</f>
        <v>78.30249999999999</v>
      </c>
      <c r="R362" s="46">
        <f>VLOOKUP(B362,'Player Data'!$A1:$AE734,6,FALSE)</f>
        <v>15.3075794547175</v>
      </c>
      <c r="S362" s="48">
        <f>VLOOKUP(B362,'Player Data'!$A1:$AE734,7,FALSE)*$Q362*_xlfn.IFERROR((VLOOKUP(P362,'Settings'!$E$28:$F$33,2,FALSE)+1),1)</f>
        <v>16.6545312454795</v>
      </c>
      <c r="T362" s="48">
        <f>VLOOKUP(B362,'Player Data'!$A1:$AE734,8,FALSE)*$Q362*_xlfn.IFERROR((VLOOKUP(P362,'Settings'!$E$28:$F$33,2,FALSE)+1),1)</f>
        <v>18.4749482262192</v>
      </c>
      <c r="U362" s="48">
        <f>SUM(S362:T362)</f>
        <v>35.1294794716987</v>
      </c>
      <c r="V362" s="48">
        <f>VLOOKUP(B362,'Player Data'!$A1:$AE734,10,FALSE)*$Q362*_xlfn.IFERROR(((VLOOKUP(P362,'Settings'!$E$28:$F$33,2,FALSE)/2)+1),1)</f>
        <v>158.038745931083</v>
      </c>
      <c r="W362" s="48">
        <f>VLOOKUP(B362,'Player Data'!$A1:$AE734,11,FALSE)*$Q362*_xlfn.IFERROR((VLOOKUP(P362,'Settings'!$E$28:$F$33,2,FALSE)+1),1)</f>
        <v>4.89795579839293</v>
      </c>
      <c r="X362" s="48">
        <f>VLOOKUP(B362,'Player Data'!$A1:$AE734,12,FALSE)*$Q362*_xlfn.IFERROR((VLOOKUP(P362,'Settings'!$E$28:$F$33,2,FALSE)+1),1)</f>
        <v>6.94091895470245</v>
      </c>
      <c r="Y362" s="48">
        <f>VLOOKUP(B362,'Player Data'!$A1:$AE734,13,FALSE)*$Q362</f>
        <v>0.00234895732387377</v>
      </c>
      <c r="Z362" s="48">
        <f>VLOOKUP(B362,'Player Data'!$A1:$AE734,14,FALSE)*$Q362</f>
        <v>0.00432349850058431</v>
      </c>
      <c r="AA362" s="48">
        <f>VLOOKUP(B362,'Player Data'!$A1:$AE734,15,FALSE)*$Q362</f>
        <v>26.0988234834315</v>
      </c>
      <c r="AB362" s="48">
        <f>VLOOKUP(B362,'Player Data'!$A1:$AE734,16,FALSE)*$Q362</f>
        <v>36.2180809807498</v>
      </c>
      <c r="AC362" s="48">
        <f>VLOOKUP(B362,'Player Data'!$A1:$AE734,17,FALSE)*$Q362*_xlfn.IFERROR((VLOOKUP(P362,'Settings'!$E$28:$F$33,2,FALSE)+1),1)</f>
        <v>3.86141097648082</v>
      </c>
      <c r="AD362" s="48">
        <f>VLOOKUP(B362,'Player Data'!$A1:$AE734,18,FALSE)*$Q362</f>
        <v>27.3900293415637</v>
      </c>
      <c r="AE362" s="48">
        <f>VLOOKUP(B362,'Player Data'!$A1:$AE734,19,FALSE)*$Q362*_xlfn.IFERROR((VLOOKUP(P362,'Settings'!$E$28:$F$33,2,FALSE)+1),1)</f>
        <v>2.79596804526019</v>
      </c>
      <c r="AF362" s="48">
        <f>VLOOKUP(B362,'Player Data'!$A1:$AE734,20,FALSE)*$Q362</f>
        <v>9.012053891273251</v>
      </c>
      <c r="AG362" s="48">
        <f>VLOOKUP(B362,'Player Data'!$A1:$AE734,21,FALSE)*$Q362</f>
        <v>10.386720554505</v>
      </c>
      <c r="AH362" s="49">
        <f>VLOOKUP(B362,'Player Data'!$A1:$AE734,22,FALSE)</f>
        <v>0.464568208494974</v>
      </c>
      <c r="AI362" s="46"/>
      <c r="AJ362" s="50"/>
      <c r="AK362" s="48"/>
      <c r="AL362" s="48"/>
      <c r="AM362" s="48"/>
      <c r="AN362" s="48"/>
      <c r="AO362" s="48"/>
      <c r="AP362" s="48"/>
      <c r="AQ362" s="51"/>
      <c r="AR362" s="52"/>
      <c r="AS362" s="46"/>
    </row>
    <row r="363" ht="21.25" customHeight="1">
      <c r="A363" s="53">
        <f>RANK(K363,K2:K730)</f>
        <v>376</v>
      </c>
      <c r="B363" t="s" s="8">
        <v>515</v>
      </c>
      <c r="C363" t="s" s="39">
        <v>106</v>
      </c>
      <c r="D363" t="s" s="40">
        <f>VLOOKUP(B363,'Player Data'!A1:D734,4,FALSE)</f>
        <v>129</v>
      </c>
      <c r="E363" s="56">
        <f>VLOOKUP(B363,'D'!A1:C228,3,FALSE)</f>
        <v>123</v>
      </c>
      <c r="F363" t="s" s="42">
        <f>VLOOKUP(B363,'Player Data'!A1:B734,2,FALSE)</f>
        <v>156</v>
      </c>
      <c r="G363" s="9">
        <f>VLOOKUP(B363,'Player Data'!A1:D734,3,FALSE)</f>
        <v>34</v>
      </c>
      <c r="H363" s="43">
        <f>_xlfn.IFERROR(VLOOKUP(B363,'ADP'!A1:G731,7,FALSE)/1000000,VLOOKUP(B363,'ADP'!A1:G731,7,FALSE))</f>
        <v>3</v>
      </c>
      <c r="I363" s="44">
        <f>IF('Settings'!$E$15="POINTS",((R363*Q363)*'Settings'!$B$12)+(S363*'Settings'!$B$2)+(T363*'Settings'!$B$3)+(U363*'Settings'!$B$4)+(V363*'Settings'!$B$5)+(X363*'Settings'!$B$9)+(AA363*'Settings'!$B$6)+(W363*'Settings'!$B$8)+(AB363*'Settings'!$B$7)+(AC363*'Settings'!$B$14)+(AD363*'Settings'!$B$15)+(AE363*'Settings'!$B$16)+(AF363*'Settings'!$B$17)+(AG363*'Settings'!$B$18)+(U363*'Settings'!$B$13)+(Y363*'Settings'!$B$10)+(Z363*'Settings'!$B$11),VLOOKUP(B363,'Standard Deviations'!A1:C731,3,FALSE))</f>
        <v>197.691410743128</v>
      </c>
      <c r="J363" s="45">
        <f>IF(D363="G",I363/AJ363,I363/Q363)</f>
        <v>2.4691474749455</v>
      </c>
      <c r="K363" s="44">
        <f>VLOOKUP(B363,'D'!A1:F228,6,FALSE)</f>
        <v>-143.043727903395</v>
      </c>
      <c r="L363" s="44">
        <f>_xlfn.IFERROR(K363/H363,"N/A")</f>
        <v>-47.681242634465</v>
      </c>
      <c r="M363" t="s" s="61">
        <f>IF('Settings'!$E$9="YAHOO",VLOOKUP(B363,'ADP'!A1:E731,2,FALSE),IF('Settings'!$E$9="ESPN",VLOOKUP(B363,'ADP'!A1:E731,3,FALSE),IF('Settings'!$E$9="FANTRAX",VLOOKUP(B363,'ADP'!A1:E731,4,FALSE),VLOOKUP(B363,'ADP'!A1:E731,5,FALSE))))</f>
        <v>329</v>
      </c>
      <c r="N363" t="s" s="61">
        <f>_xlfn.IFERROR(M363-A363,"N/A")</f>
        <v>158</v>
      </c>
      <c r="O363" s="46"/>
      <c r="P363" t="s" s="47">
        <f>IF('Settings'!$E$27="ON",VLOOKUP(B363,'ADP'!A1:H731,8,FALSE)," ")</f>
        <v>109</v>
      </c>
      <c r="Q363" s="48">
        <f>IF('Settings'!$E$12="YES",VLOOKUP(B363,'Player Data'!A1:E734,5,FALSE),82)</f>
        <v>80.0646428571429</v>
      </c>
      <c r="R363" s="46">
        <f>VLOOKUP(B363,'Player Data'!$A1:$AE734,6,FALSE)</f>
        <v>18.9379444485557</v>
      </c>
      <c r="S363" s="48">
        <f>VLOOKUP(B363,'Player Data'!$A1:$AE734,7,FALSE)*$Q363*_xlfn.IFERROR((VLOOKUP(P363,'Settings'!$E$28:$F$33,2,FALSE)+1),1)</f>
        <v>2.2908402556636</v>
      </c>
      <c r="T363" s="48">
        <f>VLOOKUP(B363,'Player Data'!$A1:$AE734,8,FALSE)*$Q363*_xlfn.IFERROR((VLOOKUP(P363,'Settings'!$E$28:$F$33,2,FALSE)+1),1)</f>
        <v>14.9787383377508</v>
      </c>
      <c r="U363" s="48">
        <f>SUM(S363:T363)</f>
        <v>17.2695785934144</v>
      </c>
      <c r="V363" s="48">
        <f>VLOOKUP(B363,'Player Data'!$A1:$AE734,10,FALSE)*$Q363*_xlfn.IFERROR(((VLOOKUP(P363,'Settings'!$E$28:$F$33,2,FALSE)/2)+1),1)</f>
        <v>101.167472657223</v>
      </c>
      <c r="W363" s="48">
        <f>VLOOKUP(B363,'Player Data'!$A1:$AE734,11,FALSE)*$Q363*_xlfn.IFERROR((VLOOKUP(P363,'Settings'!$E$28:$F$33,2,FALSE)+1),1)</f>
        <v>0.0172694888828568</v>
      </c>
      <c r="X363" s="48">
        <f>VLOOKUP(B363,'Player Data'!$A1:$AE734,12,FALSE)*$Q363*_xlfn.IFERROR((VLOOKUP(P363,'Settings'!$E$28:$F$33,2,FALSE)+1),1)</f>
        <v>0.13615099769248</v>
      </c>
      <c r="Y363" s="48">
        <f>VLOOKUP(B363,'Player Data'!$A1:$AE734,13,FALSE)*$Q363</f>
        <v>0.0179825912973373</v>
      </c>
      <c r="Z363" s="48">
        <f>VLOOKUP(B363,'Player Data'!$A1:$AE734,14,FALSE)*$Q363</f>
        <v>0.348000761727988</v>
      </c>
      <c r="AA363" s="48">
        <f>VLOOKUP(B363,'Player Data'!$A1:$AE734,15,FALSE)*$Q363</f>
        <v>122.842862796169</v>
      </c>
      <c r="AB363" s="48">
        <f>VLOOKUP(B363,'Player Data'!$A1:$AE734,16,FALSE)*$Q363</f>
        <v>118.980981316951</v>
      </c>
      <c r="AC363" s="48">
        <f>VLOOKUP(B363,'Player Data'!$A1:$AE734,17,FALSE)*$Q363*_xlfn.IFERROR((VLOOKUP(P363,'Settings'!$E$28:$F$33,2,FALSE)+1),1)</f>
        <v>1.06995455459117</v>
      </c>
      <c r="AD363" s="48">
        <f>VLOOKUP(B363,'Player Data'!$A1:$AE734,18,FALSE)*$Q363</f>
        <v>64.102198382539</v>
      </c>
      <c r="AE363" s="48">
        <f>VLOOKUP(B363,'Player Data'!$A1:$AE734,19,FALSE)*$Q363*_xlfn.IFERROR((VLOOKUP(P363,'Settings'!$E$28:$F$33,2,FALSE)+1),1)</f>
        <v>0.32429054240141</v>
      </c>
      <c r="AF363" s="48">
        <f>VLOOKUP(B363,'Player Data'!$A1:$AE734,20,FALSE)*$Q363</f>
        <v>0</v>
      </c>
      <c r="AG363" s="48">
        <f>VLOOKUP(B363,'Player Data'!$A1:$AE734,21,FALSE)*$Q363</f>
        <v>0</v>
      </c>
      <c r="AH363" s="49">
        <f>VLOOKUP(B363,'Player Data'!$A1:$AE734,22,FALSE)</f>
        <v>0</v>
      </c>
      <c r="AI363" s="46"/>
      <c r="AJ363" s="50"/>
      <c r="AK363" s="48"/>
      <c r="AL363" s="48"/>
      <c r="AM363" s="48"/>
      <c r="AN363" s="48"/>
      <c r="AO363" s="48"/>
      <c r="AP363" s="48"/>
      <c r="AQ363" s="51"/>
      <c r="AR363" s="52"/>
      <c r="AS363" s="46"/>
    </row>
    <row r="364" ht="21.25" customHeight="1">
      <c r="A364" s="53">
        <f>RANK(K364,K2:K730)</f>
        <v>404</v>
      </c>
      <c r="B364" t="s" s="8">
        <v>516</v>
      </c>
      <c r="C364" t="s" s="39">
        <v>106</v>
      </c>
      <c r="D364" t="s" s="40">
        <f>VLOOKUP(B364,'Player Data'!A1:D734,4,FALSE)</f>
        <v>121</v>
      </c>
      <c r="E364" s="55">
        <f>VLOOKUP(B364,'RW'!A1:F132,3,FALSE)</f>
        <v>81</v>
      </c>
      <c r="F364" t="s" s="42">
        <f>VLOOKUP(B364,'Player Data'!A1:B734,2,FALSE)</f>
        <v>151</v>
      </c>
      <c r="G364" s="9">
        <f>VLOOKUP(B364,'Player Data'!A1:D734,3,FALSE)</f>
        <v>22</v>
      </c>
      <c r="H364" s="43">
        <f>_xlfn.IFERROR(VLOOKUP(B364,'ADP'!A1:G731,7,FALSE)/1000000,VLOOKUP(B364,'ADP'!A1:G731,7,FALSE))</f>
        <v>2.1</v>
      </c>
      <c r="I364" s="44">
        <f>IF('Settings'!$E$15="POINTS",((R364*Q364)*'Settings'!$B$12)+(S364*'Settings'!$B$2)+(T364*'Settings'!$B$3)+(U364*'Settings'!$B$4)+(V364*'Settings'!$B$5)+(X364*'Settings'!$B$9)+(AA364*'Settings'!$B$6)+(W364*'Settings'!$B$8)+(AB364*'Settings'!$B$7)+(AC364*'Settings'!$B$14)+(AD364*'Settings'!$B$15)+(AE364*'Settings'!$B$16)+(AF364*'Settings'!$B$17)+(AG364*'Settings'!$B$18)+(Y364*'Settings'!$B$10)+(Z364*'Settings'!$B$11),VLOOKUP(B364,'Standard Deviations'!A1:C731,3,FALSE))</f>
        <v>230.164180124987</v>
      </c>
      <c r="J364" s="45">
        <f>IF(D364="G",I364/AJ364,I364/Q364)</f>
        <v>3.04869082284302</v>
      </c>
      <c r="K364" s="44">
        <f>IF('Settings'!$E$18="C/LW/RW",VLOOKUP(B364,'RW'!A1:F132,6,FALSE),VLOOKUP(B364,'F'!A1:F432,6,FALSE))</f>
        <v>-151.464383581369</v>
      </c>
      <c r="L364" s="44">
        <f>_xlfn.IFERROR(K364/H364,"N/A")</f>
        <v>-72.12589694350901</v>
      </c>
      <c r="M364" s="46">
        <f>IF('Settings'!$E$9="YAHOO",VLOOKUP(B364,'ADP'!A1:E731,2,FALSE),IF('Settings'!$E$9="ESPN",VLOOKUP(B364,'ADP'!A1:E731,3,FALSE),IF('Settings'!$E$9="FANTRAX",VLOOKUP(B364,'ADP'!A1:E731,4,FALSE),VLOOKUP(B364,'ADP'!A1:E731,5,FALSE))))</f>
        <v>409.02</v>
      </c>
      <c r="N364" s="46">
        <f>_xlfn.IFERROR(M364-A364,"N/A")</f>
        <v>5.02</v>
      </c>
      <c r="O364" s="46"/>
      <c r="P364" t="s" s="47">
        <f>IF('Settings'!$E$27="ON",VLOOKUP(B364,'ADP'!A1:H731,8,FALSE)," ")</f>
        <v>116</v>
      </c>
      <c r="Q364" s="48">
        <f>IF('Settings'!$E$12="YES",VLOOKUP(B364,'Player Data'!A1:E734,5,FALSE),82)</f>
        <v>75.4960714285714</v>
      </c>
      <c r="R364" s="46">
        <f>VLOOKUP(B364,'Player Data'!$A1:$AE734,6,FALSE)</f>
        <v>15.4288605306783</v>
      </c>
      <c r="S364" s="48">
        <f>VLOOKUP(B364,'Player Data'!$A1:$AE734,7,FALSE)*$Q364*_xlfn.IFERROR((VLOOKUP(P364,'Settings'!$E$28:$F$33,2,FALSE)+1),1)</f>
        <v>17.7032012456401</v>
      </c>
      <c r="T364" s="48">
        <f>VLOOKUP(B364,'Player Data'!$A1:$AE734,8,FALSE)*$Q364*_xlfn.IFERROR((VLOOKUP(P364,'Settings'!$E$28:$F$33,2,FALSE)+1),1)</f>
        <v>22.5495794665992</v>
      </c>
      <c r="U364" s="48">
        <f>SUM(S364:T364)</f>
        <v>40.2527807122393</v>
      </c>
      <c r="V364" s="48">
        <f>VLOOKUP(B364,'Player Data'!$A1:$AE734,10,FALSE)*$Q364*_xlfn.IFERROR(((VLOOKUP(P364,'Settings'!$E$28:$F$33,2,FALSE)/2)+1),1)</f>
        <v>123.824142868779</v>
      </c>
      <c r="W364" s="48">
        <f>VLOOKUP(B364,'Player Data'!$A1:$AE734,11,FALSE)*$Q364*_xlfn.IFERROR((VLOOKUP(P364,'Settings'!$E$28:$F$33,2,FALSE)+1),1)</f>
        <v>1.02327250249548</v>
      </c>
      <c r="X364" s="48">
        <f>VLOOKUP(B364,'Player Data'!$A1:$AE734,12,FALSE)*$Q364*_xlfn.IFERROR((VLOOKUP(P364,'Settings'!$E$28:$F$33,2,FALSE)+1),1)</f>
        <v>3.5013717814495</v>
      </c>
      <c r="Y364" s="48">
        <f>VLOOKUP(B364,'Player Data'!$A1:$AE734,13,FALSE)*$Q364</f>
        <v>0.104003057793724</v>
      </c>
      <c r="Z364" s="48">
        <f>VLOOKUP(B364,'Player Data'!$A1:$AE734,14,FALSE)*$Q364</f>
        <v>0.189507278889594</v>
      </c>
      <c r="AA364" s="48">
        <f>VLOOKUP(B364,'Player Data'!$A1:$AE734,15,FALSE)*$Q364</f>
        <v>26.5443117548117</v>
      </c>
      <c r="AB364" s="48">
        <f>VLOOKUP(B364,'Player Data'!$A1:$AE734,16,FALSE)*$Q364</f>
        <v>29.1511770009366</v>
      </c>
      <c r="AC364" s="48">
        <f>VLOOKUP(B364,'Player Data'!$A1:$AE734,17,FALSE)*$Q364*_xlfn.IFERROR((VLOOKUP(P364,'Settings'!$E$28:$F$33,2,FALSE)+1),1)</f>
        <v>5.59183325605984</v>
      </c>
      <c r="AD364" s="48">
        <f>VLOOKUP(B364,'Player Data'!$A1:$AE734,18,FALSE)*$Q364</f>
        <v>15.1862433365226</v>
      </c>
      <c r="AE364" s="48">
        <f>VLOOKUP(B364,'Player Data'!$A1:$AE734,19,FALSE)*$Q364*_xlfn.IFERROR((VLOOKUP(P364,'Settings'!$E$28:$F$33,2,FALSE)+1),1)</f>
        <v>3.01659243376875</v>
      </c>
      <c r="AF364" s="48">
        <f>VLOOKUP(B364,'Player Data'!$A1:$AE734,20,FALSE)*$Q364</f>
        <v>1.33825227958616</v>
      </c>
      <c r="AG364" s="48">
        <f>VLOOKUP(B364,'Player Data'!$A1:$AE734,21,FALSE)*$Q364</f>
        <v>3.88914780720698</v>
      </c>
      <c r="AH364" s="49">
        <f>VLOOKUP(B364,'Player Data'!$A1:$AE734,22,FALSE)</f>
        <v>0.256007242102478</v>
      </c>
      <c r="AI364" s="46"/>
      <c r="AJ364" s="50"/>
      <c r="AK364" s="48"/>
      <c r="AL364" s="48"/>
      <c r="AM364" s="48"/>
      <c r="AN364" s="48"/>
      <c r="AO364" s="48"/>
      <c r="AP364" s="48"/>
      <c r="AQ364" s="51"/>
      <c r="AR364" s="52"/>
      <c r="AS364" s="46"/>
    </row>
    <row r="365" ht="21.25" customHeight="1">
      <c r="A365" s="53">
        <f>RANK(K365,K2:K730)</f>
        <v>390</v>
      </c>
      <c r="B365" t="s" s="8">
        <v>517</v>
      </c>
      <c r="C365" t="s" s="39">
        <v>106</v>
      </c>
      <c r="D365" t="s" s="40">
        <f>VLOOKUP(B365,'Player Data'!A1:D734,4,FALSE)</f>
        <v>129</v>
      </c>
      <c r="E365" s="56">
        <f>VLOOKUP(B365,'D'!A1:C228,3,FALSE)</f>
        <v>128</v>
      </c>
      <c r="F365" t="s" s="42">
        <f>VLOOKUP(B365,'Player Data'!A1:B734,2,FALSE)</f>
        <v>115</v>
      </c>
      <c r="G365" s="9">
        <f>VLOOKUP(B365,'Player Data'!A1:D734,3,FALSE)</f>
        <v>33</v>
      </c>
      <c r="H365" s="43">
        <f>_xlfn.IFERROR(VLOOKUP(B365,'ADP'!A1:G731,7,FALSE)/1000000,VLOOKUP(B365,'ADP'!A1:G731,7,FALSE))</f>
        <v>5</v>
      </c>
      <c r="I365" s="44">
        <f>IF('Settings'!$E$15="POINTS",((R365*Q365)*'Settings'!$B$12)+(S365*'Settings'!$B$2)+(T365*'Settings'!$B$3)+(U365*'Settings'!$B$4)+(V365*'Settings'!$B$5)+(X365*'Settings'!$B$9)+(AA365*'Settings'!$B$6)+(W365*'Settings'!$B$8)+(AB365*'Settings'!$B$7)+(AC365*'Settings'!$B$14)+(AD365*'Settings'!$B$15)+(AE365*'Settings'!$B$16)+(AF365*'Settings'!$B$17)+(AG365*'Settings'!$B$18)+(U365*'Settings'!$B$13)+(Y365*'Settings'!$B$10)+(Z365*'Settings'!$B$11),VLOOKUP(B365,'Standard Deviations'!A1:C731,3,FALSE))</f>
        <v>192.315795070309</v>
      </c>
      <c r="J365" s="45">
        <f>IF(D365="G",I365/AJ365,I365/Q365)</f>
        <v>2.47287893879785</v>
      </c>
      <c r="K365" s="44">
        <f>VLOOKUP(B365,'D'!A1:F228,6,FALSE)</f>
        <v>-148.419343576214</v>
      </c>
      <c r="L365" s="44">
        <f>_xlfn.IFERROR(K365/H365,"N/A")</f>
        <v>-29.6838687152428</v>
      </c>
      <c r="M365" t="s" s="61">
        <f>IF('Settings'!$E$9="YAHOO",VLOOKUP(B365,'ADP'!A1:E731,2,FALSE),IF('Settings'!$E$9="ESPN",VLOOKUP(B365,'ADP'!A1:E731,3,FALSE),IF('Settings'!$E$9="FANTRAX",VLOOKUP(B365,'ADP'!A1:E731,4,FALSE),VLOOKUP(B365,'ADP'!A1:E731,5,FALSE))))</f>
        <v>329</v>
      </c>
      <c r="N365" t="s" s="61">
        <f>_xlfn.IFERROR(M365-A365,"N/A")</f>
        <v>158</v>
      </c>
      <c r="O365" s="46"/>
      <c r="P365" t="s" s="47">
        <f>IF('Settings'!$E$27="ON",VLOOKUP(B365,'ADP'!A1:H731,8,FALSE)," ")</f>
        <v>109</v>
      </c>
      <c r="Q365" s="48">
        <f>IF('Settings'!$E$12="YES",VLOOKUP(B365,'Player Data'!A1:E734,5,FALSE),82)</f>
        <v>77.77</v>
      </c>
      <c r="R365" s="46">
        <f>VLOOKUP(B365,'Player Data'!$A1:$AE734,6,FALSE)</f>
        <v>21.2969455052395</v>
      </c>
      <c r="S365" s="48">
        <f>VLOOKUP(B365,'Player Data'!$A1:$AE734,7,FALSE)*$Q365*_xlfn.IFERROR((VLOOKUP(P365,'Settings'!$E$28:$F$33,2,FALSE)+1),1)</f>
        <v>2.78555449237559</v>
      </c>
      <c r="T365" s="48">
        <f>VLOOKUP(B365,'Player Data'!$A1:$AE734,8,FALSE)*$Q365*_xlfn.IFERROR((VLOOKUP(P365,'Settings'!$E$28:$F$33,2,FALSE)+1),1)</f>
        <v>17.5618415011164</v>
      </c>
      <c r="U365" s="48">
        <f>SUM(S365:T365)</f>
        <v>20.347395993492</v>
      </c>
      <c r="V365" s="48">
        <f>VLOOKUP(B365,'Player Data'!$A1:$AE734,10,FALSE)*$Q365*_xlfn.IFERROR(((VLOOKUP(P365,'Settings'!$E$28:$F$33,2,FALSE)/2)+1),1)</f>
        <v>77.0218333286589</v>
      </c>
      <c r="W365" s="48">
        <f>VLOOKUP(B365,'Player Data'!$A1:$AE734,11,FALSE)*$Q365*_xlfn.IFERROR((VLOOKUP(P365,'Settings'!$E$28:$F$33,2,FALSE)+1),1)</f>
        <v>0.0125612874647328</v>
      </c>
      <c r="X365" s="48">
        <f>VLOOKUP(B365,'Player Data'!$A1:$AE734,12,FALSE)*$Q365*_xlfn.IFERROR((VLOOKUP(P365,'Settings'!$E$28:$F$33,2,FALSE)+1),1)</f>
        <v>0.198950402026704</v>
      </c>
      <c r="Y365" s="48">
        <f>VLOOKUP(B365,'Player Data'!$A1:$AE734,13,FALSE)*$Q365</f>
        <v>0.0264176121134149</v>
      </c>
      <c r="Z365" s="48">
        <f>VLOOKUP(B365,'Player Data'!$A1:$AE734,14,FALSE)*$Q365</f>
        <v>1.41124384682374</v>
      </c>
      <c r="AA365" s="48">
        <f>VLOOKUP(B365,'Player Data'!$A1:$AE734,15,FALSE)*$Q365</f>
        <v>134.568488744244</v>
      </c>
      <c r="AB365" s="48">
        <f>VLOOKUP(B365,'Player Data'!$A1:$AE734,16,FALSE)*$Q365</f>
        <v>73.9105064846816</v>
      </c>
      <c r="AC365" s="48">
        <f>VLOOKUP(B365,'Player Data'!$A1:$AE734,17,FALSE)*$Q365*_xlfn.IFERROR((VLOOKUP(P365,'Settings'!$E$28:$F$33,2,FALSE)+1),1)</f>
        <v>6.22303945141108</v>
      </c>
      <c r="AD365" s="48">
        <f>VLOOKUP(B365,'Player Data'!$A1:$AE734,18,FALSE)*$Q365</f>
        <v>27.1855469696257</v>
      </c>
      <c r="AE365" s="48">
        <f>VLOOKUP(B365,'Player Data'!$A1:$AE734,19,FALSE)*$Q365*_xlfn.IFERROR((VLOOKUP(P365,'Settings'!$E$28:$F$33,2,FALSE)+1),1)</f>
        <v>0.447498588810977</v>
      </c>
      <c r="AF365" s="48">
        <f>VLOOKUP(B365,'Player Data'!$A1:$AE734,20,FALSE)*$Q365</f>
        <v>0</v>
      </c>
      <c r="AG365" s="48">
        <f>VLOOKUP(B365,'Player Data'!$A1:$AE734,21,FALSE)*$Q365</f>
        <v>0</v>
      </c>
      <c r="AH365" s="49">
        <f>VLOOKUP(B365,'Player Data'!$A1:$AE734,22,FALSE)</f>
        <v>0</v>
      </c>
      <c r="AI365" s="46"/>
      <c r="AJ365" s="50"/>
      <c r="AK365" s="48"/>
      <c r="AL365" s="48"/>
      <c r="AM365" s="48"/>
      <c r="AN365" s="48"/>
      <c r="AO365" s="48"/>
      <c r="AP365" s="48"/>
      <c r="AQ365" s="51"/>
      <c r="AR365" s="52"/>
      <c r="AS365" s="46"/>
    </row>
    <row r="366" ht="21.25" customHeight="1">
      <c r="A366" s="53">
        <f>RANK(K366,K2:K730)</f>
        <v>374</v>
      </c>
      <c r="B366" t="s" s="8">
        <v>518</v>
      </c>
      <c r="C366" t="s" s="39">
        <v>106</v>
      </c>
      <c r="D366" t="s" s="40">
        <f>VLOOKUP(B366,'Player Data'!A1:D734,4,FALSE)</f>
        <v>129</v>
      </c>
      <c r="E366" s="56">
        <f>VLOOKUP(B366,'D'!A1:C228,3,FALSE)</f>
        <v>121</v>
      </c>
      <c r="F366" t="s" s="42">
        <f>VLOOKUP(B366,'Player Data'!A1:B734,2,FALSE)</f>
        <v>139</v>
      </c>
      <c r="G366" s="9">
        <f>VLOOKUP(B366,'Player Data'!A1:D734,3,FALSE)</f>
        <v>23</v>
      </c>
      <c r="H366" s="43">
        <f>_xlfn.IFERROR(VLOOKUP(B366,'ADP'!A1:G731,7,FALSE)/1000000,VLOOKUP(B366,'ADP'!A1:G731,7,FALSE))</f>
        <v>4.285714</v>
      </c>
      <c r="I366" s="44">
        <f>IF('Settings'!$E$15="POINTS",((R366*Q366)*'Settings'!$B$12)+(S366*'Settings'!$B$2)+(T366*'Settings'!$B$3)+(U366*'Settings'!$B$4)+(V366*'Settings'!$B$5)+(X366*'Settings'!$B$9)+(AA366*'Settings'!$B$6)+(W366*'Settings'!$B$8)+(AB366*'Settings'!$B$7)+(AC366*'Settings'!$B$14)+(AD366*'Settings'!$B$15)+(AE366*'Settings'!$B$16)+(AF366*'Settings'!$B$17)+(AG366*'Settings'!$B$18)+(U366*'Settings'!$B$13)+(Y366*'Settings'!$B$10)+(Z366*'Settings'!$B$11),VLOOKUP(B366,'Standard Deviations'!A1:C731,3,FALSE))</f>
        <v>198.536031366881</v>
      </c>
      <c r="J366" s="45">
        <f>IF(D366="G",I366/AJ366,I366/Q366)</f>
        <v>2.90098310673068</v>
      </c>
      <c r="K366" s="44">
        <f>VLOOKUP(B366,'D'!A1:F228,6,FALSE)</f>
        <v>-142.199107279642</v>
      </c>
      <c r="L366" s="44">
        <f>_xlfn.IFERROR(K366/H366,"N/A")</f>
        <v>-33.1797939105694</v>
      </c>
      <c r="M366" t="s" s="61">
        <f>IF('Settings'!$E$9="YAHOO",VLOOKUP(B366,'ADP'!A1:E731,2,FALSE),IF('Settings'!$E$9="ESPN",VLOOKUP(B366,'ADP'!A1:E731,3,FALSE),IF('Settings'!$E$9="FANTRAX",VLOOKUP(B366,'ADP'!A1:E731,4,FALSE),VLOOKUP(B366,'ADP'!A1:E731,5,FALSE))))</f>
        <v>329</v>
      </c>
      <c r="N366" t="s" s="61">
        <f>_xlfn.IFERROR(M366-A366,"N/A")</f>
        <v>158</v>
      </c>
      <c r="O366" s="46"/>
      <c r="P366" t="s" s="47">
        <f>IF('Settings'!$E$27="ON",VLOOKUP(B366,'ADP'!A1:H731,8,FALSE)," ")</f>
        <v>109</v>
      </c>
      <c r="Q366" s="48">
        <f>IF('Settings'!$E$12="YES",VLOOKUP(B366,'Player Data'!A1:E734,5,FALSE),82)</f>
        <v>68.4375</v>
      </c>
      <c r="R366" s="46">
        <f>VLOOKUP(B366,'Player Data'!$A1:$AE734,6,FALSE)</f>
        <v>22.196301809174</v>
      </c>
      <c r="S366" s="48">
        <f>VLOOKUP(B366,'Player Data'!$A1:$AE734,7,FALSE)*$Q366*_xlfn.IFERROR((VLOOKUP(P366,'Settings'!$E$28:$F$33,2,FALSE)+1),1)</f>
        <v>3.00895817235601</v>
      </c>
      <c r="T366" s="48">
        <f>VLOOKUP(B366,'Player Data'!$A1:$AE734,8,FALSE)*$Q366*_xlfn.IFERROR((VLOOKUP(P366,'Settings'!$E$28:$F$33,2,FALSE)+1),1)</f>
        <v>15.5672008538268</v>
      </c>
      <c r="U366" s="48">
        <f>SUM(S366:T366)</f>
        <v>18.5761590261828</v>
      </c>
      <c r="V366" s="48">
        <f>VLOOKUP(B366,'Player Data'!$A1:$AE734,10,FALSE)*$Q366*_xlfn.IFERROR(((VLOOKUP(P366,'Settings'!$E$28:$F$33,2,FALSE)/2)+1),1)</f>
        <v>95.6950102693466</v>
      </c>
      <c r="W366" s="48">
        <f>VLOOKUP(B366,'Player Data'!$A1:$AE734,11,FALSE)*$Q366*_xlfn.IFERROR((VLOOKUP(P366,'Settings'!$E$28:$F$33,2,FALSE)+1),1)</f>
        <v>0.0239536364093835</v>
      </c>
      <c r="X366" s="48">
        <f>VLOOKUP(B366,'Player Data'!$A1:$AE734,12,FALSE)*$Q366*_xlfn.IFERROR((VLOOKUP(P366,'Settings'!$E$28:$F$33,2,FALSE)+1),1)</f>
        <v>0.159547795824228</v>
      </c>
      <c r="Y366" s="48">
        <f>VLOOKUP(B366,'Player Data'!$A1:$AE734,13,FALSE)*$Q366</f>
        <v>0.0382717484606715</v>
      </c>
      <c r="Z366" s="48">
        <f>VLOOKUP(B366,'Player Data'!$A1:$AE734,14,FALSE)*$Q366</f>
        <v>0.946029890094946</v>
      </c>
      <c r="AA366" s="48">
        <f>VLOOKUP(B366,'Player Data'!$A1:$AE734,15,FALSE)*$Q366</f>
        <v>113.711854730865</v>
      </c>
      <c r="AB366" s="48">
        <f>VLOOKUP(B366,'Player Data'!$A1:$AE734,16,FALSE)*$Q366</f>
        <v>126.794498998010</v>
      </c>
      <c r="AC366" s="48">
        <f>VLOOKUP(B366,'Player Data'!$A1:$AE734,17,FALSE)*$Q366*_xlfn.IFERROR((VLOOKUP(P366,'Settings'!$E$28:$F$33,2,FALSE)+1),1)</f>
        <v>-1.54606356985721</v>
      </c>
      <c r="AD366" s="48">
        <f>VLOOKUP(B366,'Player Data'!$A1:$AE734,18,FALSE)*$Q366</f>
        <v>29.0336900956791</v>
      </c>
      <c r="AE366" s="48">
        <f>VLOOKUP(B366,'Player Data'!$A1:$AE734,19,FALSE)*$Q366*_xlfn.IFERROR((VLOOKUP(P366,'Settings'!$E$28:$F$33,2,FALSE)+1),1)</f>
        <v>0.385203986294994</v>
      </c>
      <c r="AF366" s="48">
        <f>VLOOKUP(B366,'Player Data'!$A1:$AE734,20,FALSE)*$Q366</f>
        <v>0</v>
      </c>
      <c r="AG366" s="48">
        <f>VLOOKUP(B366,'Player Data'!$A1:$AE734,21,FALSE)*$Q366</f>
        <v>0</v>
      </c>
      <c r="AH366" s="49">
        <f>VLOOKUP(B366,'Player Data'!$A1:$AE734,22,FALSE)</f>
        <v>0</v>
      </c>
      <c r="AI366" s="46"/>
      <c r="AJ366" s="50"/>
      <c r="AK366" s="48"/>
      <c r="AL366" s="48"/>
      <c r="AM366" s="48"/>
      <c r="AN366" s="48"/>
      <c r="AO366" s="48"/>
      <c r="AP366" s="48"/>
      <c r="AQ366" s="51"/>
      <c r="AR366" s="52"/>
      <c r="AS366" s="46"/>
    </row>
    <row r="367" ht="21.25" customHeight="1">
      <c r="A367" s="53">
        <f>RANK(K367,K2:K730)</f>
        <v>295</v>
      </c>
      <c r="B367" t="s" s="8">
        <v>519</v>
      </c>
      <c r="C367" t="s" s="39">
        <v>106</v>
      </c>
      <c r="D367" t="s" s="40">
        <f>VLOOKUP(B367,'Player Data'!A1:D734,4,FALSE)</f>
        <v>133</v>
      </c>
      <c r="E367" s="57">
        <f>VLOOKUP(B367,'LW'!A1:C156,3,FALSE)</f>
        <v>69</v>
      </c>
      <c r="F367" t="s" s="42">
        <f>VLOOKUP(B367,'Player Data'!A1:B734,2,FALSE)</f>
        <v>196</v>
      </c>
      <c r="G367" s="9">
        <f>VLOOKUP(B367,'Player Data'!A1:D734,3,FALSE)</f>
        <v>31</v>
      </c>
      <c r="H367" s="43">
        <f>_xlfn.IFERROR(VLOOKUP(B367,'ADP'!A1:G731,7,FALSE)/1000000,VLOOKUP(B367,'ADP'!A1:G731,7,FALSE))</f>
        <v>5.3</v>
      </c>
      <c r="I367" s="44">
        <f>IF('Settings'!$E$15="POINTS",((R367*Q367)*'Settings'!$B$12)+(S367*'Settings'!$B$2)+(T367*'Settings'!$B$3)+(U367*'Settings'!$B$4)+(V367*'Settings'!$B$5)+(X367*'Settings'!$B$9)+(AA367*'Settings'!$B$6)+(W367*'Settings'!$B$8)+(AB367*'Settings'!$B$7)+(AC367*'Settings'!$B$14)+(AD367*'Settings'!$B$15)+(AE367*'Settings'!$B$16)+(AF367*'Settings'!$B$17)+(AG367*'Settings'!$B$18)+(Y367*'Settings'!$B$10)+(Z367*'Settings'!$B$11),VLOOKUP(B367,'Standard Deviations'!A1:C731,3,FALSE))</f>
        <v>268.051591808470</v>
      </c>
      <c r="J367" s="45">
        <f>IF(D367="G",I367/AJ367,I367/Q367)</f>
        <v>3.669587774292</v>
      </c>
      <c r="K367" s="44">
        <f>IF('Settings'!$E$18="C/LW/RW",VLOOKUP(B367,'LW'!A1:F156,6,FALSE),VLOOKUP(B367,'F'!A1:F432,6,FALSE))</f>
        <v>-113.576971897886</v>
      </c>
      <c r="L367" s="44">
        <f>_xlfn.IFERROR(K367/H367,"N/A")</f>
        <v>-21.4296173392238</v>
      </c>
      <c r="M367" s="46">
        <f>IF('Settings'!$E$9="YAHOO",VLOOKUP(B367,'ADP'!A1:E731,2,FALSE),IF('Settings'!$E$9="ESPN",VLOOKUP(B367,'ADP'!A1:E731,3,FALSE),IF('Settings'!$E$9="FANTRAX",VLOOKUP(B367,'ADP'!A1:E731,4,FALSE),VLOOKUP(B367,'ADP'!A1:E731,5,FALSE))))</f>
        <v>218.23</v>
      </c>
      <c r="N367" s="46">
        <f>_xlfn.IFERROR(M367-A367,"N/A")</f>
        <v>-76.77</v>
      </c>
      <c r="O367" s="46"/>
      <c r="P367" t="s" s="47">
        <f>IF('Settings'!$E$27="ON",VLOOKUP(B367,'ADP'!A1:H731,8,FALSE)," ")</f>
        <v>109</v>
      </c>
      <c r="Q367" s="48">
        <f>IF('Settings'!$E$12="YES",VLOOKUP(B367,'Player Data'!A1:E734,5,FALSE),82)</f>
        <v>73.0467857142857</v>
      </c>
      <c r="R367" s="46">
        <f>VLOOKUP(B367,'Player Data'!$A1:$AE734,6,FALSE)</f>
        <v>14.6871936546551</v>
      </c>
      <c r="S367" s="48">
        <f>VLOOKUP(B367,'Player Data'!$A1:$AE734,7,FALSE)*$Q367*_xlfn.IFERROR((VLOOKUP(P367,'Settings'!$E$28:$F$33,2,FALSE)+1),1)</f>
        <v>18.9943322174763</v>
      </c>
      <c r="T367" s="48">
        <f>VLOOKUP(B367,'Player Data'!$A1:$AE734,8,FALSE)*$Q367*_xlfn.IFERROR((VLOOKUP(P367,'Settings'!$E$28:$F$33,2,FALSE)+1),1)</f>
        <v>16.7226060466515</v>
      </c>
      <c r="U367" s="48">
        <f>SUM(S367:T367)</f>
        <v>35.7169382641278</v>
      </c>
      <c r="V367" s="48">
        <f>VLOOKUP(B367,'Player Data'!$A1:$AE734,10,FALSE)*$Q367*_xlfn.IFERROR(((VLOOKUP(P367,'Settings'!$E$28:$F$33,2,FALSE)/2)+1),1)</f>
        <v>160.714171548790</v>
      </c>
      <c r="W367" s="48">
        <f>VLOOKUP(B367,'Player Data'!$A1:$AE734,11,FALSE)*$Q367*_xlfn.IFERROR((VLOOKUP(P367,'Settings'!$E$28:$F$33,2,FALSE)+1),1)</f>
        <v>1.18211697532185</v>
      </c>
      <c r="X367" s="48">
        <f>VLOOKUP(B367,'Player Data'!$A1:$AE734,12,FALSE)*$Q367*_xlfn.IFERROR((VLOOKUP(P367,'Settings'!$E$28:$F$33,2,FALSE)+1),1)</f>
        <v>4.11279595441896</v>
      </c>
      <c r="Y367" s="48">
        <f>VLOOKUP(B367,'Player Data'!$A1:$AE734,13,FALSE)*$Q367</f>
        <v>0.00114409896814476</v>
      </c>
      <c r="Z367" s="48">
        <f>VLOOKUP(B367,'Player Data'!$A1:$AE734,14,FALSE)*$Q367</f>
        <v>0.0020972645616087</v>
      </c>
      <c r="AA367" s="48">
        <f>VLOOKUP(B367,'Player Data'!$A1:$AE734,15,FALSE)*$Q367</f>
        <v>28.0758529207087</v>
      </c>
      <c r="AB367" s="48">
        <f>VLOOKUP(B367,'Player Data'!$A1:$AE734,16,FALSE)*$Q367</f>
        <v>152.040287704</v>
      </c>
      <c r="AC367" s="48">
        <f>VLOOKUP(B367,'Player Data'!$A1:$AE734,17,FALSE)*$Q367*_xlfn.IFERROR((VLOOKUP(P367,'Settings'!$E$28:$F$33,2,FALSE)+1),1)</f>
        <v>-1.65111953051294</v>
      </c>
      <c r="AD367" s="48">
        <f>VLOOKUP(B367,'Player Data'!$A1:$AE734,18,FALSE)*$Q367</f>
        <v>31.0164452750443</v>
      </c>
      <c r="AE367" s="48">
        <f>VLOOKUP(B367,'Player Data'!$A1:$AE734,19,FALSE)*$Q367*_xlfn.IFERROR((VLOOKUP(P367,'Settings'!$E$28:$F$33,2,FALSE)+1),1)</f>
        <v>2.39702010512903</v>
      </c>
      <c r="AF367" s="48">
        <f>VLOOKUP(B367,'Player Data'!$A1:$AE734,20,FALSE)*$Q367</f>
        <v>4.00662833195405</v>
      </c>
      <c r="AG367" s="48">
        <f>VLOOKUP(B367,'Player Data'!$A1:$AE734,21,FALSE)*$Q367</f>
        <v>10.7075244260399</v>
      </c>
      <c r="AH367" s="49">
        <f>VLOOKUP(B367,'Player Data'!$A1:$AE734,22,FALSE)</f>
        <v>0.272297589800224</v>
      </c>
      <c r="AI367" s="46"/>
      <c r="AJ367" s="50"/>
      <c r="AK367" s="48"/>
      <c r="AL367" s="48"/>
      <c r="AM367" s="48"/>
      <c r="AN367" s="48"/>
      <c r="AO367" s="48"/>
      <c r="AP367" s="48"/>
      <c r="AQ367" s="51"/>
      <c r="AR367" s="52"/>
      <c r="AS367" s="46"/>
    </row>
    <row r="368" ht="21.25" customHeight="1">
      <c r="A368" s="53">
        <f>RANK(K368,K2:K730)</f>
        <v>420</v>
      </c>
      <c r="B368" t="s" s="8">
        <v>520</v>
      </c>
      <c r="C368" t="s" s="39">
        <v>106</v>
      </c>
      <c r="D368" t="s" s="40">
        <f>VLOOKUP(B368,'Player Data'!A1:D734,4,FALSE)</f>
        <v>129</v>
      </c>
      <c r="E368" s="56">
        <f>VLOOKUP(B368,'D'!A1:C228,3,FALSE)</f>
        <v>142</v>
      </c>
      <c r="F368" t="s" s="42">
        <f>VLOOKUP(B368,'Player Data'!A1:B734,2,FALSE)</f>
        <v>166</v>
      </c>
      <c r="G368" s="9">
        <f>VLOOKUP(B368,'Player Data'!A1:D734,3,FALSE)</f>
        <v>32</v>
      </c>
      <c r="H368" s="43">
        <f>_xlfn.IFERROR(VLOOKUP(B368,'ADP'!A1:G731,7,FALSE)/1000000,VLOOKUP(B368,'ADP'!A1:G731,7,FALSE))</f>
        <v>3</v>
      </c>
      <c r="I368" s="44">
        <f>IF('Settings'!$E$15="POINTS",((R368*Q368)*'Settings'!$B$12)+(S368*'Settings'!$B$2)+(T368*'Settings'!$B$3)+(U368*'Settings'!$B$4)+(V368*'Settings'!$B$5)+(X368*'Settings'!$B$9)+(AA368*'Settings'!$B$6)+(W368*'Settings'!$B$8)+(AB368*'Settings'!$B$7)+(AC368*'Settings'!$B$14)+(AD368*'Settings'!$B$15)+(AE368*'Settings'!$B$16)+(AF368*'Settings'!$B$17)+(AG368*'Settings'!$B$18)+(U368*'Settings'!$B$13)+(Y368*'Settings'!$B$10)+(Z368*'Settings'!$B$11),VLOOKUP(B368,'Standard Deviations'!A1:C731,3,FALSE))</f>
        <v>183.064582438530</v>
      </c>
      <c r="J368" s="45">
        <f>IF(D368="G",I368/AJ368,I368/Q368)</f>
        <v>2.46913861522621</v>
      </c>
      <c r="K368" s="44">
        <f>VLOOKUP(B368,'D'!A1:F228,6,FALSE)</f>
        <v>-157.670556207993</v>
      </c>
      <c r="L368" s="44">
        <f>_xlfn.IFERROR(K368/H368,"N/A")</f>
        <v>-52.556852069331</v>
      </c>
      <c r="M368" t="s" s="61">
        <f>IF('Settings'!$E$9="YAHOO",VLOOKUP(B368,'ADP'!A1:E731,2,FALSE),IF('Settings'!$E$9="ESPN",VLOOKUP(B368,'ADP'!A1:E731,3,FALSE),IF('Settings'!$E$9="FANTRAX",VLOOKUP(B368,'ADP'!A1:E731,4,FALSE),VLOOKUP(B368,'ADP'!A1:E731,5,FALSE))))</f>
        <v>329</v>
      </c>
      <c r="N368" t="s" s="61">
        <f>_xlfn.IFERROR(M368-A368,"N/A")</f>
        <v>158</v>
      </c>
      <c r="O368" s="46"/>
      <c r="P368" t="s" s="47">
        <f>IF('Settings'!$E$27="ON",VLOOKUP(B368,'ADP'!A1:H731,8,FALSE)," ")</f>
        <v>109</v>
      </c>
      <c r="Q368" s="48">
        <f>IF('Settings'!$E$12="YES",VLOOKUP(B368,'Player Data'!A1:E734,5,FALSE),82)</f>
        <v>74.14107142857139</v>
      </c>
      <c r="R368" s="46">
        <f>VLOOKUP(B368,'Player Data'!$A1:$AE734,6,FALSE)</f>
        <v>18.1165576739898</v>
      </c>
      <c r="S368" s="48">
        <f>VLOOKUP(B368,'Player Data'!$A1:$AE734,7,FALSE)*$Q368*_xlfn.IFERROR((VLOOKUP(P368,'Settings'!$E$28:$F$33,2,FALSE)+1),1)</f>
        <v>3.60327591132717</v>
      </c>
      <c r="T368" s="48">
        <f>VLOOKUP(B368,'Player Data'!$A1:$AE734,8,FALSE)*$Q368*_xlfn.IFERROR((VLOOKUP(P368,'Settings'!$E$28:$F$33,2,FALSE)+1),1)</f>
        <v>14.1009556135534</v>
      </c>
      <c r="U368" s="48">
        <f>SUM(S368:T368)</f>
        <v>17.7042315248806</v>
      </c>
      <c r="V368" s="48">
        <f>VLOOKUP(B368,'Player Data'!$A1:$AE734,10,FALSE)*$Q368*_xlfn.IFERROR(((VLOOKUP(P368,'Settings'!$E$28:$F$33,2,FALSE)/2)+1),1)</f>
        <v>87.99378411382899</v>
      </c>
      <c r="W368" s="48">
        <f>VLOOKUP(B368,'Player Data'!$A1:$AE734,11,FALSE)*$Q368*_xlfn.IFERROR((VLOOKUP(P368,'Settings'!$E$28:$F$33,2,FALSE)+1),1)</f>
        <v>0.040572104644906</v>
      </c>
      <c r="X368" s="48">
        <f>VLOOKUP(B368,'Player Data'!$A1:$AE734,12,FALSE)*$Q368*_xlfn.IFERROR((VLOOKUP(P368,'Settings'!$E$28:$F$33,2,FALSE)+1),1)</f>
        <v>0.5017503266307251</v>
      </c>
      <c r="Y368" s="48">
        <f>VLOOKUP(B368,'Player Data'!$A1:$AE734,13,FALSE)*$Q368</f>
        <v>0.0236193157922379</v>
      </c>
      <c r="Z368" s="48">
        <f>VLOOKUP(B368,'Player Data'!$A1:$AE734,14,FALSE)*$Q368</f>
        <v>0.411182578319239</v>
      </c>
      <c r="AA368" s="48">
        <f>VLOOKUP(B368,'Player Data'!$A1:$AE734,15,FALSE)*$Q368</f>
        <v>138.630367262808</v>
      </c>
      <c r="AB368" s="48">
        <f>VLOOKUP(B368,'Player Data'!$A1:$AE734,16,FALSE)*$Q368</f>
        <v>41.6501326077639</v>
      </c>
      <c r="AC368" s="48">
        <f>VLOOKUP(B368,'Player Data'!$A1:$AE734,17,FALSE)*$Q368*_xlfn.IFERROR((VLOOKUP(P368,'Settings'!$E$28:$F$33,2,FALSE)+1),1)</f>
        <v>-1.83385618808476</v>
      </c>
      <c r="AD368" s="48">
        <f>VLOOKUP(B368,'Player Data'!$A1:$AE734,18,FALSE)*$Q368</f>
        <v>22.5283297454951</v>
      </c>
      <c r="AE368" s="48">
        <f>VLOOKUP(B368,'Player Data'!$A1:$AE734,19,FALSE)*$Q368*_xlfn.IFERROR((VLOOKUP(P368,'Settings'!$E$28:$F$33,2,FALSE)+1),1)</f>
        <v>0.443224148470204</v>
      </c>
      <c r="AF368" s="48">
        <f>VLOOKUP(B368,'Player Data'!$A1:$AE734,20,FALSE)*$Q368</f>
        <v>0</v>
      </c>
      <c r="AG368" s="48">
        <f>VLOOKUP(B368,'Player Data'!$A1:$AE734,21,FALSE)*$Q368</f>
        <v>0</v>
      </c>
      <c r="AH368" s="49">
        <f>VLOOKUP(B368,'Player Data'!$A1:$AE734,22,FALSE)</f>
        <v>0</v>
      </c>
      <c r="AI368" s="46"/>
      <c r="AJ368" s="50"/>
      <c r="AK368" s="48"/>
      <c r="AL368" s="48"/>
      <c r="AM368" s="48"/>
      <c r="AN368" s="48"/>
      <c r="AO368" s="48"/>
      <c r="AP368" s="48"/>
      <c r="AQ368" s="51"/>
      <c r="AR368" s="52"/>
      <c r="AS368" s="46"/>
    </row>
    <row r="369" ht="21.25" customHeight="1">
      <c r="A369" s="53">
        <f>RANK(K369,K2:K730)</f>
        <v>389</v>
      </c>
      <c r="B369" t="s" s="8">
        <v>521</v>
      </c>
      <c r="C369" t="s" s="39">
        <v>106</v>
      </c>
      <c r="D369" t="s" s="40">
        <f>VLOOKUP(B369,'Player Data'!A1:D734,4,FALSE)</f>
        <v>111</v>
      </c>
      <c r="E369" s="54">
        <f>VLOOKUP(B369,'LW'!A1:C156,3,FALSE)</f>
        <v>90</v>
      </c>
      <c r="F369" t="s" s="42">
        <f>VLOOKUP(B369,'Player Data'!A1:B734,2,FALSE)</f>
        <v>248</v>
      </c>
      <c r="G369" s="9">
        <f>VLOOKUP(B369,'Player Data'!A1:D734,3,FALSE)</f>
        <v>31</v>
      </c>
      <c r="H369" s="43">
        <f>_xlfn.IFERROR(VLOOKUP(B369,'ADP'!A1:G731,7,FALSE)/1000000,VLOOKUP(B369,'ADP'!A1:G731,7,FALSE))</f>
        <v>5.5</v>
      </c>
      <c r="I369" s="44">
        <f>IF('Settings'!$E$15="POINTS",((R369*Q369)*'Settings'!$B$12)+(S369*'Settings'!$B$2)+(T369*'Settings'!$B$3)+(U369*'Settings'!$B$4)+(V369*'Settings'!$B$5)+(X369*'Settings'!$B$9)+(AA369*'Settings'!$B$6)+(W369*'Settings'!$B$8)+(AB369*'Settings'!$B$7)+(AC369*'Settings'!$B$14)+(AD369*'Settings'!$B$15)+(AE369*'Settings'!$B$16)+(AF369*'Settings'!$B$17)+(AG369*'Settings'!$B$18)+(Y369*'Settings'!$B$10)+(Z369*'Settings'!$B$11),VLOOKUP(B369,'Standard Deviations'!A1:C731,3,FALSE))</f>
        <v>233.596085694548</v>
      </c>
      <c r="J369" s="45">
        <f>IF(D369="G",I369/AJ369,I369/Q369)</f>
        <v>3.3466487921855</v>
      </c>
      <c r="K369" s="44">
        <f>IF('Settings'!$E$18="C/LW/RW",VLOOKUP(B369,'LW'!A1:F156,6,FALSE),VLOOKUP(B369,'F'!A1:F432,6,FALSE))</f>
        <v>-148.032478011808</v>
      </c>
      <c r="L369" s="44">
        <f>_xlfn.IFERROR(K369/H369,"N/A")</f>
        <v>-26.9149960021469</v>
      </c>
      <c r="M369" s="46">
        <f>IF('Settings'!$E$9="YAHOO",VLOOKUP(B369,'ADP'!A1:E731,2,FALSE),IF('Settings'!$E$9="ESPN",VLOOKUP(B369,'ADP'!A1:E731,3,FALSE),IF('Settings'!$E$9="FANTRAX",VLOOKUP(B369,'ADP'!A1:E731,4,FALSE),VLOOKUP(B369,'ADP'!A1:E731,5,FALSE))))</f>
        <v>456.5</v>
      </c>
      <c r="N369" s="46">
        <f>_xlfn.IFERROR(M369-A369,"N/A")</f>
        <v>67.5</v>
      </c>
      <c r="O369" s="46"/>
      <c r="P369" t="s" s="47">
        <f>IF('Settings'!$E$27="ON",VLOOKUP(B369,'ADP'!A1:H731,8,FALSE)," ")</f>
        <v>109</v>
      </c>
      <c r="Q369" s="48">
        <f>IF('Settings'!$E$12="YES",VLOOKUP(B369,'Player Data'!A1:E734,5,FALSE),82)</f>
        <v>69.8</v>
      </c>
      <c r="R369" s="46">
        <f>VLOOKUP(B369,'Player Data'!$A1:$AE734,6,FALSE)</f>
        <v>16.2145269509506</v>
      </c>
      <c r="S369" s="48">
        <f>VLOOKUP(B369,'Player Data'!$A1:$AE734,7,FALSE)*$Q369*_xlfn.IFERROR((VLOOKUP(P369,'Settings'!$E$28:$F$33,2,FALSE)+1),1)</f>
        <v>16.2105151146879</v>
      </c>
      <c r="T369" s="48">
        <f>VLOOKUP(B369,'Player Data'!$A1:$AE734,8,FALSE)*$Q369*_xlfn.IFERROR((VLOOKUP(P369,'Settings'!$E$28:$F$33,2,FALSE)+1),1)</f>
        <v>19.7562202031288</v>
      </c>
      <c r="U369" s="48">
        <f>SUM(S369:T369)</f>
        <v>35.9667353178167</v>
      </c>
      <c r="V369" s="48">
        <f>VLOOKUP(B369,'Player Data'!$A1:$AE734,10,FALSE)*$Q369*_xlfn.IFERROR(((VLOOKUP(P369,'Settings'!$E$28:$F$33,2,FALSE)/2)+1),1)</f>
        <v>149.757211156166</v>
      </c>
      <c r="W369" s="48">
        <f>VLOOKUP(B369,'Player Data'!$A1:$AE734,11,FALSE)*$Q369*_xlfn.IFERROR((VLOOKUP(P369,'Settings'!$E$28:$F$33,2,FALSE)+1),1)</f>
        <v>3.4283022693808</v>
      </c>
      <c r="X369" s="48">
        <f>VLOOKUP(B369,'Player Data'!$A1:$AE734,12,FALSE)*$Q369*_xlfn.IFERROR((VLOOKUP(P369,'Settings'!$E$28:$F$33,2,FALSE)+1),1)</f>
        <v>6.55792144490205</v>
      </c>
      <c r="Y369" s="48">
        <f>VLOOKUP(B369,'Player Data'!$A1:$AE734,13,FALSE)*$Q369</f>
        <v>0.0563616858464015</v>
      </c>
      <c r="Z369" s="48">
        <f>VLOOKUP(B369,'Player Data'!$A1:$AE734,14,FALSE)*$Q369</f>
        <v>0.103808483276563</v>
      </c>
      <c r="AA369" s="48">
        <f>VLOOKUP(B369,'Player Data'!$A1:$AE734,15,FALSE)*$Q369</f>
        <v>24.6288301351584</v>
      </c>
      <c r="AB369" s="48">
        <f>VLOOKUP(B369,'Player Data'!$A1:$AE734,16,FALSE)*$Q369</f>
        <v>55.9178778274022</v>
      </c>
      <c r="AC369" s="48">
        <f>VLOOKUP(B369,'Player Data'!$A1:$AE734,17,FALSE)*$Q369*_xlfn.IFERROR((VLOOKUP(P369,'Settings'!$E$28:$F$33,2,FALSE)+1),1)</f>
        <v>-1.30237486936604</v>
      </c>
      <c r="AD369" s="48">
        <f>VLOOKUP(B369,'Player Data'!$A1:$AE734,18,FALSE)*$Q369</f>
        <v>24.241977410928</v>
      </c>
      <c r="AE369" s="48">
        <f>VLOOKUP(B369,'Player Data'!$A1:$AE734,19,FALSE)*$Q369*_xlfn.IFERROR((VLOOKUP(P369,'Settings'!$E$28:$F$33,2,FALSE)+1),1)</f>
        <v>2.27856582869272</v>
      </c>
      <c r="AF369" s="48">
        <f>VLOOKUP(B369,'Player Data'!$A1:$AE734,20,FALSE)*$Q369</f>
        <v>60.0101613696287</v>
      </c>
      <c r="AG369" s="48">
        <f>VLOOKUP(B369,'Player Data'!$A1:$AE734,21,FALSE)*$Q369</f>
        <v>63.9647548854118</v>
      </c>
      <c r="AH369" s="49">
        <f>VLOOKUP(B369,'Player Data'!$A1:$AE734,22,FALSE)</f>
        <v>0.48405083207458</v>
      </c>
      <c r="AI369" s="46"/>
      <c r="AJ369" s="50"/>
      <c r="AK369" s="48"/>
      <c r="AL369" s="48"/>
      <c r="AM369" s="48"/>
      <c r="AN369" s="48"/>
      <c r="AO369" s="48"/>
      <c r="AP369" s="48"/>
      <c r="AQ369" s="51"/>
      <c r="AR369" s="52"/>
      <c r="AS369" s="46"/>
    </row>
    <row r="370" ht="21.25" customHeight="1">
      <c r="A370" s="53">
        <f>RANK(K370,K2:K730)</f>
        <v>416</v>
      </c>
      <c r="B370" t="s" s="8">
        <v>522</v>
      </c>
      <c r="C370" t="s" s="39">
        <v>106</v>
      </c>
      <c r="D370" t="s" s="40">
        <f>VLOOKUP(B370,'Player Data'!A1:D734,4,FALSE)</f>
        <v>129</v>
      </c>
      <c r="E370" s="56">
        <f>VLOOKUP(B370,'D'!A1:C228,3,FALSE)</f>
        <v>140</v>
      </c>
      <c r="F370" t="s" s="42">
        <f>VLOOKUP(B370,'Player Data'!A1:B734,2,FALSE)</f>
        <v>108</v>
      </c>
      <c r="G370" s="9">
        <f>VLOOKUP(B370,'Player Data'!A1:D734,3,FALSE)</f>
        <v>29</v>
      </c>
      <c r="H370" s="43">
        <f>_xlfn.IFERROR(VLOOKUP(B370,'ADP'!A1:G731,7,FALSE)/1000000,VLOOKUP(B370,'ADP'!A1:G731,7,FALSE))</f>
        <v>2.75</v>
      </c>
      <c r="I370" s="44">
        <f>IF('Settings'!$E$15="POINTS",((R370*Q370)*'Settings'!$B$12)+(S370*'Settings'!$B$2)+(T370*'Settings'!$B$3)+(U370*'Settings'!$B$4)+(V370*'Settings'!$B$5)+(X370*'Settings'!$B$9)+(AA370*'Settings'!$B$6)+(W370*'Settings'!$B$8)+(AB370*'Settings'!$B$7)+(AC370*'Settings'!$B$14)+(AD370*'Settings'!$B$15)+(AE370*'Settings'!$B$16)+(AF370*'Settings'!$B$17)+(AG370*'Settings'!$B$18)+(U370*'Settings'!$B$13)+(Y370*'Settings'!$B$10)+(Z370*'Settings'!$B$11),VLOOKUP(B370,'Standard Deviations'!A1:C731,3,FALSE))</f>
        <v>184.991880186559</v>
      </c>
      <c r="J370" s="45">
        <f>IF(D370="G",I370/AJ370,I370/Q370)</f>
        <v>2.32794585500649</v>
      </c>
      <c r="K370" s="44">
        <f>VLOOKUP(B370,'D'!A1:F228,6,FALSE)</f>
        <v>-155.743258459964</v>
      </c>
      <c r="L370" s="44">
        <f>_xlfn.IFERROR(K370/H370,"N/A")</f>
        <v>-56.6339121672596</v>
      </c>
      <c r="M370" t="s" s="61">
        <f>IF('Settings'!$E$9="YAHOO",VLOOKUP(B370,'ADP'!A1:E731,2,FALSE),IF('Settings'!$E$9="ESPN",VLOOKUP(B370,'ADP'!A1:E731,3,FALSE),IF('Settings'!$E$9="FANTRAX",VLOOKUP(B370,'ADP'!A1:E731,4,FALSE),VLOOKUP(B370,'ADP'!A1:E731,5,FALSE))))</f>
        <v>329</v>
      </c>
      <c r="N370" t="s" s="61">
        <f>_xlfn.IFERROR(M370-A370,"N/A")</f>
        <v>158</v>
      </c>
      <c r="O370" s="46"/>
      <c r="P370" t="s" s="47">
        <f>IF('Settings'!$E$27="ON",VLOOKUP(B370,'ADP'!A1:H731,8,FALSE)," ")</f>
        <v>109</v>
      </c>
      <c r="Q370" s="48">
        <f>IF('Settings'!$E$12="YES",VLOOKUP(B370,'Player Data'!A1:E734,5,FALSE),82)</f>
        <v>79.4657142857143</v>
      </c>
      <c r="R370" s="46">
        <f>VLOOKUP(B370,'Player Data'!$A1:$AE734,6,FALSE)</f>
        <v>16.731350464939</v>
      </c>
      <c r="S370" s="48">
        <f>VLOOKUP(B370,'Player Data'!$A1:$AE734,7,FALSE)*$Q370*_xlfn.IFERROR((VLOOKUP(P370,'Settings'!$E$28:$F$33,2,FALSE)+1),1)</f>
        <v>3.75429864379176</v>
      </c>
      <c r="T370" s="48">
        <f>VLOOKUP(B370,'Player Data'!$A1:$AE734,8,FALSE)*$Q370*_xlfn.IFERROR((VLOOKUP(P370,'Settings'!$E$28:$F$33,2,FALSE)+1),1)</f>
        <v>15.0063993002804</v>
      </c>
      <c r="U370" s="48">
        <f>SUM(S370:T370)</f>
        <v>18.7606979440722</v>
      </c>
      <c r="V370" s="48">
        <f>VLOOKUP(B370,'Player Data'!$A1:$AE734,10,FALSE)*$Q370*_xlfn.IFERROR(((VLOOKUP(P370,'Settings'!$E$28:$F$33,2,FALSE)/2)+1),1)</f>
        <v>102.182492175982</v>
      </c>
      <c r="W370" s="48">
        <f>VLOOKUP(B370,'Player Data'!$A1:$AE734,11,FALSE)*$Q370*_xlfn.IFERROR((VLOOKUP(P370,'Settings'!$E$28:$F$33,2,FALSE)+1),1)</f>
        <v>0.0195922564280337</v>
      </c>
      <c r="X370" s="48">
        <f>VLOOKUP(B370,'Player Data'!$A1:$AE734,12,FALSE)*$Q370*_xlfn.IFERROR((VLOOKUP(P370,'Settings'!$E$28:$F$33,2,FALSE)+1),1)</f>
        <v>0.135974670073639</v>
      </c>
      <c r="Y370" s="48">
        <f>VLOOKUP(B370,'Player Data'!$A1:$AE734,13,FALSE)*$Q370</f>
        <v>0.021162943473041</v>
      </c>
      <c r="Z370" s="48">
        <f>VLOOKUP(B370,'Player Data'!$A1:$AE734,14,FALSE)*$Q370</f>
        <v>0.916932644553341</v>
      </c>
      <c r="AA370" s="48">
        <f>VLOOKUP(B370,'Player Data'!$A1:$AE734,15,FALSE)*$Q370</f>
        <v>90.2595010689634</v>
      </c>
      <c r="AB370" s="48">
        <f>VLOOKUP(B370,'Player Data'!$A1:$AE734,16,FALSE)*$Q370</f>
        <v>100.093905908301</v>
      </c>
      <c r="AC370" s="48">
        <f>VLOOKUP(B370,'Player Data'!$A1:$AE734,17,FALSE)*$Q370*_xlfn.IFERROR((VLOOKUP(P370,'Settings'!$E$28:$F$33,2,FALSE)+1),1)</f>
        <v>5.00995189263235</v>
      </c>
      <c r="AD370" s="48">
        <f>VLOOKUP(B370,'Player Data'!$A1:$AE734,18,FALSE)*$Q370</f>
        <v>39.1041653022201</v>
      </c>
      <c r="AE370" s="48">
        <f>VLOOKUP(B370,'Player Data'!$A1:$AE734,19,FALSE)*$Q370*_xlfn.IFERROR((VLOOKUP(P370,'Settings'!$E$28:$F$33,2,FALSE)+1),1)</f>
        <v>0.594265170577591</v>
      </c>
      <c r="AF370" s="48">
        <f>VLOOKUP(B370,'Player Data'!$A1:$AE734,20,FALSE)*$Q370</f>
        <v>0</v>
      </c>
      <c r="AG370" s="48">
        <f>VLOOKUP(B370,'Player Data'!$A1:$AE734,21,FALSE)*$Q370</f>
        <v>0</v>
      </c>
      <c r="AH370" s="49">
        <f>VLOOKUP(B370,'Player Data'!$A1:$AE734,22,FALSE)</f>
        <v>0</v>
      </c>
      <c r="AI370" s="46"/>
      <c r="AJ370" s="48"/>
      <c r="AK370" s="48"/>
      <c r="AL370" s="48"/>
      <c r="AM370" s="48"/>
      <c r="AN370" s="48"/>
      <c r="AO370" s="48"/>
      <c r="AP370" s="48"/>
      <c r="AQ370" s="51"/>
      <c r="AR370" s="52"/>
      <c r="AS370" s="46"/>
    </row>
    <row r="371" ht="21.25" customHeight="1">
      <c r="A371" s="53">
        <f>RANK(K371,K2:K730)</f>
        <v>475</v>
      </c>
      <c r="B371" t="s" s="8">
        <v>523</v>
      </c>
      <c r="C371" t="s" s="39">
        <v>106</v>
      </c>
      <c r="D371" t="s" s="40">
        <f>VLOOKUP(B371,'Player Data'!A1:D734,4,FALSE)</f>
        <v>129</v>
      </c>
      <c r="E371" s="56">
        <f>VLOOKUP(B371,'D'!A1:C228,3,FALSE)</f>
        <v>167</v>
      </c>
      <c r="F371" t="s" s="42">
        <f>VLOOKUP(B371,'Player Data'!A1:B734,2,FALSE)</f>
        <v>170</v>
      </c>
      <c r="G371" s="9">
        <f>VLOOKUP(B371,'Player Data'!A1:D734,3,FALSE)</f>
        <v>24</v>
      </c>
      <c r="H371" s="43">
        <f>_xlfn.IFERROR(VLOOKUP(B371,'ADP'!A1:G731,7,FALSE)/1000000,VLOOKUP(B371,'ADP'!A1:G731,7,FALSE))</f>
        <v>0.825</v>
      </c>
      <c r="I371" s="44">
        <f>IF('Settings'!$E$15="POINTS",((R371*Q371)*'Settings'!$B$12)+(S371*'Settings'!$B$2)+(T371*'Settings'!$B$3)+(U371*'Settings'!$B$4)+(V371*'Settings'!$B$5)+(X371*'Settings'!$B$9)+(AA371*'Settings'!$B$6)+(W371*'Settings'!$B$8)+(AB371*'Settings'!$B$7)+(AC371*'Settings'!$B$14)+(AD371*'Settings'!$B$15)+(AE371*'Settings'!$B$16)+(AF371*'Settings'!$B$17)+(AG371*'Settings'!$B$18)+(U371*'Settings'!$B$13)+(Y371*'Settings'!$B$10)+(Z371*'Settings'!$B$11),VLOOKUP(B371,'Standard Deviations'!A1:C731,3,FALSE))</f>
        <v>166.744297441005</v>
      </c>
      <c r="J371" s="45">
        <f>IF(D371="G",I371/AJ371,I371/Q371)</f>
        <v>2.4402667337505</v>
      </c>
      <c r="K371" s="44">
        <f>VLOOKUP(B371,'D'!A1:F228,6,FALSE)</f>
        <v>-173.990841205518</v>
      </c>
      <c r="L371" s="44">
        <f>_xlfn.IFERROR(K371/H371,"N/A")</f>
        <v>-210.897989340022</v>
      </c>
      <c r="M371" t="s" s="61">
        <f>IF('Settings'!$E$9="YAHOO",VLOOKUP(B371,'ADP'!A1:E731,2,FALSE),IF('Settings'!$E$9="ESPN",VLOOKUP(B371,'ADP'!A1:E731,3,FALSE),IF('Settings'!$E$9="FANTRAX",VLOOKUP(B371,'ADP'!A1:E731,4,FALSE),VLOOKUP(B371,'ADP'!A1:E731,5,FALSE))))</f>
        <v>329</v>
      </c>
      <c r="N371" t="s" s="61">
        <f>_xlfn.IFERROR(M371-A371,"N/A")</f>
        <v>158</v>
      </c>
      <c r="O371" s="46"/>
      <c r="P371" t="s" s="47">
        <f>IF('Settings'!$E$27="ON",VLOOKUP(B371,'ADP'!A1:H731,8,FALSE)," ")</f>
        <v>109</v>
      </c>
      <c r="Q371" s="48">
        <f>IF('Settings'!$E$12="YES",VLOOKUP(B371,'Player Data'!A1:E734,5,FALSE),82)</f>
        <v>68.3303571428571</v>
      </c>
      <c r="R371" s="46">
        <f>VLOOKUP(B371,'Player Data'!$A1:$AE734,6,FALSE)</f>
        <v>16.9015231577038</v>
      </c>
      <c r="S371" s="48">
        <f>VLOOKUP(B371,'Player Data'!$A1:$AE734,7,FALSE)*$Q371*_xlfn.IFERROR((VLOOKUP(P371,'Settings'!$E$28:$F$33,2,FALSE)+1),1)</f>
        <v>4.46554488081947</v>
      </c>
      <c r="T371" s="48">
        <f>VLOOKUP(B371,'Player Data'!$A1:$AE734,8,FALSE)*$Q371*_xlfn.IFERROR((VLOOKUP(P371,'Settings'!$E$28:$F$33,2,FALSE)+1),1)</f>
        <v>15.6531472762395</v>
      </c>
      <c r="U371" s="48">
        <f>SUM(S371:T371)</f>
        <v>20.118692157059</v>
      </c>
      <c r="V371" s="48">
        <f>VLOOKUP(B371,'Player Data'!$A1:$AE734,10,FALSE)*$Q371*_xlfn.IFERROR(((VLOOKUP(P371,'Settings'!$E$28:$F$33,2,FALSE)/2)+1),1)</f>
        <v>102.510886009342</v>
      </c>
      <c r="W371" s="48">
        <f>VLOOKUP(B371,'Player Data'!$A1:$AE734,11,FALSE)*$Q371*_xlfn.IFERROR((VLOOKUP(P371,'Settings'!$E$28:$F$33,2,FALSE)+1),1)</f>
        <v>0.439835340188423</v>
      </c>
      <c r="X371" s="48">
        <f>VLOOKUP(B371,'Player Data'!$A1:$AE734,12,FALSE)*$Q371*_xlfn.IFERROR((VLOOKUP(P371,'Settings'!$E$28:$F$33,2,FALSE)+1),1)</f>
        <v>1.7150948124278</v>
      </c>
      <c r="Y371" s="48">
        <f>VLOOKUP(B371,'Player Data'!$A1:$AE734,13,FALSE)*$Q371</f>
        <v>0.0107235269488042</v>
      </c>
      <c r="Z371" s="48">
        <f>VLOOKUP(B371,'Player Data'!$A1:$AE734,14,FALSE)*$Q371</f>
        <v>0.0398258722566829</v>
      </c>
      <c r="AA371" s="48">
        <f>VLOOKUP(B371,'Player Data'!$A1:$AE734,15,FALSE)*$Q371</f>
        <v>51.7965226111996</v>
      </c>
      <c r="AB371" s="48">
        <f>VLOOKUP(B371,'Player Data'!$A1:$AE734,16,FALSE)*$Q371</f>
        <v>89.8261903752601</v>
      </c>
      <c r="AC371" s="48">
        <f>VLOOKUP(B371,'Player Data'!$A1:$AE734,17,FALSE)*$Q371*_xlfn.IFERROR((VLOOKUP(P371,'Settings'!$E$28:$F$33,2,FALSE)+1),1)</f>
        <v>2.99932938531049</v>
      </c>
      <c r="AD371" s="48">
        <f>VLOOKUP(B371,'Player Data'!$A1:$AE734,18,FALSE)*$Q371</f>
        <v>38.098821951718</v>
      </c>
      <c r="AE371" s="48">
        <f>VLOOKUP(B371,'Player Data'!$A1:$AE734,19,FALSE)*$Q371*_xlfn.IFERROR((VLOOKUP(P371,'Settings'!$E$28:$F$33,2,FALSE)+1),1)</f>
        <v>0.716809368893829</v>
      </c>
      <c r="AF371" s="48">
        <f>VLOOKUP(B371,'Player Data'!$A1:$AE734,20,FALSE)*$Q371</f>
        <v>0</v>
      </c>
      <c r="AG371" s="48">
        <f>VLOOKUP(B371,'Player Data'!$A1:$AE734,21,FALSE)*$Q371</f>
        <v>0</v>
      </c>
      <c r="AH371" s="49">
        <f>VLOOKUP(B371,'Player Data'!$A1:$AE734,22,FALSE)</f>
        <v>0</v>
      </c>
      <c r="AI371" s="46"/>
      <c r="AJ371" s="50"/>
      <c r="AK371" s="48"/>
      <c r="AL371" s="48"/>
      <c r="AM371" s="48"/>
      <c r="AN371" s="48"/>
      <c r="AO371" s="48"/>
      <c r="AP371" s="48"/>
      <c r="AQ371" s="51"/>
      <c r="AR371" s="52"/>
      <c r="AS371" s="46"/>
    </row>
    <row r="372" ht="21.25" customHeight="1">
      <c r="A372" s="53">
        <f>RANK(K372,K2:K730)</f>
        <v>447</v>
      </c>
      <c r="B372" t="s" s="8">
        <v>524</v>
      </c>
      <c r="C372" t="s" s="39">
        <v>106</v>
      </c>
      <c r="D372" t="s" s="40">
        <f>VLOOKUP(B372,'Player Data'!A1:D734,4,FALSE)</f>
        <v>107</v>
      </c>
      <c r="E372" s="41">
        <f>VLOOKUP(B372,'C'!A1:C218,3,FALSE)</f>
        <v>111</v>
      </c>
      <c r="F372" t="s" s="42">
        <f>VLOOKUP(B372,'Player Data'!A1:B734,2,FALSE)</f>
        <v>131</v>
      </c>
      <c r="G372" s="9">
        <f>VLOOKUP(B372,'Player Data'!A1:D734,3,FALSE)</f>
        <v>22</v>
      </c>
      <c r="H372" s="43">
        <f>_xlfn.IFERROR(VLOOKUP(B372,'ADP'!A1:G731,7,FALSE)/1000000,VLOOKUP(B372,'ADP'!A1:G731,7,FALSE))</f>
        <v>0.863333</v>
      </c>
      <c r="I372" s="44">
        <f>IF('Settings'!$E$15="POINTS",((R372*Q372)*'Settings'!$B$12)+(S372*'Settings'!$B$2)+(T372*'Settings'!$B$3)+(U372*'Settings'!$B$4)+(V372*'Settings'!$B$5)+(X372*'Settings'!$B$9)+(AA372*'Settings'!$B$6)+(W372*'Settings'!$B$8)+(AB372*'Settings'!$B$7)+(AC372*'Settings'!$B$14)+(AD372*'Settings'!$B$15)+(AE372*'Settings'!$B$16)+(AF372*'Settings'!$B$17)+(AG372*'Settings'!$B$18)+(Y372*'Settings'!$B$10)+(Z372*'Settings'!$B$11),VLOOKUP(B372,'Standard Deviations'!A1:C731,3,FALSE))</f>
        <v>229.411015171373</v>
      </c>
      <c r="J372" s="45">
        <f>IF(D372="G",I372/AJ372,I372/Q372)</f>
        <v>3.30789827578491</v>
      </c>
      <c r="K372" s="44">
        <f>IF('Settings'!$E$18="C/LW/RW",VLOOKUP(B372,'C'!A1:F218,6,FALSE),VLOOKUP(B372,'F'!A1:F432,6,FALSE))</f>
        <v>-166.363186464642</v>
      </c>
      <c r="L372" s="44">
        <f>_xlfn.IFERROR(K372/H372,"N/A")</f>
        <v>-192.698745981727</v>
      </c>
      <c r="M372" s="46">
        <f>IF('Settings'!$E$9="YAHOO",VLOOKUP(B372,'ADP'!A1:E731,2,FALSE),IF('Settings'!$E$9="ESPN",VLOOKUP(B372,'ADP'!A1:E731,3,FALSE),IF('Settings'!$E$9="FANTRAX",VLOOKUP(B372,'ADP'!A1:E731,4,FALSE),VLOOKUP(B372,'ADP'!A1:E731,5,FALSE))))</f>
        <v>502.5</v>
      </c>
      <c r="N372" s="46">
        <f>_xlfn.IFERROR(M372-A372,"N/A")</f>
        <v>55.5</v>
      </c>
      <c r="O372" s="46"/>
      <c r="P372" t="s" s="47">
        <f>IF('Settings'!$E$27="ON",VLOOKUP(B372,'ADP'!A1:H731,8,FALSE)," ")</f>
        <v>109</v>
      </c>
      <c r="Q372" s="48">
        <f>IF('Settings'!$E$12="YES",VLOOKUP(B372,'Player Data'!A1:E734,5,FALSE),82)</f>
        <v>69.35250000000001</v>
      </c>
      <c r="R372" s="46">
        <f>VLOOKUP(B372,'Player Data'!$A1:$AE734,6,FALSE)</f>
        <v>14.7410933225209</v>
      </c>
      <c r="S372" s="48">
        <f>VLOOKUP(B372,'Player Data'!$A1:$AE734,7,FALSE)*$Q372*_xlfn.IFERROR((VLOOKUP(P372,'Settings'!$E$28:$F$33,2,FALSE)+1),1)</f>
        <v>13.4635805488829</v>
      </c>
      <c r="T372" s="48">
        <f>VLOOKUP(B372,'Player Data'!$A1:$AE734,8,FALSE)*$Q372*_xlfn.IFERROR((VLOOKUP(P372,'Settings'!$E$28:$F$33,2,FALSE)+1),1)</f>
        <v>25.3923435057581</v>
      </c>
      <c r="U372" s="48">
        <f>SUM(S372:T372)</f>
        <v>38.855924054641</v>
      </c>
      <c r="V372" s="48">
        <f>VLOOKUP(B372,'Player Data'!$A1:$AE734,10,FALSE)*$Q372*_xlfn.IFERROR(((VLOOKUP(P372,'Settings'!$E$28:$F$33,2,FALSE)/2)+1),1)</f>
        <v>121.121798791389</v>
      </c>
      <c r="W372" s="48">
        <f>VLOOKUP(B372,'Player Data'!$A1:$AE734,11,FALSE)*$Q372*_xlfn.IFERROR((VLOOKUP(P372,'Settings'!$E$28:$F$33,2,FALSE)+1),1)</f>
        <v>5.39521440515554</v>
      </c>
      <c r="X372" s="48">
        <f>VLOOKUP(B372,'Player Data'!$A1:$AE734,12,FALSE)*$Q372*_xlfn.IFERROR((VLOOKUP(P372,'Settings'!$E$28:$F$33,2,FALSE)+1),1)</f>
        <v>10.9876068656913</v>
      </c>
      <c r="Y372" s="48">
        <f>VLOOKUP(B372,'Player Data'!$A1:$AE734,13,FALSE)*$Q372</f>
        <v>0.0005612266620472831</v>
      </c>
      <c r="Z372" s="48">
        <f>VLOOKUP(B372,'Player Data'!$A1:$AE734,14,FALSE)*$Q372</f>
        <v>0.00101030340876526</v>
      </c>
      <c r="AA372" s="48">
        <f>VLOOKUP(B372,'Player Data'!$A1:$AE734,15,FALSE)*$Q372</f>
        <v>32.7454370409096</v>
      </c>
      <c r="AB372" s="48">
        <f>VLOOKUP(B372,'Player Data'!$A1:$AE734,16,FALSE)*$Q372</f>
        <v>62.8489346446367</v>
      </c>
      <c r="AC372" s="48">
        <f>VLOOKUP(B372,'Player Data'!$A1:$AE734,17,FALSE)*$Q372*_xlfn.IFERROR((VLOOKUP(P372,'Settings'!$E$28:$F$33,2,FALSE)+1),1)</f>
        <v>-0.839921178402164</v>
      </c>
      <c r="AD372" s="48">
        <f>VLOOKUP(B372,'Player Data'!$A1:$AE734,18,FALSE)*$Q372</f>
        <v>16.6653468572683</v>
      </c>
      <c r="AE372" s="48">
        <f>VLOOKUP(B372,'Player Data'!$A1:$AE734,19,FALSE)*$Q372*_xlfn.IFERROR((VLOOKUP(P372,'Settings'!$E$28:$F$33,2,FALSE)+1),1)</f>
        <v>1.96603488766347</v>
      </c>
      <c r="AF372" s="48">
        <f>VLOOKUP(B372,'Player Data'!$A1:$AE734,20,FALSE)*$Q372</f>
        <v>20.4204946856347</v>
      </c>
      <c r="AG372" s="48">
        <f>VLOOKUP(B372,'Player Data'!$A1:$AE734,21,FALSE)*$Q372</f>
        <v>24.4163528170133</v>
      </c>
      <c r="AH372" s="49">
        <f>VLOOKUP(B372,'Player Data'!$A1:$AE734,22,FALSE)</f>
        <v>0.45544001915899</v>
      </c>
      <c r="AI372" s="46"/>
      <c r="AJ372" s="50"/>
      <c r="AK372" s="48"/>
      <c r="AL372" s="48"/>
      <c r="AM372" s="48"/>
      <c r="AN372" s="48"/>
      <c r="AO372" s="48"/>
      <c r="AP372" s="48"/>
      <c r="AQ372" s="51"/>
      <c r="AR372" s="52"/>
      <c r="AS372" s="46"/>
    </row>
    <row r="373" ht="21.25" customHeight="1">
      <c r="A373" s="53">
        <f>RANK(K373,K2:K730)</f>
        <v>198</v>
      </c>
      <c r="B373" t="s" s="8">
        <v>525</v>
      </c>
      <c r="C373" t="s" s="39">
        <v>106</v>
      </c>
      <c r="D373" t="s" s="40">
        <f>VLOOKUP(B373,'Player Data'!A1:D734,4,FALSE)</f>
        <v>146</v>
      </c>
      <c r="E373" s="58">
        <f>VLOOKUP(B373,'G'!A1:D75,3,FALSE)</f>
        <v>32</v>
      </c>
      <c r="F373" t="s" s="42">
        <f>VLOOKUP(B373,'Player Data'!A1:B734,2,FALSE)</f>
        <v>173</v>
      </c>
      <c r="G373" s="9">
        <f>VLOOKUP(B373,'Player Data'!A1:D734,3,FALSE)</f>
        <v>30</v>
      </c>
      <c r="H373" s="43">
        <f>_xlfn.IFERROR(VLOOKUP(B373,'ADP'!A1:G731,7,FALSE)/1000000,VLOOKUP(B373,'ADP'!A1:G731,7,FALSE))</f>
        <v>2.75</v>
      </c>
      <c r="I373" s="44">
        <f>IF('Settings'!$E$15="POINTS",(AJ373*'Settings'!$B$29)+(AK373*'Settings'!$B$21)+(AL373*'Settings'!$B$22)+(AN373*'Settings'!$B$24)+(AO373*'Settings'!$B$25)+(AP373*'Settings'!$B$27)+(AM373*'Settings'!$B$23),VLOOKUP(B373,'Standard Deviations'!A1:C731,3,FALSE))</f>
        <v>199.227585314225</v>
      </c>
      <c r="J373" s="45">
        <f>IF(D373="G",I373/AJ373,I373/Q373)</f>
        <v>5.85963486218309</v>
      </c>
      <c r="K373" s="44">
        <f>VLOOKUP(B373,'G'!A1:F75,6,FALSE)</f>
        <v>-66.075636185463</v>
      </c>
      <c r="L373" s="44">
        <f>_xlfn.IFERROR(K373/H373,"N/A")</f>
        <v>-24.0275040674411</v>
      </c>
      <c r="M373" s="46">
        <f>IF('Settings'!$E$9="YAHOO",VLOOKUP(B373,'ADP'!A1:E731,2,FALSE),IF('Settings'!$E$9="ESPN",VLOOKUP(B373,'ADP'!A1:E731,3,FALSE),IF('Settings'!$E$9="FANTRAX",VLOOKUP(B373,'ADP'!A1:E731,4,FALSE),VLOOKUP(B373,'ADP'!A1:E731,5,FALSE))))</f>
        <v>449.67</v>
      </c>
      <c r="N373" s="46">
        <f>_xlfn.IFERROR(M373-A373,"N/A")</f>
        <v>251.67</v>
      </c>
      <c r="O373" s="46"/>
      <c r="P373" t="s" s="47">
        <f>IF('Settings'!$E$27="ON",VLOOKUP(B373,'ADP'!A1:H731,8,FALSE)," ")</f>
        <v>109</v>
      </c>
      <c r="Q373" s="48"/>
      <c r="R373" s="59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9"/>
      <c r="AI373" s="46"/>
      <c r="AJ373" s="50">
        <f>VLOOKUP(B373,'Player Data'!$A1:$AE734,24,FALSE)</f>
        <v>34</v>
      </c>
      <c r="AK373" s="48">
        <f>VLOOKUP(B373,'Player Data'!$A1:$AE734,25,FALSE)*$AJ373*_xlfn.IFERROR((VLOOKUP(P373,'Settings'!$E$28:$F$33,2,FALSE)+1),1)</f>
        <v>17.9125439836937</v>
      </c>
      <c r="AL373" s="48">
        <f>AJ373-AK373-AM373</f>
        <v>11.8374560163063</v>
      </c>
      <c r="AM373" s="48">
        <f>VLOOKUP(B373,'Player Data'!$A1:$AE734,27,FALSE)*$AJ373</f>
        <v>4.25</v>
      </c>
      <c r="AN373" s="48">
        <f>VLOOKUP(B373,'Player Data'!$A1:$AE734,28,FALSE)*AJ373</f>
        <v>1.85981683032312</v>
      </c>
      <c r="AO373" s="48">
        <f>VLOOKUP(B373,'Player Data'!$A1:$AE734,29,FALSE)*$AJ373*_xlfn.IFERROR((VLOOKUP(P373,'Settings'!$E$28:$F$33,2,FALSE)/4)+1,1)</f>
        <v>947.218026786626</v>
      </c>
      <c r="AP373" s="48">
        <f>VLOOKUP(B373,'Player Data'!$A1:$AE734,31,FALSE)*$AJ373*(_xlfn.IFERROR(1-(VLOOKUP(P373,'Settings'!$E$28:$F$33,2,FALSE)/4),1))</f>
        <v>96.1699367758754</v>
      </c>
      <c r="AQ373" s="51">
        <f>1-(AP373/(AO373+AP373))</f>
        <v>0.907829167927607</v>
      </c>
      <c r="AR373" s="52">
        <f>AP373/AJ373</f>
        <v>2.82852755223163</v>
      </c>
      <c r="AS373" s="46"/>
    </row>
    <row r="374" ht="21.25" customHeight="1">
      <c r="A374" s="53">
        <f>RANK(K374,K2:K730)</f>
        <v>353</v>
      </c>
      <c r="B374" t="s" s="8">
        <v>526</v>
      </c>
      <c r="C374" t="s" s="39">
        <v>106</v>
      </c>
      <c r="D374" t="s" s="40">
        <f>VLOOKUP(B374,'Player Data'!A1:D734,4,FALSE)</f>
        <v>121</v>
      </c>
      <c r="E374" s="55">
        <f>VLOOKUP(B374,'RW'!A1:F132,3,FALSE)</f>
        <v>74</v>
      </c>
      <c r="F374" t="s" s="42">
        <f>VLOOKUP(B374,'Player Data'!A1:B734,2,FALSE)</f>
        <v>248</v>
      </c>
      <c r="G374" s="9">
        <f>VLOOKUP(B374,'Player Data'!A1:D734,3,FALSE)</f>
        <v>24</v>
      </c>
      <c r="H374" s="43">
        <f>_xlfn.IFERROR(VLOOKUP(B374,'ADP'!A1:G731,7,FALSE)/1000000,VLOOKUP(B374,'ADP'!A1:G731,7,FALSE))</f>
        <v>1.45</v>
      </c>
      <c r="I374" s="44">
        <f>IF('Settings'!$E$15="POINTS",((R374*Q374)*'Settings'!$B$12)+(S374*'Settings'!$B$2)+(T374*'Settings'!$B$3)+(U374*'Settings'!$B$4)+(V374*'Settings'!$B$5)+(X374*'Settings'!$B$9)+(AA374*'Settings'!$B$6)+(W374*'Settings'!$B$8)+(AB374*'Settings'!$B$7)+(AC374*'Settings'!$B$14)+(AD374*'Settings'!$B$15)+(AE374*'Settings'!$B$16)+(AF374*'Settings'!$B$17)+(AG374*'Settings'!$B$18)+(Y374*'Settings'!$B$10)+(Z374*'Settings'!$B$11),VLOOKUP(B374,'Standard Deviations'!A1:C731,3,FALSE))</f>
        <v>248.026571423735</v>
      </c>
      <c r="J374" s="45">
        <f>IF(D374="G",I374/AJ374,I374/Q374)</f>
        <v>3.39762426607856</v>
      </c>
      <c r="K374" s="44">
        <f>IF('Settings'!$E$18="C/LW/RW",VLOOKUP(B374,'RW'!A1:F132,6,FALSE),VLOOKUP(B374,'F'!A1:F432,6,FALSE))</f>
        <v>-133.601992282621</v>
      </c>
      <c r="L374" s="44">
        <f>_xlfn.IFERROR(K374/H374,"N/A")</f>
        <v>-92.1393050224972</v>
      </c>
      <c r="M374" s="46">
        <f>IF('Settings'!$E$9="YAHOO",VLOOKUP(B374,'ADP'!A1:E731,2,FALSE),IF('Settings'!$E$9="ESPN",VLOOKUP(B374,'ADP'!A1:E731,3,FALSE),IF('Settings'!$E$9="FANTRAX",VLOOKUP(B374,'ADP'!A1:E731,4,FALSE),VLOOKUP(B374,'ADP'!A1:E731,5,FALSE))))</f>
        <v>239.91</v>
      </c>
      <c r="N374" s="46">
        <f>_xlfn.IFERROR(M374-A374,"N/A")</f>
        <v>-113.09</v>
      </c>
      <c r="O374" s="46"/>
      <c r="P374" t="s" s="47">
        <f>IF('Settings'!$E$27="ON",VLOOKUP(B374,'ADP'!A1:H731,8,FALSE)," ")</f>
        <v>109</v>
      </c>
      <c r="Q374" s="48">
        <f>IF('Settings'!$E$12="YES",VLOOKUP(B374,'Player Data'!A1:E734,5,FALSE),82)</f>
        <v>73</v>
      </c>
      <c r="R374" s="46">
        <f>VLOOKUP(B374,'Player Data'!$A1:$AE734,6,FALSE)</f>
        <v>14.1531691711759</v>
      </c>
      <c r="S374" s="48">
        <f>VLOOKUP(B374,'Player Data'!$A1:$AE734,7,FALSE)*$Q374*_xlfn.IFERROR((VLOOKUP(P374,'Settings'!$E$28:$F$33,2,FALSE)+1),1)</f>
        <v>16.9508161876434</v>
      </c>
      <c r="T374" s="48">
        <f>VLOOKUP(B374,'Player Data'!$A1:$AE734,8,FALSE)*$Q374*_xlfn.IFERROR((VLOOKUP(P374,'Settings'!$E$28:$F$33,2,FALSE)+1),1)</f>
        <v>15.771755689282</v>
      </c>
      <c r="U374" s="48">
        <f>SUM(S374:T374)</f>
        <v>32.7225718769254</v>
      </c>
      <c r="V374" s="48">
        <f>VLOOKUP(B374,'Player Data'!$A1:$AE734,10,FALSE)*$Q374*_xlfn.IFERROR(((VLOOKUP(P374,'Settings'!$E$28:$F$33,2,FALSE)/2)+1),1)</f>
        <v>134.064166650805</v>
      </c>
      <c r="W374" s="48">
        <f>VLOOKUP(B374,'Player Data'!$A1:$AE734,11,FALSE)*$Q374*_xlfn.IFERROR((VLOOKUP(P374,'Settings'!$E$28:$F$33,2,FALSE)+1),1)</f>
        <v>3.80880550174051</v>
      </c>
      <c r="X374" s="48">
        <f>VLOOKUP(B374,'Player Data'!$A1:$AE734,12,FALSE)*$Q374*_xlfn.IFERROR((VLOOKUP(P374,'Settings'!$E$28:$F$33,2,FALSE)+1),1)</f>
        <v>8.636328545397699</v>
      </c>
      <c r="Y374" s="48">
        <f>VLOOKUP(B374,'Player Data'!$A1:$AE734,13,FALSE)*$Q374</f>
        <v>0.0532978010062577</v>
      </c>
      <c r="Z374" s="48">
        <f>VLOOKUP(B374,'Player Data'!$A1:$AE734,14,FALSE)*$Q374</f>
        <v>0.0978443474353322</v>
      </c>
      <c r="AA374" s="48">
        <f>VLOOKUP(B374,'Player Data'!$A1:$AE734,15,FALSE)*$Q374</f>
        <v>51.0508833338694</v>
      </c>
      <c r="AB374" s="48">
        <f>VLOOKUP(B374,'Player Data'!$A1:$AE734,16,FALSE)*$Q374</f>
        <v>126.717671297143</v>
      </c>
      <c r="AC374" s="48">
        <f>VLOOKUP(B374,'Player Data'!$A1:$AE734,17,FALSE)*$Q374*_xlfn.IFERROR((VLOOKUP(P374,'Settings'!$E$28:$F$33,2,FALSE)+1),1)</f>
        <v>0.508848480036566</v>
      </c>
      <c r="AD374" s="48">
        <f>VLOOKUP(B374,'Player Data'!$A1:$AE734,18,FALSE)*$Q374</f>
        <v>17.2308441424759</v>
      </c>
      <c r="AE374" s="48">
        <f>VLOOKUP(B374,'Player Data'!$A1:$AE734,19,FALSE)*$Q374*_xlfn.IFERROR((VLOOKUP(P374,'Settings'!$E$28:$F$33,2,FALSE)+1),1)</f>
        <v>2.38262327016492</v>
      </c>
      <c r="AF374" s="48">
        <f>VLOOKUP(B374,'Player Data'!$A1:$AE734,20,FALSE)*$Q374</f>
        <v>1.54378861471803</v>
      </c>
      <c r="AG374" s="48">
        <f>VLOOKUP(B374,'Player Data'!$A1:$AE734,21,FALSE)*$Q374</f>
        <v>9.88767265925741</v>
      </c>
      <c r="AH374" s="49">
        <f>VLOOKUP(B374,'Player Data'!$A1:$AE734,22,FALSE)</f>
        <v>0.135047355514608</v>
      </c>
      <c r="AI374" s="46"/>
      <c r="AJ374" s="50"/>
      <c r="AK374" s="48"/>
      <c r="AL374" s="48"/>
      <c r="AM374" s="48"/>
      <c r="AN374" s="48"/>
      <c r="AO374" s="48"/>
      <c r="AP374" s="48"/>
      <c r="AQ374" s="51"/>
      <c r="AR374" s="52"/>
      <c r="AS374" s="46"/>
    </row>
    <row r="375" ht="21.25" customHeight="1">
      <c r="A375" s="53">
        <f>RANK(K375,K2:K730)</f>
        <v>401</v>
      </c>
      <c r="B375" t="s" s="8">
        <v>527</v>
      </c>
      <c r="C375" t="s" s="39">
        <v>106</v>
      </c>
      <c r="D375" t="s" s="40">
        <f>VLOOKUP(B375,'Player Data'!A1:D734,4,FALSE)</f>
        <v>107</v>
      </c>
      <c r="E375" s="41">
        <f>VLOOKUP(B375,'C'!A1:C218,3,FALSE)</f>
        <v>101</v>
      </c>
      <c r="F375" t="s" s="42">
        <f>VLOOKUP(B375,'Player Data'!A1:B734,2,FALSE)</f>
        <v>184</v>
      </c>
      <c r="G375" s="9">
        <f>VLOOKUP(B375,'Player Data'!A1:D734,3,FALSE)</f>
        <v>29</v>
      </c>
      <c r="H375" s="43">
        <f>_xlfn.IFERROR(VLOOKUP(B375,'ADP'!A1:G731,7,FALSE)/1000000,VLOOKUP(B375,'ADP'!A1:G731,7,FALSE))</f>
        <v>5.625</v>
      </c>
      <c r="I375" s="44">
        <f>IF('Settings'!$E$15="POINTS",((R375*Q375)*'Settings'!$B$12)+(S375*'Settings'!$B$2)+(T375*'Settings'!$B$3)+(U375*'Settings'!$B$4)+(V375*'Settings'!$B$5)+(X375*'Settings'!$B$9)+(AA375*'Settings'!$B$6)+(W375*'Settings'!$B$8)+(AB375*'Settings'!$B$7)+(AC375*'Settings'!$B$14)+(AD375*'Settings'!$B$15)+(AE375*'Settings'!$B$16)+(AF375*'Settings'!$B$17)+(AG375*'Settings'!$B$18)+(Y375*'Settings'!$B$10)+(Z375*'Settings'!$B$11),VLOOKUP(B375,'Standard Deviations'!A1:C731,3,FALSE))</f>
        <v>245.157568840806</v>
      </c>
      <c r="J375" s="45">
        <f>IF(D375="G",I375/AJ375,I375/Q375)</f>
        <v>3.04511140230968</v>
      </c>
      <c r="K375" s="44">
        <f>IF('Settings'!$E$18="C/LW/RW",VLOOKUP(B375,'C'!A1:F218,6,FALSE),VLOOKUP(B375,'F'!A1:F432,6,FALSE))</f>
        <v>-150.616632795209</v>
      </c>
      <c r="L375" s="44">
        <f>_xlfn.IFERROR(K375/H375,"N/A")</f>
        <v>-26.7762902747038</v>
      </c>
      <c r="M375" t="s" s="61">
        <f>IF('Settings'!$E$9="YAHOO",VLOOKUP(B375,'ADP'!A1:E731,2,FALSE),IF('Settings'!$E$9="ESPN",VLOOKUP(B375,'ADP'!A1:E731,3,FALSE),IF('Settings'!$E$9="FANTRAX",VLOOKUP(B375,'ADP'!A1:E731,4,FALSE),VLOOKUP(B375,'ADP'!A1:E731,5,FALSE))))</f>
        <v>329</v>
      </c>
      <c r="N375" t="s" s="61">
        <f>_xlfn.IFERROR(M375-A375,"N/A")</f>
        <v>158</v>
      </c>
      <c r="O375" s="46"/>
      <c r="P375" t="s" s="47">
        <f>IF('Settings'!$E$27="ON",VLOOKUP(B375,'ADP'!A1:H731,8,FALSE)," ")</f>
        <v>109</v>
      </c>
      <c r="Q375" s="48">
        <f>IF('Settings'!$E$12="YES",VLOOKUP(B375,'Player Data'!A1:E734,5,FALSE),82)</f>
        <v>80.5085714285714</v>
      </c>
      <c r="R375" s="46">
        <f>VLOOKUP(B375,'Player Data'!$A1:$AE734,6,FALSE)</f>
        <v>16.8587166080839</v>
      </c>
      <c r="S375" s="48">
        <f>VLOOKUP(B375,'Player Data'!$A1:$AE734,7,FALSE)*$Q375*_xlfn.IFERROR((VLOOKUP(P375,'Settings'!$E$28:$F$33,2,FALSE)+1),1)</f>
        <v>13.0200495369691</v>
      </c>
      <c r="T375" s="48">
        <f>VLOOKUP(B375,'Player Data'!$A1:$AE734,8,FALSE)*$Q375*_xlfn.IFERROR((VLOOKUP(P375,'Settings'!$E$28:$F$33,2,FALSE)+1),1)</f>
        <v>28.8569053984072</v>
      </c>
      <c r="U375" s="48">
        <f>SUM(S375:T375)</f>
        <v>41.8769549353763</v>
      </c>
      <c r="V375" s="48">
        <f>VLOOKUP(B375,'Player Data'!$A1:$AE734,10,FALSE)*$Q375*_xlfn.IFERROR(((VLOOKUP(P375,'Settings'!$E$28:$F$33,2,FALSE)/2)+1),1)</f>
        <v>129.084637101920</v>
      </c>
      <c r="W375" s="48">
        <f>VLOOKUP(B375,'Player Data'!$A1:$AE734,11,FALSE)*$Q375*_xlfn.IFERROR((VLOOKUP(P375,'Settings'!$E$28:$F$33,2,FALSE)+1),1)</f>
        <v>1.05687911336043</v>
      </c>
      <c r="X375" s="48">
        <f>VLOOKUP(B375,'Player Data'!$A1:$AE734,12,FALSE)*$Q375*_xlfn.IFERROR((VLOOKUP(P375,'Settings'!$E$28:$F$33,2,FALSE)+1),1)</f>
        <v>3.08433139465613</v>
      </c>
      <c r="Y375" s="48">
        <f>VLOOKUP(B375,'Player Data'!$A1:$AE734,13,FALSE)*$Q375</f>
        <v>0.868728165103629</v>
      </c>
      <c r="Z375" s="48">
        <f>VLOOKUP(B375,'Player Data'!$A1:$AE734,14,FALSE)*$Q375</f>
        <v>1.455341238812</v>
      </c>
      <c r="AA375" s="48">
        <f>VLOOKUP(B375,'Player Data'!$A1:$AE734,15,FALSE)*$Q375</f>
        <v>44.2218463339762</v>
      </c>
      <c r="AB375" s="48">
        <f>VLOOKUP(B375,'Player Data'!$A1:$AE734,16,FALSE)*$Q375</f>
        <v>41.7308221346064</v>
      </c>
      <c r="AC375" s="48">
        <f>VLOOKUP(B375,'Player Data'!$A1:$AE734,17,FALSE)*$Q375*_xlfn.IFERROR((VLOOKUP(P375,'Settings'!$E$28:$F$33,2,FALSE)+1),1)</f>
        <v>-2.07848666115046</v>
      </c>
      <c r="AD375" s="48">
        <f>VLOOKUP(B375,'Player Data'!$A1:$AE734,18,FALSE)*$Q375</f>
        <v>23.2971064729376</v>
      </c>
      <c r="AE375" s="48">
        <f>VLOOKUP(B375,'Player Data'!$A1:$AE734,19,FALSE)*$Q375*_xlfn.IFERROR((VLOOKUP(P375,'Settings'!$E$28:$F$33,2,FALSE)+1),1)</f>
        <v>1.72301944995166</v>
      </c>
      <c r="AF375" s="48">
        <f>VLOOKUP(B375,'Player Data'!$A1:$AE734,20,FALSE)*$Q375</f>
        <v>527.985717408947</v>
      </c>
      <c r="AG375" s="48">
        <f>VLOOKUP(B375,'Player Data'!$A1:$AE734,21,FALSE)*$Q375</f>
        <v>495.423826839322</v>
      </c>
      <c r="AH375" s="49">
        <f>VLOOKUP(B375,'Player Data'!$A1:$AE734,22,FALSE)</f>
        <v>0.515908533759837</v>
      </c>
      <c r="AI375" s="46"/>
      <c r="AJ375" s="50"/>
      <c r="AK375" s="48"/>
      <c r="AL375" s="48"/>
      <c r="AM375" s="48"/>
      <c r="AN375" s="48"/>
      <c r="AO375" s="48"/>
      <c r="AP375" s="48"/>
      <c r="AQ375" s="51"/>
      <c r="AR375" s="52"/>
      <c r="AS375" s="46"/>
    </row>
    <row r="376" ht="21.25" customHeight="1">
      <c r="A376" s="53">
        <f>RANK(K376,K2:K730)</f>
        <v>453</v>
      </c>
      <c r="B376" t="s" s="8">
        <v>528</v>
      </c>
      <c r="C376" t="s" s="39">
        <v>106</v>
      </c>
      <c r="D376" t="s" s="40">
        <f>VLOOKUP(B376,'Player Data'!A1:D734,4,FALSE)</f>
        <v>129</v>
      </c>
      <c r="E376" s="56">
        <f>VLOOKUP(B376,'D'!A1:C228,3,FALSE)</f>
        <v>160</v>
      </c>
      <c r="F376" t="s" s="42">
        <f>VLOOKUP(B376,'Player Data'!A1:B734,2,FALSE)</f>
        <v>173</v>
      </c>
      <c r="G376" s="9">
        <f>VLOOKUP(B376,'Player Data'!A1:D734,3,FALSE)</f>
        <v>23</v>
      </c>
      <c r="H376" s="43">
        <f>_xlfn.IFERROR(VLOOKUP(B376,'ADP'!A1:G731,7,FALSE)/1000000,VLOOKUP(B376,'ADP'!A1:G731,7,FALSE))</f>
        <v>2</v>
      </c>
      <c r="I376" s="44">
        <f>IF('Settings'!$E$15="POINTS",((R376*Q376)*'Settings'!$B$12)+(S376*'Settings'!$B$2)+(T376*'Settings'!$B$3)+(U376*'Settings'!$B$4)+(V376*'Settings'!$B$5)+(X376*'Settings'!$B$9)+(AA376*'Settings'!$B$6)+(W376*'Settings'!$B$8)+(AB376*'Settings'!$B$7)+(AC376*'Settings'!$B$14)+(AD376*'Settings'!$B$15)+(AE376*'Settings'!$B$16)+(AF376*'Settings'!$B$17)+(AG376*'Settings'!$B$18)+(U376*'Settings'!$B$13)+(Y376*'Settings'!$B$10)+(Z376*'Settings'!$B$11),VLOOKUP(B376,'Standard Deviations'!A1:C731,3,FALSE))</f>
        <v>172.429471703412</v>
      </c>
      <c r="J376" s="45">
        <f>IF(D376="G",I376/AJ376,I376/Q376)</f>
        <v>2.36803716234092</v>
      </c>
      <c r="K376" s="44">
        <f>VLOOKUP(B376,'D'!A1:F228,6,FALSE)</f>
        <v>-168.305666943111</v>
      </c>
      <c r="L376" s="44">
        <f>_xlfn.IFERROR(K376/H376,"N/A")</f>
        <v>-84.1528334715555</v>
      </c>
      <c r="M376" t="s" s="61">
        <f>IF('Settings'!$E$9="YAHOO",VLOOKUP(B376,'ADP'!A1:E731,2,FALSE),IF('Settings'!$E$9="ESPN",VLOOKUP(B376,'ADP'!A1:E731,3,FALSE),IF('Settings'!$E$9="FANTRAX",VLOOKUP(B376,'ADP'!A1:E731,4,FALSE),VLOOKUP(B376,'ADP'!A1:E731,5,FALSE))))</f>
        <v>329</v>
      </c>
      <c r="N376" t="s" s="61">
        <f>_xlfn.IFERROR(M376-A376,"N/A")</f>
        <v>158</v>
      </c>
      <c r="O376" s="46"/>
      <c r="P376" t="s" s="47">
        <f>IF('Settings'!$E$27="ON",VLOOKUP(B376,'ADP'!A1:H731,8,FALSE)," ")</f>
        <v>109</v>
      </c>
      <c r="Q376" s="48">
        <f>IF('Settings'!$E$12="YES",VLOOKUP(B376,'Player Data'!A1:E734,5,FALSE),82)</f>
        <v>72.8153571428571</v>
      </c>
      <c r="R376" s="46">
        <f>VLOOKUP(B376,'Player Data'!$A1:$AE734,6,FALSE)</f>
        <v>17.5260482396793</v>
      </c>
      <c r="S376" s="48">
        <f>VLOOKUP(B376,'Player Data'!$A1:$AE734,7,FALSE)*$Q376*_xlfn.IFERROR((VLOOKUP(P376,'Settings'!$E$28:$F$33,2,FALSE)+1),1)</f>
        <v>2.34683630068789</v>
      </c>
      <c r="T376" s="48">
        <f>VLOOKUP(B376,'Player Data'!$A1:$AE734,8,FALSE)*$Q376*_xlfn.IFERROR((VLOOKUP(P376,'Settings'!$E$28:$F$33,2,FALSE)+1),1)</f>
        <v>16.8576686085457</v>
      </c>
      <c r="U376" s="48">
        <f>SUM(S376:T376)</f>
        <v>19.2045049092336</v>
      </c>
      <c r="V376" s="48">
        <f>VLOOKUP(B376,'Player Data'!$A1:$AE734,10,FALSE)*$Q376*_xlfn.IFERROR(((VLOOKUP(P376,'Settings'!$E$28:$F$33,2,FALSE)/2)+1),1)</f>
        <v>89.6088168118082</v>
      </c>
      <c r="W376" s="48">
        <f>VLOOKUP(B376,'Player Data'!$A1:$AE734,11,FALSE)*$Q376*_xlfn.IFERROR((VLOOKUP(P376,'Settings'!$E$28:$F$33,2,FALSE)+1),1)</f>
        <v>0.104402295349896</v>
      </c>
      <c r="X376" s="48">
        <f>VLOOKUP(B376,'Player Data'!$A1:$AE734,12,FALSE)*$Q376*_xlfn.IFERROR((VLOOKUP(P376,'Settings'!$E$28:$F$33,2,FALSE)+1),1)</f>
        <v>1.08335534162943</v>
      </c>
      <c r="Y376" s="48">
        <f>VLOOKUP(B376,'Player Data'!$A1:$AE734,13,FALSE)*$Q376</f>
        <v>0.0350902849316442</v>
      </c>
      <c r="Z376" s="48">
        <f>VLOOKUP(B376,'Player Data'!$A1:$AE734,14,FALSE)*$Q376</f>
        <v>0.125261668301164</v>
      </c>
      <c r="AA376" s="48">
        <f>VLOOKUP(B376,'Player Data'!$A1:$AE734,15,FALSE)*$Q376</f>
        <v>99.4766490966645</v>
      </c>
      <c r="AB376" s="48">
        <f>VLOOKUP(B376,'Player Data'!$A1:$AE734,16,FALSE)*$Q376</f>
        <v>66.0097849353641</v>
      </c>
      <c r="AC376" s="48">
        <f>VLOOKUP(B376,'Player Data'!$A1:$AE734,17,FALSE)*$Q376*_xlfn.IFERROR((VLOOKUP(P376,'Settings'!$E$28:$F$33,2,FALSE)+1),1)</f>
        <v>1.38893838276139</v>
      </c>
      <c r="AD376" s="48">
        <f>VLOOKUP(B376,'Player Data'!$A1:$AE734,18,FALSE)*$Q376</f>
        <v>40.3636830743449</v>
      </c>
      <c r="AE376" s="48">
        <f>VLOOKUP(B376,'Player Data'!$A1:$AE734,19,FALSE)*$Q376*_xlfn.IFERROR((VLOOKUP(P376,'Settings'!$E$28:$F$33,2,FALSE)+1),1)</f>
        <v>0.352931108329043</v>
      </c>
      <c r="AF376" s="48">
        <f>VLOOKUP(B376,'Player Data'!$A1:$AE734,20,FALSE)*$Q376</f>
        <v>0</v>
      </c>
      <c r="AG376" s="48">
        <f>VLOOKUP(B376,'Player Data'!$A1:$AE734,21,FALSE)*$Q376</f>
        <v>0</v>
      </c>
      <c r="AH376" s="49">
        <f>VLOOKUP(B376,'Player Data'!$A1:$AE734,22,FALSE)</f>
        <v>0</v>
      </c>
      <c r="AI376" s="46"/>
      <c r="AJ376" s="50"/>
      <c r="AK376" s="48"/>
      <c r="AL376" s="48"/>
      <c r="AM376" s="48"/>
      <c r="AN376" s="48"/>
      <c r="AO376" s="48"/>
      <c r="AP376" s="48"/>
      <c r="AQ376" s="51"/>
      <c r="AR376" s="52"/>
      <c r="AS376" s="46"/>
    </row>
    <row r="377" ht="21.25" customHeight="1">
      <c r="A377" s="53">
        <f>RANK(K377,K2:K730)</f>
        <v>406</v>
      </c>
      <c r="B377" t="s" s="8">
        <v>529</v>
      </c>
      <c r="C377" t="s" s="39">
        <v>106</v>
      </c>
      <c r="D377" t="s" s="40">
        <f>VLOOKUP(B377,'Player Data'!A1:D734,4,FALSE)</f>
        <v>129</v>
      </c>
      <c r="E377" s="56">
        <f>VLOOKUP(B377,'D'!A1:C228,3,FALSE)</f>
        <v>137</v>
      </c>
      <c r="F377" t="s" s="42">
        <f>VLOOKUP(B377,'Player Data'!A1:B734,2,FALSE)</f>
        <v>151</v>
      </c>
      <c r="G377" s="9">
        <f>VLOOKUP(B377,'Player Data'!A1:D734,3,FALSE)</f>
        <v>25</v>
      </c>
      <c r="H377" s="43">
        <f>_xlfn.IFERROR(VLOOKUP(B377,'ADP'!A1:G731,7,FALSE)/1000000,VLOOKUP(B377,'ADP'!A1:G731,7,FALSE))</f>
        <v>3</v>
      </c>
      <c r="I377" s="44">
        <f>IF('Settings'!$E$15="POINTS",((R377*Q377)*'Settings'!$B$12)+(S377*'Settings'!$B$2)+(T377*'Settings'!$B$3)+(U377*'Settings'!$B$4)+(V377*'Settings'!$B$5)+(X377*'Settings'!$B$9)+(AA377*'Settings'!$B$6)+(W377*'Settings'!$B$8)+(AB377*'Settings'!$B$7)+(AC377*'Settings'!$B$14)+(AD377*'Settings'!$B$15)+(AE377*'Settings'!$B$16)+(AF377*'Settings'!$B$17)+(AG377*'Settings'!$B$18)+(U377*'Settings'!$B$13)+(Y377*'Settings'!$B$10)+(Z377*'Settings'!$B$11),VLOOKUP(B377,'Standard Deviations'!A1:C731,3,FALSE))</f>
        <v>188.425819763957</v>
      </c>
      <c r="J377" s="45">
        <f>IF(D377="G",I377/AJ377,I377/Q377)</f>
        <v>2.50466329607812</v>
      </c>
      <c r="K377" s="44">
        <f>VLOOKUP(B377,'D'!A1:F228,6,FALSE)</f>
        <v>-152.309318882566</v>
      </c>
      <c r="L377" s="44">
        <f>_xlfn.IFERROR(K377/H377,"N/A")</f>
        <v>-50.7697729608553</v>
      </c>
      <c r="M377" t="s" s="61">
        <f>IF('Settings'!$E$9="YAHOO",VLOOKUP(B377,'ADP'!A1:E731,2,FALSE),IF('Settings'!$E$9="ESPN",VLOOKUP(B377,'ADP'!A1:E731,3,FALSE),IF('Settings'!$E$9="FANTRAX",VLOOKUP(B377,'ADP'!A1:E731,4,FALSE),VLOOKUP(B377,'ADP'!A1:E731,5,FALSE))))</f>
        <v>329</v>
      </c>
      <c r="N377" t="s" s="61">
        <f>_xlfn.IFERROR(M377-A377,"N/A")</f>
        <v>158</v>
      </c>
      <c r="O377" s="46"/>
      <c r="P377" t="s" s="47">
        <f>IF('Settings'!$E$27="ON",VLOOKUP(B377,'ADP'!A1:H731,8,FALSE)," ")</f>
        <v>109</v>
      </c>
      <c r="Q377" s="48">
        <f>IF('Settings'!$E$12="YES",VLOOKUP(B377,'Player Data'!A1:E734,5,FALSE),82)</f>
        <v>75.23</v>
      </c>
      <c r="R377" s="46">
        <f>VLOOKUP(B377,'Player Data'!$A1:$AE734,6,FALSE)</f>
        <v>18.9516721971109</v>
      </c>
      <c r="S377" s="48">
        <f>VLOOKUP(B377,'Player Data'!$A1:$AE734,7,FALSE)*$Q377*_xlfn.IFERROR((VLOOKUP(P377,'Settings'!$E$28:$F$33,2,FALSE)+1),1)</f>
        <v>2.66139865670616</v>
      </c>
      <c r="T377" s="48">
        <f>VLOOKUP(B377,'Player Data'!$A1:$AE734,8,FALSE)*$Q377*_xlfn.IFERROR((VLOOKUP(P377,'Settings'!$E$28:$F$33,2,FALSE)+1),1)</f>
        <v>16.9776700179345</v>
      </c>
      <c r="U377" s="48">
        <f>SUM(S377:T377)</f>
        <v>19.6390686746407</v>
      </c>
      <c r="V377" s="48">
        <f>VLOOKUP(B377,'Player Data'!$A1:$AE734,10,FALSE)*$Q377*_xlfn.IFERROR(((VLOOKUP(P377,'Settings'!$E$28:$F$33,2,FALSE)/2)+1),1)</f>
        <v>84.1199951372559</v>
      </c>
      <c r="W377" s="48">
        <f>VLOOKUP(B377,'Player Data'!$A1:$AE734,11,FALSE)*$Q377*_xlfn.IFERROR((VLOOKUP(P377,'Settings'!$E$28:$F$33,2,FALSE)+1),1)</f>
        <v>0.0136454003380674</v>
      </c>
      <c r="X377" s="48">
        <f>VLOOKUP(B377,'Player Data'!$A1:$AE734,12,FALSE)*$Q377*_xlfn.IFERROR((VLOOKUP(P377,'Settings'!$E$28:$F$33,2,FALSE)+1),1)</f>
        <v>0.0913827984008488</v>
      </c>
      <c r="Y377" s="48">
        <f>VLOOKUP(B377,'Player Data'!$A1:$AE734,13,FALSE)*$Q377</f>
        <v>0.0255932129128964</v>
      </c>
      <c r="Z377" s="48">
        <f>VLOOKUP(B377,'Player Data'!$A1:$AE734,14,FALSE)*$Q377</f>
        <v>0.636077714764698</v>
      </c>
      <c r="AA377" s="48">
        <f>VLOOKUP(B377,'Player Data'!$A1:$AE734,15,FALSE)*$Q377</f>
        <v>114.227782364721</v>
      </c>
      <c r="AB377" s="48">
        <f>VLOOKUP(B377,'Player Data'!$A1:$AE734,16,FALSE)*$Q377</f>
        <v>100.281886297830</v>
      </c>
      <c r="AC377" s="48">
        <f>VLOOKUP(B377,'Player Data'!$A1:$AE734,17,FALSE)*$Q377*_xlfn.IFERROR((VLOOKUP(P377,'Settings'!$E$28:$F$33,2,FALSE)+1),1)</f>
        <v>6.67679087669916</v>
      </c>
      <c r="AD377" s="48">
        <f>VLOOKUP(B377,'Player Data'!$A1:$AE734,18,FALSE)*$Q377</f>
        <v>46.874407102182</v>
      </c>
      <c r="AE377" s="48">
        <f>VLOOKUP(B377,'Player Data'!$A1:$AE734,19,FALSE)*$Q377*_xlfn.IFERROR((VLOOKUP(P377,'Settings'!$E$28:$F$33,2,FALSE)+1),1)</f>
        <v>0.453497361277486</v>
      </c>
      <c r="AF377" s="48">
        <f>VLOOKUP(B377,'Player Data'!$A1:$AE734,20,FALSE)*$Q377</f>
        <v>0</v>
      </c>
      <c r="AG377" s="48">
        <f>VLOOKUP(B377,'Player Data'!$A1:$AE734,21,FALSE)*$Q377</f>
        <v>0</v>
      </c>
      <c r="AH377" s="49">
        <f>VLOOKUP(B377,'Player Data'!$A1:$AE734,22,FALSE)</f>
        <v>0</v>
      </c>
      <c r="AI377" s="46"/>
      <c r="AJ377" s="48"/>
      <c r="AK377" s="48"/>
      <c r="AL377" s="48"/>
      <c r="AM377" s="48"/>
      <c r="AN377" s="48"/>
      <c r="AO377" s="48"/>
      <c r="AP377" s="48"/>
      <c r="AQ377" s="51"/>
      <c r="AR377" s="52"/>
      <c r="AS377" s="46"/>
    </row>
    <row r="378" ht="21.25" customHeight="1">
      <c r="A378" s="53">
        <f>RANK(K378,K2:K730)</f>
        <v>377</v>
      </c>
      <c r="B378" t="s" s="8">
        <v>530</v>
      </c>
      <c r="C378" t="s" s="39">
        <v>106</v>
      </c>
      <c r="D378" t="s" s="40">
        <f>VLOOKUP(B378,'Player Data'!A1:D734,4,FALSE)</f>
        <v>129</v>
      </c>
      <c r="E378" s="56">
        <f>VLOOKUP(B378,'D'!A1:C228,3,FALSE)</f>
        <v>124</v>
      </c>
      <c r="F378" t="s" s="42">
        <f>VLOOKUP(B378,'Player Data'!A1:B734,2,FALSE)</f>
        <v>218</v>
      </c>
      <c r="G378" s="9">
        <f>VLOOKUP(B378,'Player Data'!A1:D734,3,FALSE)</f>
        <v>26</v>
      </c>
      <c r="H378" s="43">
        <f>_xlfn.IFERROR(VLOOKUP(B378,'ADP'!A1:G731,7,FALSE)/1000000,VLOOKUP(B378,'ADP'!A1:G731,7,FALSE))</f>
        <v>2.75</v>
      </c>
      <c r="I378" s="44">
        <f>IF('Settings'!$E$15="POINTS",((R378*Q378)*'Settings'!$B$12)+(S378*'Settings'!$B$2)+(T378*'Settings'!$B$3)+(U378*'Settings'!$B$4)+(V378*'Settings'!$B$5)+(X378*'Settings'!$B$9)+(AA378*'Settings'!$B$6)+(W378*'Settings'!$B$8)+(AB378*'Settings'!$B$7)+(AC378*'Settings'!$B$14)+(AD378*'Settings'!$B$15)+(AE378*'Settings'!$B$16)+(AF378*'Settings'!$B$17)+(AG378*'Settings'!$B$18)+(U378*'Settings'!$B$13)+(Y378*'Settings'!$B$10)+(Z378*'Settings'!$B$11),VLOOKUP(B378,'Standard Deviations'!A1:C731,3,FALSE))</f>
        <v>197.358824532657</v>
      </c>
      <c r="J378" s="45">
        <f>IF(D378="G",I378/AJ378,I378/Q378)</f>
        <v>2.66510749412312</v>
      </c>
      <c r="K378" s="44">
        <f>VLOOKUP(B378,'D'!A1:F228,6,FALSE)</f>
        <v>-143.376314113866</v>
      </c>
      <c r="L378" s="44">
        <f>_xlfn.IFERROR(K378/H378,"N/A")</f>
        <v>-52.1368414959513</v>
      </c>
      <c r="M378" t="s" s="61">
        <f>IF('Settings'!$E$9="YAHOO",VLOOKUP(B378,'ADP'!A1:E731,2,FALSE),IF('Settings'!$E$9="ESPN",VLOOKUP(B378,'ADP'!A1:E731,3,FALSE),IF('Settings'!$E$9="FANTRAX",VLOOKUP(B378,'ADP'!A1:E731,4,FALSE),VLOOKUP(B378,'ADP'!A1:E731,5,FALSE))))</f>
        <v>329</v>
      </c>
      <c r="N378" t="s" s="61">
        <f>_xlfn.IFERROR(M378-A378,"N/A")</f>
        <v>158</v>
      </c>
      <c r="O378" s="46"/>
      <c r="P378" t="s" s="47">
        <f>IF('Settings'!$E$27="ON",VLOOKUP(B378,'ADP'!A1:H731,8,FALSE)," ")</f>
        <v>109</v>
      </c>
      <c r="Q378" s="48">
        <f>IF('Settings'!$E$12="YES",VLOOKUP(B378,'Player Data'!A1:E734,5,FALSE),82)</f>
        <v>74.05285714285711</v>
      </c>
      <c r="R378" s="46">
        <f>VLOOKUP(B378,'Player Data'!$A1:$AE734,6,FALSE)</f>
        <v>17.3673324608154</v>
      </c>
      <c r="S378" s="48">
        <f>VLOOKUP(B378,'Player Data'!$A1:$AE734,7,FALSE)*$Q378*_xlfn.IFERROR((VLOOKUP(P378,'Settings'!$E$28:$F$33,2,FALSE)+1),1)</f>
        <v>6.1061751944374</v>
      </c>
      <c r="T378" s="48">
        <f>VLOOKUP(B378,'Player Data'!$A1:$AE734,8,FALSE)*$Q378*_xlfn.IFERROR((VLOOKUP(P378,'Settings'!$E$28:$F$33,2,FALSE)+1),1)</f>
        <v>12.5162021181185</v>
      </c>
      <c r="U378" s="48">
        <f>SUM(S378:T378)</f>
        <v>18.6223773125559</v>
      </c>
      <c r="V378" s="48">
        <f>VLOOKUP(B378,'Player Data'!$A1:$AE734,10,FALSE)*$Q378*_xlfn.IFERROR(((VLOOKUP(P378,'Settings'!$E$28:$F$33,2,FALSE)/2)+1),1)</f>
        <v>88.43080075762241</v>
      </c>
      <c r="W378" s="48">
        <f>VLOOKUP(B378,'Player Data'!$A1:$AE734,11,FALSE)*$Q378*_xlfn.IFERROR((VLOOKUP(P378,'Settings'!$E$28:$F$33,2,FALSE)+1),1)</f>
        <v>0.0075234909465674</v>
      </c>
      <c r="X378" s="48">
        <f>VLOOKUP(B378,'Player Data'!$A1:$AE734,12,FALSE)*$Q378*_xlfn.IFERROR((VLOOKUP(P378,'Settings'!$E$28:$F$33,2,FALSE)+1),1)</f>
        <v>0.0516489487023721</v>
      </c>
      <c r="Y378" s="48">
        <f>VLOOKUP(B378,'Player Data'!$A1:$AE734,13,FALSE)*$Q378</f>
        <v>0.331161007358885</v>
      </c>
      <c r="Z378" s="48">
        <f>VLOOKUP(B378,'Player Data'!$A1:$AE734,14,FALSE)*$Q378</f>
        <v>0.435171015282633</v>
      </c>
      <c r="AA378" s="48">
        <f>VLOOKUP(B378,'Player Data'!$A1:$AE734,15,FALSE)*$Q378</f>
        <v>118.726318355682</v>
      </c>
      <c r="AB378" s="48">
        <f>VLOOKUP(B378,'Player Data'!$A1:$AE734,16,FALSE)*$Q378</f>
        <v>111.534112864462</v>
      </c>
      <c r="AC378" s="48">
        <f>VLOOKUP(B378,'Player Data'!$A1:$AE734,17,FALSE)*$Q378*_xlfn.IFERROR((VLOOKUP(P378,'Settings'!$E$28:$F$33,2,FALSE)+1),1)</f>
        <v>4.74166221450348</v>
      </c>
      <c r="AD378" s="48">
        <f>VLOOKUP(B378,'Player Data'!$A1:$AE734,18,FALSE)*$Q378</f>
        <v>32.6377873977714</v>
      </c>
      <c r="AE378" s="48">
        <f>VLOOKUP(B378,'Player Data'!$A1:$AE734,19,FALSE)*$Q378*_xlfn.IFERROR((VLOOKUP(P378,'Settings'!$E$28:$F$33,2,FALSE)+1),1)</f>
        <v>0.997915632283037</v>
      </c>
      <c r="AF378" s="48">
        <f>VLOOKUP(B378,'Player Data'!$A1:$AE734,20,FALSE)*$Q378</f>
        <v>0</v>
      </c>
      <c r="AG378" s="48">
        <f>VLOOKUP(B378,'Player Data'!$A1:$AE734,21,FALSE)*$Q378</f>
        <v>0</v>
      </c>
      <c r="AH378" s="49">
        <f>VLOOKUP(B378,'Player Data'!$A1:$AE734,22,FALSE)</f>
        <v>0</v>
      </c>
      <c r="AI378" s="46"/>
      <c r="AJ378" s="50"/>
      <c r="AK378" s="48"/>
      <c r="AL378" s="48"/>
      <c r="AM378" s="48"/>
      <c r="AN378" s="48"/>
      <c r="AO378" s="48"/>
      <c r="AP378" s="48"/>
      <c r="AQ378" s="51"/>
      <c r="AR378" s="52"/>
      <c r="AS378" s="46"/>
    </row>
    <row r="379" ht="21.25" customHeight="1">
      <c r="A379" s="53">
        <f>RANK(K379,K2:K730)</f>
        <v>408</v>
      </c>
      <c r="B379" t="s" s="8">
        <v>531</v>
      </c>
      <c r="C379" t="s" s="39">
        <v>106</v>
      </c>
      <c r="D379" t="s" s="40">
        <f>VLOOKUP(B379,'Player Data'!A1:D734,4,FALSE)</f>
        <v>133</v>
      </c>
      <c r="E379" s="57">
        <f>VLOOKUP(B379,'LW'!A1:C156,3,FALSE)</f>
        <v>96</v>
      </c>
      <c r="F379" t="s" s="42">
        <f>VLOOKUP(B379,'Player Data'!A1:B734,2,FALSE)</f>
        <v>166</v>
      </c>
      <c r="G379" s="9">
        <f>VLOOKUP(B379,'Player Data'!A1:D734,3,FALSE)</f>
        <v>34</v>
      </c>
      <c r="H379" s="43">
        <f>_xlfn.IFERROR(VLOOKUP(B379,'ADP'!A1:G731,7,FALSE)/1000000,VLOOKUP(B379,'ADP'!A1:G731,7,FALSE))</f>
        <v>2</v>
      </c>
      <c r="I379" s="44">
        <f>IF('Settings'!$E$15="POINTS",((R379*Q379)*'Settings'!$B$12)+(S379*'Settings'!$B$2)+(T379*'Settings'!$B$3)+(U379*'Settings'!$B$4)+(V379*'Settings'!$B$5)+(X379*'Settings'!$B$9)+(AA379*'Settings'!$B$6)+(W379*'Settings'!$B$8)+(AB379*'Settings'!$B$7)+(AC379*'Settings'!$B$14)+(AD379*'Settings'!$B$15)+(AE379*'Settings'!$B$16)+(AF379*'Settings'!$B$17)+(AG379*'Settings'!$B$18)+(Y379*'Settings'!$B$10)+(Z379*'Settings'!$B$11),VLOOKUP(B379,'Standard Deviations'!A1:C731,3,FALSE))</f>
        <v>228.787920238661</v>
      </c>
      <c r="J379" s="45">
        <f>IF(D379="G",I379/AJ379,I379/Q379)</f>
        <v>4.26843134773621</v>
      </c>
      <c r="K379" s="44">
        <f>IF('Settings'!$E$18="C/LW/RW",VLOOKUP(B379,'LW'!A1:F156,6,FALSE),VLOOKUP(B379,'F'!A1:F432,6,FALSE))</f>
        <v>-152.840643467695</v>
      </c>
      <c r="L379" s="44">
        <f>_xlfn.IFERROR(K379/H379,"N/A")</f>
        <v>-76.4203217338475</v>
      </c>
      <c r="M379" s="46">
        <f>IF('Settings'!$E$9="YAHOO",VLOOKUP(B379,'ADP'!A1:E731,2,FALSE),IF('Settings'!$E$9="ESPN",VLOOKUP(B379,'ADP'!A1:E731,3,FALSE),IF('Settings'!$E$9="FANTRAX",VLOOKUP(B379,'ADP'!A1:E731,4,FALSE),VLOOKUP(B379,'ADP'!A1:E731,5,FALSE))))</f>
        <v>152.51</v>
      </c>
      <c r="N379" s="46">
        <f>_xlfn.IFERROR(M379-A379,"N/A")</f>
        <v>-255.49</v>
      </c>
      <c r="O379" s="46"/>
      <c r="P379" t="s" s="47">
        <f>IF('Settings'!$E$27="ON",VLOOKUP(B379,'ADP'!A1:H731,8,FALSE)," ")</f>
        <v>109</v>
      </c>
      <c r="Q379" s="48">
        <f>IF('Settings'!$E$12="YES",VLOOKUP(B379,'Player Data'!A1:E734,5,FALSE),82)</f>
        <v>53.6</v>
      </c>
      <c r="R379" s="46">
        <f>VLOOKUP(B379,'Player Data'!$A1:$AE734,6,FALSE)</f>
        <v>14.8661020504058</v>
      </c>
      <c r="S379" s="48">
        <f>VLOOKUP(B379,'Player Data'!$A1:$AE734,7,FALSE)*$Q379*_xlfn.IFERROR((VLOOKUP(P379,'Settings'!$E$28:$F$33,2,FALSE)+1),1)</f>
        <v>18.0635579607064</v>
      </c>
      <c r="T379" s="48">
        <f>VLOOKUP(B379,'Player Data'!$A1:$AE734,8,FALSE)*$Q379*_xlfn.IFERROR((VLOOKUP(P379,'Settings'!$E$28:$F$33,2,FALSE)+1),1)</f>
        <v>16.956668595479</v>
      </c>
      <c r="U379" s="48">
        <f>SUM(S379:T379)</f>
        <v>35.0202265561854</v>
      </c>
      <c r="V379" s="48">
        <f>VLOOKUP(B379,'Player Data'!$A1:$AE734,10,FALSE)*$Q379*_xlfn.IFERROR(((VLOOKUP(P379,'Settings'!$E$28:$F$33,2,FALSE)/2)+1),1)</f>
        <v>146.171596918035</v>
      </c>
      <c r="W379" s="48">
        <f>VLOOKUP(B379,'Player Data'!$A1:$AE734,11,FALSE)*$Q379*_xlfn.IFERROR((VLOOKUP(P379,'Settings'!$E$28:$F$33,2,FALSE)+1),1)</f>
        <v>3.36720678220299</v>
      </c>
      <c r="X379" s="48">
        <f>VLOOKUP(B379,'Player Data'!$A1:$AE734,12,FALSE)*$Q379*_xlfn.IFERROR((VLOOKUP(P379,'Settings'!$E$28:$F$33,2,FALSE)+1),1)</f>
        <v>7.82970177716061</v>
      </c>
      <c r="Y379" s="48">
        <f>VLOOKUP(B379,'Player Data'!$A1:$AE734,13,FALSE)*$Q379</f>
        <v>0</v>
      </c>
      <c r="Z379" s="48">
        <f>VLOOKUP(B379,'Player Data'!$A1:$AE734,14,FALSE)*$Q379</f>
        <v>0</v>
      </c>
      <c r="AA379" s="48">
        <f>VLOOKUP(B379,'Player Data'!$A1:$AE734,15,FALSE)*$Q379</f>
        <v>23.9961978462939</v>
      </c>
      <c r="AB379" s="48">
        <f>VLOOKUP(B379,'Player Data'!$A1:$AE734,16,FALSE)*$Q379</f>
        <v>46.1920249875244</v>
      </c>
      <c r="AC379" s="48">
        <f>VLOOKUP(B379,'Player Data'!$A1:$AE734,17,FALSE)*$Q379*_xlfn.IFERROR((VLOOKUP(P379,'Settings'!$E$28:$F$33,2,FALSE)+1),1)</f>
        <v>-0.776063264817321</v>
      </c>
      <c r="AD379" s="48">
        <f>VLOOKUP(B379,'Player Data'!$A1:$AE734,18,FALSE)*$Q379</f>
        <v>20.1253802643962</v>
      </c>
      <c r="AE379" s="48">
        <f>VLOOKUP(B379,'Player Data'!$A1:$AE734,19,FALSE)*$Q379*_xlfn.IFERROR((VLOOKUP(P379,'Settings'!$E$28:$F$33,2,FALSE)+1),1)</f>
        <v>2.22192396377645</v>
      </c>
      <c r="AF379" s="48">
        <f>VLOOKUP(B379,'Player Data'!$A1:$AE734,20,FALSE)*$Q379</f>
        <v>7.02519389999816</v>
      </c>
      <c r="AG379" s="48">
        <f>VLOOKUP(B379,'Player Data'!$A1:$AE734,21,FALSE)*$Q379</f>
        <v>15.1291338737881</v>
      </c>
      <c r="AH379" s="49">
        <f>VLOOKUP(B379,'Player Data'!$A1:$AE734,22,FALSE)</f>
        <v>0.317102553132332</v>
      </c>
      <c r="AI379" s="46"/>
      <c r="AJ379" s="50"/>
      <c r="AK379" s="48"/>
      <c r="AL379" s="48"/>
      <c r="AM379" s="48"/>
      <c r="AN379" s="48"/>
      <c r="AO379" s="48"/>
      <c r="AP379" s="48"/>
      <c r="AQ379" s="51"/>
      <c r="AR379" s="52"/>
      <c r="AS379" s="46"/>
    </row>
    <row r="380" ht="21.25" customHeight="1">
      <c r="A380" s="53">
        <f>RANK(K380,K2:K730)</f>
        <v>321</v>
      </c>
      <c r="B380" t="s" s="8">
        <v>532</v>
      </c>
      <c r="C380" t="s" s="39">
        <v>106</v>
      </c>
      <c r="D380" t="s" s="40">
        <f>VLOOKUP(B380,'Player Data'!A1:D734,4,FALSE)</f>
        <v>129</v>
      </c>
      <c r="E380" s="56">
        <f>VLOOKUP(B380,'D'!A1:C228,3,FALSE)</f>
        <v>105</v>
      </c>
      <c r="F380" t="s" s="42">
        <f>VLOOKUP(B380,'Player Data'!A1:B734,2,FALSE)</f>
        <v>225</v>
      </c>
      <c r="G380" s="9">
        <f>VLOOKUP(B380,'Player Data'!A1:D734,3,FALSE)</f>
        <v>30</v>
      </c>
      <c r="H380" s="43">
        <f>_xlfn.IFERROR(VLOOKUP(B380,'ADP'!A1:G731,7,FALSE)/1000000,VLOOKUP(B380,'ADP'!A1:G731,7,FALSE))</f>
        <v>4</v>
      </c>
      <c r="I380" s="44">
        <f>IF('Settings'!$E$15="POINTS",((R380*Q380)*'Settings'!$B$12)+(S380*'Settings'!$B$2)+(T380*'Settings'!$B$3)+(U380*'Settings'!$B$4)+(V380*'Settings'!$B$5)+(X380*'Settings'!$B$9)+(AA380*'Settings'!$B$6)+(W380*'Settings'!$B$8)+(AB380*'Settings'!$B$7)+(AC380*'Settings'!$B$14)+(AD380*'Settings'!$B$15)+(AE380*'Settings'!$B$16)+(AF380*'Settings'!$B$17)+(AG380*'Settings'!$B$18)+(U380*'Settings'!$B$13)+(Y380*'Settings'!$B$10)+(Z380*'Settings'!$B$11),VLOOKUP(B380,'Standard Deviations'!A1:C731,3,FALSE))</f>
        <v>218.772577546279</v>
      </c>
      <c r="J380" s="45">
        <f>IF(D380="G",I380/AJ380,I380/Q380)</f>
        <v>2.82801974621814</v>
      </c>
      <c r="K380" s="44">
        <f>VLOOKUP(B380,'D'!A1:F228,6,FALSE)</f>
        <v>-121.962561100244</v>
      </c>
      <c r="L380" s="44">
        <f>_xlfn.IFERROR(K380/H380,"N/A")</f>
        <v>-30.490640275061</v>
      </c>
      <c r="M380" t="s" s="61">
        <f>IF('Settings'!$E$9="YAHOO",VLOOKUP(B380,'ADP'!A1:E731,2,FALSE),IF('Settings'!$E$9="ESPN",VLOOKUP(B380,'ADP'!A1:E731,3,FALSE),IF('Settings'!$E$9="FANTRAX",VLOOKUP(B380,'ADP'!A1:E731,4,FALSE),VLOOKUP(B380,'ADP'!A1:E731,5,FALSE))))</f>
        <v>329</v>
      </c>
      <c r="N380" t="s" s="61">
        <f>_xlfn.IFERROR(M380-A380,"N/A")</f>
        <v>158</v>
      </c>
      <c r="O380" s="46"/>
      <c r="P380" t="s" s="47">
        <f>IF('Settings'!$E$27="ON",VLOOKUP(B380,'ADP'!A1:H731,8,FALSE)," ")</f>
        <v>109</v>
      </c>
      <c r="Q380" s="48">
        <f>IF('Settings'!$E$12="YES",VLOOKUP(B380,'Player Data'!A1:E734,5,FALSE),82)</f>
        <v>77.35892857142861</v>
      </c>
      <c r="R380" s="46">
        <f>VLOOKUP(B380,'Player Data'!$A1:$AE734,6,FALSE)</f>
        <v>19.7535084527439</v>
      </c>
      <c r="S380" s="48">
        <f>VLOOKUP(B380,'Player Data'!$A1:$AE734,7,FALSE)*$Q380*_xlfn.IFERROR((VLOOKUP(P380,'Settings'!$E$28:$F$33,2,FALSE)+1),1)</f>
        <v>5.45517886591695</v>
      </c>
      <c r="T380" s="48">
        <f>VLOOKUP(B380,'Player Data'!$A1:$AE734,8,FALSE)*$Q380*_xlfn.IFERROR((VLOOKUP(P380,'Settings'!$E$28:$F$33,2,FALSE)+1),1)</f>
        <v>10.0993672944303</v>
      </c>
      <c r="U380" s="48">
        <f>SUM(S380:T380)</f>
        <v>15.5545461603473</v>
      </c>
      <c r="V380" s="48">
        <f>VLOOKUP(B380,'Player Data'!$A1:$AE734,10,FALSE)*$Q380*_xlfn.IFERROR(((VLOOKUP(P380,'Settings'!$E$28:$F$33,2,FALSE)/2)+1),1)</f>
        <v>89.451769297727</v>
      </c>
      <c r="W380" s="48">
        <f>VLOOKUP(B380,'Player Data'!$A1:$AE734,11,FALSE)*$Q380*_xlfn.IFERROR((VLOOKUP(P380,'Settings'!$E$28:$F$33,2,FALSE)+1),1)</f>
        <v>0.0538060563324842</v>
      </c>
      <c r="X380" s="48">
        <f>VLOOKUP(B380,'Player Data'!$A1:$AE734,12,FALSE)*$Q380*_xlfn.IFERROR((VLOOKUP(P380,'Settings'!$E$28:$F$33,2,FALSE)+1),1)</f>
        <v>0.170301030943454</v>
      </c>
      <c r="Y380" s="48">
        <f>VLOOKUP(B380,'Player Data'!$A1:$AE734,13,FALSE)*$Q380</f>
        <v>1.03803187372981</v>
      </c>
      <c r="Z380" s="48">
        <f>VLOOKUP(B380,'Player Data'!$A1:$AE734,14,FALSE)*$Q380</f>
        <v>1.16021975072187</v>
      </c>
      <c r="AA380" s="48">
        <f>VLOOKUP(B380,'Player Data'!$A1:$AE734,15,FALSE)*$Q380</f>
        <v>158.477060612099</v>
      </c>
      <c r="AB380" s="48">
        <f>VLOOKUP(B380,'Player Data'!$A1:$AE734,16,FALSE)*$Q380</f>
        <v>150.565265240022</v>
      </c>
      <c r="AC380" s="48">
        <f>VLOOKUP(B380,'Player Data'!$A1:$AE734,17,FALSE)*$Q380*_xlfn.IFERROR((VLOOKUP(P380,'Settings'!$E$28:$F$33,2,FALSE)+1),1)</f>
        <v>-7.65581579140544</v>
      </c>
      <c r="AD380" s="48">
        <f>VLOOKUP(B380,'Player Data'!$A1:$AE734,18,FALSE)*$Q380</f>
        <v>52.6509846672195</v>
      </c>
      <c r="AE380" s="48">
        <f>VLOOKUP(B380,'Player Data'!$A1:$AE734,19,FALSE)*$Q380*_xlfn.IFERROR((VLOOKUP(P380,'Settings'!$E$28:$F$33,2,FALSE)+1),1)</f>
        <v>0.639246325683839</v>
      </c>
      <c r="AF380" s="48">
        <f>VLOOKUP(B380,'Player Data'!$A1:$AE734,20,FALSE)*$Q380</f>
        <v>0</v>
      </c>
      <c r="AG380" s="48">
        <f>VLOOKUP(B380,'Player Data'!$A1:$AE734,21,FALSE)*$Q380</f>
        <v>0</v>
      </c>
      <c r="AH380" s="49">
        <f>VLOOKUP(B380,'Player Data'!$A1:$AE734,22,FALSE)</f>
        <v>0</v>
      </c>
      <c r="AI380" s="46"/>
      <c r="AJ380" s="50"/>
      <c r="AK380" s="48"/>
      <c r="AL380" s="48"/>
      <c r="AM380" s="48"/>
      <c r="AN380" s="48"/>
      <c r="AO380" s="48"/>
      <c r="AP380" s="48"/>
      <c r="AQ380" s="51"/>
      <c r="AR380" s="52"/>
      <c r="AS380" s="50"/>
    </row>
    <row r="381" ht="21.25" customHeight="1">
      <c r="A381" s="53">
        <f>RANK(K381,K2:K730)</f>
        <v>359</v>
      </c>
      <c r="B381" t="s" s="8">
        <v>533</v>
      </c>
      <c r="C381" t="s" s="39">
        <v>106</v>
      </c>
      <c r="D381" t="s" s="40">
        <f>VLOOKUP(B381,'Player Data'!A1:D734,4,FALSE)</f>
        <v>129</v>
      </c>
      <c r="E381" s="56">
        <f>VLOOKUP(B381,'D'!A1:C228,3,FALSE)</f>
        <v>116</v>
      </c>
      <c r="F381" t="s" s="42">
        <f>VLOOKUP(B381,'Player Data'!A1:B734,2,FALSE)</f>
        <v>164</v>
      </c>
      <c r="G381" s="9">
        <f>VLOOKUP(B381,'Player Data'!A1:D734,3,FALSE)</f>
        <v>32</v>
      </c>
      <c r="H381" s="43">
        <f>_xlfn.IFERROR(VLOOKUP(B381,'ADP'!A1:G731,7,FALSE)/1000000,VLOOKUP(B381,'ADP'!A1:G731,7,FALSE))</f>
        <v>3.9</v>
      </c>
      <c r="I381" s="44">
        <f>IF('Settings'!$E$15="POINTS",((R381*Q381)*'Settings'!$B$12)+(S381*'Settings'!$B$2)+(T381*'Settings'!$B$3)+(U381*'Settings'!$B$4)+(V381*'Settings'!$B$5)+(X381*'Settings'!$B$9)+(AA381*'Settings'!$B$6)+(W381*'Settings'!$B$8)+(AB381*'Settings'!$B$7)+(AC381*'Settings'!$B$14)+(AD381*'Settings'!$B$15)+(AE381*'Settings'!$B$16)+(AF381*'Settings'!$B$17)+(AG381*'Settings'!$B$18)+(U381*'Settings'!$B$13)+(Y381*'Settings'!$B$10)+(Z381*'Settings'!$B$11),VLOOKUP(B381,'Standard Deviations'!A1:C731,3,FALSE))</f>
        <v>205.156018658037</v>
      </c>
      <c r="J381" s="45">
        <f>IF(D381="G",I381/AJ381,I381/Q381)</f>
        <v>2.51362782072518</v>
      </c>
      <c r="K381" s="44">
        <f>VLOOKUP(B381,'D'!A1:F228,6,FALSE)</f>
        <v>-135.579119988486</v>
      </c>
      <c r="L381" s="44">
        <f>_xlfn.IFERROR(K381/H381,"N/A")</f>
        <v>-34.7638769201246</v>
      </c>
      <c r="M381" t="s" s="61">
        <f>IF('Settings'!$E$9="YAHOO",VLOOKUP(B381,'ADP'!A1:E731,2,FALSE),IF('Settings'!$E$9="ESPN",VLOOKUP(B381,'ADP'!A1:E731,3,FALSE),IF('Settings'!$E$9="FANTRAX",VLOOKUP(B381,'ADP'!A1:E731,4,FALSE),VLOOKUP(B381,'ADP'!A1:E731,5,FALSE))))</f>
        <v>329</v>
      </c>
      <c r="N381" t="s" s="61">
        <f>_xlfn.IFERROR(M381-A381,"N/A")</f>
        <v>158</v>
      </c>
      <c r="O381" s="46"/>
      <c r="P381" t="s" s="47">
        <f>IF('Settings'!$E$27="ON",VLOOKUP(B381,'ADP'!A1:H731,8,FALSE)," ")</f>
        <v>109</v>
      </c>
      <c r="Q381" s="48">
        <f>IF('Settings'!$E$12="YES",VLOOKUP(B381,'Player Data'!A1:E734,5,FALSE),82)</f>
        <v>81.61750000000001</v>
      </c>
      <c r="R381" s="46">
        <f>VLOOKUP(B381,'Player Data'!$A1:$AE734,6,FALSE)</f>
        <v>18.5546709654024</v>
      </c>
      <c r="S381" s="48">
        <f>VLOOKUP(B381,'Player Data'!$A1:$AE734,7,FALSE)*$Q381*_xlfn.IFERROR((VLOOKUP(P381,'Settings'!$E$28:$F$33,2,FALSE)+1),1)</f>
        <v>2.33637300685365</v>
      </c>
      <c r="T381" s="48">
        <f>VLOOKUP(B381,'Player Data'!$A1:$AE734,8,FALSE)*$Q381*_xlfn.IFERROR((VLOOKUP(P381,'Settings'!$E$28:$F$33,2,FALSE)+1),1)</f>
        <v>17.920494920232</v>
      </c>
      <c r="U381" s="48">
        <f>SUM(S381:T381)</f>
        <v>20.2568679270857</v>
      </c>
      <c r="V381" s="48">
        <f>VLOOKUP(B381,'Player Data'!$A1:$AE734,10,FALSE)*$Q381*_xlfn.IFERROR(((VLOOKUP(P381,'Settings'!$E$28:$F$33,2,FALSE)/2)+1),1)</f>
        <v>80.68497942922799</v>
      </c>
      <c r="W381" s="48">
        <f>VLOOKUP(B381,'Player Data'!$A1:$AE734,11,FALSE)*$Q381*_xlfn.IFERROR((VLOOKUP(P381,'Settings'!$E$28:$F$33,2,FALSE)+1),1)</f>
        <v>0.0194695882469545</v>
      </c>
      <c r="X381" s="48">
        <f>VLOOKUP(B381,'Player Data'!$A1:$AE734,12,FALSE)*$Q381*_xlfn.IFERROR((VLOOKUP(P381,'Settings'!$E$28:$F$33,2,FALSE)+1),1)</f>
        <v>0.186060023314095</v>
      </c>
      <c r="Y381" s="48">
        <f>VLOOKUP(B381,'Player Data'!$A1:$AE734,13,FALSE)*$Q381</f>
        <v>0.0220462295775099</v>
      </c>
      <c r="Z381" s="48">
        <f>VLOOKUP(B381,'Player Data'!$A1:$AE734,14,FALSE)*$Q381</f>
        <v>0.795951061963772</v>
      </c>
      <c r="AA381" s="48">
        <f>VLOOKUP(B381,'Player Data'!$A1:$AE734,15,FALSE)*$Q381</f>
        <v>108.261591696401</v>
      </c>
      <c r="AB381" s="48">
        <f>VLOOKUP(B381,'Player Data'!$A1:$AE734,16,FALSE)*$Q381</f>
        <v>179.262670719032</v>
      </c>
      <c r="AC381" s="48">
        <f>VLOOKUP(B381,'Player Data'!$A1:$AE734,17,FALSE)*$Q381*_xlfn.IFERROR((VLOOKUP(P381,'Settings'!$E$28:$F$33,2,FALSE)+1),1)</f>
        <v>1.27784950933001</v>
      </c>
      <c r="AD381" s="48">
        <f>VLOOKUP(B381,'Player Data'!$A1:$AE734,18,FALSE)*$Q381</f>
        <v>62.2333456355754</v>
      </c>
      <c r="AE381" s="48">
        <f>VLOOKUP(B381,'Player Data'!$A1:$AE734,19,FALSE)*$Q381*_xlfn.IFERROR((VLOOKUP(P381,'Settings'!$E$28:$F$33,2,FALSE)+1),1)</f>
        <v>0.364482009334888</v>
      </c>
      <c r="AF381" s="48">
        <f>VLOOKUP(B381,'Player Data'!$A1:$AE734,20,FALSE)*$Q381</f>
        <v>0</v>
      </c>
      <c r="AG381" s="48">
        <f>VLOOKUP(B381,'Player Data'!$A1:$AE734,21,FALSE)*$Q381</f>
        <v>0</v>
      </c>
      <c r="AH381" s="49">
        <f>VLOOKUP(B381,'Player Data'!$A1:$AE734,22,FALSE)</f>
        <v>0</v>
      </c>
      <c r="AI381" s="46"/>
      <c r="AJ381" s="50"/>
      <c r="AK381" s="48"/>
      <c r="AL381" s="48"/>
      <c r="AM381" s="48"/>
      <c r="AN381" s="48"/>
      <c r="AO381" s="48"/>
      <c r="AP381" s="48"/>
      <c r="AQ381" s="51"/>
      <c r="AR381" s="52"/>
      <c r="AS381" s="46"/>
    </row>
    <row r="382" ht="21.25" customHeight="1">
      <c r="A382" s="53">
        <f>RANK(K382,K2:K730)</f>
        <v>434</v>
      </c>
      <c r="B382" t="s" s="8">
        <v>534</v>
      </c>
      <c r="C382" t="s" s="39">
        <v>106</v>
      </c>
      <c r="D382" t="s" s="40">
        <f>VLOOKUP(B382,'Player Data'!A1:D734,4,FALSE)</f>
        <v>129</v>
      </c>
      <c r="E382" s="56">
        <f>VLOOKUP(B382,'D'!A1:C228,3,FALSE)</f>
        <v>150</v>
      </c>
      <c r="F382" t="s" s="42">
        <f>VLOOKUP(B382,'Player Data'!A1:B734,2,FALSE)</f>
        <v>131</v>
      </c>
      <c r="G382" s="9">
        <f>VLOOKUP(B382,'Player Data'!A1:D734,3,FALSE)</f>
        <v>26</v>
      </c>
      <c r="H382" s="43">
        <f>_xlfn.IFERROR(VLOOKUP(B382,'ADP'!A1:G731,7,FALSE)/1000000,VLOOKUP(B382,'ADP'!A1:G731,7,FALSE))</f>
        <v>2.5</v>
      </c>
      <c r="I382" s="44">
        <f>IF('Settings'!$E$15="POINTS",((R382*Q382)*'Settings'!$B$12)+(S382*'Settings'!$B$2)+(T382*'Settings'!$B$3)+(U382*'Settings'!$B$4)+(V382*'Settings'!$B$5)+(X382*'Settings'!$B$9)+(AA382*'Settings'!$B$6)+(W382*'Settings'!$B$8)+(AB382*'Settings'!$B$7)+(AC382*'Settings'!$B$14)+(AD382*'Settings'!$B$15)+(AE382*'Settings'!$B$16)+(AF382*'Settings'!$B$17)+(AG382*'Settings'!$B$18)+(U382*'Settings'!$B$13)+(Y382*'Settings'!$B$10)+(Z382*'Settings'!$B$11),VLOOKUP(B382,'Standard Deviations'!A1:C731,3,FALSE))</f>
        <v>177.787023457692</v>
      </c>
      <c r="J382" s="45">
        <f>IF(D382="G",I382/AJ382,I382/Q382)</f>
        <v>2.57654351149311</v>
      </c>
      <c r="K382" s="44">
        <f>VLOOKUP(B382,'D'!A1:F228,6,FALSE)</f>
        <v>-162.948115188831</v>
      </c>
      <c r="L382" s="44">
        <f>_xlfn.IFERROR(K382/H382,"N/A")</f>
        <v>-65.1792460755324</v>
      </c>
      <c r="M382" t="s" s="61">
        <f>IF('Settings'!$E$9="YAHOO",VLOOKUP(B382,'ADP'!A1:E731,2,FALSE),IF('Settings'!$E$9="ESPN",VLOOKUP(B382,'ADP'!A1:E731,3,FALSE),IF('Settings'!$E$9="FANTRAX",VLOOKUP(B382,'ADP'!A1:E731,4,FALSE),VLOOKUP(B382,'ADP'!A1:E731,5,FALSE))))</f>
        <v>329</v>
      </c>
      <c r="N382" t="s" s="61">
        <f>_xlfn.IFERROR(M382-A382,"N/A")</f>
        <v>158</v>
      </c>
      <c r="O382" s="46"/>
      <c r="P382" t="s" s="47">
        <f>IF('Settings'!$E$27="ON",VLOOKUP(B382,'ADP'!A1:H731,8,FALSE)," ")</f>
        <v>109</v>
      </c>
      <c r="Q382" s="48">
        <f>IF('Settings'!$E$12="YES",VLOOKUP(B382,'Player Data'!A1:E734,5,FALSE),82)</f>
        <v>69.0021428571429</v>
      </c>
      <c r="R382" s="46">
        <f>VLOOKUP(B382,'Player Data'!$A1:$AE734,6,FALSE)</f>
        <v>18.313071734465</v>
      </c>
      <c r="S382" s="48">
        <f>VLOOKUP(B382,'Player Data'!$A1:$AE734,7,FALSE)*$Q382*_xlfn.IFERROR((VLOOKUP(P382,'Settings'!$E$28:$F$33,2,FALSE)+1),1)</f>
        <v>3.03458897624512</v>
      </c>
      <c r="T382" s="48">
        <f>VLOOKUP(B382,'Player Data'!$A1:$AE734,8,FALSE)*$Q382*_xlfn.IFERROR((VLOOKUP(P382,'Settings'!$E$28:$F$33,2,FALSE)+1),1)</f>
        <v>16.868863846987</v>
      </c>
      <c r="U382" s="48">
        <f>SUM(S382:T382)</f>
        <v>19.9034528232321</v>
      </c>
      <c r="V382" s="48">
        <f>VLOOKUP(B382,'Player Data'!$A1:$AE734,10,FALSE)*$Q382*_xlfn.IFERROR(((VLOOKUP(P382,'Settings'!$E$28:$F$33,2,FALSE)/2)+1),1)</f>
        <v>81.5226881009601</v>
      </c>
      <c r="W382" s="48">
        <f>VLOOKUP(B382,'Player Data'!$A1:$AE734,11,FALSE)*$Q382*_xlfn.IFERROR((VLOOKUP(P382,'Settings'!$E$28:$F$33,2,FALSE)+1),1)</f>
        <v>0.283156741236775</v>
      </c>
      <c r="X382" s="48">
        <f>VLOOKUP(B382,'Player Data'!$A1:$AE734,12,FALSE)*$Q382*_xlfn.IFERROR((VLOOKUP(P382,'Settings'!$E$28:$F$33,2,FALSE)+1),1)</f>
        <v>1.3796015097333</v>
      </c>
      <c r="Y382" s="48">
        <f>VLOOKUP(B382,'Player Data'!$A1:$AE734,13,FALSE)*$Q382</f>
        <v>0.0252782986307075</v>
      </c>
      <c r="Z382" s="48">
        <f>VLOOKUP(B382,'Player Data'!$A1:$AE734,14,FALSE)*$Q382</f>
        <v>0.317866064545615</v>
      </c>
      <c r="AA382" s="48">
        <f>VLOOKUP(B382,'Player Data'!$A1:$AE734,15,FALSE)*$Q382</f>
        <v>98.9391815251805</v>
      </c>
      <c r="AB382" s="48">
        <f>VLOOKUP(B382,'Player Data'!$A1:$AE734,16,FALSE)*$Q382</f>
        <v>90.63245832586421</v>
      </c>
      <c r="AC382" s="48">
        <f>VLOOKUP(B382,'Player Data'!$A1:$AE734,17,FALSE)*$Q382*_xlfn.IFERROR((VLOOKUP(P382,'Settings'!$E$28:$F$33,2,FALSE)+1),1)</f>
        <v>-0.723240449456808</v>
      </c>
      <c r="AD382" s="48">
        <f>VLOOKUP(B382,'Player Data'!$A1:$AE734,18,FALSE)*$Q382</f>
        <v>38.7620953171845</v>
      </c>
      <c r="AE382" s="48">
        <f>VLOOKUP(B382,'Player Data'!$A1:$AE734,19,FALSE)*$Q382*_xlfn.IFERROR((VLOOKUP(P382,'Settings'!$E$28:$F$33,2,FALSE)+1),1)</f>
        <v>0.443129357406481</v>
      </c>
      <c r="AF382" s="48">
        <f>VLOOKUP(B382,'Player Data'!$A1:$AE734,20,FALSE)*$Q382</f>
        <v>0</v>
      </c>
      <c r="AG382" s="48">
        <f>VLOOKUP(B382,'Player Data'!$A1:$AE734,21,FALSE)*$Q382</f>
        <v>0.220469758738446</v>
      </c>
      <c r="AH382" s="49">
        <f>VLOOKUP(B382,'Player Data'!$A1:$AE734,22,FALSE)</f>
        <v>0</v>
      </c>
      <c r="AI382" s="46"/>
      <c r="AJ382" s="50"/>
      <c r="AK382" s="48"/>
      <c r="AL382" s="48"/>
      <c r="AM382" s="48"/>
      <c r="AN382" s="48"/>
      <c r="AO382" s="48"/>
      <c r="AP382" s="48"/>
      <c r="AQ382" s="51"/>
      <c r="AR382" s="52"/>
      <c r="AS382" s="50"/>
    </row>
    <row r="383" ht="21.25" customHeight="1">
      <c r="A383" s="53">
        <f>RANK(K383,K2:K730)</f>
        <v>307</v>
      </c>
      <c r="B383" t="s" s="8">
        <v>535</v>
      </c>
      <c r="C383" t="s" s="39">
        <v>106</v>
      </c>
      <c r="D383" t="s" s="40">
        <f>VLOOKUP(B383,'Player Data'!A1:D734,4,FALSE)</f>
        <v>107</v>
      </c>
      <c r="E383" s="41">
        <f>VLOOKUP(B383,'C'!A1:C218,3,FALSE)</f>
        <v>84</v>
      </c>
      <c r="F383" t="s" s="42">
        <f>VLOOKUP(B383,'Player Data'!A1:B734,2,FALSE)</f>
        <v>149</v>
      </c>
      <c r="G383" s="9">
        <f>VLOOKUP(B383,'Player Data'!A1:D734,3,FALSE)</f>
        <v>30</v>
      </c>
      <c r="H383" s="43">
        <f>_xlfn.IFERROR(VLOOKUP(B383,'ADP'!A1:G731,7,FALSE)/1000000,VLOOKUP(B383,'ADP'!A1:G731,7,FALSE))</f>
        <v>5</v>
      </c>
      <c r="I383" s="44">
        <f>IF('Settings'!$E$15="POINTS",((R383*Q383)*'Settings'!$B$12)+(S383*'Settings'!$B$2)+(T383*'Settings'!$B$3)+(U383*'Settings'!$B$4)+(V383*'Settings'!$B$5)+(X383*'Settings'!$B$9)+(AA383*'Settings'!$B$6)+(W383*'Settings'!$B$8)+(AB383*'Settings'!$B$7)+(AC383*'Settings'!$B$14)+(AD383*'Settings'!$B$15)+(AE383*'Settings'!$B$16)+(AF383*'Settings'!$B$17)+(AG383*'Settings'!$B$18)+(Y383*'Settings'!$B$10)+(Z383*'Settings'!$B$11),VLOOKUP(B383,'Standard Deviations'!A1:C731,3,FALSE))</f>
        <v>278.648521537042</v>
      </c>
      <c r="J383" s="45">
        <f>IF(D383="G",I383/AJ383,I383/Q383)</f>
        <v>3.53078791855964</v>
      </c>
      <c r="K383" s="44">
        <f>IF('Settings'!$E$18="C/LW/RW",VLOOKUP(B383,'C'!A1:F218,6,FALSE),VLOOKUP(B383,'F'!A1:F432,6,FALSE))</f>
        <v>-117.125680098973</v>
      </c>
      <c r="L383" s="44">
        <f>_xlfn.IFERROR(K383/H383,"N/A")</f>
        <v>-23.4251360197946</v>
      </c>
      <c r="M383" t="s" s="61">
        <f>IF('Settings'!$E$9="YAHOO",VLOOKUP(B383,'ADP'!A1:E731,2,FALSE),IF('Settings'!$E$9="ESPN",VLOOKUP(B383,'ADP'!A1:E731,3,FALSE),IF('Settings'!$E$9="FANTRAX",VLOOKUP(B383,'ADP'!A1:E731,4,FALSE),VLOOKUP(B383,'ADP'!A1:E731,5,FALSE))))</f>
        <v>329</v>
      </c>
      <c r="N383" t="s" s="61">
        <f>_xlfn.IFERROR(M383-A383,"N/A")</f>
        <v>158</v>
      </c>
      <c r="O383" s="46"/>
      <c r="P383" t="s" s="47">
        <f>IF('Settings'!$E$27="ON",VLOOKUP(B383,'ADP'!A1:H731,8,FALSE)," ")</f>
        <v>109</v>
      </c>
      <c r="Q383" s="48">
        <f>IF('Settings'!$E$12="YES",VLOOKUP(B383,'Player Data'!A1:E734,5,FALSE),82)</f>
        <v>78.9196428571429</v>
      </c>
      <c r="R383" s="46">
        <f>VLOOKUP(B383,'Player Data'!$A1:$AE734,6,FALSE)</f>
        <v>16.5411890618393</v>
      </c>
      <c r="S383" s="48">
        <f>VLOOKUP(B383,'Player Data'!$A1:$AE734,7,FALSE)*$Q383*_xlfn.IFERROR((VLOOKUP(P383,'Settings'!$E$28:$F$33,2,FALSE)+1),1)</f>
        <v>14.6586724106359</v>
      </c>
      <c r="T383" s="48">
        <f>VLOOKUP(B383,'Player Data'!$A1:$AE734,8,FALSE)*$Q383*_xlfn.IFERROR((VLOOKUP(P383,'Settings'!$E$28:$F$33,2,FALSE)+1),1)</f>
        <v>23.2488007779574</v>
      </c>
      <c r="U383" s="48">
        <f>SUM(S383:T383)</f>
        <v>37.9074731885933</v>
      </c>
      <c r="V383" s="48">
        <f>VLOOKUP(B383,'Player Data'!$A1:$AE734,10,FALSE)*$Q383*_xlfn.IFERROR(((VLOOKUP(P383,'Settings'!$E$28:$F$33,2,FALSE)/2)+1),1)</f>
        <v>128.126646670011</v>
      </c>
      <c r="W383" s="48">
        <f>VLOOKUP(B383,'Player Data'!$A1:$AE734,11,FALSE)*$Q383*_xlfn.IFERROR((VLOOKUP(P383,'Settings'!$E$28:$F$33,2,FALSE)+1),1)</f>
        <v>3.73432197380115</v>
      </c>
      <c r="X383" s="48">
        <f>VLOOKUP(B383,'Player Data'!$A1:$AE734,12,FALSE)*$Q383*_xlfn.IFERROR((VLOOKUP(P383,'Settings'!$E$28:$F$33,2,FALSE)+1),1)</f>
        <v>6.71423023152049</v>
      </c>
      <c r="Y383" s="48">
        <f>VLOOKUP(B383,'Player Data'!$A1:$AE734,13,FALSE)*$Q383</f>
        <v>1.89015203293567</v>
      </c>
      <c r="Z383" s="48">
        <f>VLOOKUP(B383,'Player Data'!$A1:$AE734,14,FALSE)*$Q383</f>
        <v>3.00383993658241</v>
      </c>
      <c r="AA383" s="48">
        <f>VLOOKUP(B383,'Player Data'!$A1:$AE734,15,FALSE)*$Q383</f>
        <v>61.8173648245195</v>
      </c>
      <c r="AB383" s="48">
        <f>VLOOKUP(B383,'Player Data'!$A1:$AE734,16,FALSE)*$Q383</f>
        <v>167.833630939511</v>
      </c>
      <c r="AC383" s="48">
        <f>VLOOKUP(B383,'Player Data'!$A1:$AE734,17,FALSE)*$Q383*_xlfn.IFERROR((VLOOKUP(P383,'Settings'!$E$28:$F$33,2,FALSE)+1),1)</f>
        <v>0.752221438080644</v>
      </c>
      <c r="AD383" s="48">
        <f>VLOOKUP(B383,'Player Data'!$A1:$AE734,18,FALSE)*$Q383</f>
        <v>21.9677963715247</v>
      </c>
      <c r="AE383" s="48">
        <f>VLOOKUP(B383,'Player Data'!$A1:$AE734,19,FALSE)*$Q383*_xlfn.IFERROR((VLOOKUP(P383,'Settings'!$E$28:$F$33,2,FALSE)+1),1)</f>
        <v>2.26508528706802</v>
      </c>
      <c r="AF383" s="48">
        <f>VLOOKUP(B383,'Player Data'!$A1:$AE734,20,FALSE)*$Q383</f>
        <v>739.216713672029</v>
      </c>
      <c r="AG383" s="48">
        <f>VLOOKUP(B383,'Player Data'!$A1:$AE734,21,FALSE)*$Q383</f>
        <v>570.910992056502</v>
      </c>
      <c r="AH383" s="49">
        <f>VLOOKUP(B383,'Player Data'!$A1:$AE734,22,FALSE)</f>
        <v>0.564232563314099</v>
      </c>
      <c r="AI383" s="46"/>
      <c r="AJ383" s="48"/>
      <c r="AK383" s="48"/>
      <c r="AL383" s="48"/>
      <c r="AM383" s="48"/>
      <c r="AN383" s="48"/>
      <c r="AO383" s="48"/>
      <c r="AP383" s="48"/>
      <c r="AQ383" s="51"/>
      <c r="AR383" s="52"/>
      <c r="AS383" s="46"/>
    </row>
    <row r="384" ht="21.25" customHeight="1">
      <c r="A384" s="53">
        <f>RANK(K384,K2:K730)</f>
        <v>358</v>
      </c>
      <c r="B384" t="s" s="8">
        <v>536</v>
      </c>
      <c r="C384" t="s" s="39">
        <v>106</v>
      </c>
      <c r="D384" t="s" s="40">
        <f>VLOOKUP(B384,'Player Data'!A1:D734,4,FALSE)</f>
        <v>129</v>
      </c>
      <c r="E384" s="56">
        <f>VLOOKUP(B384,'D'!A1:C228,3,FALSE)</f>
        <v>115</v>
      </c>
      <c r="F384" t="s" s="42">
        <f>VLOOKUP(B384,'Player Data'!A1:B734,2,FALSE)</f>
        <v>258</v>
      </c>
      <c r="G384" s="9">
        <f>VLOOKUP(B384,'Player Data'!A1:D734,3,FALSE)</f>
        <v>32</v>
      </c>
      <c r="H384" s="43">
        <f>_xlfn.IFERROR(VLOOKUP(B384,'ADP'!A1:G731,7,FALSE)/1000000,VLOOKUP(B384,'ADP'!A1:G731,7,FALSE))</f>
        <v>3.5</v>
      </c>
      <c r="I384" s="44">
        <f>IF('Settings'!$E$15="POINTS",((R384*Q384)*'Settings'!$B$12)+(S384*'Settings'!$B$2)+(T384*'Settings'!$B$3)+(U384*'Settings'!$B$4)+(V384*'Settings'!$B$5)+(X384*'Settings'!$B$9)+(AA384*'Settings'!$B$6)+(W384*'Settings'!$B$8)+(AB384*'Settings'!$B$7)+(AC384*'Settings'!$B$14)+(AD384*'Settings'!$B$15)+(AE384*'Settings'!$B$16)+(AF384*'Settings'!$B$17)+(AG384*'Settings'!$B$18)+(U384*'Settings'!$B$13)+(Y384*'Settings'!$B$10)+(Z384*'Settings'!$B$11),VLOOKUP(B384,'Standard Deviations'!A1:C731,3,FALSE))</f>
        <v>205.436865439460</v>
      </c>
      <c r="J384" s="45">
        <f>IF(D384="G",I384/AJ384,I384/Q384)</f>
        <v>2.72328534271905</v>
      </c>
      <c r="K384" s="44">
        <f>VLOOKUP(B384,'D'!A1:F228,6,FALSE)</f>
        <v>-135.298273207063</v>
      </c>
      <c r="L384" s="44">
        <f>_xlfn.IFERROR(K384/H384,"N/A")</f>
        <v>-38.6566494877323</v>
      </c>
      <c r="M384" t="s" s="61">
        <f>IF('Settings'!$E$9="YAHOO",VLOOKUP(B384,'ADP'!A1:E731,2,FALSE),IF('Settings'!$E$9="ESPN",VLOOKUP(B384,'ADP'!A1:E731,3,FALSE),IF('Settings'!$E$9="FANTRAX",VLOOKUP(B384,'ADP'!A1:E731,4,FALSE),VLOOKUP(B384,'ADP'!A1:E731,5,FALSE))))</f>
        <v>329</v>
      </c>
      <c r="N384" t="s" s="61">
        <f>_xlfn.IFERROR(M384-A384,"N/A")</f>
        <v>158</v>
      </c>
      <c r="O384" s="46"/>
      <c r="P384" t="s" s="47">
        <f>IF('Settings'!$E$27="ON",VLOOKUP(B384,'ADP'!A1:H731,8,FALSE)," ")</f>
        <v>109</v>
      </c>
      <c r="Q384" s="48">
        <f>IF('Settings'!$E$12="YES",VLOOKUP(B384,'Player Data'!A1:E734,5,FALSE),82)</f>
        <v>75.4371428571429</v>
      </c>
      <c r="R384" s="46">
        <f>VLOOKUP(B384,'Player Data'!$A1:$AE734,6,FALSE)</f>
        <v>18.7547611743025</v>
      </c>
      <c r="S384" s="48">
        <f>VLOOKUP(B384,'Player Data'!$A1:$AE734,7,FALSE)*$Q384*_xlfn.IFERROR((VLOOKUP(P384,'Settings'!$E$28:$F$33,2,FALSE)+1),1)</f>
        <v>2.60935130298466</v>
      </c>
      <c r="T384" s="48">
        <f>VLOOKUP(B384,'Player Data'!$A1:$AE734,8,FALSE)*$Q384*_xlfn.IFERROR((VLOOKUP(P384,'Settings'!$E$28:$F$33,2,FALSE)+1),1)</f>
        <v>13.8146874212951</v>
      </c>
      <c r="U384" s="48">
        <f>SUM(S384:T384)</f>
        <v>16.4240387242798</v>
      </c>
      <c r="V384" s="48">
        <f>VLOOKUP(B384,'Player Data'!$A1:$AE734,10,FALSE)*$Q384*_xlfn.IFERROR(((VLOOKUP(P384,'Settings'!$E$28:$F$33,2,FALSE)/2)+1),1)</f>
        <v>78.249466545077</v>
      </c>
      <c r="W384" s="48">
        <f>VLOOKUP(B384,'Player Data'!$A1:$AE734,11,FALSE)*$Q384*_xlfn.IFERROR((VLOOKUP(P384,'Settings'!$E$28:$F$33,2,FALSE)+1),1)</f>
        <v>0.0153399993045672</v>
      </c>
      <c r="X384" s="48">
        <f>VLOOKUP(B384,'Player Data'!$A1:$AE734,12,FALSE)*$Q384*_xlfn.IFERROR((VLOOKUP(P384,'Settings'!$E$28:$F$33,2,FALSE)+1),1)</f>
        <v>0.114396122591476</v>
      </c>
      <c r="Y384" s="48">
        <f>VLOOKUP(B384,'Player Data'!$A1:$AE734,13,FALSE)*$Q384</f>
        <v>0.0228567562644673</v>
      </c>
      <c r="Z384" s="48">
        <f>VLOOKUP(B384,'Player Data'!$A1:$AE734,14,FALSE)*$Q384</f>
        <v>1.09151121141643</v>
      </c>
      <c r="AA384" s="48">
        <f>VLOOKUP(B384,'Player Data'!$A1:$AE734,15,FALSE)*$Q384</f>
        <v>171.228216072716</v>
      </c>
      <c r="AB384" s="48">
        <f>VLOOKUP(B384,'Player Data'!$A1:$AE734,16,FALSE)*$Q384</f>
        <v>101.315434321657</v>
      </c>
      <c r="AC384" s="48">
        <f>VLOOKUP(B384,'Player Data'!$A1:$AE734,17,FALSE)*$Q384*_xlfn.IFERROR((VLOOKUP(P384,'Settings'!$E$28:$F$33,2,FALSE)+1),1)</f>
        <v>-9.584740211735539</v>
      </c>
      <c r="AD384" s="48">
        <f>VLOOKUP(B384,'Player Data'!$A1:$AE734,18,FALSE)*$Q384</f>
        <v>29.9304940092597</v>
      </c>
      <c r="AE384" s="48">
        <f>VLOOKUP(B384,'Player Data'!$A1:$AE734,19,FALSE)*$Q384*_xlfn.IFERROR((VLOOKUP(P384,'Settings'!$E$28:$F$33,2,FALSE)+1),1)</f>
        <v>0.267307465168576</v>
      </c>
      <c r="AF384" s="48">
        <f>VLOOKUP(B384,'Player Data'!$A1:$AE734,20,FALSE)*$Q384</f>
        <v>0</v>
      </c>
      <c r="AG384" s="48">
        <f>VLOOKUP(B384,'Player Data'!$A1:$AE734,21,FALSE)*$Q384</f>
        <v>0</v>
      </c>
      <c r="AH384" s="49">
        <f>VLOOKUP(B384,'Player Data'!$A1:$AE734,22,FALSE)</f>
        <v>0</v>
      </c>
      <c r="AI384" s="46"/>
      <c r="AJ384" s="48"/>
      <c r="AK384" s="48"/>
      <c r="AL384" s="48"/>
      <c r="AM384" s="48"/>
      <c r="AN384" s="48"/>
      <c r="AO384" s="48"/>
      <c r="AP384" s="48"/>
      <c r="AQ384" s="51"/>
      <c r="AR384" s="52"/>
      <c r="AS384" s="46"/>
    </row>
    <row r="385" ht="21.25" customHeight="1">
      <c r="A385" s="53">
        <f>RANK(K385,K2:K730)</f>
        <v>202</v>
      </c>
      <c r="B385" t="s" s="8">
        <v>537</v>
      </c>
      <c r="C385" t="s" s="39">
        <v>106</v>
      </c>
      <c r="D385" t="s" s="40">
        <f>VLOOKUP(B385,'Player Data'!A1:D734,4,FALSE)</f>
        <v>146</v>
      </c>
      <c r="E385" s="58">
        <f>VLOOKUP(B385,'G'!A1:D75,3,FALSE)</f>
        <v>33</v>
      </c>
      <c r="F385" t="s" s="42">
        <f>VLOOKUP(B385,'Player Data'!A1:B734,2,FALSE)</f>
        <v>218</v>
      </c>
      <c r="G385" s="9">
        <f>VLOOKUP(B385,'Player Data'!A1:D734,3,FALSE)</f>
        <v>26</v>
      </c>
      <c r="H385" s="43">
        <f>_xlfn.IFERROR(VLOOKUP(B385,'ADP'!A1:G731,7,FALSE)/1000000,VLOOKUP(B385,'ADP'!A1:G731,7,FALSE))</f>
        <v>0.766667</v>
      </c>
      <c r="I385" s="44">
        <f>IF('Settings'!$E$15="POINTS",(AJ385*'Settings'!$B$29)+(AK385*'Settings'!$B$21)+(AL385*'Settings'!$B$22)+(AN385*'Settings'!$B$24)+(AO385*'Settings'!$B$25)+(AP385*'Settings'!$B$27)+(AM385*'Settings'!$B$23),VLOOKUP(B385,'Standard Deviations'!A1:C731,3,FALSE))</f>
        <v>195.911614039462</v>
      </c>
      <c r="J385" s="45">
        <f>IF(D385="G",I385/AJ385,I385/Q385)</f>
        <v>6.12223793873319</v>
      </c>
      <c r="K385" s="44">
        <f>VLOOKUP(B385,'G'!A1:F75,6,FALSE)</f>
        <v>-69.391607460226</v>
      </c>
      <c r="L385" s="44">
        <f>_xlfn.IFERROR(K385/H385,"N/A")</f>
        <v>-90.5107529869239</v>
      </c>
      <c r="M385" s="46">
        <f>IF('Settings'!$E$9="YAHOO",VLOOKUP(B385,'ADP'!A1:E731,2,FALSE),IF('Settings'!$E$9="ESPN",VLOOKUP(B385,'ADP'!A1:E731,3,FALSE),IF('Settings'!$E$9="FANTRAX",VLOOKUP(B385,'ADP'!A1:E731,4,FALSE),VLOOKUP(B385,'ADP'!A1:E731,5,FALSE))))</f>
        <v>186.24</v>
      </c>
      <c r="N385" s="46">
        <f>_xlfn.IFERROR(M385-A385,"N/A")</f>
        <v>-15.76</v>
      </c>
      <c r="O385" s="46"/>
      <c r="P385" t="s" s="47">
        <f>IF('Settings'!$E$27="ON",VLOOKUP(B385,'ADP'!A1:H731,8,FALSE)," ")</f>
        <v>109</v>
      </c>
      <c r="Q385" s="48"/>
      <c r="R385" s="59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9"/>
      <c r="AI385" s="46"/>
      <c r="AJ385" s="50">
        <f>VLOOKUP(B385,'Player Data'!$A1:$AE734,24,FALSE)</f>
        <v>32</v>
      </c>
      <c r="AK385" s="48">
        <f>VLOOKUP(B385,'Player Data'!$A1:$AE734,25,FALSE)*$AJ385*_xlfn.IFERROR((VLOOKUP(P385,'Settings'!$E$28:$F$33,2,FALSE)+1),1)</f>
        <v>18.1888196226415</v>
      </c>
      <c r="AL385" s="48">
        <f>AJ385-AK385-AM385</f>
        <v>9.8111803773585</v>
      </c>
      <c r="AM385" s="48">
        <f>VLOOKUP(B385,'Player Data'!$A1:$AE734,27,FALSE)*$AJ385</f>
        <v>4</v>
      </c>
      <c r="AN385" s="48">
        <f>VLOOKUP(B385,'Player Data'!$A1:$AE734,28,FALSE)*AJ385</f>
        <v>1.84129573061772</v>
      </c>
      <c r="AO385" s="48">
        <f>VLOOKUP(B385,'Player Data'!$A1:$AE734,29,FALSE)*$AJ385*_xlfn.IFERROR((VLOOKUP(P385,'Settings'!$E$28:$F$33,2,FALSE)/4)+1,1)</f>
        <v>899.354331488714</v>
      </c>
      <c r="AP385" s="48">
        <f>VLOOKUP(B385,'Player Data'!$A1:$AE734,31,FALSE)*$AJ385*(_xlfn.IFERROR(1-(VLOOKUP(P385,'Settings'!$E$28:$F$33,2,FALSE)/4),1))</f>
        <v>89.32335431128639</v>
      </c>
      <c r="AQ385" s="51">
        <f>1-(AP385/(AO385+AP385))</f>
        <v>0.909653716682187</v>
      </c>
      <c r="AR385" s="52">
        <f>AP385/AJ385</f>
        <v>2.7913548222277</v>
      </c>
      <c r="AS385" s="46"/>
    </row>
    <row r="386" ht="21.25" customHeight="1">
      <c r="A386" s="53">
        <f>RANK(K386,K2:K730)</f>
        <v>435</v>
      </c>
      <c r="B386" t="s" s="8">
        <v>538</v>
      </c>
      <c r="C386" t="s" s="39">
        <v>106</v>
      </c>
      <c r="D386" t="s" s="40">
        <f>VLOOKUP(B386,'Player Data'!A1:D734,4,FALSE)</f>
        <v>129</v>
      </c>
      <c r="E386" s="56">
        <f>VLOOKUP(B386,'D'!A1:C228,3,FALSE)</f>
        <v>151</v>
      </c>
      <c r="F386" t="s" s="42">
        <f>VLOOKUP(B386,'Player Data'!A1:B734,2,FALSE)</f>
        <v>236</v>
      </c>
      <c r="G386" s="9">
        <f>VLOOKUP(B386,'Player Data'!A1:D734,3,FALSE)</f>
        <v>28</v>
      </c>
      <c r="H386" s="43">
        <f>_xlfn.IFERROR(VLOOKUP(B386,'ADP'!A1:G731,7,FALSE)/1000000,VLOOKUP(B386,'ADP'!A1:G731,7,FALSE))</f>
        <v>2.65</v>
      </c>
      <c r="I386" s="44">
        <f>IF('Settings'!$E$15="POINTS",((R386*Q386)*'Settings'!$B$12)+(S386*'Settings'!$B$2)+(T386*'Settings'!$B$3)+(U386*'Settings'!$B$4)+(V386*'Settings'!$B$5)+(X386*'Settings'!$B$9)+(AA386*'Settings'!$B$6)+(W386*'Settings'!$B$8)+(AB386*'Settings'!$B$7)+(AC386*'Settings'!$B$14)+(AD386*'Settings'!$B$15)+(AE386*'Settings'!$B$16)+(AF386*'Settings'!$B$17)+(AG386*'Settings'!$B$18)+(U386*'Settings'!$B$13)+(Y386*'Settings'!$B$10)+(Z386*'Settings'!$B$11),VLOOKUP(B386,'Standard Deviations'!A1:C731,3,FALSE))</f>
        <v>177.476958940697</v>
      </c>
      <c r="J386" s="45">
        <f>IF(D386="G",I386/AJ386,I386/Q386)</f>
        <v>2.60489324859229</v>
      </c>
      <c r="K386" s="44">
        <f>VLOOKUP(B386,'D'!A1:F228,6,FALSE)</f>
        <v>-163.258179705826</v>
      </c>
      <c r="L386" s="44">
        <f>_xlfn.IFERROR(K386/H386,"N/A")</f>
        <v>-61.6068602663494</v>
      </c>
      <c r="M386" t="s" s="61">
        <f>IF('Settings'!$E$9="YAHOO",VLOOKUP(B386,'ADP'!A1:E731,2,FALSE),IF('Settings'!$E$9="ESPN",VLOOKUP(B386,'ADP'!A1:E731,3,FALSE),IF('Settings'!$E$9="FANTRAX",VLOOKUP(B386,'ADP'!A1:E731,4,FALSE),VLOOKUP(B386,'ADP'!A1:E731,5,FALSE))))</f>
        <v>329</v>
      </c>
      <c r="N386" t="s" s="61">
        <f>_xlfn.IFERROR(M386-A386,"N/A")</f>
        <v>158</v>
      </c>
      <c r="O386" s="46"/>
      <c r="P386" t="s" s="47">
        <f>IF('Settings'!$E$27="ON",VLOOKUP(B386,'ADP'!A1:H731,8,FALSE)," ")</f>
        <v>109</v>
      </c>
      <c r="Q386" s="48">
        <f>IF('Settings'!$E$12="YES",VLOOKUP(B386,'Player Data'!A1:E734,5,FALSE),82)</f>
        <v>68.1321428571429</v>
      </c>
      <c r="R386" s="46">
        <f>VLOOKUP(B386,'Player Data'!$A1:$AE734,6,FALSE)</f>
        <v>16.2295943765264</v>
      </c>
      <c r="S386" s="48">
        <f>VLOOKUP(B386,'Player Data'!$A1:$AE734,7,FALSE)*$Q386*_xlfn.IFERROR((VLOOKUP(P386,'Settings'!$E$28:$F$33,2,FALSE)+1),1)</f>
        <v>4.11140230559187</v>
      </c>
      <c r="T386" s="48">
        <f>VLOOKUP(B386,'Player Data'!$A1:$AE734,8,FALSE)*$Q386*_xlfn.IFERROR((VLOOKUP(P386,'Settings'!$E$28:$F$33,2,FALSE)+1),1)</f>
        <v>12.8062736716655</v>
      </c>
      <c r="U386" s="48">
        <f>SUM(S386:T386)</f>
        <v>16.9176759772574</v>
      </c>
      <c r="V386" s="48">
        <f>VLOOKUP(B386,'Player Data'!$A1:$AE734,10,FALSE)*$Q386*_xlfn.IFERROR(((VLOOKUP(P386,'Settings'!$E$28:$F$33,2,FALSE)/2)+1),1)</f>
        <v>103.302053359998</v>
      </c>
      <c r="W386" s="48">
        <f>VLOOKUP(B386,'Player Data'!$A1:$AE734,11,FALSE)*$Q386*_xlfn.IFERROR((VLOOKUP(P386,'Settings'!$E$28:$F$33,2,FALSE)+1),1)</f>
        <v>0.0191754195414851</v>
      </c>
      <c r="X386" s="48">
        <f>VLOOKUP(B386,'Player Data'!$A1:$AE734,12,FALSE)*$Q386*_xlfn.IFERROR((VLOOKUP(P386,'Settings'!$E$28:$F$33,2,FALSE)+1),1)</f>
        <v>0.274244077680274</v>
      </c>
      <c r="Y386" s="48">
        <f>VLOOKUP(B386,'Player Data'!$A1:$AE734,13,FALSE)*$Q386</f>
        <v>0.0141191537156109</v>
      </c>
      <c r="Z386" s="48">
        <f>VLOOKUP(B386,'Player Data'!$A1:$AE734,14,FALSE)*$Q386</f>
        <v>0.0529896301157773</v>
      </c>
      <c r="AA386" s="48">
        <f>VLOOKUP(B386,'Player Data'!$A1:$AE734,15,FALSE)*$Q386</f>
        <v>96.5101432193494</v>
      </c>
      <c r="AB386" s="48">
        <f>VLOOKUP(B386,'Player Data'!$A1:$AE734,16,FALSE)*$Q386</f>
        <v>82.17900000252919</v>
      </c>
      <c r="AC386" s="48">
        <f>VLOOKUP(B386,'Player Data'!$A1:$AE734,17,FALSE)*$Q386*_xlfn.IFERROR((VLOOKUP(P386,'Settings'!$E$28:$F$33,2,FALSE)+1),1)</f>
        <v>-4.75590579778831</v>
      </c>
      <c r="AD386" s="48">
        <f>VLOOKUP(B386,'Player Data'!$A1:$AE734,18,FALSE)*$Q386</f>
        <v>32.2862351650735</v>
      </c>
      <c r="AE386" s="48">
        <f>VLOOKUP(B386,'Player Data'!$A1:$AE734,19,FALSE)*$Q386*_xlfn.IFERROR((VLOOKUP(P386,'Settings'!$E$28:$F$33,2,FALSE)+1),1)</f>
        <v>0.483277425186961</v>
      </c>
      <c r="AF386" s="48">
        <f>VLOOKUP(B386,'Player Data'!$A1:$AE734,20,FALSE)*$Q386</f>
        <v>0</v>
      </c>
      <c r="AG386" s="48">
        <f>VLOOKUP(B386,'Player Data'!$A1:$AE734,21,FALSE)*$Q386</f>
        <v>0</v>
      </c>
      <c r="AH386" s="49">
        <f>VLOOKUP(B386,'Player Data'!$A1:$AE734,22,FALSE)</f>
        <v>0</v>
      </c>
      <c r="AI386" s="46"/>
      <c r="AJ386" s="50"/>
      <c r="AK386" s="48"/>
      <c r="AL386" s="48"/>
      <c r="AM386" s="48"/>
      <c r="AN386" s="48"/>
      <c r="AO386" s="48"/>
      <c r="AP386" s="48"/>
      <c r="AQ386" s="51"/>
      <c r="AR386" s="52"/>
      <c r="AS386" s="46"/>
    </row>
    <row r="387" ht="21.25" customHeight="1">
      <c r="A387" s="53">
        <f>RANK(K387,K2:K730)</f>
        <v>339</v>
      </c>
      <c r="B387" t="s" s="8">
        <v>539</v>
      </c>
      <c r="C387" t="s" s="39">
        <v>106</v>
      </c>
      <c r="D387" t="s" s="40">
        <f>VLOOKUP(B387,'Player Data'!A1:D734,4,FALSE)</f>
        <v>133</v>
      </c>
      <c r="E387" s="57">
        <f>VLOOKUP(B387,'LW'!A1:C156,3,FALSE)</f>
        <v>78</v>
      </c>
      <c r="F387" t="s" s="42">
        <f>VLOOKUP(B387,'Player Data'!A1:B734,2,FALSE)</f>
        <v>124</v>
      </c>
      <c r="G387" s="9">
        <f>VLOOKUP(B387,'Player Data'!A1:D734,3,FALSE)</f>
        <v>28</v>
      </c>
      <c r="H387" s="43">
        <f>_xlfn.IFERROR(VLOOKUP(B387,'ADP'!A1:G731,7,FALSE)/1000000,VLOOKUP(B387,'ADP'!A1:G731,7,FALSE))</f>
        <v>3.15</v>
      </c>
      <c r="I387" s="44">
        <f>IF('Settings'!$E$15="POINTS",((R387*Q387)*'Settings'!$B$12)+(S387*'Settings'!$B$2)+(T387*'Settings'!$B$3)+(U387*'Settings'!$B$4)+(V387*'Settings'!$B$5)+(X387*'Settings'!$B$9)+(AA387*'Settings'!$B$6)+(W387*'Settings'!$B$8)+(AB387*'Settings'!$B$7)+(AC387*'Settings'!$B$14)+(AD387*'Settings'!$B$15)+(AE387*'Settings'!$B$16)+(AF387*'Settings'!$B$17)+(AG387*'Settings'!$B$18)+(Y387*'Settings'!$B$10)+(Z387*'Settings'!$B$11),VLOOKUP(B387,'Standard Deviations'!A1:C731,3,FALSE))</f>
        <v>253.9507025778</v>
      </c>
      <c r="J387" s="45">
        <f>IF(D387="G",I387/AJ387,I387/Q387)</f>
        <v>3.11978750095577</v>
      </c>
      <c r="K387" s="44">
        <f>IF('Settings'!$E$18="C/LW/RW",VLOOKUP(B387,'LW'!A1:F156,6,FALSE),VLOOKUP(B387,'F'!A1:F432,6,FALSE))</f>
        <v>-127.677861128556</v>
      </c>
      <c r="L387" s="44">
        <f>_xlfn.IFERROR(K387/H387,"N/A")</f>
        <v>-40.5326543265257</v>
      </c>
      <c r="M387" t="s" s="61">
        <f>IF('Settings'!$E$9="YAHOO",VLOOKUP(B387,'ADP'!A1:E731,2,FALSE),IF('Settings'!$E$9="ESPN",VLOOKUP(B387,'ADP'!A1:E731,3,FALSE),IF('Settings'!$E$9="FANTRAX",VLOOKUP(B387,'ADP'!A1:E731,4,FALSE),VLOOKUP(B387,'ADP'!A1:E731,5,FALSE))))</f>
        <v>329</v>
      </c>
      <c r="N387" t="s" s="61">
        <f>_xlfn.IFERROR(M387-A387,"N/A")</f>
        <v>158</v>
      </c>
      <c r="O387" s="46"/>
      <c r="P387" t="s" s="47">
        <f>IF('Settings'!$E$27="ON",VLOOKUP(B387,'ADP'!A1:H731,8,FALSE)," ")</f>
        <v>109</v>
      </c>
      <c r="Q387" s="48">
        <f>IF('Settings'!$E$12="YES",VLOOKUP(B387,'Player Data'!A1:E734,5,FALSE),82)</f>
        <v>81.40000000000001</v>
      </c>
      <c r="R387" s="46">
        <f>VLOOKUP(B387,'Player Data'!$A1:$AE734,6,FALSE)</f>
        <v>16.3178602858232</v>
      </c>
      <c r="S387" s="48">
        <f>VLOOKUP(B387,'Player Data'!$A1:$AE734,7,FALSE)*$Q387*_xlfn.IFERROR((VLOOKUP(P387,'Settings'!$E$28:$F$33,2,FALSE)+1),1)</f>
        <v>16.7790432031899</v>
      </c>
      <c r="T387" s="48">
        <f>VLOOKUP(B387,'Player Data'!$A1:$AE734,8,FALSE)*$Q387*_xlfn.IFERROR((VLOOKUP(P387,'Settings'!$E$28:$F$33,2,FALSE)+1),1)</f>
        <v>18.4469708453598</v>
      </c>
      <c r="U387" s="48">
        <f>SUM(S387:T387)</f>
        <v>35.2260140485497</v>
      </c>
      <c r="V387" s="48">
        <f>VLOOKUP(B387,'Player Data'!$A1:$AE734,10,FALSE)*$Q387*_xlfn.IFERROR(((VLOOKUP(P387,'Settings'!$E$28:$F$33,2,FALSE)/2)+1),1)</f>
        <v>140.899366400349</v>
      </c>
      <c r="W387" s="48">
        <f>VLOOKUP(B387,'Player Data'!$A1:$AE734,11,FALSE)*$Q387*_xlfn.IFERROR((VLOOKUP(P387,'Settings'!$E$28:$F$33,2,FALSE)+1),1)</f>
        <v>3.9978231199273</v>
      </c>
      <c r="X387" s="48">
        <f>VLOOKUP(B387,'Player Data'!$A1:$AE734,12,FALSE)*$Q387*_xlfn.IFERROR((VLOOKUP(P387,'Settings'!$E$28:$F$33,2,FALSE)+1),1)</f>
        <v>5.76108836352177</v>
      </c>
      <c r="Y387" s="48">
        <f>VLOOKUP(B387,'Player Data'!$A1:$AE734,13,FALSE)*$Q387</f>
        <v>0.433631422437098</v>
      </c>
      <c r="Z387" s="48">
        <f>VLOOKUP(B387,'Player Data'!$A1:$AE734,14,FALSE)*$Q387</f>
        <v>1.13200313675943</v>
      </c>
      <c r="AA387" s="48">
        <f>VLOOKUP(B387,'Player Data'!$A1:$AE734,15,FALSE)*$Q387</f>
        <v>47.382865661886</v>
      </c>
      <c r="AB387" s="48">
        <f>VLOOKUP(B387,'Player Data'!$A1:$AE734,16,FALSE)*$Q387</f>
        <v>106.795893290918</v>
      </c>
      <c r="AC387" s="48">
        <f>VLOOKUP(B387,'Player Data'!$A1:$AE734,17,FALSE)*$Q387*_xlfn.IFERROR((VLOOKUP(P387,'Settings'!$E$28:$F$33,2,FALSE)+1),1)</f>
        <v>-0.231345007214521</v>
      </c>
      <c r="AD387" s="48">
        <f>VLOOKUP(B387,'Player Data'!$A1:$AE734,18,FALSE)*$Q387</f>
        <v>31.5553084283787</v>
      </c>
      <c r="AE387" s="48">
        <f>VLOOKUP(B387,'Player Data'!$A1:$AE734,19,FALSE)*$Q387*_xlfn.IFERROR((VLOOKUP(P387,'Settings'!$E$28:$F$33,2,FALSE)+1),1)</f>
        <v>2.62592635629715</v>
      </c>
      <c r="AF387" s="48">
        <f>VLOOKUP(B387,'Player Data'!$A1:$AE734,20,FALSE)*$Q387</f>
        <v>468.072675378628</v>
      </c>
      <c r="AG387" s="48">
        <f>VLOOKUP(B387,'Player Data'!$A1:$AE734,21,FALSE)*$Q387</f>
        <v>428.549160742740</v>
      </c>
      <c r="AH387" s="49">
        <f>VLOOKUP(B387,'Player Data'!$A1:$AE734,22,FALSE)</f>
        <v>0.522040236498623</v>
      </c>
      <c r="AI387" s="46"/>
      <c r="AJ387" s="50"/>
      <c r="AK387" s="48"/>
      <c r="AL387" s="48"/>
      <c r="AM387" s="48"/>
      <c r="AN387" s="48"/>
      <c r="AO387" s="48"/>
      <c r="AP387" s="48"/>
      <c r="AQ387" s="51"/>
      <c r="AR387" s="52"/>
      <c r="AS387" s="50"/>
    </row>
    <row r="388" ht="21.25" customHeight="1">
      <c r="A388" s="53">
        <f>RANK(K388,K2:K730)</f>
        <v>438</v>
      </c>
      <c r="B388" t="s" s="8">
        <v>540</v>
      </c>
      <c r="C388" t="s" s="39">
        <v>106</v>
      </c>
      <c r="D388" t="s" s="40">
        <f>VLOOKUP(B388,'Player Data'!A1:D734,4,FALSE)</f>
        <v>129</v>
      </c>
      <c r="E388" s="56">
        <f>VLOOKUP(B388,'D'!A1:C228,3,FALSE)</f>
        <v>153</v>
      </c>
      <c r="F388" t="s" s="42">
        <f>VLOOKUP(B388,'Player Data'!A1:B734,2,FALSE)</f>
        <v>127</v>
      </c>
      <c r="G388" s="9">
        <f>VLOOKUP(B388,'Player Data'!A1:D734,3,FALSE)</f>
        <v>30</v>
      </c>
      <c r="H388" s="43">
        <f>_xlfn.IFERROR(VLOOKUP(B388,'ADP'!A1:G731,7,FALSE)/1000000,VLOOKUP(B388,'ADP'!A1:G731,7,FALSE))</f>
        <v>1.85</v>
      </c>
      <c r="I388" s="44">
        <f>IF('Settings'!$E$15="POINTS",((R388*Q388)*'Settings'!$B$12)+(S388*'Settings'!$B$2)+(T388*'Settings'!$B$3)+(U388*'Settings'!$B$4)+(V388*'Settings'!$B$5)+(X388*'Settings'!$B$9)+(AA388*'Settings'!$B$6)+(W388*'Settings'!$B$8)+(AB388*'Settings'!$B$7)+(AC388*'Settings'!$B$14)+(AD388*'Settings'!$B$15)+(AE388*'Settings'!$B$16)+(AF388*'Settings'!$B$17)+(AG388*'Settings'!$B$18)+(U388*'Settings'!$B$13)+(Y388*'Settings'!$B$10)+(Z388*'Settings'!$B$11),VLOOKUP(B388,'Standard Deviations'!A1:C731,3,FALSE))</f>
        <v>177.246771250209</v>
      </c>
      <c r="J388" s="45">
        <f>IF(D388="G",I388/AJ388,I388/Q388)</f>
        <v>2.25286758771539</v>
      </c>
      <c r="K388" s="44">
        <f>VLOOKUP(B388,'D'!A1:F228,6,FALSE)</f>
        <v>-163.488367396314</v>
      </c>
      <c r="L388" s="44">
        <f>_xlfn.IFERROR(K388/H388,"N/A")</f>
        <v>-88.37209048449409</v>
      </c>
      <c r="M388" t="s" s="61">
        <f>IF('Settings'!$E$9="YAHOO",VLOOKUP(B388,'ADP'!A1:E731,2,FALSE),IF('Settings'!$E$9="ESPN",VLOOKUP(B388,'ADP'!A1:E731,3,FALSE),IF('Settings'!$E$9="FANTRAX",VLOOKUP(B388,'ADP'!A1:E731,4,FALSE),VLOOKUP(B388,'ADP'!A1:E731,5,FALSE))))</f>
        <v>329</v>
      </c>
      <c r="N388" t="s" s="61">
        <f>_xlfn.IFERROR(M388-A388,"N/A")</f>
        <v>158</v>
      </c>
      <c r="O388" s="46"/>
      <c r="P388" t="s" s="47">
        <f>IF('Settings'!$E$27="ON",VLOOKUP(B388,'ADP'!A1:H731,8,FALSE)," ")</f>
        <v>109</v>
      </c>
      <c r="Q388" s="48">
        <f>IF('Settings'!$E$12="YES",VLOOKUP(B388,'Player Data'!A1:E734,5,FALSE),82)</f>
        <v>78.6760714285714</v>
      </c>
      <c r="R388" s="46">
        <f>VLOOKUP(B388,'Player Data'!$A1:$AE734,6,FALSE)</f>
        <v>16.7621423012504</v>
      </c>
      <c r="S388" s="48">
        <f>VLOOKUP(B388,'Player Data'!$A1:$AE734,7,FALSE)*$Q388*_xlfn.IFERROR((VLOOKUP(P388,'Settings'!$E$28:$F$33,2,FALSE)+1),1)</f>
        <v>4.55321849638018</v>
      </c>
      <c r="T388" s="48">
        <f>VLOOKUP(B388,'Player Data'!$A1:$AE734,8,FALSE)*$Q388*_xlfn.IFERROR((VLOOKUP(P388,'Settings'!$E$28:$F$33,2,FALSE)+1),1)</f>
        <v>14.5918073590477</v>
      </c>
      <c r="U388" s="48">
        <f>SUM(S388:T388)</f>
        <v>19.1450258554279</v>
      </c>
      <c r="V388" s="48">
        <f>VLOOKUP(B388,'Player Data'!$A1:$AE734,10,FALSE)*$Q388*_xlfn.IFERROR(((VLOOKUP(P388,'Settings'!$E$28:$F$33,2,FALSE)/2)+1),1)</f>
        <v>95.3422578529284</v>
      </c>
      <c r="W388" s="48">
        <f>VLOOKUP(B388,'Player Data'!$A1:$AE734,11,FALSE)*$Q388*_xlfn.IFERROR((VLOOKUP(P388,'Settings'!$E$28:$F$33,2,FALSE)+1),1)</f>
        <v>0.159967403985107</v>
      </c>
      <c r="X388" s="48">
        <f>VLOOKUP(B388,'Player Data'!$A1:$AE734,12,FALSE)*$Q388*_xlfn.IFERROR((VLOOKUP(P388,'Settings'!$E$28:$F$33,2,FALSE)+1),1)</f>
        <v>0.647004859790228</v>
      </c>
      <c r="Y388" s="48">
        <f>VLOOKUP(B388,'Player Data'!$A1:$AE734,13,FALSE)*$Q388</f>
        <v>0.0181705259000861</v>
      </c>
      <c r="Z388" s="48">
        <f>VLOOKUP(B388,'Player Data'!$A1:$AE734,14,FALSE)*$Q388</f>
        <v>0.0686707294947476</v>
      </c>
      <c r="AA388" s="48">
        <f>VLOOKUP(B388,'Player Data'!$A1:$AE734,15,FALSE)*$Q388</f>
        <v>76.91731067397779</v>
      </c>
      <c r="AB388" s="48">
        <f>VLOOKUP(B388,'Player Data'!$A1:$AE734,16,FALSE)*$Q388</f>
        <v>106.858960867651</v>
      </c>
      <c r="AC388" s="48">
        <f>VLOOKUP(B388,'Player Data'!$A1:$AE734,17,FALSE)*$Q388*_xlfn.IFERROR((VLOOKUP(P388,'Settings'!$E$28:$F$33,2,FALSE)+1),1)</f>
        <v>0.729010727980216</v>
      </c>
      <c r="AD388" s="48">
        <f>VLOOKUP(B388,'Player Data'!$A1:$AE734,18,FALSE)*$Q388</f>
        <v>37.191763515769</v>
      </c>
      <c r="AE388" s="48">
        <f>VLOOKUP(B388,'Player Data'!$A1:$AE734,19,FALSE)*$Q388*_xlfn.IFERROR((VLOOKUP(P388,'Settings'!$E$28:$F$33,2,FALSE)+1),1)</f>
        <v>0.6692228616324239</v>
      </c>
      <c r="AF388" s="48">
        <f>VLOOKUP(B388,'Player Data'!$A1:$AE734,20,FALSE)*$Q388</f>
        <v>0</v>
      </c>
      <c r="AG388" s="48">
        <f>VLOOKUP(B388,'Player Data'!$A1:$AE734,21,FALSE)*$Q388</f>
        <v>0</v>
      </c>
      <c r="AH388" s="49">
        <f>VLOOKUP(B388,'Player Data'!$A1:$AE734,22,FALSE)</f>
        <v>0</v>
      </c>
      <c r="AI388" s="46"/>
      <c r="AJ388" s="50"/>
      <c r="AK388" s="48"/>
      <c r="AL388" s="48"/>
      <c r="AM388" s="48"/>
      <c r="AN388" s="48"/>
      <c r="AO388" s="48"/>
      <c r="AP388" s="48"/>
      <c r="AQ388" s="51"/>
      <c r="AR388" s="52"/>
      <c r="AS388" s="46"/>
    </row>
    <row r="389" ht="21.25" customHeight="1">
      <c r="A389" s="53">
        <f>RANK(K389,K2:K730)</f>
        <v>384</v>
      </c>
      <c r="B389" t="s" s="8">
        <v>541</v>
      </c>
      <c r="C389" t="s" s="39">
        <v>106</v>
      </c>
      <c r="D389" t="s" s="40">
        <f>VLOOKUP(B389,'Player Data'!A1:D734,4,FALSE)</f>
        <v>107</v>
      </c>
      <c r="E389" s="41">
        <f>VLOOKUP(B389,'C'!A1:C218,3,FALSE)</f>
        <v>100</v>
      </c>
      <c r="F389" t="s" s="42">
        <f>VLOOKUP(B389,'Player Data'!A1:B734,2,FALSE)</f>
        <v>218</v>
      </c>
      <c r="G389" s="9">
        <f>VLOOKUP(B389,'Player Data'!A1:D734,3,FALSE)</f>
        <v>26</v>
      </c>
      <c r="H389" s="43">
        <f>_xlfn.IFERROR(VLOOKUP(B389,'ADP'!A1:G731,7,FALSE)/1000000,VLOOKUP(B389,'ADP'!A1:G731,7,FALSE))</f>
        <v>3</v>
      </c>
      <c r="I389" s="44">
        <f>IF('Settings'!$E$15="POINTS",((R389*Q389)*'Settings'!$B$12)+(S389*'Settings'!$B$2)+(T389*'Settings'!$B$3)+(U389*'Settings'!$B$4)+(V389*'Settings'!$B$5)+(X389*'Settings'!$B$9)+(AA389*'Settings'!$B$6)+(W389*'Settings'!$B$8)+(AB389*'Settings'!$B$7)+(AC389*'Settings'!$B$14)+(AD389*'Settings'!$B$15)+(AE389*'Settings'!$B$16)+(AF389*'Settings'!$B$17)+(AG389*'Settings'!$B$18)+(Y389*'Settings'!$B$10)+(Z389*'Settings'!$B$11),VLOOKUP(B389,'Standard Deviations'!A1:C731,3,FALSE))</f>
        <v>249.231752359059</v>
      </c>
      <c r="J389" s="45">
        <f>IF(D389="G",I389/AJ389,I389/Q389)</f>
        <v>3.2124146965515</v>
      </c>
      <c r="K389" s="44">
        <f>IF('Settings'!$E$18="C/LW/RW",VLOOKUP(B389,'C'!A1:F218,6,FALSE),VLOOKUP(B389,'F'!A1:F432,6,FALSE))</f>
        <v>-146.542449276956</v>
      </c>
      <c r="L389" s="44">
        <f>_xlfn.IFERROR(K389/H389,"N/A")</f>
        <v>-48.8474830923187</v>
      </c>
      <c r="M389" t="s" s="61">
        <f>IF('Settings'!$E$9="YAHOO",VLOOKUP(B389,'ADP'!A1:E731,2,FALSE),IF('Settings'!$E$9="ESPN",VLOOKUP(B389,'ADP'!A1:E731,3,FALSE),IF('Settings'!$E$9="FANTRAX",VLOOKUP(B389,'ADP'!A1:E731,4,FALSE),VLOOKUP(B389,'ADP'!A1:E731,5,FALSE))))</f>
        <v>329</v>
      </c>
      <c r="N389" t="s" s="61">
        <f>_xlfn.IFERROR(M389-A389,"N/A")</f>
        <v>158</v>
      </c>
      <c r="O389" s="46"/>
      <c r="P389" t="s" s="47">
        <f>IF('Settings'!$E$27="ON",VLOOKUP(B389,'ADP'!A1:H731,8,FALSE)," ")</f>
        <v>109</v>
      </c>
      <c r="Q389" s="48">
        <f>IF('Settings'!$E$12="YES",VLOOKUP(B389,'Player Data'!A1:E734,5,FALSE),82)</f>
        <v>77.5839285714286</v>
      </c>
      <c r="R389" s="46">
        <f>VLOOKUP(B389,'Player Data'!$A1:$AE734,6,FALSE)</f>
        <v>16.554576736559</v>
      </c>
      <c r="S389" s="48">
        <f>VLOOKUP(B389,'Player Data'!$A1:$AE734,7,FALSE)*$Q389*_xlfn.IFERROR((VLOOKUP(P389,'Settings'!$E$28:$F$33,2,FALSE)+1),1)</f>
        <v>16.1736360379374</v>
      </c>
      <c r="T389" s="48">
        <f>VLOOKUP(B389,'Player Data'!$A1:$AE734,8,FALSE)*$Q389*_xlfn.IFERROR((VLOOKUP(P389,'Settings'!$E$28:$F$33,2,FALSE)+1),1)</f>
        <v>22.2152248462956</v>
      </c>
      <c r="U389" s="48">
        <f>SUM(S389:T389)</f>
        <v>38.388860884233</v>
      </c>
      <c r="V389" s="48">
        <f>VLOOKUP(B389,'Player Data'!$A1:$AE734,10,FALSE)*$Q389*_xlfn.IFERROR(((VLOOKUP(P389,'Settings'!$E$28:$F$33,2,FALSE)/2)+1),1)</f>
        <v>126.570216719155</v>
      </c>
      <c r="W389" s="48">
        <f>VLOOKUP(B389,'Player Data'!$A1:$AE734,11,FALSE)*$Q389*_xlfn.IFERROR((VLOOKUP(P389,'Settings'!$E$28:$F$33,2,FALSE)+1),1)</f>
        <v>3.22314479925833</v>
      </c>
      <c r="X389" s="48">
        <f>VLOOKUP(B389,'Player Data'!$A1:$AE734,12,FALSE)*$Q389*_xlfn.IFERROR((VLOOKUP(P389,'Settings'!$E$28:$F$33,2,FALSE)+1),1)</f>
        <v>7.57212853798208</v>
      </c>
      <c r="Y389" s="48">
        <f>VLOOKUP(B389,'Player Data'!$A1:$AE734,13,FALSE)*$Q389</f>
        <v>0.128508400724565</v>
      </c>
      <c r="Z389" s="48">
        <f>VLOOKUP(B389,'Player Data'!$A1:$AE734,14,FALSE)*$Q389</f>
        <v>1.19652211779631</v>
      </c>
      <c r="AA389" s="48">
        <f>VLOOKUP(B389,'Player Data'!$A1:$AE734,15,FALSE)*$Q389</f>
        <v>42.8039862514787</v>
      </c>
      <c r="AB389" s="48">
        <f>VLOOKUP(B389,'Player Data'!$A1:$AE734,16,FALSE)*$Q389</f>
        <v>90.8982797141789</v>
      </c>
      <c r="AC389" s="48">
        <f>VLOOKUP(B389,'Player Data'!$A1:$AE734,17,FALSE)*$Q389*_xlfn.IFERROR((VLOOKUP(P389,'Settings'!$E$28:$F$33,2,FALSE)+1),1)</f>
        <v>5.43706208232188</v>
      </c>
      <c r="AD389" s="48">
        <f>VLOOKUP(B389,'Player Data'!$A1:$AE734,18,FALSE)*$Q389</f>
        <v>33.4687782088637</v>
      </c>
      <c r="AE389" s="48">
        <f>VLOOKUP(B389,'Player Data'!$A1:$AE734,19,FALSE)*$Q389*_xlfn.IFERROR((VLOOKUP(P389,'Settings'!$E$28:$F$33,2,FALSE)+1),1)</f>
        <v>2.64321342234288</v>
      </c>
      <c r="AF389" s="48">
        <f>VLOOKUP(B389,'Player Data'!$A1:$AE734,20,FALSE)*$Q389</f>
        <v>433.3562262594</v>
      </c>
      <c r="AG389" s="48">
        <f>VLOOKUP(B389,'Player Data'!$A1:$AE734,21,FALSE)*$Q389</f>
        <v>472.282036498759</v>
      </c>
      <c r="AH389" s="49">
        <f>VLOOKUP(B389,'Player Data'!$A1:$AE734,22,FALSE)</f>
        <v>0.478509184163217</v>
      </c>
      <c r="AI389" s="46"/>
      <c r="AJ389" s="50"/>
      <c r="AK389" s="48"/>
      <c r="AL389" s="48"/>
      <c r="AM389" s="48"/>
      <c r="AN389" s="48"/>
      <c r="AO389" s="48"/>
      <c r="AP389" s="48"/>
      <c r="AQ389" s="51"/>
      <c r="AR389" s="52"/>
      <c r="AS389" s="46"/>
    </row>
    <row r="390" ht="21.25" customHeight="1">
      <c r="A390" s="53">
        <f>RANK(K390,K2:K730)</f>
        <v>461</v>
      </c>
      <c r="B390" t="s" s="8">
        <v>542</v>
      </c>
      <c r="C390" t="s" s="39">
        <v>106</v>
      </c>
      <c r="D390" t="s" s="40">
        <f>VLOOKUP(B390,'Player Data'!A1:D734,4,FALSE)</f>
        <v>129</v>
      </c>
      <c r="E390" s="56">
        <f>VLOOKUP(B390,'D'!A1:C228,3,FALSE)</f>
        <v>162</v>
      </c>
      <c r="F390" t="s" s="42">
        <f>VLOOKUP(B390,'Player Data'!A1:B734,2,FALSE)</f>
        <v>136</v>
      </c>
      <c r="G390" s="9">
        <f>VLOOKUP(B390,'Player Data'!A1:D734,3,FALSE)</f>
        <v>38</v>
      </c>
      <c r="H390" s="43">
        <f>_xlfn.IFERROR(VLOOKUP(B390,'ADP'!A1:G731,7,FALSE)/1000000,VLOOKUP(B390,'ADP'!A1:G731,7,FALSE))</f>
        <v>3.65</v>
      </c>
      <c r="I390" s="44">
        <f>IF('Settings'!$E$15="POINTS",((R390*Q390)*'Settings'!$B$12)+(S390*'Settings'!$B$2)+(T390*'Settings'!$B$3)+(U390*'Settings'!$B$4)+(V390*'Settings'!$B$5)+(X390*'Settings'!$B$9)+(AA390*'Settings'!$B$6)+(W390*'Settings'!$B$8)+(AB390*'Settings'!$B$7)+(AC390*'Settings'!$B$14)+(AD390*'Settings'!$B$15)+(AE390*'Settings'!$B$16)+(AF390*'Settings'!$B$17)+(AG390*'Settings'!$B$18)+(U390*'Settings'!$B$13)+(Y390*'Settings'!$B$10)+(Z390*'Settings'!$B$11),VLOOKUP(B390,'Standard Deviations'!A1:C731,3,FALSE))</f>
        <v>169.997100496670</v>
      </c>
      <c r="J390" s="45">
        <f>IF(D390="G",I390/AJ390,I390/Q390)</f>
        <v>2.07237718513556</v>
      </c>
      <c r="K390" s="44">
        <f>VLOOKUP(B390,'D'!A1:F228,6,FALSE)</f>
        <v>-170.738038149853</v>
      </c>
      <c r="L390" s="44">
        <f>_xlfn.IFERROR(K390/H390,"N/A")</f>
        <v>-46.7775446985899</v>
      </c>
      <c r="M390" t="s" s="61">
        <f>IF('Settings'!$E$9="YAHOO",VLOOKUP(B390,'ADP'!A1:E731,2,FALSE),IF('Settings'!$E$9="ESPN",VLOOKUP(B390,'ADP'!A1:E731,3,FALSE),IF('Settings'!$E$9="FANTRAX",VLOOKUP(B390,'ADP'!A1:E731,4,FALSE),VLOOKUP(B390,'ADP'!A1:E731,5,FALSE))))</f>
        <v>329</v>
      </c>
      <c r="N390" t="s" s="61">
        <f>_xlfn.IFERROR(M390-A390,"N/A")</f>
        <v>158</v>
      </c>
      <c r="O390" s="46"/>
      <c r="P390" t="s" s="47">
        <f>IF('Settings'!$E$27="ON",VLOOKUP(B390,'ADP'!A1:H731,8,FALSE)," ")</f>
        <v>109</v>
      </c>
      <c r="Q390" s="48">
        <f>IF('Settings'!$E$12="YES",VLOOKUP(B390,'Player Data'!A1:E734,5,FALSE),82)</f>
        <v>82.03</v>
      </c>
      <c r="R390" s="46">
        <f>VLOOKUP(B390,'Player Data'!$A1:$AE734,6,FALSE)</f>
        <v>18.5306795831516</v>
      </c>
      <c r="S390" s="48">
        <f>VLOOKUP(B390,'Player Data'!$A1:$AE734,7,FALSE)*$Q390*_xlfn.IFERROR((VLOOKUP(P390,'Settings'!$E$28:$F$33,2,FALSE)+1),1)</f>
        <v>2.36586315103244</v>
      </c>
      <c r="T390" s="48">
        <f>VLOOKUP(B390,'Player Data'!$A1:$AE734,8,FALSE)*$Q390*_xlfn.IFERROR((VLOOKUP(P390,'Settings'!$E$28:$F$33,2,FALSE)+1),1)</f>
        <v>15.3602982140354</v>
      </c>
      <c r="U390" s="48">
        <f>SUM(S390:T390)</f>
        <v>17.7261613650678</v>
      </c>
      <c r="V390" s="48">
        <f>VLOOKUP(B390,'Player Data'!$A1:$AE734,10,FALSE)*$Q390*_xlfn.IFERROR(((VLOOKUP(P390,'Settings'!$E$28:$F$33,2,FALSE)/2)+1),1)</f>
        <v>86.7787539600784</v>
      </c>
      <c r="W390" s="48">
        <f>VLOOKUP(B390,'Player Data'!$A1:$AE734,11,FALSE)*$Q390*_xlfn.IFERROR((VLOOKUP(P390,'Settings'!$E$28:$F$33,2,FALSE)+1),1)</f>
        <v>0.335622048274294</v>
      </c>
      <c r="X390" s="48">
        <f>VLOOKUP(B390,'Player Data'!$A1:$AE734,12,FALSE)*$Q390*_xlfn.IFERROR((VLOOKUP(P390,'Settings'!$E$28:$F$33,2,FALSE)+1),1)</f>
        <v>2.11853136724832</v>
      </c>
      <c r="Y390" s="48">
        <f>VLOOKUP(B390,'Player Data'!$A1:$AE734,13,FALSE)*$Q390</f>
        <v>0.0204350450998337</v>
      </c>
      <c r="Z390" s="48">
        <f>VLOOKUP(B390,'Player Data'!$A1:$AE734,14,FALSE)*$Q390</f>
        <v>0.483870449008455</v>
      </c>
      <c r="AA390" s="48">
        <f>VLOOKUP(B390,'Player Data'!$A1:$AE734,15,FALSE)*$Q390</f>
        <v>100.280607883377</v>
      </c>
      <c r="AB390" s="48">
        <f>VLOOKUP(B390,'Player Data'!$A1:$AE734,16,FALSE)*$Q390</f>
        <v>75.0895994206912</v>
      </c>
      <c r="AC390" s="48">
        <f>VLOOKUP(B390,'Player Data'!$A1:$AE734,17,FALSE)*$Q390*_xlfn.IFERROR((VLOOKUP(P390,'Settings'!$E$28:$F$33,2,FALSE)+1),1)</f>
        <v>4.83558637577454</v>
      </c>
      <c r="AD390" s="48">
        <f>VLOOKUP(B390,'Player Data'!$A1:$AE734,18,FALSE)*$Q390</f>
        <v>27.0216823084527</v>
      </c>
      <c r="AE390" s="48">
        <f>VLOOKUP(B390,'Player Data'!$A1:$AE734,19,FALSE)*$Q390*_xlfn.IFERROR((VLOOKUP(P390,'Settings'!$E$28:$F$33,2,FALSE)+1),1)</f>
        <v>0.378521332432473</v>
      </c>
      <c r="AF390" s="48">
        <f>VLOOKUP(B390,'Player Data'!$A1:$AE734,20,FALSE)*$Q390</f>
        <v>0</v>
      </c>
      <c r="AG390" s="48">
        <f>VLOOKUP(B390,'Player Data'!$A1:$AE734,21,FALSE)*$Q390</f>
        <v>0</v>
      </c>
      <c r="AH390" s="49">
        <f>VLOOKUP(B390,'Player Data'!$A1:$AE734,22,FALSE)</f>
        <v>0</v>
      </c>
      <c r="AI390" s="46"/>
      <c r="AJ390" s="50"/>
      <c r="AK390" s="48"/>
      <c r="AL390" s="48"/>
      <c r="AM390" s="48"/>
      <c r="AN390" s="48"/>
      <c r="AO390" s="48"/>
      <c r="AP390" s="48"/>
      <c r="AQ390" s="51"/>
      <c r="AR390" s="52"/>
      <c r="AS390" s="46"/>
    </row>
    <row r="391" ht="21.25" customHeight="1">
      <c r="A391" s="53">
        <f>RANK(K391,K2:K730)</f>
        <v>380</v>
      </c>
      <c r="B391" t="s" s="8">
        <v>543</v>
      </c>
      <c r="C391" t="s" s="39">
        <v>106</v>
      </c>
      <c r="D391" t="s" s="40">
        <f>VLOOKUP(B391,'Player Data'!A1:D734,4,FALSE)</f>
        <v>133</v>
      </c>
      <c r="E391" s="57">
        <f>VLOOKUP(B391,'LW'!A1:C156,3,FALSE)</f>
        <v>89</v>
      </c>
      <c r="F391" t="s" s="42">
        <f>VLOOKUP(B391,'Player Data'!A1:B734,2,FALSE)</f>
        <v>115</v>
      </c>
      <c r="G391" s="9">
        <f>VLOOKUP(B391,'Player Data'!A1:D734,3,FALSE)</f>
        <v>20</v>
      </c>
      <c r="H391" s="43">
        <f>_xlfn.IFERROR(VLOOKUP(B391,'ADP'!A1:G731,7,FALSE)/1000000,VLOOKUP(B391,'ADP'!A1:G731,7,FALSE))</f>
        <v>0</v>
      </c>
      <c r="I391" s="44">
        <f>IF('Settings'!$E$15="POINTS",((R391*Q391)*'Settings'!$B$12)+(S391*'Settings'!$B$2)+(T391*'Settings'!$B$3)+(U391*'Settings'!$B$4)+(V391*'Settings'!$B$5)+(X391*'Settings'!$B$9)+(AA391*'Settings'!$B$6)+(W391*'Settings'!$B$8)+(AB391*'Settings'!$B$7)+(AC391*'Settings'!$B$14)+(AD391*'Settings'!$B$15)+(AE391*'Settings'!$B$16)+(AF391*'Settings'!$B$17)+(AG391*'Settings'!$B$18)+(Y391*'Settings'!$B$10)+(Z391*'Settings'!$B$11),VLOOKUP(B391,'Standard Deviations'!A1:C731,3,FALSE))</f>
        <v>236.551825694502</v>
      </c>
      <c r="J391" s="45">
        <f>IF(D391="G",I391/AJ391,I391/Q391)</f>
        <v>3.19664629316895</v>
      </c>
      <c r="K391" s="44">
        <f>IF('Settings'!$E$18="C/LW/RW",VLOOKUP(B391,'LW'!A1:F156,6,FALSE),VLOOKUP(B391,'F'!A1:F432,6,FALSE))</f>
        <v>-145.076738011854</v>
      </c>
      <c r="L391" t="s" s="60">
        <f>_xlfn.IFERROR(K391/H391,"N/A")</f>
        <v>158</v>
      </c>
      <c r="M391" s="46">
        <f>IF('Settings'!$E$9="YAHOO",VLOOKUP(B391,'ADP'!A1:E731,2,FALSE),IF('Settings'!$E$9="ESPN",VLOOKUP(B391,'ADP'!A1:E731,3,FALSE),IF('Settings'!$E$9="FANTRAX",VLOOKUP(B391,'ADP'!A1:E731,4,FALSE),VLOOKUP(B391,'ADP'!A1:E731,5,FALSE))))</f>
        <v>227.5</v>
      </c>
      <c r="N391" s="46">
        <f>_xlfn.IFERROR(M391-A391,"N/A")</f>
        <v>-152.5</v>
      </c>
      <c r="O391" s="46"/>
      <c r="P391" t="s" s="47">
        <f>IF('Settings'!$E$27="ON",VLOOKUP(B391,'ADP'!A1:H731,8,FALSE)," ")</f>
        <v>159</v>
      </c>
      <c r="Q391" s="48">
        <f>IF('Settings'!$E$12="YES",VLOOKUP(B391,'Player Data'!A1:E734,5,FALSE),82)</f>
        <v>74</v>
      </c>
      <c r="R391" s="46">
        <f>VLOOKUP(B391,'Player Data'!$A1:$AE734,6,FALSE)</f>
        <v>15</v>
      </c>
      <c r="S391" s="48">
        <f>VLOOKUP(B391,'Player Data'!$A1:$AE734,7,FALSE)*$Q391*_xlfn.IFERROR((VLOOKUP(P391,'Settings'!$E$28:$F$33,2,FALSE)+1),1)</f>
        <v>15.7044881875666</v>
      </c>
      <c r="T391" s="48">
        <f>VLOOKUP(B391,'Player Data'!$A1:$AE734,8,FALSE)*$Q391*_xlfn.IFERROR((VLOOKUP(P391,'Settings'!$E$28:$F$33,2,FALSE)+1),1)</f>
        <v>21.0340464324469</v>
      </c>
      <c r="U391" s="48">
        <f>SUM(S391:T391)</f>
        <v>36.7385346200135</v>
      </c>
      <c r="V391" s="48">
        <f>VLOOKUP(B391,'Player Data'!$A1:$AE734,10,FALSE)*$Q391*_xlfn.IFERROR(((VLOOKUP(P391,'Settings'!$E$28:$F$33,2,FALSE)/2)+1),1)</f>
        <v>130.199194331677</v>
      </c>
      <c r="W391" s="48">
        <f>VLOOKUP(B391,'Player Data'!$A1:$AE734,11,FALSE)*$Q391*_xlfn.IFERROR((VLOOKUP(P391,'Settings'!$E$28:$F$33,2,FALSE)+1),1)</f>
        <v>3.04139163838164</v>
      </c>
      <c r="X391" s="48">
        <f>VLOOKUP(B391,'Player Data'!$A1:$AE734,12,FALSE)*$Q391*_xlfn.IFERROR((VLOOKUP(P391,'Settings'!$E$28:$F$33,2,FALSE)+1),1)</f>
        <v>7.11492604312734</v>
      </c>
      <c r="Y391" s="48">
        <f>VLOOKUP(B391,'Player Data'!$A1:$AE734,13,FALSE)*$Q391</f>
        <v>0</v>
      </c>
      <c r="Z391" s="48">
        <f>VLOOKUP(B391,'Player Data'!$A1:$AE734,14,FALSE)*$Q391</f>
        <v>0</v>
      </c>
      <c r="AA391" s="48">
        <f>VLOOKUP(B391,'Player Data'!$A1:$AE734,15,FALSE)*$Q391</f>
        <v>31.5853658536585</v>
      </c>
      <c r="AB391" s="48">
        <f>VLOOKUP(B391,'Player Data'!$A1:$AE734,16,FALSE)*$Q391</f>
        <v>87.5488378417772</v>
      </c>
      <c r="AC391" s="48">
        <f>VLOOKUP(B391,'Player Data'!$A1:$AE734,17,FALSE)*$Q391*_xlfn.IFERROR((VLOOKUP(P391,'Settings'!$E$28:$F$33,2,FALSE)+1),1)</f>
        <v>0.0108292682926829</v>
      </c>
      <c r="AD391" s="48">
        <f>VLOOKUP(B391,'Player Data'!$A1:$AE734,18,FALSE)*$Q391</f>
        <v>29.9009504803793</v>
      </c>
      <c r="AE391" s="48">
        <f>VLOOKUP(B391,'Player Data'!$A1:$AE734,19,FALSE)*$Q391*_xlfn.IFERROR((VLOOKUP(P391,'Settings'!$E$28:$F$33,2,FALSE)+1),1)</f>
        <v>2.5229218531429</v>
      </c>
      <c r="AF391" s="48">
        <f>VLOOKUP(B391,'Player Data'!$A1:$AE734,20,FALSE)*$Q391</f>
        <v>0</v>
      </c>
      <c r="AG391" s="48">
        <f>VLOOKUP(B391,'Player Data'!$A1:$AE734,21,FALSE)*$Q391</f>
        <v>0</v>
      </c>
      <c r="AH391" s="49">
        <f>VLOOKUP(B391,'Player Data'!$A1:$AE734,22,FALSE)</f>
        <v>0</v>
      </c>
      <c r="AI391" s="46"/>
      <c r="AJ391" s="50"/>
      <c r="AK391" s="48"/>
      <c r="AL391" s="48"/>
      <c r="AM391" s="48"/>
      <c r="AN391" s="48"/>
      <c r="AO391" s="48"/>
      <c r="AP391" s="48"/>
      <c r="AQ391" s="51"/>
      <c r="AR391" s="52"/>
      <c r="AS391" s="46"/>
    </row>
    <row r="392" ht="21.25" customHeight="1">
      <c r="A392" s="53">
        <f>RANK(K392,K2:K730)</f>
        <v>392</v>
      </c>
      <c r="B392" t="s" s="8">
        <v>544</v>
      </c>
      <c r="C392" t="s" s="39">
        <v>106</v>
      </c>
      <c r="D392" t="s" s="40">
        <f>VLOOKUP(B392,'Player Data'!A1:D734,4,FALSE)</f>
        <v>129</v>
      </c>
      <c r="E392" s="56">
        <f>VLOOKUP(B392,'D'!A1:C228,3,FALSE)</f>
        <v>130</v>
      </c>
      <c r="F392" t="s" s="42">
        <f>VLOOKUP(B392,'Player Data'!A1:B734,2,FALSE)</f>
        <v>139</v>
      </c>
      <c r="G392" s="9">
        <f>VLOOKUP(B392,'Player Data'!A1:D734,3,FALSE)</f>
        <v>35</v>
      </c>
      <c r="H392" s="43">
        <f>_xlfn.IFERROR(VLOOKUP(B392,'ADP'!A1:G731,7,FALSE)/1000000,VLOOKUP(B392,'ADP'!A1:G731,7,FALSE))</f>
        <v>3.25</v>
      </c>
      <c r="I392" s="44">
        <f>IF('Settings'!$E$15="POINTS",((R392*Q392)*'Settings'!$B$12)+(S392*'Settings'!$B$2)+(T392*'Settings'!$B$3)+(U392*'Settings'!$B$4)+(V392*'Settings'!$B$5)+(X392*'Settings'!$B$9)+(AA392*'Settings'!$B$6)+(W392*'Settings'!$B$8)+(AB392*'Settings'!$B$7)+(AC392*'Settings'!$B$14)+(AD392*'Settings'!$B$15)+(AE392*'Settings'!$B$16)+(AF392*'Settings'!$B$17)+(AG392*'Settings'!$B$18)+(U392*'Settings'!$B$13)+(Y392*'Settings'!$B$10)+(Z392*'Settings'!$B$11),VLOOKUP(B392,'Standard Deviations'!A1:C731,3,FALSE))</f>
        <v>191.823564227938</v>
      </c>
      <c r="J392" s="45">
        <f>IF(D392="G",I392/AJ392,I392/Q392)</f>
        <v>2.72648165362863</v>
      </c>
      <c r="K392" s="44">
        <f>VLOOKUP(B392,'D'!A1:F228,6,FALSE)</f>
        <v>-148.911574418585</v>
      </c>
      <c r="L392" s="44">
        <f>_xlfn.IFERROR(K392/H392,"N/A")</f>
        <v>-45.8189459749492</v>
      </c>
      <c r="M392" t="s" s="61">
        <f>IF('Settings'!$E$9="YAHOO",VLOOKUP(B392,'ADP'!A1:E731,2,FALSE),IF('Settings'!$E$9="ESPN",VLOOKUP(B392,'ADP'!A1:E731,3,FALSE),IF('Settings'!$E$9="FANTRAX",VLOOKUP(B392,'ADP'!A1:E731,4,FALSE),VLOOKUP(B392,'ADP'!A1:E731,5,FALSE))))</f>
        <v>329</v>
      </c>
      <c r="N392" t="s" s="61">
        <f>_xlfn.IFERROR(M392-A392,"N/A")</f>
        <v>158</v>
      </c>
      <c r="O392" s="46"/>
      <c r="P392" t="s" s="47">
        <f>IF('Settings'!$E$27="ON",VLOOKUP(B392,'ADP'!A1:H731,8,FALSE)," ")</f>
        <v>109</v>
      </c>
      <c r="Q392" s="48">
        <f>IF('Settings'!$E$12="YES",VLOOKUP(B392,'Player Data'!A1:E734,5,FALSE),82)</f>
        <v>70.3557142857143</v>
      </c>
      <c r="R392" s="46">
        <f>VLOOKUP(B392,'Player Data'!$A1:$AE734,6,FALSE)</f>
        <v>17.123563546869</v>
      </c>
      <c r="S392" s="48">
        <f>VLOOKUP(B392,'Player Data'!$A1:$AE734,7,FALSE)*$Q392*_xlfn.IFERROR((VLOOKUP(P392,'Settings'!$E$28:$F$33,2,FALSE)+1),1)</f>
        <v>3.181145006832</v>
      </c>
      <c r="T392" s="48">
        <f>VLOOKUP(B392,'Player Data'!$A1:$AE734,8,FALSE)*$Q392*_xlfn.IFERROR((VLOOKUP(P392,'Settings'!$E$28:$F$33,2,FALSE)+1),1)</f>
        <v>11.4804694127381</v>
      </c>
      <c r="U392" s="48">
        <f>SUM(S392:T392)</f>
        <v>14.6616144195701</v>
      </c>
      <c r="V392" s="48">
        <f>VLOOKUP(B392,'Player Data'!$A1:$AE734,10,FALSE)*$Q392*_xlfn.IFERROR(((VLOOKUP(P392,'Settings'!$E$28:$F$33,2,FALSE)/2)+1),1)</f>
        <v>109.214426150405</v>
      </c>
      <c r="W392" s="48">
        <f>VLOOKUP(B392,'Player Data'!$A1:$AE734,11,FALSE)*$Q392*_xlfn.IFERROR((VLOOKUP(P392,'Settings'!$E$28:$F$33,2,FALSE)+1),1)</f>
        <v>0.0159217750260849</v>
      </c>
      <c r="X392" s="48">
        <f>VLOOKUP(B392,'Player Data'!$A1:$AE734,12,FALSE)*$Q392*_xlfn.IFERROR((VLOOKUP(P392,'Settings'!$E$28:$F$33,2,FALSE)+1),1)</f>
        <v>0.153908197561369</v>
      </c>
      <c r="Y392" s="48">
        <f>VLOOKUP(B392,'Player Data'!$A1:$AE734,13,FALSE)*$Q392</f>
        <v>0.233124892761738</v>
      </c>
      <c r="Z392" s="48">
        <f>VLOOKUP(B392,'Player Data'!$A1:$AE734,14,FALSE)*$Q392</f>
        <v>0.9381165305304699</v>
      </c>
      <c r="AA392" s="48">
        <f>VLOOKUP(B392,'Player Data'!$A1:$AE734,15,FALSE)*$Q392</f>
        <v>109.258069683739</v>
      </c>
      <c r="AB392" s="48">
        <f>VLOOKUP(B392,'Player Data'!$A1:$AE734,16,FALSE)*$Q392</f>
        <v>127.818089923389</v>
      </c>
      <c r="AC392" s="48">
        <f>VLOOKUP(B392,'Player Data'!$A1:$AE734,17,FALSE)*$Q392*_xlfn.IFERROR((VLOOKUP(P392,'Settings'!$E$28:$F$33,2,FALSE)+1),1)</f>
        <v>-0.883319721051161</v>
      </c>
      <c r="AD392" s="48">
        <f>VLOOKUP(B392,'Player Data'!$A1:$AE734,18,FALSE)*$Q392</f>
        <v>20.3642370295824</v>
      </c>
      <c r="AE392" s="48">
        <f>VLOOKUP(B392,'Player Data'!$A1:$AE734,19,FALSE)*$Q392*_xlfn.IFERROR((VLOOKUP(P392,'Settings'!$E$28:$F$33,2,FALSE)+1),1)</f>
        <v>0.407247182387591</v>
      </c>
      <c r="AF392" s="48">
        <f>VLOOKUP(B392,'Player Data'!$A1:$AE734,20,FALSE)*$Q392</f>
        <v>0</v>
      </c>
      <c r="AG392" s="48">
        <f>VLOOKUP(B392,'Player Data'!$A1:$AE734,21,FALSE)*$Q392</f>
        <v>0</v>
      </c>
      <c r="AH392" s="49">
        <f>VLOOKUP(B392,'Player Data'!$A1:$AE734,22,FALSE)</f>
        <v>0</v>
      </c>
      <c r="AI392" s="46"/>
      <c r="AJ392" s="50"/>
      <c r="AK392" s="48"/>
      <c r="AL392" s="48"/>
      <c r="AM392" s="48"/>
      <c r="AN392" s="48"/>
      <c r="AO392" s="48"/>
      <c r="AP392" s="48"/>
      <c r="AQ392" s="51"/>
      <c r="AR392" s="52"/>
      <c r="AS392" s="46"/>
    </row>
    <row r="393" ht="21.25" customHeight="1">
      <c r="A393" s="53">
        <f>RANK(K393,K2:K730)</f>
        <v>204</v>
      </c>
      <c r="B393" t="s" s="8">
        <v>545</v>
      </c>
      <c r="C393" t="s" s="39">
        <v>106</v>
      </c>
      <c r="D393" t="s" s="40">
        <f>VLOOKUP(B393,'Player Data'!A1:D734,4,FALSE)</f>
        <v>146</v>
      </c>
      <c r="E393" s="58">
        <f>VLOOKUP(B393,'G'!A1:D75,3,FALSE)</f>
        <v>34</v>
      </c>
      <c r="F393" t="s" s="42">
        <f>VLOOKUP(B393,'Player Data'!A1:B734,2,FALSE)</f>
        <v>196</v>
      </c>
      <c r="G393" s="9">
        <f>VLOOKUP(B393,'Player Data'!A1:D734,3,FALSE)</f>
        <v>26</v>
      </c>
      <c r="H393" s="43">
        <f>_xlfn.IFERROR(VLOOKUP(B393,'ADP'!A1:G731,7,FALSE)/1000000,VLOOKUP(B393,'ADP'!A1:G731,7,FALSE))</f>
        <v>0</v>
      </c>
      <c r="I393" s="44">
        <f>IF('Settings'!$E$15="POINTS",(AJ393*'Settings'!$B$29)+(AK393*'Settings'!$B$21)+(AL393*'Settings'!$B$22)+(AN393*'Settings'!$B$24)+(AO393*'Settings'!$B$25)+(AP393*'Settings'!$B$27)+(AM393*'Settings'!$B$23),VLOOKUP(B393,'Standard Deviations'!A1:C731,3,FALSE))</f>
        <v>194.682405213058</v>
      </c>
      <c r="J393" s="45">
        <f>IF(D393="G",I393/AJ393,I393/Q393)</f>
        <v>5.5623544346588</v>
      </c>
      <c r="K393" s="44">
        <f>VLOOKUP(B393,'G'!A1:F75,6,FALSE)</f>
        <v>-70.620816286630</v>
      </c>
      <c r="L393" t="s" s="60">
        <f>_xlfn.IFERROR(K393/H393,"N/A")</f>
        <v>158</v>
      </c>
      <c r="M393" s="46">
        <f>IF('Settings'!$E$9="YAHOO",VLOOKUP(B393,'ADP'!A1:E731,2,FALSE),IF('Settings'!$E$9="ESPN",VLOOKUP(B393,'ADP'!A1:E731,3,FALSE),IF('Settings'!$E$9="FANTRAX",VLOOKUP(B393,'ADP'!A1:E731,4,FALSE),VLOOKUP(B393,'ADP'!A1:E731,5,FALSE))))</f>
        <v>488.9</v>
      </c>
      <c r="N393" s="46">
        <f>_xlfn.IFERROR(M393-A393,"N/A")</f>
        <v>284.9</v>
      </c>
      <c r="O393" s="46"/>
      <c r="P393" t="s" s="47">
        <f>IF('Settings'!$E$27="ON",VLOOKUP(B393,'ADP'!A1:H731,8,FALSE)," ")</f>
        <v>109</v>
      </c>
      <c r="Q393" s="48"/>
      <c r="R393" s="59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9"/>
      <c r="AI393" s="46"/>
      <c r="AJ393" s="50">
        <f>VLOOKUP(B393,'Player Data'!$A1:$AE734,24,FALSE)</f>
        <v>35</v>
      </c>
      <c r="AK393" s="48">
        <f>VLOOKUP(B393,'Player Data'!$A1:$AE734,25,FALSE)*$AJ393*_xlfn.IFERROR((VLOOKUP(P393,'Settings'!$E$28:$F$33,2,FALSE)+1),1)</f>
        <v>15.2969174258997</v>
      </c>
      <c r="AL393" s="48">
        <f>AJ393-AK393-AM393</f>
        <v>15.3280825741003</v>
      </c>
      <c r="AM393" s="48">
        <f>VLOOKUP(B393,'Player Data'!$A1:$AE734,27,FALSE)*$AJ393</f>
        <v>4.375</v>
      </c>
      <c r="AN393" s="48">
        <f>VLOOKUP(B393,'Player Data'!$A1:$AE734,28,FALSE)*AJ393</f>
        <v>1.77246866363228</v>
      </c>
      <c r="AO393" s="48">
        <f>VLOOKUP(B393,'Player Data'!$A1:$AE734,29,FALSE)*$AJ393*_xlfn.IFERROR((VLOOKUP(P393,'Settings'!$E$28:$F$33,2,FALSE)/4)+1,1)</f>
        <v>982.536189838938</v>
      </c>
      <c r="AP393" s="48">
        <f>VLOOKUP(B393,'Player Data'!$A1:$AE734,31,FALSE)*$AJ393*(_xlfn.IFERROR(1-(VLOOKUP(P393,'Settings'!$E$28:$F$33,2,FALSE)/4),1))</f>
        <v>100.857740004813</v>
      </c>
      <c r="AQ393" s="51">
        <f>1-(AP393/(AO393+AP393))</f>
        <v>0.906905754936841</v>
      </c>
      <c r="AR393" s="52">
        <f>AP393/AJ393</f>
        <v>2.88164971442323</v>
      </c>
      <c r="AS393" s="46"/>
    </row>
    <row r="394" ht="21.25" customHeight="1">
      <c r="A394" s="53">
        <f>RANK(K394,K2:K730)</f>
        <v>301</v>
      </c>
      <c r="B394" t="s" s="8">
        <v>546</v>
      </c>
      <c r="C394" t="s" s="39">
        <v>106</v>
      </c>
      <c r="D394" t="s" s="40">
        <f>VLOOKUP(B394,'Player Data'!A1:D734,4,FALSE)</f>
        <v>129</v>
      </c>
      <c r="E394" s="56">
        <f>VLOOKUP(B394,'D'!A1:C228,3,FALSE)</f>
        <v>93</v>
      </c>
      <c r="F394" t="s" s="42">
        <f>VLOOKUP(B394,'Player Data'!A1:B734,2,FALSE)</f>
        <v>131</v>
      </c>
      <c r="G394" s="9">
        <f>VLOOKUP(B394,'Player Data'!A1:D734,3,FALSE)</f>
        <v>33</v>
      </c>
      <c r="H394" s="43">
        <f>_xlfn.IFERROR(VLOOKUP(B394,'ADP'!A1:G731,7,FALSE)/1000000,VLOOKUP(B394,'ADP'!A1:G731,7,FALSE))</f>
        <v>2.75</v>
      </c>
      <c r="I394" s="44">
        <f>IF('Settings'!$E$15="POINTS",((R394*Q394)*'Settings'!$B$12)+(S394*'Settings'!$B$2)+(T394*'Settings'!$B$3)+(U394*'Settings'!$B$4)+(V394*'Settings'!$B$5)+(X394*'Settings'!$B$9)+(AA394*'Settings'!$B$6)+(W394*'Settings'!$B$8)+(AB394*'Settings'!$B$7)+(AC394*'Settings'!$B$14)+(AD394*'Settings'!$B$15)+(AE394*'Settings'!$B$16)+(AF394*'Settings'!$B$17)+(AG394*'Settings'!$B$18)+(U394*'Settings'!$B$13)+(Y394*'Settings'!$B$10)+(Z394*'Settings'!$B$11),VLOOKUP(B394,'Standard Deviations'!A1:C731,3,FALSE))</f>
        <v>225.032698769168</v>
      </c>
      <c r="J394" s="45">
        <f>IF(D394="G",I394/AJ394,I394/Q394)</f>
        <v>2.99786638383134</v>
      </c>
      <c r="K394" s="44">
        <f>VLOOKUP(B394,'D'!A1:F228,6,FALSE)</f>
        <v>-115.702439877355</v>
      </c>
      <c r="L394" s="44">
        <f>_xlfn.IFERROR(K394/H394,"N/A")</f>
        <v>-42.0736145008564</v>
      </c>
      <c r="M394" s="46">
        <f>IF('Settings'!$E$9="YAHOO",VLOOKUP(B394,'ADP'!A1:E731,2,FALSE),IF('Settings'!$E$9="ESPN",VLOOKUP(B394,'ADP'!A1:E731,3,FALSE),IF('Settings'!$E$9="FANTRAX",VLOOKUP(B394,'ADP'!A1:E731,4,FALSE),VLOOKUP(B394,'ADP'!A1:E731,5,FALSE))))</f>
        <v>303.69</v>
      </c>
      <c r="N394" s="46">
        <f>_xlfn.IFERROR(M394-A394,"N/A")</f>
        <v>2.69</v>
      </c>
      <c r="O394" s="46"/>
      <c r="P394" t="s" s="47">
        <f>IF('Settings'!$E$27="ON",VLOOKUP(B394,'ADP'!A1:H731,8,FALSE)," ")</f>
        <v>109</v>
      </c>
      <c r="Q394" s="48">
        <f>IF('Settings'!$E$12="YES",VLOOKUP(B394,'Player Data'!A1:E734,5,FALSE),82)</f>
        <v>75.0642857142857</v>
      </c>
      <c r="R394" s="46">
        <f>VLOOKUP(B394,'Player Data'!$A1:$AE734,6,FALSE)</f>
        <v>16.6432457148302</v>
      </c>
      <c r="S394" s="48">
        <f>VLOOKUP(B394,'Player Data'!$A1:$AE734,7,FALSE)*$Q394*_xlfn.IFERROR((VLOOKUP(P394,'Settings'!$E$28:$F$33,2,FALSE)+1),1)</f>
        <v>4.23110106067717</v>
      </c>
      <c r="T394" s="48">
        <f>VLOOKUP(B394,'Player Data'!$A1:$AE734,8,FALSE)*$Q394*_xlfn.IFERROR((VLOOKUP(P394,'Settings'!$E$28:$F$33,2,FALSE)+1),1)</f>
        <v>14.0122363335551</v>
      </c>
      <c r="U394" s="48">
        <f>SUM(S394:T394)</f>
        <v>18.2433373942323</v>
      </c>
      <c r="V394" s="48">
        <f>VLOOKUP(B394,'Player Data'!$A1:$AE734,10,FALSE)*$Q394*_xlfn.IFERROR(((VLOOKUP(P394,'Settings'!$E$28:$F$33,2,FALSE)/2)+1),1)</f>
        <v>88.1059907846041</v>
      </c>
      <c r="W394" s="48">
        <f>VLOOKUP(B394,'Player Data'!$A1:$AE734,11,FALSE)*$Q394*_xlfn.IFERROR((VLOOKUP(P394,'Settings'!$E$28:$F$33,2,FALSE)+1),1)</f>
        <v>0.0209149632799943</v>
      </c>
      <c r="X394" s="48">
        <f>VLOOKUP(B394,'Player Data'!$A1:$AE734,12,FALSE)*$Q394*_xlfn.IFERROR((VLOOKUP(P394,'Settings'!$E$28:$F$33,2,FALSE)+1),1)</f>
        <v>0.146626920321274</v>
      </c>
      <c r="Y394" s="48">
        <f>VLOOKUP(B394,'Player Data'!$A1:$AE734,13,FALSE)*$Q394</f>
        <v>0.0332938040749417</v>
      </c>
      <c r="Z394" s="48">
        <f>VLOOKUP(B394,'Player Data'!$A1:$AE734,14,FALSE)*$Q394</f>
        <v>0.131678644808213</v>
      </c>
      <c r="AA394" s="48">
        <f>VLOOKUP(B394,'Player Data'!$A1:$AE734,15,FALSE)*$Q394</f>
        <v>104.108995200561</v>
      </c>
      <c r="AB394" s="48">
        <f>VLOOKUP(B394,'Player Data'!$A1:$AE734,16,FALSE)*$Q394</f>
        <v>270.340738853026</v>
      </c>
      <c r="AC394" s="48">
        <f>VLOOKUP(B394,'Player Data'!$A1:$AE734,17,FALSE)*$Q394*_xlfn.IFERROR((VLOOKUP(P394,'Settings'!$E$28:$F$33,2,FALSE)+1),1)</f>
        <v>-0.792682935085971</v>
      </c>
      <c r="AD394" s="48">
        <f>VLOOKUP(B394,'Player Data'!$A1:$AE734,18,FALSE)*$Q394</f>
        <v>71.8000898050966</v>
      </c>
      <c r="AE394" s="48">
        <f>VLOOKUP(B394,'Player Data'!$A1:$AE734,19,FALSE)*$Q394*_xlfn.IFERROR((VLOOKUP(P394,'Settings'!$E$28:$F$33,2,FALSE)+1),1)</f>
        <v>0.6178514154031211</v>
      </c>
      <c r="AF394" s="48">
        <f>VLOOKUP(B394,'Player Data'!$A1:$AE734,20,FALSE)*$Q394</f>
        <v>0</v>
      </c>
      <c r="AG394" s="48">
        <f>VLOOKUP(B394,'Player Data'!$A1:$AE734,21,FALSE)*$Q394</f>
        <v>0</v>
      </c>
      <c r="AH394" s="49">
        <f>VLOOKUP(B394,'Player Data'!$A1:$AE734,22,FALSE)</f>
        <v>0</v>
      </c>
      <c r="AI394" s="46"/>
      <c r="AJ394" s="50"/>
      <c r="AK394" s="48"/>
      <c r="AL394" s="48"/>
      <c r="AM394" s="48"/>
      <c r="AN394" s="48"/>
      <c r="AO394" s="48"/>
      <c r="AP394" s="48"/>
      <c r="AQ394" s="51"/>
      <c r="AR394" s="52"/>
      <c r="AS394" s="46"/>
    </row>
    <row r="395" ht="21.25" customHeight="1">
      <c r="A395" s="53">
        <f>RANK(K395,K2:K730)</f>
        <v>426</v>
      </c>
      <c r="B395" t="s" s="8">
        <v>547</v>
      </c>
      <c r="C395" t="s" s="39">
        <v>106</v>
      </c>
      <c r="D395" t="s" s="40">
        <f>VLOOKUP(B395,'Player Data'!A1:D734,4,FALSE)</f>
        <v>129</v>
      </c>
      <c r="E395" s="56">
        <f>VLOOKUP(B395,'D'!A1:C228,3,FALSE)</f>
        <v>145</v>
      </c>
      <c r="F395" t="s" s="42">
        <f>VLOOKUP(B395,'Player Data'!A1:B734,2,FALSE)</f>
        <v>156</v>
      </c>
      <c r="G395" s="9">
        <f>VLOOKUP(B395,'Player Data'!A1:D734,3,FALSE)</f>
        <v>33</v>
      </c>
      <c r="H395" s="43">
        <f>_xlfn.IFERROR(VLOOKUP(B395,'ADP'!A1:G731,7,FALSE)/1000000,VLOOKUP(B395,'ADP'!A1:G731,7,FALSE))</f>
        <v>6</v>
      </c>
      <c r="I395" s="44">
        <f>IF('Settings'!$E$15="POINTS",((R395*Q395)*'Settings'!$B$12)+(S395*'Settings'!$B$2)+(T395*'Settings'!$B$3)+(U395*'Settings'!$B$4)+(V395*'Settings'!$B$5)+(X395*'Settings'!$B$9)+(AA395*'Settings'!$B$6)+(W395*'Settings'!$B$8)+(AB395*'Settings'!$B$7)+(AC395*'Settings'!$B$14)+(AD395*'Settings'!$B$15)+(AE395*'Settings'!$B$16)+(AF395*'Settings'!$B$17)+(AG395*'Settings'!$B$18)+(U395*'Settings'!$B$13)+(Y395*'Settings'!$B$10)+(Z395*'Settings'!$B$11),VLOOKUP(B395,'Standard Deviations'!A1:C731,3,FALSE))</f>
        <v>181.469577602679</v>
      </c>
      <c r="J395" s="45">
        <f>IF(D395="G",I395/AJ395,I395/Q395)</f>
        <v>2.23557463850612</v>
      </c>
      <c r="K395" s="44">
        <f>VLOOKUP(B395,'D'!A1:F228,6,FALSE)</f>
        <v>-159.265561043844</v>
      </c>
      <c r="L395" s="44">
        <f>_xlfn.IFERROR(K395/H395,"N/A")</f>
        <v>-26.544260173974</v>
      </c>
      <c r="M395" t="s" s="61">
        <f>IF('Settings'!$E$9="YAHOO",VLOOKUP(B395,'ADP'!A1:E731,2,FALSE),IF('Settings'!$E$9="ESPN",VLOOKUP(B395,'ADP'!A1:E731,3,FALSE),IF('Settings'!$E$9="FANTRAX",VLOOKUP(B395,'ADP'!A1:E731,4,FALSE),VLOOKUP(B395,'ADP'!A1:E731,5,FALSE))))</f>
        <v>329</v>
      </c>
      <c r="N395" t="s" s="61">
        <f>_xlfn.IFERROR(M395-A395,"N/A")</f>
        <v>158</v>
      </c>
      <c r="O395" s="46"/>
      <c r="P395" t="s" s="47">
        <f>IF('Settings'!$E$27="ON",VLOOKUP(B395,'ADP'!A1:H731,8,FALSE)," ")</f>
        <v>109</v>
      </c>
      <c r="Q395" s="48">
        <f>IF('Settings'!$E$12="YES",VLOOKUP(B395,'Player Data'!A1:E734,5,FALSE),82)</f>
        <v>81.17357142857141</v>
      </c>
      <c r="R395" s="46">
        <f>VLOOKUP(B395,'Player Data'!$A1:$AE734,6,FALSE)</f>
        <v>17.543180197851</v>
      </c>
      <c r="S395" s="48">
        <f>VLOOKUP(B395,'Player Data'!$A1:$AE734,7,FALSE)*$Q395*_xlfn.IFERROR((VLOOKUP(P395,'Settings'!$E$28:$F$33,2,FALSE)+1),1)</f>
        <v>1.828252409161</v>
      </c>
      <c r="T395" s="48">
        <f>VLOOKUP(B395,'Player Data'!$A1:$AE734,8,FALSE)*$Q395*_xlfn.IFERROR((VLOOKUP(P395,'Settings'!$E$28:$F$33,2,FALSE)+1),1)</f>
        <v>13.7863447653593</v>
      </c>
      <c r="U395" s="48">
        <f>SUM(S395:T395)</f>
        <v>15.6145971745203</v>
      </c>
      <c r="V395" s="48">
        <f>VLOOKUP(B395,'Player Data'!$A1:$AE734,10,FALSE)*$Q395*_xlfn.IFERROR(((VLOOKUP(P395,'Settings'!$E$28:$F$33,2,FALSE)/2)+1),1)</f>
        <v>96.41167351044329</v>
      </c>
      <c r="W395" s="48">
        <f>VLOOKUP(B395,'Player Data'!$A1:$AE734,11,FALSE)*$Q395*_xlfn.IFERROR((VLOOKUP(P395,'Settings'!$E$28:$F$33,2,FALSE)+1),1)</f>
        <v>0.0379367036878599</v>
      </c>
      <c r="X395" s="48">
        <f>VLOOKUP(B395,'Player Data'!$A1:$AE734,12,FALSE)*$Q395*_xlfn.IFERROR((VLOOKUP(P395,'Settings'!$E$28:$F$33,2,FALSE)+1),1)</f>
        <v>0.63400803852452</v>
      </c>
      <c r="Y395" s="48">
        <f>VLOOKUP(B395,'Player Data'!$A1:$AE734,13,FALSE)*$Q395</f>
        <v>0.105634146333049</v>
      </c>
      <c r="Z395" s="48">
        <f>VLOOKUP(B395,'Player Data'!$A1:$AE734,14,FALSE)*$Q395</f>
        <v>0.484297233303783</v>
      </c>
      <c r="AA395" s="48">
        <f>VLOOKUP(B395,'Player Data'!$A1:$AE734,15,FALSE)*$Q395</f>
        <v>117.894322621494</v>
      </c>
      <c r="AB395" s="48">
        <f>VLOOKUP(B395,'Player Data'!$A1:$AE734,16,FALSE)*$Q395</f>
        <v>95.0472597312003</v>
      </c>
      <c r="AC395" s="48">
        <f>VLOOKUP(B395,'Player Data'!$A1:$AE734,17,FALSE)*$Q395*_xlfn.IFERROR((VLOOKUP(P395,'Settings'!$E$28:$F$33,2,FALSE)+1),1)</f>
        <v>-2.07937621488013</v>
      </c>
      <c r="AD395" s="48">
        <f>VLOOKUP(B395,'Player Data'!$A1:$AE734,18,FALSE)*$Q395</f>
        <v>50.9586712647834</v>
      </c>
      <c r="AE395" s="48">
        <f>VLOOKUP(B395,'Player Data'!$A1:$AE734,19,FALSE)*$Q395*_xlfn.IFERROR((VLOOKUP(P395,'Settings'!$E$28:$F$33,2,FALSE)+1),1)</f>
        <v>0.25880676924012</v>
      </c>
      <c r="AF395" s="48">
        <f>VLOOKUP(B395,'Player Data'!$A1:$AE734,20,FALSE)*$Q395</f>
        <v>0</v>
      </c>
      <c r="AG395" s="48">
        <f>VLOOKUP(B395,'Player Data'!$A1:$AE734,21,FALSE)*$Q395</f>
        <v>0</v>
      </c>
      <c r="AH395" s="49">
        <f>VLOOKUP(B395,'Player Data'!$A1:$AE734,22,FALSE)</f>
        <v>0</v>
      </c>
      <c r="AI395" s="46"/>
      <c r="AJ395" s="50"/>
      <c r="AK395" s="48"/>
      <c r="AL395" s="48"/>
      <c r="AM395" s="48"/>
      <c r="AN395" s="48"/>
      <c r="AO395" s="48"/>
      <c r="AP395" s="48"/>
      <c r="AQ395" s="51"/>
      <c r="AR395" s="52"/>
      <c r="AS395" s="46"/>
    </row>
    <row r="396" ht="21.25" customHeight="1">
      <c r="A396" s="53">
        <f>RANK(K396,K2:K730)</f>
        <v>442</v>
      </c>
      <c r="B396" t="s" s="8">
        <v>548</v>
      </c>
      <c r="C396" t="s" s="39">
        <v>106</v>
      </c>
      <c r="D396" t="s" s="40">
        <f>VLOOKUP(B396,'Player Data'!A1:D734,4,FALSE)</f>
        <v>129</v>
      </c>
      <c r="E396" s="56">
        <f>VLOOKUP(B396,'D'!A1:C228,3,FALSE)</f>
        <v>154</v>
      </c>
      <c r="F396" t="s" s="42">
        <f>VLOOKUP(B396,'Player Data'!A1:B734,2,FALSE)</f>
        <v>258</v>
      </c>
      <c r="G396" s="9">
        <f>VLOOKUP(B396,'Player Data'!A1:D734,3,FALSE)</f>
        <v>23</v>
      </c>
      <c r="H396" s="43">
        <f>_xlfn.IFERROR(VLOOKUP(B396,'ADP'!A1:G731,7,FALSE)/1000000,VLOOKUP(B396,'ADP'!A1:G731,7,FALSE))</f>
        <v>1.4</v>
      </c>
      <c r="I396" s="44">
        <f>IF('Settings'!$E$15="POINTS",((R396*Q396)*'Settings'!$B$12)+(S396*'Settings'!$B$2)+(T396*'Settings'!$B$3)+(U396*'Settings'!$B$4)+(V396*'Settings'!$B$5)+(X396*'Settings'!$B$9)+(AA396*'Settings'!$B$6)+(W396*'Settings'!$B$8)+(AB396*'Settings'!$B$7)+(AC396*'Settings'!$B$14)+(AD396*'Settings'!$B$15)+(AE396*'Settings'!$B$16)+(AF396*'Settings'!$B$17)+(AG396*'Settings'!$B$18)+(U396*'Settings'!$B$13)+(Y396*'Settings'!$B$10)+(Z396*'Settings'!$B$11),VLOOKUP(B396,'Standard Deviations'!A1:C731,3,FALSE))</f>
        <v>176.055492524162</v>
      </c>
      <c r="J396" s="45">
        <f>IF(D396="G",I396/AJ396,I396/Q396)</f>
        <v>2.34818929675441</v>
      </c>
      <c r="K396" s="44">
        <f>VLOOKUP(B396,'D'!A1:F228,6,FALSE)</f>
        <v>-164.679646122361</v>
      </c>
      <c r="L396" s="44">
        <f>_xlfn.IFERROR(K396/H396,"N/A")</f>
        <v>-117.628318658829</v>
      </c>
      <c r="M396" t="s" s="61">
        <f>IF('Settings'!$E$9="YAHOO",VLOOKUP(B396,'ADP'!A1:E731,2,FALSE),IF('Settings'!$E$9="ESPN",VLOOKUP(B396,'ADP'!A1:E731,3,FALSE),IF('Settings'!$E$9="FANTRAX",VLOOKUP(B396,'ADP'!A1:E731,4,FALSE),VLOOKUP(B396,'ADP'!A1:E731,5,FALSE))))</f>
        <v>329</v>
      </c>
      <c r="N396" t="s" s="61">
        <f>_xlfn.IFERROR(M396-A396,"N/A")</f>
        <v>158</v>
      </c>
      <c r="O396" s="46"/>
      <c r="P396" t="s" s="47">
        <f>IF('Settings'!$E$27="ON",VLOOKUP(B396,'ADP'!A1:H731,8,FALSE)," ")</f>
        <v>109</v>
      </c>
      <c r="Q396" s="48">
        <f>IF('Settings'!$E$12="YES",VLOOKUP(B396,'Player Data'!A1:E734,5,FALSE),82)</f>
        <v>74.97499999999999</v>
      </c>
      <c r="R396" s="46">
        <f>VLOOKUP(B396,'Player Data'!$A1:$AE734,6,FALSE)</f>
        <v>17.2095682109073</v>
      </c>
      <c r="S396" s="48">
        <f>VLOOKUP(B396,'Player Data'!$A1:$AE734,7,FALSE)*$Q396*_xlfn.IFERROR((VLOOKUP(P396,'Settings'!$E$28:$F$33,2,FALSE)+1),1)</f>
        <v>4.70081365340312</v>
      </c>
      <c r="T396" s="48">
        <f>VLOOKUP(B396,'Player Data'!$A1:$AE734,8,FALSE)*$Q396*_xlfn.IFERROR((VLOOKUP(P396,'Settings'!$E$28:$F$33,2,FALSE)+1),1)</f>
        <v>13.6163106747264</v>
      </c>
      <c r="U396" s="48">
        <f>SUM(S396:T396)</f>
        <v>18.3171243281295</v>
      </c>
      <c r="V396" s="48">
        <f>VLOOKUP(B396,'Player Data'!$A1:$AE734,10,FALSE)*$Q396*_xlfn.IFERROR(((VLOOKUP(P396,'Settings'!$E$28:$F$33,2,FALSE)/2)+1),1)</f>
        <v>84.4516270878904</v>
      </c>
      <c r="W396" s="48">
        <f>VLOOKUP(B396,'Player Data'!$A1:$AE734,11,FALSE)*$Q396*_xlfn.IFERROR((VLOOKUP(P396,'Settings'!$E$28:$F$33,2,FALSE)+1),1)</f>
        <v>0.0215080658334678</v>
      </c>
      <c r="X396" s="48">
        <f>VLOOKUP(B396,'Player Data'!$A1:$AE734,12,FALSE)*$Q396*_xlfn.IFERROR((VLOOKUP(P396,'Settings'!$E$28:$F$33,2,FALSE)+1),1)</f>
        <v>0.220622320505604</v>
      </c>
      <c r="Y396" s="48">
        <f>VLOOKUP(B396,'Player Data'!$A1:$AE734,13,FALSE)*$Q396</f>
        <v>0.0251994777123213</v>
      </c>
      <c r="Z396" s="48">
        <f>VLOOKUP(B396,'Player Data'!$A1:$AE734,14,FALSE)*$Q396</f>
        <v>0.09467908644638361</v>
      </c>
      <c r="AA396" s="48">
        <f>VLOOKUP(B396,'Player Data'!$A1:$AE734,15,FALSE)*$Q396</f>
        <v>106.126858293020</v>
      </c>
      <c r="AB396" s="48">
        <f>VLOOKUP(B396,'Player Data'!$A1:$AE734,16,FALSE)*$Q396</f>
        <v>74.29719278528491</v>
      </c>
      <c r="AC396" s="48">
        <f>VLOOKUP(B396,'Player Data'!$A1:$AE734,17,FALSE)*$Q396*_xlfn.IFERROR((VLOOKUP(P396,'Settings'!$E$28:$F$33,2,FALSE)+1),1)</f>
        <v>-6.18829913398578</v>
      </c>
      <c r="AD396" s="48">
        <f>VLOOKUP(B396,'Player Data'!$A1:$AE734,18,FALSE)*$Q396</f>
        <v>31.3452106999472</v>
      </c>
      <c r="AE396" s="48">
        <f>VLOOKUP(B396,'Player Data'!$A1:$AE734,19,FALSE)*$Q396*_xlfn.IFERROR((VLOOKUP(P396,'Settings'!$E$28:$F$33,2,FALSE)+1),1)</f>
        <v>0.481561290916913</v>
      </c>
      <c r="AF396" s="48">
        <f>VLOOKUP(B396,'Player Data'!$A1:$AE734,20,FALSE)*$Q396</f>
        <v>0</v>
      </c>
      <c r="AG396" s="48">
        <f>VLOOKUP(B396,'Player Data'!$A1:$AE734,21,FALSE)*$Q396</f>
        <v>0</v>
      </c>
      <c r="AH396" s="49">
        <f>VLOOKUP(B396,'Player Data'!$A1:$AE734,22,FALSE)</f>
        <v>0</v>
      </c>
      <c r="AI396" s="46"/>
      <c r="AJ396" s="50"/>
      <c r="AK396" s="48"/>
      <c r="AL396" s="48"/>
      <c r="AM396" s="48"/>
      <c r="AN396" s="48"/>
      <c r="AO396" s="48"/>
      <c r="AP396" s="48"/>
      <c r="AQ396" s="51"/>
      <c r="AR396" s="52"/>
      <c r="AS396" s="46"/>
    </row>
    <row r="397" ht="21.25" customHeight="1">
      <c r="A397" s="53">
        <f>RANK(K397,K2:K730)</f>
        <v>403</v>
      </c>
      <c r="B397" t="s" s="8">
        <v>549</v>
      </c>
      <c r="C397" t="s" s="39">
        <v>106</v>
      </c>
      <c r="D397" t="s" s="40">
        <f>VLOOKUP(B397,'Player Data'!A1:D734,4,FALSE)</f>
        <v>129</v>
      </c>
      <c r="E397" s="56">
        <f>VLOOKUP(B397,'D'!A1:C228,3,FALSE)</f>
        <v>135</v>
      </c>
      <c r="F397" t="s" s="42">
        <f>VLOOKUP(B397,'Player Data'!A1:B734,2,FALSE)</f>
        <v>122</v>
      </c>
      <c r="G397" s="9">
        <f>VLOOKUP(B397,'Player Data'!A1:D734,3,FALSE)</f>
        <v>26</v>
      </c>
      <c r="H397" s="43">
        <f>_xlfn.IFERROR(VLOOKUP(B397,'ADP'!A1:G731,7,FALSE)/1000000,VLOOKUP(B397,'ADP'!A1:G731,7,FALSE))</f>
        <v>4.1</v>
      </c>
      <c r="I397" s="44">
        <f>IF('Settings'!$E$15="POINTS",((R397*Q397)*'Settings'!$B$12)+(S397*'Settings'!$B$2)+(T397*'Settings'!$B$3)+(U397*'Settings'!$B$4)+(V397*'Settings'!$B$5)+(X397*'Settings'!$B$9)+(AA397*'Settings'!$B$6)+(W397*'Settings'!$B$8)+(AB397*'Settings'!$B$7)+(AC397*'Settings'!$B$14)+(AD397*'Settings'!$B$15)+(AE397*'Settings'!$B$16)+(AF397*'Settings'!$B$17)+(AG397*'Settings'!$B$18)+(U397*'Settings'!$B$13)+(Y397*'Settings'!$B$10)+(Z397*'Settings'!$B$11),VLOOKUP(B397,'Standard Deviations'!A1:C731,3,FALSE))</f>
        <v>189.769283629937</v>
      </c>
      <c r="J397" s="45">
        <f>IF(D397="G",I397/AJ397,I397/Q397)</f>
        <v>2.49274720474678</v>
      </c>
      <c r="K397" s="44">
        <f>VLOOKUP(B397,'D'!A1:F228,6,FALSE)</f>
        <v>-150.965855016586</v>
      </c>
      <c r="L397" s="44">
        <f>_xlfn.IFERROR(K397/H397,"N/A")</f>
        <v>-36.8209402479478</v>
      </c>
      <c r="M397" t="s" s="61">
        <f>IF('Settings'!$E$9="YAHOO",VLOOKUP(B397,'ADP'!A1:E731,2,FALSE),IF('Settings'!$E$9="ESPN",VLOOKUP(B397,'ADP'!A1:E731,3,FALSE),IF('Settings'!$E$9="FANTRAX",VLOOKUP(B397,'ADP'!A1:E731,4,FALSE),VLOOKUP(B397,'ADP'!A1:E731,5,FALSE))))</f>
        <v>329</v>
      </c>
      <c r="N397" t="s" s="61">
        <f>_xlfn.IFERROR(M397-A397,"N/A")</f>
        <v>158</v>
      </c>
      <c r="O397" s="46"/>
      <c r="P397" t="s" s="47">
        <f>IF('Settings'!$E$27="ON",VLOOKUP(B397,'ADP'!A1:H731,8,FALSE)," ")</f>
        <v>109</v>
      </c>
      <c r="Q397" s="48">
        <f>IF('Settings'!$E$12="YES",VLOOKUP(B397,'Player Data'!A1:E734,5,FALSE),82)</f>
        <v>76.12857142857141</v>
      </c>
      <c r="R397" s="46">
        <f>VLOOKUP(B397,'Player Data'!$A1:$AE734,6,FALSE)</f>
        <v>18.5792555103912</v>
      </c>
      <c r="S397" s="48">
        <f>VLOOKUP(B397,'Player Data'!$A1:$AE734,7,FALSE)*$Q397*_xlfn.IFERROR((VLOOKUP(P397,'Settings'!$E$28:$F$33,2,FALSE)+1),1)</f>
        <v>4.55423679750476</v>
      </c>
      <c r="T397" s="48">
        <f>VLOOKUP(B397,'Player Data'!$A1:$AE734,8,FALSE)*$Q397*_xlfn.IFERROR((VLOOKUP(P397,'Settings'!$E$28:$F$33,2,FALSE)+1),1)</f>
        <v>10.729147481830</v>
      </c>
      <c r="U397" s="48">
        <f>SUM(S397:T397)</f>
        <v>15.2833842793348</v>
      </c>
      <c r="V397" s="48">
        <f>VLOOKUP(B397,'Player Data'!$A1:$AE734,10,FALSE)*$Q397*_xlfn.IFERROR(((VLOOKUP(P397,'Settings'!$E$28:$F$33,2,FALSE)/2)+1),1)</f>
        <v>100.009621047444</v>
      </c>
      <c r="W397" s="48">
        <f>VLOOKUP(B397,'Player Data'!$A1:$AE734,11,FALSE)*$Q397*_xlfn.IFERROR((VLOOKUP(P397,'Settings'!$E$28:$F$33,2,FALSE)+1),1)</f>
        <v>0.009719612175318561</v>
      </c>
      <c r="X397" s="48">
        <f>VLOOKUP(B397,'Player Data'!$A1:$AE734,12,FALSE)*$Q397*_xlfn.IFERROR((VLOOKUP(P397,'Settings'!$E$28:$F$33,2,FALSE)+1),1)</f>
        <v>0.08981558167082269</v>
      </c>
      <c r="Y397" s="48">
        <f>VLOOKUP(B397,'Player Data'!$A1:$AE734,13,FALSE)*$Q397</f>
        <v>0.314169671712409</v>
      </c>
      <c r="Z397" s="48">
        <f>VLOOKUP(B397,'Player Data'!$A1:$AE734,14,FALSE)*$Q397</f>
        <v>0.433154949550122</v>
      </c>
      <c r="AA397" s="48">
        <f>VLOOKUP(B397,'Player Data'!$A1:$AE734,15,FALSE)*$Q397</f>
        <v>110.313551935552</v>
      </c>
      <c r="AB397" s="48">
        <f>VLOOKUP(B397,'Player Data'!$A1:$AE734,16,FALSE)*$Q397</f>
        <v>124.239516820308</v>
      </c>
      <c r="AC397" s="48">
        <f>VLOOKUP(B397,'Player Data'!$A1:$AE734,17,FALSE)*$Q397*_xlfn.IFERROR((VLOOKUP(P397,'Settings'!$E$28:$F$33,2,FALSE)+1),1)</f>
        <v>4.72622920162511</v>
      </c>
      <c r="AD397" s="48">
        <f>VLOOKUP(B397,'Player Data'!$A1:$AE734,18,FALSE)*$Q397</f>
        <v>34.005641306039</v>
      </c>
      <c r="AE397" s="48">
        <f>VLOOKUP(B397,'Player Data'!$A1:$AE734,19,FALSE)*$Q397*_xlfn.IFERROR((VLOOKUP(P397,'Settings'!$E$28:$F$33,2,FALSE)+1),1)</f>
        <v>0.764566733742664</v>
      </c>
      <c r="AF397" s="48">
        <f>VLOOKUP(B397,'Player Data'!$A1:$AE734,20,FALSE)*$Q397</f>
        <v>0</v>
      </c>
      <c r="AG397" s="48">
        <f>VLOOKUP(B397,'Player Data'!$A1:$AE734,21,FALSE)*$Q397</f>
        <v>0</v>
      </c>
      <c r="AH397" s="49">
        <f>VLOOKUP(B397,'Player Data'!$A1:$AE734,22,FALSE)</f>
        <v>0</v>
      </c>
      <c r="AI397" s="46"/>
      <c r="AJ397" s="50"/>
      <c r="AK397" s="48"/>
      <c r="AL397" s="48"/>
      <c r="AM397" s="48"/>
      <c r="AN397" s="48"/>
      <c r="AO397" s="48"/>
      <c r="AP397" s="48"/>
      <c r="AQ397" s="51"/>
      <c r="AR397" s="52"/>
      <c r="AS397" s="46"/>
    </row>
    <row r="398" ht="21.25" customHeight="1">
      <c r="A398" s="53">
        <f>RANK(K398,K2:K730)</f>
        <v>387</v>
      </c>
      <c r="B398" t="s" s="8">
        <v>550</v>
      </c>
      <c r="C398" t="s" s="39">
        <v>106</v>
      </c>
      <c r="D398" t="s" s="40">
        <f>VLOOKUP(B398,'Player Data'!A1:D734,4,FALSE)</f>
        <v>121</v>
      </c>
      <c r="E398" s="55">
        <f>VLOOKUP(B398,'RW'!A1:F132,3,FALSE)</f>
        <v>79</v>
      </c>
      <c r="F398" t="s" s="42">
        <f>VLOOKUP(B398,'Player Data'!A1:B734,2,FALSE)</f>
        <v>194</v>
      </c>
      <c r="G398" s="9">
        <f>VLOOKUP(B398,'Player Data'!A1:D734,3,FALSE)</f>
        <v>27</v>
      </c>
      <c r="H398" s="43">
        <f>_xlfn.IFERROR(VLOOKUP(B398,'ADP'!A1:G731,7,FALSE)/1000000,VLOOKUP(B398,'ADP'!A1:G731,7,FALSE))</f>
        <v>3.2</v>
      </c>
      <c r="I398" s="44">
        <f>IF('Settings'!$E$15="POINTS",((R398*Q398)*'Settings'!$B$12)+(S398*'Settings'!$B$2)+(T398*'Settings'!$B$3)+(U398*'Settings'!$B$4)+(V398*'Settings'!$B$5)+(X398*'Settings'!$B$9)+(AA398*'Settings'!$B$6)+(W398*'Settings'!$B$8)+(AB398*'Settings'!$B$7)+(AC398*'Settings'!$B$14)+(AD398*'Settings'!$B$15)+(AE398*'Settings'!$B$16)+(AF398*'Settings'!$B$17)+(AG398*'Settings'!$B$18)+(Y398*'Settings'!$B$10)+(Z398*'Settings'!$B$11),VLOOKUP(B398,'Standard Deviations'!A1:C731,3,FALSE))</f>
        <v>233.946165333142</v>
      </c>
      <c r="J398" s="45">
        <f>IF(D398="G",I398/AJ398,I398/Q398)</f>
        <v>3.06073472169406</v>
      </c>
      <c r="K398" s="44">
        <f>IF('Settings'!$E$18="C/LW/RW",VLOOKUP(B398,'RW'!A1:F132,6,FALSE),VLOOKUP(B398,'F'!A1:F432,6,FALSE))</f>
        <v>-147.682398373214</v>
      </c>
      <c r="L398" s="44">
        <f>_xlfn.IFERROR(K398/H398,"N/A")</f>
        <v>-46.1507494916294</v>
      </c>
      <c r="M398" s="46">
        <f>IF('Settings'!$E$9="YAHOO",VLOOKUP(B398,'ADP'!A1:E731,2,FALSE),IF('Settings'!$E$9="ESPN",VLOOKUP(B398,'ADP'!A1:E731,3,FALSE),IF('Settings'!$E$9="FANTRAX",VLOOKUP(B398,'ADP'!A1:E731,4,FALSE),VLOOKUP(B398,'ADP'!A1:E731,5,FALSE))))</f>
        <v>448.52</v>
      </c>
      <c r="N398" s="46">
        <f>_xlfn.IFERROR(M398-A398,"N/A")</f>
        <v>61.52</v>
      </c>
      <c r="O398" s="46"/>
      <c r="P398" t="s" s="47">
        <f>IF('Settings'!$E$27="ON",VLOOKUP(B398,'ADP'!A1:H731,8,FALSE)," ")</f>
        <v>109</v>
      </c>
      <c r="Q398" s="48">
        <f>IF('Settings'!$E$12="YES",VLOOKUP(B398,'Player Data'!A1:E734,5,FALSE),82)</f>
        <v>76.4346428571429</v>
      </c>
      <c r="R398" s="46">
        <f>VLOOKUP(B398,'Player Data'!$A1:$AE734,6,FALSE)</f>
        <v>13.9940849690036</v>
      </c>
      <c r="S398" s="48">
        <f>VLOOKUP(B398,'Player Data'!$A1:$AE734,7,FALSE)*$Q398*_xlfn.IFERROR((VLOOKUP(P398,'Settings'!$E$28:$F$33,2,FALSE)+1),1)</f>
        <v>14.3877714304265</v>
      </c>
      <c r="T398" s="48">
        <f>VLOOKUP(B398,'Player Data'!$A1:$AE734,8,FALSE)*$Q398*_xlfn.IFERROR((VLOOKUP(P398,'Settings'!$E$28:$F$33,2,FALSE)+1),1)</f>
        <v>21.0866847412122</v>
      </c>
      <c r="U398" s="48">
        <f>SUM(S398:T398)</f>
        <v>35.4744561716387</v>
      </c>
      <c r="V398" s="48">
        <f>VLOOKUP(B398,'Player Data'!$A1:$AE734,10,FALSE)*$Q398*_xlfn.IFERROR(((VLOOKUP(P398,'Settings'!$E$28:$F$33,2,FALSE)/2)+1),1)</f>
        <v>129.025587894831</v>
      </c>
      <c r="W398" s="48">
        <f>VLOOKUP(B398,'Player Data'!$A1:$AE734,11,FALSE)*$Q398*_xlfn.IFERROR((VLOOKUP(P398,'Settings'!$E$28:$F$33,2,FALSE)+1),1)</f>
        <v>1.66564407356311</v>
      </c>
      <c r="X398" s="48">
        <f>VLOOKUP(B398,'Player Data'!$A1:$AE734,12,FALSE)*$Q398*_xlfn.IFERROR((VLOOKUP(P398,'Settings'!$E$28:$F$33,2,FALSE)+1),1)</f>
        <v>4.94411815074679</v>
      </c>
      <c r="Y398" s="48">
        <f>VLOOKUP(B398,'Player Data'!$A1:$AE734,13,FALSE)*$Q398</f>
        <v>0.795563815849076</v>
      </c>
      <c r="Z398" s="48">
        <f>VLOOKUP(B398,'Player Data'!$A1:$AE734,14,FALSE)*$Q398</f>
        <v>0.918682139711096</v>
      </c>
      <c r="AA398" s="48">
        <f>VLOOKUP(B398,'Player Data'!$A1:$AE734,15,FALSE)*$Q398</f>
        <v>24.1411054907296</v>
      </c>
      <c r="AB398" s="48">
        <f>VLOOKUP(B398,'Player Data'!$A1:$AE734,16,FALSE)*$Q398</f>
        <v>110.081714801533</v>
      </c>
      <c r="AC398" s="48">
        <f>VLOOKUP(B398,'Player Data'!$A1:$AE734,17,FALSE)*$Q398*_xlfn.IFERROR((VLOOKUP(P398,'Settings'!$E$28:$F$33,2,FALSE)+1),1)</f>
        <v>-4.11109384731203</v>
      </c>
      <c r="AD398" s="48">
        <f>VLOOKUP(B398,'Player Data'!$A1:$AE734,18,FALSE)*$Q398</f>
        <v>19.2409288922356</v>
      </c>
      <c r="AE398" s="48">
        <f>VLOOKUP(B398,'Player Data'!$A1:$AE734,19,FALSE)*$Q398*_xlfn.IFERROR((VLOOKUP(P398,'Settings'!$E$28:$F$33,2,FALSE)+1),1)</f>
        <v>1.65564016105735</v>
      </c>
      <c r="AF398" s="48">
        <f>VLOOKUP(B398,'Player Data'!$A1:$AE734,20,FALSE)*$Q398</f>
        <v>22.9590687800954</v>
      </c>
      <c r="AG398" s="48">
        <f>VLOOKUP(B398,'Player Data'!$A1:$AE734,21,FALSE)*$Q398</f>
        <v>45.9689838745622</v>
      </c>
      <c r="AH398" s="49">
        <f>VLOOKUP(B398,'Player Data'!$A1:$AE734,22,FALSE)</f>
        <v>0.333087442570366</v>
      </c>
      <c r="AI398" s="46"/>
      <c r="AJ398" s="48"/>
      <c r="AK398" s="48"/>
      <c r="AL398" s="48"/>
      <c r="AM398" s="48"/>
      <c r="AN398" s="48"/>
      <c r="AO398" s="48"/>
      <c r="AP398" s="48"/>
      <c r="AQ398" s="51"/>
      <c r="AR398" s="52"/>
      <c r="AS398" s="46"/>
    </row>
    <row r="399" ht="21.25" customHeight="1">
      <c r="A399" s="53">
        <f>RANK(K399,K2:K730)</f>
        <v>393</v>
      </c>
      <c r="B399" t="s" s="8">
        <v>551</v>
      </c>
      <c r="C399" t="s" s="39">
        <v>106</v>
      </c>
      <c r="D399" t="s" s="40">
        <f>VLOOKUP(B399,'Player Data'!A1:D734,4,FALSE)</f>
        <v>129</v>
      </c>
      <c r="E399" s="56">
        <f>VLOOKUP(B399,'D'!A1:C228,3,FALSE)</f>
        <v>131</v>
      </c>
      <c r="F399" t="s" s="42">
        <f>VLOOKUP(B399,'Player Data'!A1:B734,2,FALSE)</f>
        <v>184</v>
      </c>
      <c r="G399" s="9">
        <f>VLOOKUP(B399,'Player Data'!A1:D734,3,FALSE)</f>
        <v>31</v>
      </c>
      <c r="H399" s="43">
        <f>_xlfn.IFERROR(VLOOKUP(B399,'ADP'!A1:G731,7,FALSE)/1000000,VLOOKUP(B399,'ADP'!A1:G731,7,FALSE))</f>
        <v>3.4</v>
      </c>
      <c r="I399" s="44">
        <f>IF('Settings'!$E$15="POINTS",((R399*Q399)*'Settings'!$B$12)+(S399*'Settings'!$B$2)+(T399*'Settings'!$B$3)+(U399*'Settings'!$B$4)+(V399*'Settings'!$B$5)+(X399*'Settings'!$B$9)+(AA399*'Settings'!$B$6)+(W399*'Settings'!$B$8)+(AB399*'Settings'!$B$7)+(AC399*'Settings'!$B$14)+(AD399*'Settings'!$B$15)+(AE399*'Settings'!$B$16)+(AF399*'Settings'!$B$17)+(AG399*'Settings'!$B$18)+(U399*'Settings'!$B$13)+(Y399*'Settings'!$B$10)+(Z399*'Settings'!$B$11),VLOOKUP(B399,'Standard Deviations'!A1:C731,3,FALSE))</f>
        <v>191.775143568526</v>
      </c>
      <c r="J399" s="45">
        <f>IF(D399="G",I399/AJ399,I399/Q399)</f>
        <v>2.40497324820008</v>
      </c>
      <c r="K399" s="44">
        <f>VLOOKUP(B399,'D'!A1:F228,6,FALSE)</f>
        <v>-148.959995077997</v>
      </c>
      <c r="L399" s="44">
        <f>_xlfn.IFERROR(K399/H399,"N/A")</f>
        <v>-43.8117632582344</v>
      </c>
      <c r="M399" t="s" s="61">
        <f>IF('Settings'!$E$9="YAHOO",VLOOKUP(B399,'ADP'!A1:E731,2,FALSE),IF('Settings'!$E$9="ESPN",VLOOKUP(B399,'ADP'!A1:E731,3,FALSE),IF('Settings'!$E$9="FANTRAX",VLOOKUP(B399,'ADP'!A1:E731,4,FALSE),VLOOKUP(B399,'ADP'!A1:E731,5,FALSE))))</f>
        <v>329</v>
      </c>
      <c r="N399" t="s" s="61">
        <f>_xlfn.IFERROR(M399-A399,"N/A")</f>
        <v>158</v>
      </c>
      <c r="O399" s="46"/>
      <c r="P399" t="s" s="47">
        <f>IF('Settings'!$E$27="ON",VLOOKUP(B399,'ADP'!A1:H731,8,FALSE)," ")</f>
        <v>109</v>
      </c>
      <c r="Q399" s="48">
        <f>IF('Settings'!$E$12="YES",VLOOKUP(B399,'Player Data'!A1:E734,5,FALSE),82)</f>
        <v>79.7410714285714</v>
      </c>
      <c r="R399" s="46">
        <f>VLOOKUP(B399,'Player Data'!$A1:$AE734,6,FALSE)</f>
        <v>18.5892971277499</v>
      </c>
      <c r="S399" s="48">
        <f>VLOOKUP(B399,'Player Data'!$A1:$AE734,7,FALSE)*$Q399*_xlfn.IFERROR((VLOOKUP(P399,'Settings'!$E$28:$F$33,2,FALSE)+1),1)</f>
        <v>2.37869228903755</v>
      </c>
      <c r="T399" s="48">
        <f>VLOOKUP(B399,'Player Data'!$A1:$AE734,8,FALSE)*$Q399*_xlfn.IFERROR((VLOOKUP(P399,'Settings'!$E$28:$F$33,2,FALSE)+1),1)</f>
        <v>17.7857889050665</v>
      </c>
      <c r="U399" s="48">
        <f>SUM(S399:T399)</f>
        <v>20.1644811941041</v>
      </c>
      <c r="V399" s="48">
        <f>VLOOKUP(B399,'Player Data'!$A1:$AE734,10,FALSE)*$Q399*_xlfn.IFERROR(((VLOOKUP(P399,'Settings'!$E$28:$F$33,2,FALSE)/2)+1),1)</f>
        <v>65.8262669077766</v>
      </c>
      <c r="W399" s="48">
        <f>VLOOKUP(B399,'Player Data'!$A1:$AE734,11,FALSE)*$Q399*_xlfn.IFERROR((VLOOKUP(P399,'Settings'!$E$28:$F$33,2,FALSE)+1),1)</f>
        <v>0.0200536611635106</v>
      </c>
      <c r="X399" s="48">
        <f>VLOOKUP(B399,'Player Data'!$A1:$AE734,12,FALSE)*$Q399*_xlfn.IFERROR((VLOOKUP(P399,'Settings'!$E$28:$F$33,2,FALSE)+1),1)</f>
        <v>0.149235181494319</v>
      </c>
      <c r="Y399" s="48">
        <f>VLOOKUP(B399,'Player Data'!$A1:$AE734,13,FALSE)*$Q399</f>
        <v>0.214436673788953</v>
      </c>
      <c r="Z399" s="48">
        <f>VLOOKUP(B399,'Player Data'!$A1:$AE734,14,FALSE)*$Q399</f>
        <v>0.886149238238267</v>
      </c>
      <c r="AA399" s="48">
        <f>VLOOKUP(B399,'Player Data'!$A1:$AE734,15,FALSE)*$Q399</f>
        <v>119.663760874626</v>
      </c>
      <c r="AB399" s="48">
        <f>VLOOKUP(B399,'Player Data'!$A1:$AE734,16,FALSE)*$Q399</f>
        <v>132.785396739917</v>
      </c>
      <c r="AC399" s="48">
        <f>VLOOKUP(B399,'Player Data'!$A1:$AE734,17,FALSE)*$Q399*_xlfn.IFERROR((VLOOKUP(P399,'Settings'!$E$28:$F$33,2,FALSE)+1),1)</f>
        <v>-1.67818613767516</v>
      </c>
      <c r="AD399" s="48">
        <f>VLOOKUP(B399,'Player Data'!$A1:$AE734,18,FALSE)*$Q399</f>
        <v>37.3572745443988</v>
      </c>
      <c r="AE399" s="48">
        <f>VLOOKUP(B399,'Player Data'!$A1:$AE734,19,FALSE)*$Q399*_xlfn.IFERROR((VLOOKUP(P399,'Settings'!$E$28:$F$33,2,FALSE)+1),1)</f>
        <v>0.314786289239868</v>
      </c>
      <c r="AF399" s="48">
        <f>VLOOKUP(B399,'Player Data'!$A1:$AE734,20,FALSE)*$Q399</f>
        <v>0</v>
      </c>
      <c r="AG399" s="48">
        <f>VLOOKUP(B399,'Player Data'!$A1:$AE734,21,FALSE)*$Q399</f>
        <v>0</v>
      </c>
      <c r="AH399" s="49">
        <f>VLOOKUP(B399,'Player Data'!$A1:$AE734,22,FALSE)</f>
        <v>0</v>
      </c>
      <c r="AI399" s="46"/>
      <c r="AJ399" s="50"/>
      <c r="AK399" s="48"/>
      <c r="AL399" s="48"/>
      <c r="AM399" s="48"/>
      <c r="AN399" s="48"/>
      <c r="AO399" s="48"/>
      <c r="AP399" s="48"/>
      <c r="AQ399" s="51"/>
      <c r="AR399" s="52"/>
      <c r="AS399" s="46"/>
    </row>
    <row r="400" ht="21.25" customHeight="1">
      <c r="A400" s="53">
        <f>RANK(K400,K2:K730)</f>
        <v>370</v>
      </c>
      <c r="B400" t="s" s="8">
        <v>552</v>
      </c>
      <c r="C400" t="s" s="39">
        <v>106</v>
      </c>
      <c r="D400" t="s" s="40">
        <f>VLOOKUP(B400,'Player Data'!A1:D734,4,FALSE)</f>
        <v>133</v>
      </c>
      <c r="E400" s="57">
        <f>VLOOKUP(B400,'LW'!A1:C156,3,FALSE)</f>
        <v>85</v>
      </c>
      <c r="F400" t="s" s="42">
        <f>VLOOKUP(B400,'Player Data'!A1:B734,2,FALSE)</f>
        <v>127</v>
      </c>
      <c r="G400" s="9">
        <f>VLOOKUP(B400,'Player Data'!A1:D734,3,FALSE)</f>
        <v>32</v>
      </c>
      <c r="H400" s="43">
        <f>_xlfn.IFERROR(VLOOKUP(B400,'ADP'!A1:G731,7,FALSE)/1000000,VLOOKUP(B400,'ADP'!A1:G731,7,FALSE))</f>
        <v>6</v>
      </c>
      <c r="I400" s="44">
        <f>IF('Settings'!$E$15="POINTS",((R400*Q400)*'Settings'!$B$12)+(S400*'Settings'!$B$2)+(T400*'Settings'!$B$3)+(U400*'Settings'!$B$4)+(V400*'Settings'!$B$5)+(X400*'Settings'!$B$9)+(AA400*'Settings'!$B$6)+(W400*'Settings'!$B$8)+(AB400*'Settings'!$B$7)+(AC400*'Settings'!$B$14)+(AD400*'Settings'!$B$15)+(AE400*'Settings'!$B$16)+(AF400*'Settings'!$B$17)+(AG400*'Settings'!$B$18)+(Y400*'Settings'!$B$10)+(Z400*'Settings'!$B$11),VLOOKUP(B400,'Standard Deviations'!A1:C731,3,FALSE))</f>
        <v>241.295194309832</v>
      </c>
      <c r="J400" s="45">
        <f>IF(D400="G",I400/AJ400,I400/Q400)</f>
        <v>3.20281085417984</v>
      </c>
      <c r="K400" s="44">
        <f>IF('Settings'!$E$18="C/LW/RW",VLOOKUP(B400,'LW'!A1:F156,6,FALSE),VLOOKUP(B400,'F'!A1:F432,6,FALSE))</f>
        <v>-140.333369396524</v>
      </c>
      <c r="L400" s="44">
        <f>_xlfn.IFERROR(K400/H400,"N/A")</f>
        <v>-23.3888948994207</v>
      </c>
      <c r="M400" t="s" s="61">
        <f>IF('Settings'!$E$9="YAHOO",VLOOKUP(B400,'ADP'!A1:E731,2,FALSE),IF('Settings'!$E$9="ESPN",VLOOKUP(B400,'ADP'!A1:E731,3,FALSE),IF('Settings'!$E$9="FANTRAX",VLOOKUP(B400,'ADP'!A1:E731,4,FALSE),VLOOKUP(B400,'ADP'!A1:E731,5,FALSE))))</f>
        <v>329</v>
      </c>
      <c r="N400" t="s" s="61">
        <f>_xlfn.IFERROR(M400-A400,"N/A")</f>
        <v>158</v>
      </c>
      <c r="O400" s="46"/>
      <c r="P400" t="s" s="47">
        <f>IF('Settings'!$E$27="ON",VLOOKUP(B400,'ADP'!A1:H731,8,FALSE)," ")</f>
        <v>109</v>
      </c>
      <c r="Q400" s="48">
        <f>IF('Settings'!$E$12="YES",VLOOKUP(B400,'Player Data'!A1:E734,5,FALSE),82)</f>
        <v>75.3385714285714</v>
      </c>
      <c r="R400" s="46">
        <f>VLOOKUP(B400,'Player Data'!$A1:$AE734,6,FALSE)</f>
        <v>14.5247627773181</v>
      </c>
      <c r="S400" s="48">
        <f>VLOOKUP(B400,'Player Data'!$A1:$AE734,7,FALSE)*$Q400*_xlfn.IFERROR((VLOOKUP(P400,'Settings'!$E$28:$F$33,2,FALSE)+1),1)</f>
        <v>13.2599083423868</v>
      </c>
      <c r="T400" s="48">
        <f>VLOOKUP(B400,'Player Data'!$A1:$AE734,8,FALSE)*$Q400*_xlfn.IFERROR((VLOOKUP(P400,'Settings'!$E$28:$F$33,2,FALSE)+1),1)</f>
        <v>23.6425657255323</v>
      </c>
      <c r="U400" s="48">
        <f>SUM(S400:T400)</f>
        <v>36.9024740679191</v>
      </c>
      <c r="V400" s="48">
        <f>VLOOKUP(B400,'Player Data'!$A1:$AE734,10,FALSE)*$Q400*_xlfn.IFERROR(((VLOOKUP(P400,'Settings'!$E$28:$F$33,2,FALSE)/2)+1),1)</f>
        <v>119.901694388124</v>
      </c>
      <c r="W400" s="48">
        <f>VLOOKUP(B400,'Player Data'!$A1:$AE734,11,FALSE)*$Q400*_xlfn.IFERROR((VLOOKUP(P400,'Settings'!$E$28:$F$33,2,FALSE)+1),1)</f>
        <v>1.83934855092756</v>
      </c>
      <c r="X400" s="48">
        <f>VLOOKUP(B400,'Player Data'!$A1:$AE734,12,FALSE)*$Q400*_xlfn.IFERROR((VLOOKUP(P400,'Settings'!$E$28:$F$33,2,FALSE)+1),1)</f>
        <v>5.92962367379587</v>
      </c>
      <c r="Y400" s="48">
        <f>VLOOKUP(B400,'Player Data'!$A1:$AE734,13,FALSE)*$Q400</f>
        <v>0.0343315122567657</v>
      </c>
      <c r="Z400" s="48">
        <f>VLOOKUP(B400,'Player Data'!$A1:$AE734,14,FALSE)*$Q400</f>
        <v>0.16020469575797</v>
      </c>
      <c r="AA400" s="48">
        <f>VLOOKUP(B400,'Player Data'!$A1:$AE734,15,FALSE)*$Q400</f>
        <v>50.5300999714766</v>
      </c>
      <c r="AB400" s="48">
        <f>VLOOKUP(B400,'Player Data'!$A1:$AE734,16,FALSE)*$Q400</f>
        <v>100.646412084714</v>
      </c>
      <c r="AC400" s="48">
        <f>VLOOKUP(B400,'Player Data'!$A1:$AE734,17,FALSE)*$Q400*_xlfn.IFERROR((VLOOKUP(P400,'Settings'!$E$28:$F$33,2,FALSE)+1),1)</f>
        <v>0.655023409648968</v>
      </c>
      <c r="AD400" s="48">
        <f>VLOOKUP(B400,'Player Data'!$A1:$AE734,18,FALSE)*$Q400</f>
        <v>20.2258294552616</v>
      </c>
      <c r="AE400" s="48">
        <f>VLOOKUP(B400,'Player Data'!$A1:$AE734,19,FALSE)*$Q400*_xlfn.IFERROR((VLOOKUP(P400,'Settings'!$E$28:$F$33,2,FALSE)+1),1)</f>
        <v>1.94891455635842</v>
      </c>
      <c r="AF400" s="48">
        <f>VLOOKUP(B400,'Player Data'!$A1:$AE734,20,FALSE)*$Q400</f>
        <v>0.614966744991708</v>
      </c>
      <c r="AG400" s="48">
        <f>VLOOKUP(B400,'Player Data'!$A1:$AE734,21,FALSE)*$Q400</f>
        <v>11.8856151688555</v>
      </c>
      <c r="AH400" s="49">
        <f>VLOOKUP(B400,'Player Data'!$A1:$AE734,22,FALSE)</f>
        <v>0.0491950494168989</v>
      </c>
      <c r="AI400" s="46"/>
      <c r="AJ400" s="50"/>
      <c r="AK400" s="48"/>
      <c r="AL400" s="48"/>
      <c r="AM400" s="48"/>
      <c r="AN400" s="48"/>
      <c r="AO400" s="48"/>
      <c r="AP400" s="48"/>
      <c r="AQ400" s="51"/>
      <c r="AR400" s="52"/>
      <c r="AS400" s="46"/>
    </row>
    <row r="401" ht="21.25" customHeight="1">
      <c r="A401" s="53">
        <f>RANK(K401,K2:K730)</f>
        <v>512</v>
      </c>
      <c r="B401" t="s" s="8">
        <v>553</v>
      </c>
      <c r="C401" t="s" s="39">
        <v>106</v>
      </c>
      <c r="D401" t="s" s="40">
        <f>VLOOKUP(B401,'Player Data'!A1:D734,4,FALSE)</f>
        <v>129</v>
      </c>
      <c r="E401" s="56">
        <f>VLOOKUP(B401,'D'!A1:C228,3,FALSE)</f>
        <v>175</v>
      </c>
      <c r="F401" t="s" s="42">
        <f>VLOOKUP(B401,'Player Data'!A1:B734,2,FALSE)</f>
        <v>149</v>
      </c>
      <c r="G401" s="9">
        <f>VLOOKUP(B401,'Player Data'!A1:D734,3,FALSE)</f>
        <v>27</v>
      </c>
      <c r="H401" s="43">
        <f>_xlfn.IFERROR(VLOOKUP(B401,'ADP'!A1:G731,7,FALSE)/1000000,VLOOKUP(B401,'ADP'!A1:G731,7,FALSE))</f>
        <v>0.825</v>
      </c>
      <c r="I401" s="44">
        <f>IF('Settings'!$E$15="POINTS",((R401*Q401)*'Settings'!$B$12)+(S401*'Settings'!$B$2)+(T401*'Settings'!$B$3)+(U401*'Settings'!$B$4)+(V401*'Settings'!$B$5)+(X401*'Settings'!$B$9)+(AA401*'Settings'!$B$6)+(W401*'Settings'!$B$8)+(AB401*'Settings'!$B$7)+(AC401*'Settings'!$B$14)+(AD401*'Settings'!$B$15)+(AE401*'Settings'!$B$16)+(AF401*'Settings'!$B$17)+(AG401*'Settings'!$B$18)+(U401*'Settings'!$B$13)+(Y401*'Settings'!$B$10)+(Z401*'Settings'!$B$11),VLOOKUP(B401,'Standard Deviations'!A1:C731,3,FALSE))</f>
        <v>155.317571625664</v>
      </c>
      <c r="J401" s="45">
        <f>IF(D401="G",I401/AJ401,I401/Q401)</f>
        <v>2.35358946487853</v>
      </c>
      <c r="K401" s="44">
        <f>VLOOKUP(B401,'D'!A1:F228,6,FALSE)</f>
        <v>-185.417567020859</v>
      </c>
      <c r="L401" s="44">
        <f>_xlfn.IFERROR(K401/H401,"N/A")</f>
        <v>-224.748566085890</v>
      </c>
      <c r="M401" t="s" s="61">
        <f>IF('Settings'!$E$9="YAHOO",VLOOKUP(B401,'ADP'!A1:E731,2,FALSE),IF('Settings'!$E$9="ESPN",VLOOKUP(B401,'ADP'!A1:E731,3,FALSE),IF('Settings'!$E$9="FANTRAX",VLOOKUP(B401,'ADP'!A1:E731,4,FALSE),VLOOKUP(B401,'ADP'!A1:E731,5,FALSE))))</f>
        <v>329</v>
      </c>
      <c r="N401" t="s" s="61">
        <f>_xlfn.IFERROR(M401-A401,"N/A")</f>
        <v>158</v>
      </c>
      <c r="O401" s="46"/>
      <c r="P401" t="s" s="47">
        <f>IF('Settings'!$E$27="ON",VLOOKUP(B401,'ADP'!A1:H731,8,FALSE)," ")</f>
        <v>109</v>
      </c>
      <c r="Q401" s="48">
        <f>IF('Settings'!$E$12="YES",VLOOKUP(B401,'Player Data'!A1:E734,5,FALSE),82)</f>
        <v>65.9917857142857</v>
      </c>
      <c r="R401" s="46">
        <f>VLOOKUP(B401,'Player Data'!$A1:$AE734,6,FALSE)</f>
        <v>16.6452773348151</v>
      </c>
      <c r="S401" s="48">
        <f>VLOOKUP(B401,'Player Data'!$A1:$AE734,7,FALSE)*$Q401*_xlfn.IFERROR((VLOOKUP(P401,'Settings'!$E$28:$F$33,2,FALSE)+1),1)</f>
        <v>4.40588408255717</v>
      </c>
      <c r="T401" s="48">
        <f>VLOOKUP(B401,'Player Data'!$A1:$AE734,8,FALSE)*$Q401*_xlfn.IFERROR((VLOOKUP(P401,'Settings'!$E$28:$F$33,2,FALSE)+1),1)</f>
        <v>15.8951264383367</v>
      </c>
      <c r="U401" s="48">
        <f>SUM(S401:T401)</f>
        <v>20.3010105208939</v>
      </c>
      <c r="V401" s="48">
        <f>VLOOKUP(B401,'Player Data'!$A1:$AE734,10,FALSE)*$Q401*_xlfn.IFERROR(((VLOOKUP(P401,'Settings'!$E$28:$F$33,2,FALSE)/2)+1),1)</f>
        <v>78.561349215937</v>
      </c>
      <c r="W401" s="48">
        <f>VLOOKUP(B401,'Player Data'!$A1:$AE734,11,FALSE)*$Q401*_xlfn.IFERROR((VLOOKUP(P401,'Settings'!$E$28:$F$33,2,FALSE)+1),1)</f>
        <v>0.090643772476302</v>
      </c>
      <c r="X401" s="48">
        <f>VLOOKUP(B401,'Player Data'!$A1:$AE734,12,FALSE)*$Q401*_xlfn.IFERROR((VLOOKUP(P401,'Settings'!$E$28:$F$33,2,FALSE)+1),1)</f>
        <v>1.64915657888455</v>
      </c>
      <c r="Y401" s="48">
        <f>VLOOKUP(B401,'Player Data'!$A1:$AE734,13,FALSE)*$Q401</f>
        <v>0.0244332710942328</v>
      </c>
      <c r="Z401" s="48">
        <f>VLOOKUP(B401,'Player Data'!$A1:$AE734,14,FALSE)*$Q401</f>
        <v>0.0912550962339698</v>
      </c>
      <c r="AA401" s="48">
        <f>VLOOKUP(B401,'Player Data'!$A1:$AE734,15,FALSE)*$Q401</f>
        <v>70.0012664250366</v>
      </c>
      <c r="AB401" s="48">
        <f>VLOOKUP(B401,'Player Data'!$A1:$AE734,16,FALSE)*$Q401</f>
        <v>53.3675837047677</v>
      </c>
      <c r="AC401" s="48">
        <f>VLOOKUP(B401,'Player Data'!$A1:$AE734,17,FALSE)*$Q401*_xlfn.IFERROR((VLOOKUP(P401,'Settings'!$E$28:$F$33,2,FALSE)+1),1)</f>
        <v>0.950442447915585</v>
      </c>
      <c r="AD401" s="48">
        <f>VLOOKUP(B401,'Player Data'!$A1:$AE734,18,FALSE)*$Q401</f>
        <v>22.2056543562673</v>
      </c>
      <c r="AE401" s="48">
        <f>VLOOKUP(B401,'Player Data'!$A1:$AE734,19,FALSE)*$Q401*_xlfn.IFERROR((VLOOKUP(P401,'Settings'!$E$28:$F$33,2,FALSE)+1),1)</f>
        <v>0.680805391672882</v>
      </c>
      <c r="AF401" s="48">
        <f>VLOOKUP(B401,'Player Data'!$A1:$AE734,20,FALSE)*$Q401</f>
        <v>0</v>
      </c>
      <c r="AG401" s="48">
        <f>VLOOKUP(B401,'Player Data'!$A1:$AE734,21,FALSE)*$Q401</f>
        <v>0</v>
      </c>
      <c r="AH401" s="49">
        <f>VLOOKUP(B401,'Player Data'!$A1:$AE734,22,FALSE)</f>
        <v>0</v>
      </c>
      <c r="AI401" s="46"/>
      <c r="AJ401" s="50"/>
      <c r="AK401" s="48"/>
      <c r="AL401" s="48"/>
      <c r="AM401" s="48"/>
      <c r="AN401" s="48"/>
      <c r="AO401" s="48"/>
      <c r="AP401" s="48"/>
      <c r="AQ401" s="51"/>
      <c r="AR401" s="52"/>
      <c r="AS401" s="46"/>
    </row>
    <row r="402" ht="21.25" customHeight="1">
      <c r="A402" s="53">
        <f>RANK(K402,K2:K730)</f>
        <v>222</v>
      </c>
      <c r="B402" t="s" s="8">
        <v>554</v>
      </c>
      <c r="C402" t="s" s="39">
        <v>106</v>
      </c>
      <c r="D402" t="s" s="40">
        <f>VLOOKUP(B402,'Player Data'!A1:D734,4,FALSE)</f>
        <v>133</v>
      </c>
      <c r="E402" s="57">
        <f>VLOOKUP(B402,'LW'!A1:C156,3,FALSE)</f>
        <v>55</v>
      </c>
      <c r="F402" t="s" s="42">
        <f>VLOOKUP(B402,'Player Data'!A1:B734,2,FALSE)</f>
        <v>124</v>
      </c>
      <c r="G402" s="9">
        <f>VLOOKUP(B402,'Player Data'!A1:D734,3,FALSE)</f>
        <v>26</v>
      </c>
      <c r="H402" s="43">
        <f>_xlfn.IFERROR(VLOOKUP(B402,'ADP'!A1:G731,7,FALSE)/1000000,VLOOKUP(B402,'ADP'!A1:G731,7,FALSE))</f>
        <v>2.665</v>
      </c>
      <c r="I402" s="44">
        <f>IF('Settings'!$E$15="POINTS",((R402*Q402)*'Settings'!$B$12)+(S402*'Settings'!$B$2)+(T402*'Settings'!$B$3)+(U402*'Settings'!$B$4)+(V402*'Settings'!$B$5)+(X402*'Settings'!$B$9)+(AA402*'Settings'!$B$6)+(W402*'Settings'!$B$8)+(AB402*'Settings'!$B$7)+(AC402*'Settings'!$B$14)+(AD402*'Settings'!$B$15)+(AE402*'Settings'!$B$16)+(AF402*'Settings'!$B$17)+(AG402*'Settings'!$B$18)+(Y402*'Settings'!$B$10)+(Z402*'Settings'!$B$11),VLOOKUP(B402,'Standard Deviations'!A1:C731,3,FALSE))</f>
        <v>300.121802475646</v>
      </c>
      <c r="J402" s="45">
        <f>IF(D402="G",I402/AJ402,I402/Q402)</f>
        <v>4.01104042791796</v>
      </c>
      <c r="K402" s="44">
        <f>IF('Settings'!$E$18="C/LW/RW",VLOOKUP(B402,'LW'!A1:F156,6,FALSE),VLOOKUP(B402,'F'!A1:F432,6,FALSE))</f>
        <v>-81.506761230710</v>
      </c>
      <c r="L402" s="44">
        <f>_xlfn.IFERROR(K402/H402,"N/A")</f>
        <v>-30.5841505556135</v>
      </c>
      <c r="M402" s="46">
        <f>IF('Settings'!$E$9="YAHOO",VLOOKUP(B402,'ADP'!A1:E731,2,FALSE),IF('Settings'!$E$9="ESPN",VLOOKUP(B402,'ADP'!A1:E731,3,FALSE),IF('Settings'!$E$9="FANTRAX",VLOOKUP(B402,'ADP'!A1:E731,4,FALSE),VLOOKUP(B402,'ADP'!A1:E731,5,FALSE))))</f>
        <v>267.12</v>
      </c>
      <c r="N402" s="46">
        <f>_xlfn.IFERROR(M402-A402,"N/A")</f>
        <v>45.12</v>
      </c>
      <c r="O402" s="46"/>
      <c r="P402" t="s" s="47">
        <f>IF('Settings'!$E$27="ON",VLOOKUP(B402,'ADP'!A1:H731,8,FALSE)," ")</f>
        <v>109</v>
      </c>
      <c r="Q402" s="48">
        <f>IF('Settings'!$E$12="YES",VLOOKUP(B402,'Player Data'!A1:E734,5,FALSE),82)</f>
        <v>74.8239285714286</v>
      </c>
      <c r="R402" s="46">
        <f>VLOOKUP(B402,'Player Data'!$A1:$AE734,6,FALSE)</f>
        <v>16.8118233024544</v>
      </c>
      <c r="S402" s="48">
        <f>VLOOKUP(B402,'Player Data'!$A1:$AE734,7,FALSE)*$Q402*_xlfn.IFERROR((VLOOKUP(P402,'Settings'!$E$28:$F$33,2,FALSE)+1),1)</f>
        <v>16.3407878965162</v>
      </c>
      <c r="T402" s="48">
        <f>VLOOKUP(B402,'Player Data'!$A1:$AE734,8,FALSE)*$Q402*_xlfn.IFERROR((VLOOKUP(P402,'Settings'!$E$28:$F$33,2,FALSE)+1),1)</f>
        <v>18.2756570863987</v>
      </c>
      <c r="U402" s="48">
        <f>SUM(S402:T402)</f>
        <v>34.6164449829149</v>
      </c>
      <c r="V402" s="48">
        <f>VLOOKUP(B402,'Player Data'!$A1:$AE734,10,FALSE)*$Q402*_xlfn.IFERROR(((VLOOKUP(P402,'Settings'!$E$28:$F$33,2,FALSE)/2)+1),1)</f>
        <v>132.785282605836</v>
      </c>
      <c r="W402" s="48">
        <f>VLOOKUP(B402,'Player Data'!$A1:$AE734,11,FALSE)*$Q402*_xlfn.IFERROR((VLOOKUP(P402,'Settings'!$E$28:$F$33,2,FALSE)+1),1)</f>
        <v>2.22553123534241</v>
      </c>
      <c r="X402" s="48">
        <f>VLOOKUP(B402,'Player Data'!$A1:$AE734,12,FALSE)*$Q402*_xlfn.IFERROR((VLOOKUP(P402,'Settings'!$E$28:$F$33,2,FALSE)+1),1)</f>
        <v>4.5807123625782</v>
      </c>
      <c r="Y402" s="48">
        <f>VLOOKUP(B402,'Player Data'!$A1:$AE734,13,FALSE)*$Q402</f>
        <v>0.526828445052655</v>
      </c>
      <c r="Z402" s="48">
        <f>VLOOKUP(B402,'Player Data'!$A1:$AE734,14,FALSE)*$Q402</f>
        <v>1.22301299799377</v>
      </c>
      <c r="AA402" s="48">
        <f>VLOOKUP(B402,'Player Data'!$A1:$AE734,15,FALSE)*$Q402</f>
        <v>61.266131843639</v>
      </c>
      <c r="AB402" s="48">
        <f>VLOOKUP(B402,'Player Data'!$A1:$AE734,16,FALSE)*$Q402</f>
        <v>289.158209845606</v>
      </c>
      <c r="AC402" s="48">
        <f>VLOOKUP(B402,'Player Data'!$A1:$AE734,17,FALSE)*$Q402*_xlfn.IFERROR((VLOOKUP(P402,'Settings'!$E$28:$F$33,2,FALSE)+1),1)</f>
        <v>-0.000396061252631773</v>
      </c>
      <c r="AD402" s="48">
        <f>VLOOKUP(B402,'Player Data'!$A1:$AE734,18,FALSE)*$Q402</f>
        <v>93.3079146747434</v>
      </c>
      <c r="AE402" s="48">
        <f>VLOOKUP(B402,'Player Data'!$A1:$AE734,19,FALSE)*$Q402*_xlfn.IFERROR((VLOOKUP(P402,'Settings'!$E$28:$F$33,2,FALSE)+1),1)</f>
        <v>2.5573392416062</v>
      </c>
      <c r="AF402" s="48">
        <f>VLOOKUP(B402,'Player Data'!$A1:$AE734,20,FALSE)*$Q402</f>
        <v>10.9121595004415</v>
      </c>
      <c r="AG402" s="48">
        <f>VLOOKUP(B402,'Player Data'!$A1:$AE734,21,FALSE)*$Q402</f>
        <v>14.9832193902137</v>
      </c>
      <c r="AH402" s="49">
        <f>VLOOKUP(B402,'Player Data'!$A1:$AE734,22,FALSE)</f>
        <v>0.421394085273623</v>
      </c>
      <c r="AI402" s="46"/>
      <c r="AJ402" s="50"/>
      <c r="AK402" s="48"/>
      <c r="AL402" s="48"/>
      <c r="AM402" s="48"/>
      <c r="AN402" s="48"/>
      <c r="AO402" s="48"/>
      <c r="AP402" s="48"/>
      <c r="AQ402" s="51"/>
      <c r="AR402" s="52"/>
      <c r="AS402" s="50"/>
    </row>
    <row r="403" ht="21.25" customHeight="1">
      <c r="A403" s="53">
        <f>RANK(K403,K2:K730)</f>
        <v>381</v>
      </c>
      <c r="B403" t="s" s="8">
        <v>555</v>
      </c>
      <c r="C403" t="s" s="39">
        <v>106</v>
      </c>
      <c r="D403" t="s" s="40">
        <f>VLOOKUP(B403,'Player Data'!A1:D734,4,FALSE)</f>
        <v>129</v>
      </c>
      <c r="E403" s="56">
        <f>VLOOKUP(B403,'D'!A1:C228,3,FALSE)</f>
        <v>125</v>
      </c>
      <c r="F403" t="s" s="42">
        <f>VLOOKUP(B403,'Player Data'!A1:B734,2,FALSE)</f>
        <v>134</v>
      </c>
      <c r="G403" s="9">
        <f>VLOOKUP(B403,'Player Data'!A1:D734,3,FALSE)</f>
        <v>27</v>
      </c>
      <c r="H403" s="43">
        <f>_xlfn.IFERROR(VLOOKUP(B403,'ADP'!A1:G731,7,FALSE)/1000000,VLOOKUP(B403,'ADP'!A1:G731,7,FALSE))</f>
        <v>2.45</v>
      </c>
      <c r="I403" s="44">
        <f>IF('Settings'!$E$15="POINTS",((R403*Q403)*'Settings'!$B$12)+(S403*'Settings'!$B$2)+(T403*'Settings'!$B$3)+(U403*'Settings'!$B$4)+(V403*'Settings'!$B$5)+(X403*'Settings'!$B$9)+(AA403*'Settings'!$B$6)+(W403*'Settings'!$B$8)+(AB403*'Settings'!$B$7)+(AC403*'Settings'!$B$14)+(AD403*'Settings'!$B$15)+(AE403*'Settings'!$B$16)+(AF403*'Settings'!$B$17)+(AG403*'Settings'!$B$18)+(U403*'Settings'!$B$13)+(Y403*'Settings'!$B$10)+(Z403*'Settings'!$B$11),VLOOKUP(B403,'Standard Deviations'!A1:C731,3,FALSE))</f>
        <v>194.660783021593</v>
      </c>
      <c r="J403" s="45">
        <f>IF(D403="G",I403/AJ403,I403/Q403)</f>
        <v>2.57156158422132</v>
      </c>
      <c r="K403" s="44">
        <f>VLOOKUP(B403,'D'!A1:F228,6,FALSE)</f>
        <v>-146.074355624930</v>
      </c>
      <c r="L403" s="44">
        <f>_xlfn.IFERROR(K403/H403,"N/A")</f>
        <v>-59.6221859693592</v>
      </c>
      <c r="M403" t="s" s="61">
        <f>IF('Settings'!$E$9="YAHOO",VLOOKUP(B403,'ADP'!A1:E731,2,FALSE),IF('Settings'!$E$9="ESPN",VLOOKUP(B403,'ADP'!A1:E731,3,FALSE),IF('Settings'!$E$9="FANTRAX",VLOOKUP(B403,'ADP'!A1:E731,4,FALSE),VLOOKUP(B403,'ADP'!A1:E731,5,FALSE))))</f>
        <v>329</v>
      </c>
      <c r="N403" t="s" s="61">
        <f>_xlfn.IFERROR(M403-A403,"N/A")</f>
        <v>158</v>
      </c>
      <c r="O403" s="46"/>
      <c r="P403" t="s" s="47">
        <f>IF('Settings'!$E$27="ON",VLOOKUP(B403,'ADP'!A1:H731,8,FALSE)," ")</f>
        <v>109</v>
      </c>
      <c r="Q403" s="48">
        <f>IF('Settings'!$E$12="YES",VLOOKUP(B403,'Player Data'!A1:E734,5,FALSE),82)</f>
        <v>75.69750000000001</v>
      </c>
      <c r="R403" s="46">
        <f>VLOOKUP(B403,'Player Data'!$A1:$AE734,6,FALSE)</f>
        <v>18.9596385290324</v>
      </c>
      <c r="S403" s="48">
        <f>VLOOKUP(B403,'Player Data'!$A1:$AE734,7,FALSE)*$Q403*_xlfn.IFERROR((VLOOKUP(P403,'Settings'!$E$28:$F$33,2,FALSE)+1),1)</f>
        <v>3.77607402217155</v>
      </c>
      <c r="T403" s="48">
        <f>VLOOKUP(B403,'Player Data'!$A1:$AE734,8,FALSE)*$Q403*_xlfn.IFERROR((VLOOKUP(P403,'Settings'!$E$28:$F$33,2,FALSE)+1),1)</f>
        <v>12.2917797391175</v>
      </c>
      <c r="U403" s="48">
        <f>SUM(S403:T403)</f>
        <v>16.0678537612891</v>
      </c>
      <c r="V403" s="48">
        <f>VLOOKUP(B403,'Player Data'!$A1:$AE734,10,FALSE)*$Q403*_xlfn.IFERROR(((VLOOKUP(P403,'Settings'!$E$28:$F$33,2,FALSE)/2)+1),1)</f>
        <v>79.9864818797879</v>
      </c>
      <c r="W403" s="48">
        <f>VLOOKUP(B403,'Player Data'!$A1:$AE734,11,FALSE)*$Q403*_xlfn.IFERROR((VLOOKUP(P403,'Settings'!$E$28:$F$33,2,FALSE)+1),1)</f>
        <v>0.0195667761323685</v>
      </c>
      <c r="X403" s="48">
        <f>VLOOKUP(B403,'Player Data'!$A1:$AE734,12,FALSE)*$Q403*_xlfn.IFERROR((VLOOKUP(P403,'Settings'!$E$28:$F$33,2,FALSE)+1),1)</f>
        <v>0.180586821382935</v>
      </c>
      <c r="Y403" s="48">
        <f>VLOOKUP(B403,'Player Data'!$A1:$AE734,13,FALSE)*$Q403</f>
        <v>0.0350610046954739</v>
      </c>
      <c r="Z403" s="48">
        <f>VLOOKUP(B403,'Player Data'!$A1:$AE734,14,FALSE)*$Q403</f>
        <v>0.991974335187901</v>
      </c>
      <c r="AA403" s="48">
        <f>VLOOKUP(B403,'Player Data'!$A1:$AE734,15,FALSE)*$Q403</f>
        <v>139.347168825797</v>
      </c>
      <c r="AB403" s="48">
        <f>VLOOKUP(B403,'Player Data'!$A1:$AE734,16,FALSE)*$Q403</f>
        <v>116.569346725203</v>
      </c>
      <c r="AC403" s="48">
        <f>VLOOKUP(B403,'Player Data'!$A1:$AE734,17,FALSE)*$Q403*_xlfn.IFERROR((VLOOKUP(P403,'Settings'!$E$28:$F$33,2,FALSE)+1),1)</f>
        <v>2.02447263192211</v>
      </c>
      <c r="AD403" s="48">
        <f>VLOOKUP(B403,'Player Data'!$A1:$AE734,18,FALSE)*$Q403</f>
        <v>61.3883131885555</v>
      </c>
      <c r="AE403" s="48">
        <f>VLOOKUP(B403,'Player Data'!$A1:$AE734,19,FALSE)*$Q403*_xlfn.IFERROR((VLOOKUP(P403,'Settings'!$E$28:$F$33,2,FALSE)+1),1)</f>
        <v>0.606348431273779</v>
      </c>
      <c r="AF403" s="48">
        <f>VLOOKUP(B403,'Player Data'!$A1:$AE734,20,FALSE)*$Q403</f>
        <v>0</v>
      </c>
      <c r="AG403" s="48">
        <f>VLOOKUP(B403,'Player Data'!$A1:$AE734,21,FALSE)*$Q403</f>
        <v>0</v>
      </c>
      <c r="AH403" s="49">
        <f>VLOOKUP(B403,'Player Data'!$A1:$AE734,22,FALSE)</f>
        <v>0</v>
      </c>
      <c r="AI403" s="46"/>
      <c r="AJ403" s="50"/>
      <c r="AK403" s="48"/>
      <c r="AL403" s="48"/>
      <c r="AM403" s="48"/>
      <c r="AN403" s="48"/>
      <c r="AO403" s="48"/>
      <c r="AP403" s="48"/>
      <c r="AQ403" s="51"/>
      <c r="AR403" s="52"/>
      <c r="AS403" s="46"/>
    </row>
    <row r="404" ht="21.25" customHeight="1">
      <c r="A404" s="53">
        <f>RANK(K404,K2:K730)</f>
        <v>424</v>
      </c>
      <c r="B404" t="s" s="8">
        <v>556</v>
      </c>
      <c r="C404" t="s" s="39">
        <v>106</v>
      </c>
      <c r="D404" t="s" s="40">
        <f>VLOOKUP(B404,'Player Data'!A1:D734,4,FALSE)</f>
        <v>129</v>
      </c>
      <c r="E404" s="56">
        <f>VLOOKUP(B404,'D'!A1:C228,3,FALSE)</f>
        <v>144</v>
      </c>
      <c r="F404" t="s" s="42">
        <f>VLOOKUP(B404,'Player Data'!A1:B734,2,FALSE)</f>
        <v>119</v>
      </c>
      <c r="G404" s="9">
        <f>VLOOKUP(B404,'Player Data'!A1:D734,3,FALSE)</f>
        <v>32</v>
      </c>
      <c r="H404" s="43">
        <f>_xlfn.IFERROR(VLOOKUP(B404,'ADP'!A1:G731,7,FALSE)/1000000,VLOOKUP(B404,'ADP'!A1:G731,7,FALSE))</f>
        <v>1</v>
      </c>
      <c r="I404" s="44">
        <f>IF('Settings'!$E$15="POINTS",((R404*Q404)*'Settings'!$B$12)+(S404*'Settings'!$B$2)+(T404*'Settings'!$B$3)+(U404*'Settings'!$B$4)+(V404*'Settings'!$B$5)+(X404*'Settings'!$B$9)+(AA404*'Settings'!$B$6)+(W404*'Settings'!$B$8)+(AB404*'Settings'!$B$7)+(AC404*'Settings'!$B$14)+(AD404*'Settings'!$B$15)+(AE404*'Settings'!$B$16)+(AF404*'Settings'!$B$17)+(AG404*'Settings'!$B$18)+(U404*'Settings'!$B$13)+(Y404*'Settings'!$B$10)+(Z404*'Settings'!$B$11),VLOOKUP(B404,'Standard Deviations'!A1:C731,3,FALSE))</f>
        <v>181.891687219309</v>
      </c>
      <c r="J404" s="45">
        <f>IF(D404="G",I404/AJ404,I404/Q404)</f>
        <v>2.33430680411069</v>
      </c>
      <c r="K404" s="44">
        <f>VLOOKUP(B404,'D'!A1:F228,6,FALSE)</f>
        <v>-158.843451427214</v>
      </c>
      <c r="L404" s="44">
        <f>_xlfn.IFERROR(K404/H404,"N/A")</f>
        <v>-158.843451427214</v>
      </c>
      <c r="M404" t="s" s="61">
        <f>IF('Settings'!$E$9="YAHOO",VLOOKUP(B404,'ADP'!A1:E731,2,FALSE),IF('Settings'!$E$9="ESPN",VLOOKUP(B404,'ADP'!A1:E731,3,FALSE),IF('Settings'!$E$9="FANTRAX",VLOOKUP(B404,'ADP'!A1:E731,4,FALSE),VLOOKUP(B404,'ADP'!A1:E731,5,FALSE))))</f>
        <v>329</v>
      </c>
      <c r="N404" t="s" s="61">
        <f>_xlfn.IFERROR(M404-A404,"N/A")</f>
        <v>158</v>
      </c>
      <c r="O404" s="46"/>
      <c r="P404" t="s" s="47">
        <f>IF('Settings'!$E$27="ON",VLOOKUP(B404,'ADP'!A1:H731,8,FALSE)," ")</f>
        <v>109</v>
      </c>
      <c r="Q404" s="48">
        <f>IF('Settings'!$E$12="YES",VLOOKUP(B404,'Player Data'!A1:E734,5,FALSE),82)</f>
        <v>77.92107142857139</v>
      </c>
      <c r="R404" s="46">
        <f>VLOOKUP(B404,'Player Data'!$A1:$AE734,6,FALSE)</f>
        <v>18.2685886510595</v>
      </c>
      <c r="S404" s="48">
        <f>VLOOKUP(B404,'Player Data'!$A1:$AE734,7,FALSE)*$Q404*_xlfn.IFERROR((VLOOKUP(P404,'Settings'!$E$28:$F$33,2,FALSE)+1),1)</f>
        <v>3.71653281164452</v>
      </c>
      <c r="T404" s="48">
        <f>VLOOKUP(B404,'Player Data'!$A1:$AE734,8,FALSE)*$Q404*_xlfn.IFERROR((VLOOKUP(P404,'Settings'!$E$28:$F$33,2,FALSE)+1),1)</f>
        <v>13.1561690688871</v>
      </c>
      <c r="U404" s="48">
        <f>SUM(S404:T404)</f>
        <v>16.8727018805316</v>
      </c>
      <c r="V404" s="48">
        <f>VLOOKUP(B404,'Player Data'!$A1:$AE734,10,FALSE)*$Q404*_xlfn.IFERROR(((VLOOKUP(P404,'Settings'!$E$28:$F$33,2,FALSE)/2)+1),1)</f>
        <v>85.8798008590739</v>
      </c>
      <c r="W404" s="48">
        <f>VLOOKUP(B404,'Player Data'!$A1:$AE734,11,FALSE)*$Q404*_xlfn.IFERROR((VLOOKUP(P404,'Settings'!$E$28:$F$33,2,FALSE)+1),1)</f>
        <v>0.0202707138094554</v>
      </c>
      <c r="X404" s="48">
        <f>VLOOKUP(B404,'Player Data'!$A1:$AE734,12,FALSE)*$Q404*_xlfn.IFERROR((VLOOKUP(P404,'Settings'!$E$28:$F$33,2,FALSE)+1),1)</f>
        <v>0.143259115269278</v>
      </c>
      <c r="Y404" s="48">
        <f>VLOOKUP(B404,'Player Data'!$A1:$AE734,13,FALSE)*$Q404</f>
        <v>0.0242192090615046</v>
      </c>
      <c r="Z404" s="48">
        <f>VLOOKUP(B404,'Player Data'!$A1:$AE734,14,FALSE)*$Q404</f>
        <v>0.133387047341483</v>
      </c>
      <c r="AA404" s="48">
        <f>VLOOKUP(B404,'Player Data'!$A1:$AE734,15,FALSE)*$Q404</f>
        <v>112.054030344192</v>
      </c>
      <c r="AB404" s="48">
        <f>VLOOKUP(B404,'Player Data'!$A1:$AE734,16,FALSE)*$Q404</f>
        <v>105.860370655724</v>
      </c>
      <c r="AC404" s="48">
        <f>VLOOKUP(B404,'Player Data'!$A1:$AE734,17,FALSE)*$Q404*_xlfn.IFERROR((VLOOKUP(P404,'Settings'!$E$28:$F$33,2,FALSE)+1),1)</f>
        <v>1.33516467679484</v>
      </c>
      <c r="AD404" s="48">
        <f>VLOOKUP(B404,'Player Data'!$A1:$AE734,18,FALSE)*$Q404</f>
        <v>38.1952676464576</v>
      </c>
      <c r="AE404" s="48">
        <f>VLOOKUP(B404,'Player Data'!$A1:$AE734,19,FALSE)*$Q404*_xlfn.IFERROR((VLOOKUP(P404,'Settings'!$E$28:$F$33,2,FALSE)+1),1)</f>
        <v>0.53314510917768</v>
      </c>
      <c r="AF404" s="48">
        <f>VLOOKUP(B404,'Player Data'!$A1:$AE734,20,FALSE)*$Q404</f>
        <v>0</v>
      </c>
      <c r="AG404" s="48">
        <f>VLOOKUP(B404,'Player Data'!$A1:$AE734,21,FALSE)*$Q404</f>
        <v>0</v>
      </c>
      <c r="AH404" s="49">
        <f>VLOOKUP(B404,'Player Data'!$A1:$AE734,22,FALSE)</f>
        <v>0</v>
      </c>
      <c r="AI404" s="46"/>
      <c r="AJ404" s="50"/>
      <c r="AK404" s="48"/>
      <c r="AL404" s="48"/>
      <c r="AM404" s="48"/>
      <c r="AN404" s="48"/>
      <c r="AO404" s="48"/>
      <c r="AP404" s="48"/>
      <c r="AQ404" s="51"/>
      <c r="AR404" s="52"/>
      <c r="AS404" s="46"/>
    </row>
    <row r="405" ht="21.25" customHeight="1">
      <c r="A405" s="53">
        <f>RANK(K405,K2:K730)</f>
        <v>350</v>
      </c>
      <c r="B405" t="s" s="8">
        <v>557</v>
      </c>
      <c r="C405" t="s" s="39">
        <v>106</v>
      </c>
      <c r="D405" t="s" s="40">
        <f>VLOOKUP(B405,'Player Data'!A1:D734,4,FALSE)</f>
        <v>133</v>
      </c>
      <c r="E405" s="57">
        <f>VLOOKUP(B405,'LW'!A1:C156,3,FALSE)</f>
        <v>82</v>
      </c>
      <c r="F405" t="s" s="42">
        <f>VLOOKUP(B405,'Player Data'!A1:B734,2,FALSE)</f>
        <v>127</v>
      </c>
      <c r="G405" s="9">
        <f>VLOOKUP(B405,'Player Data'!A1:D734,3,FALSE)</f>
        <v>32</v>
      </c>
      <c r="H405" s="43">
        <f>_xlfn.IFERROR(VLOOKUP(B405,'ADP'!A1:G731,7,FALSE)/1000000,VLOOKUP(B405,'ADP'!A1:G731,7,FALSE))</f>
        <v>3.15</v>
      </c>
      <c r="I405" s="44">
        <f>IF('Settings'!$E$15="POINTS",((R405*Q405)*'Settings'!$B$12)+(S405*'Settings'!$B$2)+(T405*'Settings'!$B$3)+(U405*'Settings'!$B$4)+(V405*'Settings'!$B$5)+(X405*'Settings'!$B$9)+(AA405*'Settings'!$B$6)+(W405*'Settings'!$B$8)+(AB405*'Settings'!$B$7)+(AC405*'Settings'!$B$14)+(AD405*'Settings'!$B$15)+(AE405*'Settings'!$B$16)+(AF405*'Settings'!$B$17)+(AG405*'Settings'!$B$18)+(Y405*'Settings'!$B$10)+(Z405*'Settings'!$B$11),VLOOKUP(B405,'Standard Deviations'!A1:C731,3,FALSE))</f>
        <v>248.685113100450</v>
      </c>
      <c r="J405" s="45">
        <f>IF(D405="G",I405/AJ405,I405/Q405)</f>
        <v>3.09337324158712</v>
      </c>
      <c r="K405" s="44">
        <f>IF('Settings'!$E$18="C/LW/RW",VLOOKUP(B405,'LW'!A1:F156,6,FALSE),VLOOKUP(B405,'F'!A1:F432,6,FALSE))</f>
        <v>-132.943450605906</v>
      </c>
      <c r="L405" s="44">
        <f>_xlfn.IFERROR(K405/H405,"N/A")</f>
        <v>-42.204270033621</v>
      </c>
      <c r="M405" t="s" s="61">
        <f>IF('Settings'!$E$9="YAHOO",VLOOKUP(B405,'ADP'!A1:E731,2,FALSE),IF('Settings'!$E$9="ESPN",VLOOKUP(B405,'ADP'!A1:E731,3,FALSE),IF('Settings'!$E$9="FANTRAX",VLOOKUP(B405,'ADP'!A1:E731,4,FALSE),VLOOKUP(B405,'ADP'!A1:E731,5,FALSE))))</f>
        <v>329</v>
      </c>
      <c r="N405" t="s" s="61">
        <f>_xlfn.IFERROR(M405-A405,"N/A")</f>
        <v>158</v>
      </c>
      <c r="O405" s="46"/>
      <c r="P405" t="s" s="47">
        <f>IF('Settings'!$E$27="ON",VLOOKUP(B405,'ADP'!A1:H731,8,FALSE)," ")</f>
        <v>109</v>
      </c>
      <c r="Q405" s="48">
        <f>IF('Settings'!$E$12="YES",VLOOKUP(B405,'Player Data'!A1:E734,5,FALSE),82)</f>
        <v>80.3928571428571</v>
      </c>
      <c r="R405" s="46">
        <f>VLOOKUP(B405,'Player Data'!$A1:$AE734,6,FALSE)</f>
        <v>15.2022447143314</v>
      </c>
      <c r="S405" s="48">
        <f>VLOOKUP(B405,'Player Data'!$A1:$AE734,7,FALSE)*$Q405*_xlfn.IFERROR((VLOOKUP(P405,'Settings'!$E$28:$F$33,2,FALSE)+1),1)</f>
        <v>13.2692932552581</v>
      </c>
      <c r="T405" s="48">
        <f>VLOOKUP(B405,'Player Data'!$A1:$AE734,8,FALSE)*$Q405*_xlfn.IFERROR((VLOOKUP(P405,'Settings'!$E$28:$F$33,2,FALSE)+1),1)</f>
        <v>21.868442575655</v>
      </c>
      <c r="U405" s="48">
        <f>SUM(S405:T405)</f>
        <v>35.1377358309131</v>
      </c>
      <c r="V405" s="48">
        <f>VLOOKUP(B405,'Player Data'!$A1:$AE734,10,FALSE)*$Q405*_xlfn.IFERROR(((VLOOKUP(P405,'Settings'!$E$28:$F$33,2,FALSE)/2)+1),1)</f>
        <v>141.777440030511</v>
      </c>
      <c r="W405" s="48">
        <f>VLOOKUP(B405,'Player Data'!$A1:$AE734,11,FALSE)*$Q405*_xlfn.IFERROR((VLOOKUP(P405,'Settings'!$E$28:$F$33,2,FALSE)+1),1)</f>
        <v>0.969188890032999</v>
      </c>
      <c r="X405" s="48">
        <f>VLOOKUP(B405,'Player Data'!$A1:$AE734,12,FALSE)*$Q405*_xlfn.IFERROR((VLOOKUP(P405,'Settings'!$E$28:$F$33,2,FALSE)+1),1)</f>
        <v>2.79455458610288</v>
      </c>
      <c r="Y405" s="48">
        <f>VLOOKUP(B405,'Player Data'!$A1:$AE734,13,FALSE)*$Q405</f>
        <v>1.66070378893494</v>
      </c>
      <c r="Z405" s="48">
        <f>VLOOKUP(B405,'Player Data'!$A1:$AE734,14,FALSE)*$Q405</f>
        <v>2.40497836830145</v>
      </c>
      <c r="AA405" s="48">
        <f>VLOOKUP(B405,'Player Data'!$A1:$AE734,15,FALSE)*$Q405</f>
        <v>47.0814384827591</v>
      </c>
      <c r="AB405" s="48">
        <f>VLOOKUP(B405,'Player Data'!$A1:$AE734,16,FALSE)*$Q405</f>
        <v>96.51427892634059</v>
      </c>
      <c r="AC405" s="48">
        <f>VLOOKUP(B405,'Player Data'!$A1:$AE734,17,FALSE)*$Q405*_xlfn.IFERROR((VLOOKUP(P405,'Settings'!$E$28:$F$33,2,FALSE)+1),1)</f>
        <v>0.860320535064135</v>
      </c>
      <c r="AD405" s="48">
        <f>VLOOKUP(B405,'Player Data'!$A1:$AE734,18,FALSE)*$Q405</f>
        <v>39.2347150145211</v>
      </c>
      <c r="AE405" s="48">
        <f>VLOOKUP(B405,'Player Data'!$A1:$AE734,19,FALSE)*$Q405*_xlfn.IFERROR((VLOOKUP(P405,'Settings'!$E$28:$F$33,2,FALSE)+1),1)</f>
        <v>1.95029393190406</v>
      </c>
      <c r="AF405" s="48">
        <f>VLOOKUP(B405,'Player Data'!$A1:$AE734,20,FALSE)*$Q405</f>
        <v>504.611756282788</v>
      </c>
      <c r="AG405" s="48">
        <f>VLOOKUP(B405,'Player Data'!$A1:$AE734,21,FALSE)*$Q405</f>
        <v>425.430924459627</v>
      </c>
      <c r="AH405" s="49">
        <f>VLOOKUP(B405,'Player Data'!$A1:$AE734,22,FALSE)</f>
        <v>0.542568386087375</v>
      </c>
      <c r="AI405" s="46"/>
      <c r="AJ405" s="50"/>
      <c r="AK405" s="48"/>
      <c r="AL405" s="48"/>
      <c r="AM405" s="48"/>
      <c r="AN405" s="48"/>
      <c r="AO405" s="48"/>
      <c r="AP405" s="48"/>
      <c r="AQ405" s="51"/>
      <c r="AR405" s="52"/>
      <c r="AS405" s="46"/>
    </row>
    <row r="406" ht="21.25" customHeight="1">
      <c r="A406" s="53">
        <f>RANK(K406,K2:K730)</f>
        <v>427</v>
      </c>
      <c r="B406" t="s" s="8">
        <v>558</v>
      </c>
      <c r="C406" t="s" s="39">
        <v>106</v>
      </c>
      <c r="D406" t="s" s="40">
        <f>VLOOKUP(B406,'Player Data'!A1:D734,4,FALSE)</f>
        <v>129</v>
      </c>
      <c r="E406" s="56">
        <f>VLOOKUP(B406,'D'!A1:C228,3,FALSE)</f>
        <v>146</v>
      </c>
      <c r="F406" t="s" s="42">
        <f>VLOOKUP(B406,'Player Data'!A1:B734,2,FALSE)</f>
        <v>248</v>
      </c>
      <c r="G406" s="9">
        <f>VLOOKUP(B406,'Player Data'!A1:D734,3,FALSE)</f>
        <v>31</v>
      </c>
      <c r="H406" s="43">
        <f>_xlfn.IFERROR(VLOOKUP(B406,'ADP'!A1:G731,7,FALSE)/1000000,VLOOKUP(B406,'ADP'!A1:G731,7,FALSE))</f>
        <v>3.15</v>
      </c>
      <c r="I406" s="44">
        <f>IF('Settings'!$E$15="POINTS",((R406*Q406)*'Settings'!$B$12)+(S406*'Settings'!$B$2)+(T406*'Settings'!$B$3)+(U406*'Settings'!$B$4)+(V406*'Settings'!$B$5)+(X406*'Settings'!$B$9)+(AA406*'Settings'!$B$6)+(W406*'Settings'!$B$8)+(AB406*'Settings'!$B$7)+(AC406*'Settings'!$B$14)+(AD406*'Settings'!$B$15)+(AE406*'Settings'!$B$16)+(AF406*'Settings'!$B$17)+(AG406*'Settings'!$B$18)+(U406*'Settings'!$B$13)+(Y406*'Settings'!$B$10)+(Z406*'Settings'!$B$11),VLOOKUP(B406,'Standard Deviations'!A1:C731,3,FALSE))</f>
        <v>179.504147353979</v>
      </c>
      <c r="J406" s="45">
        <f>IF(D406="G",I406/AJ406,I406/Q406)</f>
        <v>2.27195789150879</v>
      </c>
      <c r="K406" s="44">
        <f>VLOOKUP(B406,'D'!A1:F228,6,FALSE)</f>
        <v>-161.230991292544</v>
      </c>
      <c r="L406" s="44">
        <f>_xlfn.IFERROR(K406/H406,"N/A")</f>
        <v>-51.1844416801727</v>
      </c>
      <c r="M406" t="s" s="61">
        <f>IF('Settings'!$E$9="YAHOO",VLOOKUP(B406,'ADP'!A1:E731,2,FALSE),IF('Settings'!$E$9="ESPN",VLOOKUP(B406,'ADP'!A1:E731,3,FALSE),IF('Settings'!$E$9="FANTRAX",VLOOKUP(B406,'ADP'!A1:E731,4,FALSE),VLOOKUP(B406,'ADP'!A1:E731,5,FALSE))))</f>
        <v>329</v>
      </c>
      <c r="N406" t="s" s="61">
        <f>_xlfn.IFERROR(M406-A406,"N/A")</f>
        <v>158</v>
      </c>
      <c r="O406" s="46"/>
      <c r="P406" t="s" s="47">
        <f>IF('Settings'!$E$27="ON",VLOOKUP(B406,'ADP'!A1:H731,8,FALSE)," ")</f>
        <v>109</v>
      </c>
      <c r="Q406" s="48">
        <f>IF('Settings'!$E$12="YES",VLOOKUP(B406,'Player Data'!A1:E734,5,FALSE),82)</f>
        <v>79.0085714285714</v>
      </c>
      <c r="R406" s="46">
        <f>VLOOKUP(B406,'Player Data'!$A1:$AE734,6,FALSE)</f>
        <v>17.8515808305662</v>
      </c>
      <c r="S406" s="48">
        <f>VLOOKUP(B406,'Player Data'!$A1:$AE734,7,FALSE)*$Q406*_xlfn.IFERROR((VLOOKUP(P406,'Settings'!$E$28:$F$33,2,FALSE)+1),1)</f>
        <v>2.36560889337282</v>
      </c>
      <c r="T406" s="48">
        <f>VLOOKUP(B406,'Player Data'!$A1:$AE734,8,FALSE)*$Q406*_xlfn.IFERROR((VLOOKUP(P406,'Settings'!$E$28:$F$33,2,FALSE)+1),1)</f>
        <v>15.9178945308717</v>
      </c>
      <c r="U406" s="48">
        <f>SUM(S406:T406)</f>
        <v>18.2835034242445</v>
      </c>
      <c r="V406" s="48">
        <f>VLOOKUP(B406,'Player Data'!$A1:$AE734,10,FALSE)*$Q406*_xlfn.IFERROR(((VLOOKUP(P406,'Settings'!$E$28:$F$33,2,FALSE)/2)+1),1)</f>
        <v>74.7536092756486</v>
      </c>
      <c r="W406" s="48">
        <f>VLOOKUP(B406,'Player Data'!$A1:$AE734,11,FALSE)*$Q406*_xlfn.IFERROR((VLOOKUP(P406,'Settings'!$E$28:$F$33,2,FALSE)+1),1)</f>
        <v>0.0192170452028722</v>
      </c>
      <c r="X406" s="48">
        <f>VLOOKUP(B406,'Player Data'!$A1:$AE734,12,FALSE)*$Q406*_xlfn.IFERROR((VLOOKUP(P406,'Settings'!$E$28:$F$33,2,FALSE)+1),1)</f>
        <v>0.141094746305124</v>
      </c>
      <c r="Y406" s="48">
        <f>VLOOKUP(B406,'Player Data'!$A1:$AE734,13,FALSE)*$Q406</f>
        <v>0.0160632395688656</v>
      </c>
      <c r="Z406" s="48">
        <f>VLOOKUP(B406,'Player Data'!$A1:$AE734,14,FALSE)*$Q406</f>
        <v>0.903431049324933</v>
      </c>
      <c r="AA406" s="48">
        <f>VLOOKUP(B406,'Player Data'!$A1:$AE734,15,FALSE)*$Q406</f>
        <v>114.624912457706</v>
      </c>
      <c r="AB406" s="48">
        <f>VLOOKUP(B406,'Player Data'!$A1:$AE734,16,FALSE)*$Q406</f>
        <v>98.43640310343631</v>
      </c>
      <c r="AC406" s="48">
        <f>VLOOKUP(B406,'Player Data'!$A1:$AE734,17,FALSE)*$Q406*_xlfn.IFERROR((VLOOKUP(P406,'Settings'!$E$28:$F$33,2,FALSE)+1),1)</f>
        <v>-1.70848888323391</v>
      </c>
      <c r="AD406" s="48">
        <f>VLOOKUP(B406,'Player Data'!$A1:$AE734,18,FALSE)*$Q406</f>
        <v>19.9756507031698</v>
      </c>
      <c r="AE406" s="48">
        <f>VLOOKUP(B406,'Player Data'!$A1:$AE734,19,FALSE)*$Q406*_xlfn.IFERROR((VLOOKUP(P406,'Settings'!$E$28:$F$33,2,FALSE)+1),1)</f>
        <v>0.332512295282152</v>
      </c>
      <c r="AF406" s="48">
        <f>VLOOKUP(B406,'Player Data'!$A1:$AE734,20,FALSE)*$Q406</f>
        <v>0</v>
      </c>
      <c r="AG406" s="48">
        <f>VLOOKUP(B406,'Player Data'!$A1:$AE734,21,FALSE)*$Q406</f>
        <v>0</v>
      </c>
      <c r="AH406" s="49">
        <f>VLOOKUP(B406,'Player Data'!$A1:$AE734,22,FALSE)</f>
        <v>0</v>
      </c>
      <c r="AI406" s="46"/>
      <c r="AJ406" s="50"/>
      <c r="AK406" s="48"/>
      <c r="AL406" s="48"/>
      <c r="AM406" s="48"/>
      <c r="AN406" s="48"/>
      <c r="AO406" s="48"/>
      <c r="AP406" s="48"/>
      <c r="AQ406" s="51"/>
      <c r="AR406" s="52"/>
      <c r="AS406" s="46"/>
    </row>
    <row r="407" ht="21.25" customHeight="1">
      <c r="A407" s="53">
        <f>RANK(K407,K2:K730)</f>
        <v>437</v>
      </c>
      <c r="B407" t="s" s="8">
        <v>559</v>
      </c>
      <c r="C407" t="s" s="39">
        <v>106</v>
      </c>
      <c r="D407" t="s" s="40">
        <f>VLOOKUP(B407,'Player Data'!A1:D734,4,FALSE)</f>
        <v>129</v>
      </c>
      <c r="E407" s="56">
        <f>VLOOKUP(B407,'D'!A1:C228,3,FALSE)</f>
        <v>152</v>
      </c>
      <c r="F407" t="s" s="42">
        <f>VLOOKUP(B407,'Player Data'!A1:B734,2,FALSE)</f>
        <v>225</v>
      </c>
      <c r="G407" s="9">
        <f>VLOOKUP(B407,'Player Data'!A1:D734,3,FALSE)</f>
        <v>22</v>
      </c>
      <c r="H407" s="43">
        <f>_xlfn.IFERROR(VLOOKUP(B407,'ADP'!A1:G731,7,FALSE)/1000000,VLOOKUP(B407,'ADP'!A1:G731,7,FALSE))</f>
        <v>0</v>
      </c>
      <c r="I407" s="44">
        <f>IF('Settings'!$E$15="POINTS",((R407*Q407)*'Settings'!$B$12)+(S407*'Settings'!$B$2)+(T407*'Settings'!$B$3)+(U407*'Settings'!$B$4)+(V407*'Settings'!$B$5)+(X407*'Settings'!$B$9)+(AA407*'Settings'!$B$6)+(W407*'Settings'!$B$8)+(AB407*'Settings'!$B$7)+(AC407*'Settings'!$B$14)+(AD407*'Settings'!$B$15)+(AE407*'Settings'!$B$16)+(AF407*'Settings'!$B$17)+(AG407*'Settings'!$B$18)+(U407*'Settings'!$B$13)+(Y407*'Settings'!$B$10)+(Z407*'Settings'!$B$11),VLOOKUP(B407,'Standard Deviations'!A1:C731,3,FALSE))</f>
        <v>177.326024344734</v>
      </c>
      <c r="J407" s="45">
        <f>IF(D407="G",I407/AJ407,I407/Q407)</f>
        <v>2.87680117366538</v>
      </c>
      <c r="K407" s="44">
        <f>VLOOKUP(B407,'D'!A1:F228,6,FALSE)</f>
        <v>-163.409114301789</v>
      </c>
      <c r="L407" t="s" s="60">
        <f>_xlfn.IFERROR(K407/H407,"N/A")</f>
        <v>158</v>
      </c>
      <c r="M407" t="s" s="61">
        <f>IF('Settings'!$E$9="YAHOO",VLOOKUP(B407,'ADP'!A1:E731,2,FALSE),IF('Settings'!$E$9="ESPN",VLOOKUP(B407,'ADP'!A1:E731,3,FALSE),IF('Settings'!$E$9="FANTRAX",VLOOKUP(B407,'ADP'!A1:E731,4,FALSE),VLOOKUP(B407,'ADP'!A1:E731,5,FALSE))))</f>
        <v>329</v>
      </c>
      <c r="N407" t="s" s="61">
        <f>_xlfn.IFERROR(M407-A407,"N/A")</f>
        <v>158</v>
      </c>
      <c r="O407" s="46"/>
      <c r="P407" t="s" s="47">
        <f>IF('Settings'!$E$27="ON",VLOOKUP(B407,'ADP'!A1:H731,8,FALSE)," ")</f>
        <v>109</v>
      </c>
      <c r="Q407" s="48">
        <f>IF('Settings'!$E$12="YES",VLOOKUP(B407,'Player Data'!A1:E734,5,FALSE),82)</f>
        <v>61.64</v>
      </c>
      <c r="R407" s="46">
        <f>VLOOKUP(B407,'Player Data'!$A1:$AE734,6,FALSE)</f>
        <v>20.7996756658322</v>
      </c>
      <c r="S407" s="48">
        <f>VLOOKUP(B407,'Player Data'!$A1:$AE734,7,FALSE)*$Q407*_xlfn.IFERROR((VLOOKUP(P407,'Settings'!$E$28:$F$33,2,FALSE)+1),1)</f>
        <v>4.42354610325965</v>
      </c>
      <c r="T407" s="48">
        <f>VLOOKUP(B407,'Player Data'!$A1:$AE734,8,FALSE)*$Q407*_xlfn.IFERROR((VLOOKUP(P407,'Settings'!$E$28:$F$33,2,FALSE)+1),1)</f>
        <v>13.9113128423782</v>
      </c>
      <c r="U407" s="48">
        <f>SUM(S407:T407)</f>
        <v>18.3348589456379</v>
      </c>
      <c r="V407" s="48">
        <f>VLOOKUP(B407,'Player Data'!$A1:$AE734,10,FALSE)*$Q407*_xlfn.IFERROR(((VLOOKUP(P407,'Settings'!$E$28:$F$33,2,FALSE)/2)+1),1)</f>
        <v>77.6134444351727</v>
      </c>
      <c r="W407" s="48">
        <f>VLOOKUP(B407,'Player Data'!$A1:$AE734,11,FALSE)*$Q407*_xlfn.IFERROR((VLOOKUP(P407,'Settings'!$E$28:$F$33,2,FALSE)+1),1)</f>
        <v>0.0234096773657051</v>
      </c>
      <c r="X407" s="48">
        <f>VLOOKUP(B407,'Player Data'!$A1:$AE734,12,FALSE)*$Q407*_xlfn.IFERROR((VLOOKUP(P407,'Settings'!$E$28:$F$33,2,FALSE)+1),1)</f>
        <v>0.157490701838918</v>
      </c>
      <c r="Y407" s="48">
        <f>VLOOKUP(B407,'Player Data'!$A1:$AE734,13,FALSE)*$Q407</f>
        <v>0.101467070415357</v>
      </c>
      <c r="Z407" s="48">
        <f>VLOOKUP(B407,'Player Data'!$A1:$AE734,14,FALSE)*$Q407</f>
        <v>0.531967489845263</v>
      </c>
      <c r="AA407" s="48">
        <f>VLOOKUP(B407,'Player Data'!$A1:$AE734,15,FALSE)*$Q407</f>
        <v>105.918321367153</v>
      </c>
      <c r="AB407" s="48">
        <f>VLOOKUP(B407,'Player Data'!$A1:$AE734,16,FALSE)*$Q407</f>
        <v>91.4252418883093</v>
      </c>
      <c r="AC407" s="48">
        <f>VLOOKUP(B407,'Player Data'!$A1:$AE734,17,FALSE)*$Q407*_xlfn.IFERROR((VLOOKUP(P407,'Settings'!$E$28:$F$33,2,FALSE)+1),1)</f>
        <v>-4.41161541702566</v>
      </c>
      <c r="AD407" s="48">
        <f>VLOOKUP(B407,'Player Data'!$A1:$AE734,18,FALSE)*$Q407</f>
        <v>23.9561775915346</v>
      </c>
      <c r="AE407" s="48">
        <f>VLOOKUP(B407,'Player Data'!$A1:$AE734,19,FALSE)*$Q407*_xlfn.IFERROR((VLOOKUP(P407,'Settings'!$E$28:$F$33,2,FALSE)+1),1)</f>
        <v>0.518357997511139</v>
      </c>
      <c r="AF407" s="48">
        <f>VLOOKUP(B407,'Player Data'!$A1:$AE734,20,FALSE)*$Q407</f>
        <v>0</v>
      </c>
      <c r="AG407" s="48">
        <f>VLOOKUP(B407,'Player Data'!$A1:$AE734,21,FALSE)*$Q407</f>
        <v>0</v>
      </c>
      <c r="AH407" s="49">
        <f>VLOOKUP(B407,'Player Data'!$A1:$AE734,22,FALSE)</f>
        <v>0</v>
      </c>
      <c r="AI407" s="46"/>
      <c r="AJ407" s="50"/>
      <c r="AK407" s="48"/>
      <c r="AL407" s="48"/>
      <c r="AM407" s="48"/>
      <c r="AN407" s="48"/>
      <c r="AO407" s="48"/>
      <c r="AP407" s="48"/>
      <c r="AQ407" s="51"/>
      <c r="AR407" s="52"/>
      <c r="AS407" s="46"/>
    </row>
    <row r="408" ht="21.25" customHeight="1">
      <c r="A408" s="53">
        <f>RANK(K408,K2:K730)</f>
        <v>493</v>
      </c>
      <c r="B408" t="s" s="8">
        <v>560</v>
      </c>
      <c r="C408" t="s" s="39">
        <v>106</v>
      </c>
      <c r="D408" t="s" s="40">
        <f>VLOOKUP(B408,'Player Data'!A1:D734,4,FALSE)</f>
        <v>107</v>
      </c>
      <c r="E408" s="41">
        <f>VLOOKUP(B408,'C'!A1:C218,3,FALSE)</f>
        <v>126</v>
      </c>
      <c r="F408" t="s" s="42">
        <f>VLOOKUP(B408,'Player Data'!A1:B734,2,FALSE)</f>
        <v>258</v>
      </c>
      <c r="G408" s="9">
        <f>VLOOKUP(B408,'Player Data'!A1:D734,3,FALSE)</f>
        <v>28</v>
      </c>
      <c r="H408" s="43">
        <f>_xlfn.IFERROR(VLOOKUP(B408,'ADP'!A1:G731,7,FALSE)/1000000,VLOOKUP(B408,'ADP'!A1:G731,7,FALSE))</f>
        <v>1.985</v>
      </c>
      <c r="I408" s="44">
        <f>IF('Settings'!$E$15="POINTS",((R408*Q408)*'Settings'!$B$12)+(S408*'Settings'!$B$2)+(T408*'Settings'!$B$3)+(U408*'Settings'!$B$4)+(V408*'Settings'!$B$5)+(X408*'Settings'!$B$9)+(AA408*'Settings'!$B$6)+(W408*'Settings'!$B$8)+(AB408*'Settings'!$B$7)+(AC408*'Settings'!$B$14)+(AD408*'Settings'!$B$15)+(AE408*'Settings'!$B$16)+(AF408*'Settings'!$B$17)+(AG408*'Settings'!$B$18)+(Y408*'Settings'!$B$10)+(Z408*'Settings'!$B$11),VLOOKUP(B408,'Standard Deviations'!A1:C731,3,FALSE))</f>
        <v>215.054190290708</v>
      </c>
      <c r="J408" s="45">
        <f>IF(D408="G",I408/AJ408,I408/Q408)</f>
        <v>3.13050030056658</v>
      </c>
      <c r="K408" s="44">
        <f>IF('Settings'!$E$18="C/LW/RW",VLOOKUP(B408,'C'!A1:F218,6,FALSE),VLOOKUP(B408,'F'!A1:F432,6,FALSE))</f>
        <v>-180.720011345307</v>
      </c>
      <c r="L408" s="44">
        <f>_xlfn.IFERROR(K408/H408,"N/A")</f>
        <v>-91.04282687421011</v>
      </c>
      <c r="M408" s="46">
        <f>IF('Settings'!$E$9="YAHOO",VLOOKUP(B408,'ADP'!A1:E731,2,FALSE),IF('Settings'!$E$9="ESPN",VLOOKUP(B408,'ADP'!A1:E731,3,FALSE),IF('Settings'!$E$9="FANTRAX",VLOOKUP(B408,'ADP'!A1:E731,4,FALSE),VLOOKUP(B408,'ADP'!A1:E731,5,FALSE))))</f>
        <v>461.5</v>
      </c>
      <c r="N408" s="46">
        <f>_xlfn.IFERROR(M408-A408,"N/A")</f>
        <v>-31.5</v>
      </c>
      <c r="O408" s="46"/>
      <c r="P408" t="s" s="47">
        <f>IF('Settings'!$E$27="ON",VLOOKUP(B408,'ADP'!A1:H731,8,FALSE)," ")</f>
        <v>109</v>
      </c>
      <c r="Q408" s="48">
        <f>IF('Settings'!$E$12="YES",VLOOKUP(B408,'Player Data'!A1:E734,5,FALSE),82)</f>
        <v>68.6964285714286</v>
      </c>
      <c r="R408" s="46">
        <f>VLOOKUP(B408,'Player Data'!$A1:$AE734,6,FALSE)</f>
        <v>16.3603971608232</v>
      </c>
      <c r="S408" s="48">
        <f>VLOOKUP(B408,'Player Data'!$A1:$AE734,7,FALSE)*$Q408*_xlfn.IFERROR((VLOOKUP(P408,'Settings'!$E$28:$F$33,2,FALSE)+1),1)</f>
        <v>12.2787224975625</v>
      </c>
      <c r="T408" s="48">
        <f>VLOOKUP(B408,'Player Data'!$A1:$AE734,8,FALSE)*$Q408*_xlfn.IFERROR((VLOOKUP(P408,'Settings'!$E$28:$F$33,2,FALSE)+1),1)</f>
        <v>21.5077095150151</v>
      </c>
      <c r="U408" s="48">
        <f>SUM(S408:T408)</f>
        <v>33.7864320125776</v>
      </c>
      <c r="V408" s="48">
        <f>VLOOKUP(B408,'Player Data'!$A1:$AE734,10,FALSE)*$Q408*_xlfn.IFERROR(((VLOOKUP(P408,'Settings'!$E$28:$F$33,2,FALSE)/2)+1),1)</f>
        <v>133.484179231311</v>
      </c>
      <c r="W408" s="48">
        <f>VLOOKUP(B408,'Player Data'!$A1:$AE734,11,FALSE)*$Q408*_xlfn.IFERROR((VLOOKUP(P408,'Settings'!$E$28:$F$33,2,FALSE)+1),1)</f>
        <v>4.01288023349695</v>
      </c>
      <c r="X408" s="48">
        <f>VLOOKUP(B408,'Player Data'!$A1:$AE734,12,FALSE)*$Q408*_xlfn.IFERROR((VLOOKUP(P408,'Settings'!$E$28:$F$33,2,FALSE)+1),1)</f>
        <v>11.1070447861033</v>
      </c>
      <c r="Y408" s="48">
        <f>VLOOKUP(B408,'Player Data'!$A1:$AE734,13,FALSE)*$Q408</f>
        <v>0.22358921464483</v>
      </c>
      <c r="Z408" s="48">
        <f>VLOOKUP(B408,'Player Data'!$A1:$AE734,14,FALSE)*$Q408</f>
        <v>0.414607909274609</v>
      </c>
      <c r="AA408" s="48">
        <f>VLOOKUP(B408,'Player Data'!$A1:$AE734,15,FALSE)*$Q408</f>
        <v>27.5545609222415</v>
      </c>
      <c r="AB408" s="48">
        <f>VLOOKUP(B408,'Player Data'!$A1:$AE734,16,FALSE)*$Q408</f>
        <v>55.7128984452225</v>
      </c>
      <c r="AC408" s="48">
        <f>VLOOKUP(B408,'Player Data'!$A1:$AE734,17,FALSE)*$Q408*_xlfn.IFERROR((VLOOKUP(P408,'Settings'!$E$28:$F$33,2,FALSE)+1),1)</f>
        <v>-6.6544864698231</v>
      </c>
      <c r="AD408" s="48">
        <f>VLOOKUP(B408,'Player Data'!$A1:$AE734,18,FALSE)*$Q408</f>
        <v>22.4260640973198</v>
      </c>
      <c r="AE408" s="48">
        <f>VLOOKUP(B408,'Player Data'!$A1:$AE734,19,FALSE)*$Q408*_xlfn.IFERROR((VLOOKUP(P408,'Settings'!$E$28:$F$33,2,FALSE)+1),1)</f>
        <v>1.25785829703249</v>
      </c>
      <c r="AF408" s="48">
        <f>VLOOKUP(B408,'Player Data'!$A1:$AE734,20,FALSE)*$Q408</f>
        <v>457.099706734336</v>
      </c>
      <c r="AG408" s="48">
        <f>VLOOKUP(B408,'Player Data'!$A1:$AE734,21,FALSE)*$Q408</f>
        <v>415.381276268680</v>
      </c>
      <c r="AH408" s="49">
        <f>VLOOKUP(B408,'Player Data'!$A1:$AE734,22,FALSE)</f>
        <v>0.523907931105882</v>
      </c>
      <c r="AI408" s="46"/>
      <c r="AJ408" s="50"/>
      <c r="AK408" s="48"/>
      <c r="AL408" s="48"/>
      <c r="AM408" s="48"/>
      <c r="AN408" s="48"/>
      <c r="AO408" s="48"/>
      <c r="AP408" s="48"/>
      <c r="AQ408" s="51"/>
      <c r="AR408" s="52"/>
      <c r="AS408" s="46"/>
    </row>
    <row r="409" ht="21.25" customHeight="1">
      <c r="A409" s="53">
        <f>RANK(K409,K2:K730)</f>
        <v>396</v>
      </c>
      <c r="B409" t="s" s="8">
        <v>561</v>
      </c>
      <c r="C409" t="s" s="39">
        <v>106</v>
      </c>
      <c r="D409" t="s" s="40">
        <f>VLOOKUP(B409,'Player Data'!A1:D734,4,FALSE)</f>
        <v>133</v>
      </c>
      <c r="E409" s="57">
        <f>VLOOKUP(B409,'LW'!A1:C156,3,FALSE)</f>
        <v>91</v>
      </c>
      <c r="F409" t="s" s="42">
        <f>VLOOKUP(B409,'Player Data'!A1:B734,2,FALSE)</f>
        <v>149</v>
      </c>
      <c r="G409" s="9">
        <f>VLOOKUP(B409,'Player Data'!A1:D734,3,FALSE)</f>
        <v>27</v>
      </c>
      <c r="H409" s="43">
        <f>_xlfn.IFERROR(VLOOKUP(B409,'ADP'!A1:G731,7,FALSE)/1000000,VLOOKUP(B409,'ADP'!A1:G731,7,FALSE))</f>
        <v>3</v>
      </c>
      <c r="I409" s="44">
        <f>IF('Settings'!$E$15="POINTS",((R409*Q409)*'Settings'!$B$12)+(S409*'Settings'!$B$2)+(T409*'Settings'!$B$3)+(U409*'Settings'!$B$4)+(V409*'Settings'!$B$5)+(X409*'Settings'!$B$9)+(AA409*'Settings'!$B$6)+(W409*'Settings'!$B$8)+(AB409*'Settings'!$B$7)+(AC409*'Settings'!$B$14)+(AD409*'Settings'!$B$15)+(AE409*'Settings'!$B$16)+(AF409*'Settings'!$B$17)+(AG409*'Settings'!$B$18)+(Y409*'Settings'!$B$10)+(Z409*'Settings'!$B$11),VLOOKUP(B409,'Standard Deviations'!A1:C731,3,FALSE))</f>
        <v>231.573307794388</v>
      </c>
      <c r="J409" s="45">
        <f>IF(D409="G",I409/AJ409,I409/Q409)</f>
        <v>2.95506039423707</v>
      </c>
      <c r="K409" s="44">
        <f>IF('Settings'!$E$18="C/LW/RW",VLOOKUP(B409,'LW'!A1:F156,6,FALSE),VLOOKUP(B409,'F'!A1:F432,6,FALSE))</f>
        <v>-150.055255911968</v>
      </c>
      <c r="L409" s="44">
        <f>_xlfn.IFERROR(K409/H409,"N/A")</f>
        <v>-50.0184186373227</v>
      </c>
      <c r="M409" t="s" s="61">
        <f>IF('Settings'!$E$9="YAHOO",VLOOKUP(B409,'ADP'!A1:E731,2,FALSE),IF('Settings'!$E$9="ESPN",VLOOKUP(B409,'ADP'!A1:E731,3,FALSE),IF('Settings'!$E$9="FANTRAX",VLOOKUP(B409,'ADP'!A1:E731,4,FALSE),VLOOKUP(B409,'ADP'!A1:E731,5,FALSE))))</f>
        <v>329</v>
      </c>
      <c r="N409" t="s" s="61">
        <f>_xlfn.IFERROR(M409-A409,"N/A")</f>
        <v>158</v>
      </c>
      <c r="O409" s="46"/>
      <c r="P409" t="s" s="47">
        <f>IF('Settings'!$E$27="ON",VLOOKUP(B409,'ADP'!A1:H731,8,FALSE)," ")</f>
        <v>109</v>
      </c>
      <c r="Q409" s="48">
        <f>IF('Settings'!$E$12="YES",VLOOKUP(B409,'Player Data'!A1:E734,5,FALSE),82)</f>
        <v>78.36499999999999</v>
      </c>
      <c r="R409" s="46">
        <f>VLOOKUP(B409,'Player Data'!$A1:$AE734,6,FALSE)</f>
        <v>14.7148465475593</v>
      </c>
      <c r="S409" s="48">
        <f>VLOOKUP(B409,'Player Data'!$A1:$AE734,7,FALSE)*$Q409*_xlfn.IFERROR((VLOOKUP(P409,'Settings'!$E$28:$F$33,2,FALSE)+1),1)</f>
        <v>17.5354368242801</v>
      </c>
      <c r="T409" s="48">
        <f>VLOOKUP(B409,'Player Data'!$A1:$AE734,8,FALSE)*$Q409*_xlfn.IFERROR((VLOOKUP(P409,'Settings'!$E$28:$F$33,2,FALSE)+1),1)</f>
        <v>18.0780912555499</v>
      </c>
      <c r="U409" s="48">
        <f>SUM(S409:T409)</f>
        <v>35.613528079830</v>
      </c>
      <c r="V409" s="48">
        <f>VLOOKUP(B409,'Player Data'!$A1:$AE734,10,FALSE)*$Q409*_xlfn.IFERROR(((VLOOKUP(P409,'Settings'!$E$28:$F$33,2,FALSE)/2)+1),1)</f>
        <v>150.648021438548</v>
      </c>
      <c r="W409" s="48">
        <f>VLOOKUP(B409,'Player Data'!$A1:$AE734,11,FALSE)*$Q409*_xlfn.IFERROR((VLOOKUP(P409,'Settings'!$E$28:$F$33,2,FALSE)+1),1)</f>
        <v>0.906390625858582</v>
      </c>
      <c r="X409" s="48">
        <f>VLOOKUP(B409,'Player Data'!$A1:$AE734,12,FALSE)*$Q409*_xlfn.IFERROR((VLOOKUP(P409,'Settings'!$E$28:$F$33,2,FALSE)+1),1)</f>
        <v>2.57462390496344</v>
      </c>
      <c r="Y409" s="48">
        <f>VLOOKUP(B409,'Player Data'!$A1:$AE734,13,FALSE)*$Q409</f>
        <v>0.410003157699723</v>
      </c>
      <c r="Z409" s="48">
        <f>VLOOKUP(B409,'Player Data'!$A1:$AE734,14,FALSE)*$Q409</f>
        <v>0.641332139453073</v>
      </c>
      <c r="AA409" s="48">
        <f>VLOOKUP(B409,'Player Data'!$A1:$AE734,15,FALSE)*$Q409</f>
        <v>12.5313800908514</v>
      </c>
      <c r="AB409" s="48">
        <f>VLOOKUP(B409,'Player Data'!$A1:$AE734,16,FALSE)*$Q409</f>
        <v>62.2288130994874</v>
      </c>
      <c r="AC409" s="48">
        <f>VLOOKUP(B409,'Player Data'!$A1:$AE734,17,FALSE)*$Q409*_xlfn.IFERROR((VLOOKUP(P409,'Settings'!$E$28:$F$33,2,FALSE)+1),1)</f>
        <v>1.83001733494872</v>
      </c>
      <c r="AD409" s="48">
        <f>VLOOKUP(B409,'Player Data'!$A1:$AE734,18,FALSE)*$Q409</f>
        <v>28.9245993583671</v>
      </c>
      <c r="AE409" s="48">
        <f>VLOOKUP(B409,'Player Data'!$A1:$AE734,19,FALSE)*$Q409*_xlfn.IFERROR((VLOOKUP(P409,'Settings'!$E$28:$F$33,2,FALSE)+1),1)</f>
        <v>2.70960826740139</v>
      </c>
      <c r="AF409" s="48">
        <f>VLOOKUP(B409,'Player Data'!$A1:$AE734,20,FALSE)*$Q409</f>
        <v>50.5285455838099</v>
      </c>
      <c r="AG409" s="48">
        <f>VLOOKUP(B409,'Player Data'!$A1:$AE734,21,FALSE)*$Q409</f>
        <v>57.7254018794455</v>
      </c>
      <c r="AH409" s="49">
        <f>VLOOKUP(B409,'Player Data'!$A1:$AE734,22,FALSE)</f>
        <v>0.466759381693317</v>
      </c>
      <c r="AI409" s="46"/>
      <c r="AJ409" s="50"/>
      <c r="AK409" s="48"/>
      <c r="AL409" s="48"/>
      <c r="AM409" s="48"/>
      <c r="AN409" s="48"/>
      <c r="AO409" s="48"/>
      <c r="AP409" s="48"/>
      <c r="AQ409" s="51"/>
      <c r="AR409" s="52"/>
      <c r="AS409" s="46"/>
    </row>
    <row r="410" ht="21.25" customHeight="1">
      <c r="A410" s="53">
        <f>RANK(K410,K2:K730)</f>
        <v>507</v>
      </c>
      <c r="B410" t="s" s="8">
        <v>562</v>
      </c>
      <c r="C410" t="s" s="39">
        <v>106</v>
      </c>
      <c r="D410" t="s" s="40">
        <f>VLOOKUP(B410,'Player Data'!A1:D734,4,FALSE)</f>
        <v>121</v>
      </c>
      <c r="E410" s="55">
        <f>VLOOKUP(B410,'RW'!A1:F132,3,FALSE)</f>
        <v>94</v>
      </c>
      <c r="F410" t="s" s="42">
        <f>VLOOKUP(B410,'Player Data'!A1:B734,2,FALSE)</f>
        <v>292</v>
      </c>
      <c r="G410" s="9">
        <f>VLOOKUP(B410,'Player Data'!A1:D734,3,FALSE)</f>
        <v>35</v>
      </c>
      <c r="H410" s="43">
        <f>_xlfn.IFERROR(VLOOKUP(B410,'ADP'!A1:G731,7,FALSE)/1000000,VLOOKUP(B410,'ADP'!A1:G731,7,FALSE))</f>
        <v>2.085</v>
      </c>
      <c r="I410" s="44">
        <f>IF('Settings'!$E$15="POINTS",((R410*Q410)*'Settings'!$B$12)+(S410*'Settings'!$B$2)+(T410*'Settings'!$B$3)+(U410*'Settings'!$B$4)+(V410*'Settings'!$B$5)+(X410*'Settings'!$B$9)+(AA410*'Settings'!$B$6)+(W410*'Settings'!$B$8)+(AB410*'Settings'!$B$7)+(AC410*'Settings'!$B$14)+(AD410*'Settings'!$B$15)+(AE410*'Settings'!$B$16)+(AF410*'Settings'!$B$17)+(AG410*'Settings'!$B$18)+(Y410*'Settings'!$B$10)+(Z410*'Settings'!$B$11),VLOOKUP(B410,'Standard Deviations'!A1:C731,3,FALSE))</f>
        <v>196.993987309359</v>
      </c>
      <c r="J410" s="45">
        <f>IF(D410="G",I410/AJ410,I410/Q410)</f>
        <v>2.40148710605094</v>
      </c>
      <c r="K410" s="44">
        <f>IF('Settings'!$E$18="C/LW/RW",VLOOKUP(B410,'RW'!A1:F132,6,FALSE),VLOOKUP(B410,'F'!A1:F432,6,FALSE))</f>
        <v>-184.634576396997</v>
      </c>
      <c r="L410" s="44">
        <f>_xlfn.IFERROR(K410/H410,"N/A")</f>
        <v>-88.55375366762451</v>
      </c>
      <c r="M410" t="s" s="61">
        <f>IF('Settings'!$E$9="YAHOO",VLOOKUP(B410,'ADP'!A1:E731,2,FALSE),IF('Settings'!$E$9="ESPN",VLOOKUP(B410,'ADP'!A1:E731,3,FALSE),IF('Settings'!$E$9="FANTRAX",VLOOKUP(B410,'ADP'!A1:E731,4,FALSE),VLOOKUP(B410,'ADP'!A1:E731,5,FALSE))))</f>
        <v>329</v>
      </c>
      <c r="N410" t="s" s="61">
        <f>_xlfn.IFERROR(M410-A410,"N/A")</f>
        <v>158</v>
      </c>
      <c r="O410" s="46"/>
      <c r="P410" t="s" s="47">
        <f>IF('Settings'!$E$27="ON",VLOOKUP(B410,'ADP'!A1:H731,8,FALSE)," ")</f>
        <v>109</v>
      </c>
      <c r="Q410" s="48">
        <f>IF('Settings'!$E$12="YES",VLOOKUP(B410,'Player Data'!A1:E734,5,FALSE),82)</f>
        <v>82.03</v>
      </c>
      <c r="R410" s="46">
        <f>VLOOKUP(B410,'Player Data'!$A1:$AE734,6,FALSE)</f>
        <v>12.5961166158537</v>
      </c>
      <c r="S410" s="48">
        <f>VLOOKUP(B410,'Player Data'!$A1:$AE734,7,FALSE)*$Q410*_xlfn.IFERROR((VLOOKUP(P410,'Settings'!$E$28:$F$33,2,FALSE)+1),1)</f>
        <v>9.707584179366361</v>
      </c>
      <c r="T410" s="48">
        <f>VLOOKUP(B410,'Player Data'!$A1:$AE734,8,FALSE)*$Q410*_xlfn.IFERROR((VLOOKUP(P410,'Settings'!$E$28:$F$33,2,FALSE)+1),1)</f>
        <v>22.6753103766917</v>
      </c>
      <c r="U410" s="48">
        <f>SUM(S410:T410)</f>
        <v>32.3828945560581</v>
      </c>
      <c r="V410" s="48">
        <f>VLOOKUP(B410,'Player Data'!$A1:$AE734,10,FALSE)*$Q410*_xlfn.IFERROR(((VLOOKUP(P410,'Settings'!$E$28:$F$33,2,FALSE)/2)+1),1)</f>
        <v>135.467347027935</v>
      </c>
      <c r="W410" s="48">
        <f>VLOOKUP(B410,'Player Data'!$A1:$AE734,11,FALSE)*$Q410*_xlfn.IFERROR((VLOOKUP(P410,'Settings'!$E$28:$F$33,2,FALSE)+1),1)</f>
        <v>1.35368377780841</v>
      </c>
      <c r="X410" s="48">
        <f>VLOOKUP(B410,'Player Data'!$A1:$AE734,12,FALSE)*$Q410*_xlfn.IFERROR((VLOOKUP(P410,'Settings'!$E$28:$F$33,2,FALSE)+1),1)</f>
        <v>6.29763752073457</v>
      </c>
      <c r="Y410" s="48">
        <f>VLOOKUP(B410,'Player Data'!$A1:$AE734,13,FALSE)*$Q410</f>
        <v>0</v>
      </c>
      <c r="Z410" s="48">
        <f>VLOOKUP(B410,'Player Data'!$A1:$AE734,14,FALSE)*$Q410</f>
        <v>0</v>
      </c>
      <c r="AA410" s="48">
        <f>VLOOKUP(B410,'Player Data'!$A1:$AE734,15,FALSE)*$Q410</f>
        <v>24.8519444270194</v>
      </c>
      <c r="AB410" s="48">
        <f>VLOOKUP(B410,'Player Data'!$A1:$AE734,16,FALSE)*$Q410</f>
        <v>20.4971265786308</v>
      </c>
      <c r="AC410" s="48">
        <f>VLOOKUP(B410,'Player Data'!$A1:$AE734,17,FALSE)*$Q410*_xlfn.IFERROR((VLOOKUP(P410,'Settings'!$E$28:$F$33,2,FALSE)+1),1)</f>
        <v>-0.9566501145099821</v>
      </c>
      <c r="AD410" s="48">
        <f>VLOOKUP(B410,'Player Data'!$A1:$AE734,18,FALSE)*$Q410</f>
        <v>23.8356785802371</v>
      </c>
      <c r="AE410" s="48">
        <f>VLOOKUP(B410,'Player Data'!$A1:$AE734,19,FALSE)*$Q410*_xlfn.IFERROR((VLOOKUP(P410,'Settings'!$E$28:$F$33,2,FALSE)+1),1)</f>
        <v>0</v>
      </c>
      <c r="AF410" s="48">
        <f>VLOOKUP(B410,'Player Data'!$A1:$AE734,20,FALSE)*$Q410</f>
        <v>3.59908344034446</v>
      </c>
      <c r="AG410" s="48">
        <f>VLOOKUP(B410,'Player Data'!$A1:$AE734,21,FALSE)*$Q410</f>
        <v>6.73990081363817</v>
      </c>
      <c r="AH410" s="49">
        <f>VLOOKUP(B410,'Player Data'!$A1:$AE734,22,FALSE)</f>
        <v>0.348108029950628</v>
      </c>
      <c r="AI410" s="46"/>
      <c r="AJ410" s="50"/>
      <c r="AK410" s="48"/>
      <c r="AL410" s="48"/>
      <c r="AM410" s="48"/>
      <c r="AN410" s="48"/>
      <c r="AO410" s="48"/>
      <c r="AP410" s="48"/>
      <c r="AQ410" s="51"/>
      <c r="AR410" s="52"/>
      <c r="AS410" s="46"/>
    </row>
    <row r="411" ht="21.25" customHeight="1">
      <c r="A411" s="53">
        <f>RANK(K411,K2:K730)</f>
        <v>405</v>
      </c>
      <c r="B411" t="s" s="8">
        <v>563</v>
      </c>
      <c r="C411" t="s" s="39">
        <v>106</v>
      </c>
      <c r="D411" t="s" s="40">
        <f>VLOOKUP(B411,'Player Data'!A1:D734,4,FALSE)</f>
        <v>129</v>
      </c>
      <c r="E411" s="56">
        <f>VLOOKUP(B411,'D'!A1:C228,3,FALSE)</f>
        <v>136</v>
      </c>
      <c r="F411" t="s" s="42">
        <f>VLOOKUP(B411,'Player Data'!A1:B734,2,FALSE)</f>
        <v>173</v>
      </c>
      <c r="G411" s="9">
        <f>VLOOKUP(B411,'Player Data'!A1:D734,3,FALSE)</f>
        <v>27</v>
      </c>
      <c r="H411" s="43">
        <f>_xlfn.IFERROR(VLOOKUP(B411,'ADP'!A1:G731,7,FALSE)/1000000,VLOOKUP(B411,'ADP'!A1:G731,7,FALSE))</f>
        <v>4.6</v>
      </c>
      <c r="I411" s="44">
        <f>IF('Settings'!$E$15="POINTS",((R411*Q411)*'Settings'!$B$12)+(S411*'Settings'!$B$2)+(T411*'Settings'!$B$3)+(U411*'Settings'!$B$4)+(V411*'Settings'!$B$5)+(X411*'Settings'!$B$9)+(AA411*'Settings'!$B$6)+(W411*'Settings'!$B$8)+(AB411*'Settings'!$B$7)+(AC411*'Settings'!$B$14)+(AD411*'Settings'!$B$15)+(AE411*'Settings'!$B$16)+(AF411*'Settings'!$B$17)+(AG411*'Settings'!$B$18)+(U411*'Settings'!$B$13)+(Y411*'Settings'!$B$10)+(Z411*'Settings'!$B$11),VLOOKUP(B411,'Standard Deviations'!A1:C731,3,FALSE))</f>
        <v>189.222934931659</v>
      </c>
      <c r="J411" s="45">
        <f>IF(D411="G",I411/AJ411,I411/Q411)</f>
        <v>2.50868490789904</v>
      </c>
      <c r="K411" s="44">
        <f>VLOOKUP(B411,'D'!A1:F228,6,FALSE)</f>
        <v>-151.512203714864</v>
      </c>
      <c r="L411" s="44">
        <f>_xlfn.IFERROR(K411/H411,"N/A")</f>
        <v>-32.9374355901878</v>
      </c>
      <c r="M411" t="s" s="61">
        <f>IF('Settings'!$E$9="YAHOO",VLOOKUP(B411,'ADP'!A1:E731,2,FALSE),IF('Settings'!$E$9="ESPN",VLOOKUP(B411,'ADP'!A1:E731,3,FALSE),IF('Settings'!$E$9="FANTRAX",VLOOKUP(B411,'ADP'!A1:E731,4,FALSE),VLOOKUP(B411,'ADP'!A1:E731,5,FALSE))))</f>
        <v>329</v>
      </c>
      <c r="N411" t="s" s="61">
        <f>_xlfn.IFERROR(M411-A411,"N/A")</f>
        <v>158</v>
      </c>
      <c r="O411" s="46"/>
      <c r="P411" t="s" s="47">
        <f>IF('Settings'!$E$27="ON",VLOOKUP(B411,'ADP'!A1:H731,8,FALSE)," ")</f>
        <v>109</v>
      </c>
      <c r="Q411" s="48">
        <f>IF('Settings'!$E$12="YES",VLOOKUP(B411,'Player Data'!A1:E734,5,FALSE),82)</f>
        <v>75.4271428571429</v>
      </c>
      <c r="R411" s="46">
        <f>VLOOKUP(B411,'Player Data'!$A1:$AE734,6,FALSE)</f>
        <v>19.1066687682261</v>
      </c>
      <c r="S411" s="48">
        <f>VLOOKUP(B411,'Player Data'!$A1:$AE734,7,FALSE)*$Q411*_xlfn.IFERROR((VLOOKUP(P411,'Settings'!$E$28:$F$33,2,FALSE)+1),1)</f>
        <v>4.97342333694537</v>
      </c>
      <c r="T411" s="48">
        <f>VLOOKUP(B411,'Player Data'!$A1:$AE734,8,FALSE)*$Q411*_xlfn.IFERROR((VLOOKUP(P411,'Settings'!$E$28:$F$33,2,FALSE)+1),1)</f>
        <v>14.5998218197413</v>
      </c>
      <c r="U411" s="48">
        <f>SUM(S411:T411)</f>
        <v>19.5732451566867</v>
      </c>
      <c r="V411" s="48">
        <f>VLOOKUP(B411,'Player Data'!$A1:$AE734,10,FALSE)*$Q411*_xlfn.IFERROR(((VLOOKUP(P411,'Settings'!$E$28:$F$33,2,FALSE)/2)+1),1)</f>
        <v>70.5765224879912</v>
      </c>
      <c r="W411" s="48">
        <f>VLOOKUP(B411,'Player Data'!$A1:$AE734,11,FALSE)*$Q411*_xlfn.IFERROR((VLOOKUP(P411,'Settings'!$E$28:$F$33,2,FALSE)+1),1)</f>
        <v>0.0195121196646665</v>
      </c>
      <c r="X411" s="48">
        <f>VLOOKUP(B411,'Player Data'!$A1:$AE734,12,FALSE)*$Q411*_xlfn.IFERROR((VLOOKUP(P411,'Settings'!$E$28:$F$33,2,FALSE)+1),1)</f>
        <v>0.133374848318758</v>
      </c>
      <c r="Y411" s="48">
        <f>VLOOKUP(B411,'Player Data'!$A1:$AE734,13,FALSE)*$Q411</f>
        <v>0.0264432854161994</v>
      </c>
      <c r="Z411" s="48">
        <f>VLOOKUP(B411,'Player Data'!$A1:$AE734,14,FALSE)*$Q411</f>
        <v>0.0987913530199681</v>
      </c>
      <c r="AA411" s="48">
        <f>VLOOKUP(B411,'Player Data'!$A1:$AE734,15,FALSE)*$Q411</f>
        <v>101.053309331298</v>
      </c>
      <c r="AB411" s="48">
        <f>VLOOKUP(B411,'Player Data'!$A1:$AE734,16,FALSE)*$Q411</f>
        <v>148.122263361987</v>
      </c>
      <c r="AC411" s="48">
        <f>VLOOKUP(B411,'Player Data'!$A1:$AE734,17,FALSE)*$Q411*_xlfn.IFERROR((VLOOKUP(P411,'Settings'!$E$28:$F$33,2,FALSE)+1),1)</f>
        <v>1.67260019180744</v>
      </c>
      <c r="AD411" s="48">
        <f>VLOOKUP(B411,'Player Data'!$A1:$AE734,18,FALSE)*$Q411</f>
        <v>47.7780513445269</v>
      </c>
      <c r="AE411" s="48">
        <f>VLOOKUP(B411,'Player Data'!$A1:$AE734,19,FALSE)*$Q411*_xlfn.IFERROR((VLOOKUP(P411,'Settings'!$E$28:$F$33,2,FALSE)+1),1)</f>
        <v>0.747932785078856</v>
      </c>
      <c r="AF411" s="48">
        <f>VLOOKUP(B411,'Player Data'!$A1:$AE734,20,FALSE)*$Q411</f>
        <v>0</v>
      </c>
      <c r="AG411" s="48">
        <f>VLOOKUP(B411,'Player Data'!$A1:$AE734,21,FALSE)*$Q411</f>
        <v>0</v>
      </c>
      <c r="AH411" s="49">
        <f>VLOOKUP(B411,'Player Data'!$A1:$AE734,22,FALSE)</f>
        <v>0</v>
      </c>
      <c r="AI411" s="46"/>
      <c r="AJ411" s="50"/>
      <c r="AK411" s="48"/>
      <c r="AL411" s="48"/>
      <c r="AM411" s="48"/>
      <c r="AN411" s="48"/>
      <c r="AO411" s="48"/>
      <c r="AP411" s="48"/>
      <c r="AQ411" s="51"/>
      <c r="AR411" s="52"/>
      <c r="AS411" s="46"/>
    </row>
    <row r="412" ht="21.25" customHeight="1">
      <c r="A412" s="53">
        <f>RANK(K412,K2:K730)</f>
        <v>212</v>
      </c>
      <c r="B412" t="s" s="8">
        <v>564</v>
      </c>
      <c r="C412" t="s" s="39">
        <v>106</v>
      </c>
      <c r="D412" t="s" s="40">
        <f>VLOOKUP(B412,'Player Data'!A1:D734,4,FALSE)</f>
        <v>146</v>
      </c>
      <c r="E412" s="58">
        <f>VLOOKUP(B412,'G'!A1:D75,3,FALSE)</f>
        <v>36</v>
      </c>
      <c r="F412" t="s" s="42">
        <f>VLOOKUP(B412,'Player Data'!A1:B734,2,FALSE)</f>
        <v>225</v>
      </c>
      <c r="G412" s="9">
        <f>VLOOKUP(B412,'Player Data'!A1:D734,3,FALSE)</f>
        <v>24</v>
      </c>
      <c r="H412" s="43">
        <f>_xlfn.IFERROR(VLOOKUP(B412,'ADP'!A1:G731,7,FALSE)/1000000,VLOOKUP(B412,'ADP'!A1:G731,7,FALSE))</f>
        <v>0</v>
      </c>
      <c r="I412" s="44">
        <f>IF('Settings'!$E$15="POINTS",(AJ412*'Settings'!$B$29)+(AK412*'Settings'!$B$21)+(AL412*'Settings'!$B$22)+(AN412*'Settings'!$B$24)+(AO412*'Settings'!$B$25)+(AP412*'Settings'!$B$27)+(AM412*'Settings'!$B$23),VLOOKUP(B412,'Standard Deviations'!A1:C731,3,FALSE))</f>
        <v>191.174267146606</v>
      </c>
      <c r="J412" s="45">
        <f>IF(D412="G",I412/AJ412,I412/Q412)</f>
        <v>5.16687208504341</v>
      </c>
      <c r="K412" s="44">
        <f>VLOOKUP(B412,'G'!A1:F75,6,FALSE)</f>
        <v>-74.12895435308199</v>
      </c>
      <c r="L412" t="s" s="60">
        <f>_xlfn.IFERROR(K412/H412,"N/A")</f>
        <v>158</v>
      </c>
      <c r="M412" t="s" s="61">
        <f>IF('Settings'!$E$9="YAHOO",VLOOKUP(B412,'ADP'!A1:E731,2,FALSE),IF('Settings'!$E$9="ESPN",VLOOKUP(B412,'ADP'!A1:E731,3,FALSE),IF('Settings'!$E$9="FANTRAX",VLOOKUP(B412,'ADP'!A1:E731,4,FALSE),VLOOKUP(B412,'ADP'!A1:E731,5,FALSE))))</f>
        <v>329</v>
      </c>
      <c r="N412" t="s" s="61">
        <f>_xlfn.IFERROR(M412-A412,"N/A")</f>
        <v>158</v>
      </c>
      <c r="O412" s="46"/>
      <c r="P412" t="s" s="47">
        <f>IF('Settings'!$E$27="ON",VLOOKUP(B412,'ADP'!A1:H731,8,FALSE)," ")</f>
        <v>109</v>
      </c>
      <c r="Q412" s="48"/>
      <c r="R412" s="59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9"/>
      <c r="AI412" s="46"/>
      <c r="AJ412" s="50">
        <f>VLOOKUP(B412,'Player Data'!$A1:$AE734,24,FALSE)</f>
        <v>37</v>
      </c>
      <c r="AK412" s="48">
        <f>VLOOKUP(B412,'Player Data'!$A1:$AE734,25,FALSE)*$AJ412*_xlfn.IFERROR((VLOOKUP(P412,'Settings'!$E$28:$F$33,2,FALSE)+1),1)</f>
        <v>13.2698213595643</v>
      </c>
      <c r="AL412" s="48">
        <f>AJ412-AK412-AM412</f>
        <v>19.1051786404357</v>
      </c>
      <c r="AM412" s="48">
        <f>VLOOKUP(B412,'Player Data'!$A1:$AE734,27,FALSE)*$AJ412</f>
        <v>4.625</v>
      </c>
      <c r="AN412" s="48">
        <f>VLOOKUP(B412,'Player Data'!$A1:$AE734,28,FALSE)*AJ412</f>
        <v>1.51223146023719</v>
      </c>
      <c r="AO412" s="48">
        <f>VLOOKUP(B412,'Player Data'!$A1:$AE734,29,FALSE)*$AJ412*_xlfn.IFERROR((VLOOKUP(P412,'Settings'!$E$28:$F$33,2,FALSE)/4)+1,1)</f>
        <v>1046.1919857481</v>
      </c>
      <c r="AP412" s="48">
        <f>VLOOKUP(B412,'Player Data'!$A1:$AE734,31,FALSE)*$AJ412*(_xlfn.IFERROR(1-(VLOOKUP(P412,'Settings'!$E$28:$F$33,2,FALSE)/4),1))</f>
        <v>111.352991358152</v>
      </c>
      <c r="AQ412" s="51">
        <f>1-(AP412/(AO412+AP412))</f>
        <v>0.90380244952855</v>
      </c>
      <c r="AR412" s="52">
        <f>AP412/AJ412</f>
        <v>3.00954030697708</v>
      </c>
      <c r="AS412" s="46"/>
    </row>
    <row r="413" ht="21.25" customHeight="1">
      <c r="A413" s="53">
        <f>RANK(K413,K2:K730)</f>
        <v>375</v>
      </c>
      <c r="B413" t="s" s="8">
        <v>565</v>
      </c>
      <c r="C413" t="s" s="39">
        <v>106</v>
      </c>
      <c r="D413" t="s" s="40">
        <f>VLOOKUP(B413,'Player Data'!A1:D734,4,FALSE)</f>
        <v>129</v>
      </c>
      <c r="E413" s="56">
        <f>VLOOKUP(B413,'D'!A1:C228,3,FALSE)</f>
        <v>122</v>
      </c>
      <c r="F413" t="s" s="42">
        <f>VLOOKUP(B413,'Player Data'!A1:B734,2,FALSE)</f>
        <v>236</v>
      </c>
      <c r="G413" s="9">
        <f>VLOOKUP(B413,'Player Data'!A1:D734,3,FALSE)</f>
        <v>30</v>
      </c>
      <c r="H413" s="43">
        <f>_xlfn.IFERROR(VLOOKUP(B413,'ADP'!A1:G731,7,FALSE)/1000000,VLOOKUP(B413,'ADP'!A1:G731,7,FALSE))</f>
        <v>0.775</v>
      </c>
      <c r="I413" s="44">
        <f>IF('Settings'!$E$15="POINTS",((R413*Q413)*'Settings'!$B$12)+(S413*'Settings'!$B$2)+(T413*'Settings'!$B$3)+(U413*'Settings'!$B$4)+(V413*'Settings'!$B$5)+(X413*'Settings'!$B$9)+(AA413*'Settings'!$B$6)+(W413*'Settings'!$B$8)+(AB413*'Settings'!$B$7)+(AC413*'Settings'!$B$14)+(AD413*'Settings'!$B$15)+(AE413*'Settings'!$B$16)+(AF413*'Settings'!$B$17)+(AG413*'Settings'!$B$18)+(U413*'Settings'!$B$13)+(Y413*'Settings'!$B$10)+(Z413*'Settings'!$B$11),VLOOKUP(B413,'Standard Deviations'!A1:C731,3,FALSE))</f>
        <v>198.054864955348</v>
      </c>
      <c r="J413" s="45">
        <f>IF(D413="G",I413/AJ413,I413/Q413)</f>
        <v>2.75535427038603</v>
      </c>
      <c r="K413" s="44">
        <f>VLOOKUP(B413,'D'!A1:F228,6,FALSE)</f>
        <v>-142.680273691175</v>
      </c>
      <c r="L413" s="44">
        <f>_xlfn.IFERROR(K413/H413,"N/A")</f>
        <v>-184.103578956355</v>
      </c>
      <c r="M413" t="s" s="61">
        <f>IF('Settings'!$E$9="YAHOO",VLOOKUP(B413,'ADP'!A1:E731,2,FALSE),IF('Settings'!$E$9="ESPN",VLOOKUP(B413,'ADP'!A1:E731,3,FALSE),IF('Settings'!$E$9="FANTRAX",VLOOKUP(B413,'ADP'!A1:E731,4,FALSE),VLOOKUP(B413,'ADP'!A1:E731,5,FALSE))))</f>
        <v>329</v>
      </c>
      <c r="N413" t="s" s="61">
        <f>_xlfn.IFERROR(M413-A413,"N/A")</f>
        <v>158</v>
      </c>
      <c r="O413" s="46"/>
      <c r="P413" t="s" s="47">
        <f>IF('Settings'!$E$27="ON",VLOOKUP(B413,'ADP'!A1:H731,8,FALSE)," ")</f>
        <v>109</v>
      </c>
      <c r="Q413" s="48">
        <f>IF('Settings'!$E$12="YES",VLOOKUP(B413,'Player Data'!A1:E734,5,FALSE),82)</f>
        <v>71.88</v>
      </c>
      <c r="R413" s="46">
        <f>VLOOKUP(B413,'Player Data'!$A1:$AE734,6,FALSE)</f>
        <v>16.4442157010236</v>
      </c>
      <c r="S413" s="48">
        <f>VLOOKUP(B413,'Player Data'!$A1:$AE734,7,FALSE)*$Q413*_xlfn.IFERROR((VLOOKUP(P413,'Settings'!$E$28:$F$33,2,FALSE)+1),1)</f>
        <v>3.4081704323473</v>
      </c>
      <c r="T413" s="48">
        <f>VLOOKUP(B413,'Player Data'!$A1:$AE734,8,FALSE)*$Q413*_xlfn.IFERROR((VLOOKUP(P413,'Settings'!$E$28:$F$33,2,FALSE)+1),1)</f>
        <v>9.60319696266885</v>
      </c>
      <c r="U413" s="48">
        <f>SUM(S413:T413)</f>
        <v>13.0113673950162</v>
      </c>
      <c r="V413" s="48">
        <f>VLOOKUP(B413,'Player Data'!$A1:$AE734,10,FALSE)*$Q413*_xlfn.IFERROR(((VLOOKUP(P413,'Settings'!$E$28:$F$33,2,FALSE)/2)+1),1)</f>
        <v>90.55343379652319</v>
      </c>
      <c r="W413" s="48">
        <f>VLOOKUP(B413,'Player Data'!$A1:$AE734,11,FALSE)*$Q413*_xlfn.IFERROR((VLOOKUP(P413,'Settings'!$E$28:$F$33,2,FALSE)+1),1)</f>
        <v>0.00822726113523599</v>
      </c>
      <c r="X413" s="48">
        <f>VLOOKUP(B413,'Player Data'!$A1:$AE734,12,FALSE)*$Q413*_xlfn.IFERROR((VLOOKUP(P413,'Settings'!$E$28:$F$33,2,FALSE)+1),1)</f>
        <v>0.0571459809969055</v>
      </c>
      <c r="Y413" s="48">
        <f>VLOOKUP(B413,'Player Data'!$A1:$AE734,13,FALSE)*$Q413</f>
        <v>0.0259408618647001</v>
      </c>
      <c r="Z413" s="48">
        <f>VLOOKUP(B413,'Player Data'!$A1:$AE734,14,FALSE)*$Q413</f>
        <v>0.497632072686448</v>
      </c>
      <c r="AA413" s="48">
        <f>VLOOKUP(B413,'Player Data'!$A1:$AE734,15,FALSE)*$Q413</f>
        <v>148.969846785124</v>
      </c>
      <c r="AB413" s="48">
        <f>VLOOKUP(B413,'Player Data'!$A1:$AE734,16,FALSE)*$Q413</f>
        <v>132.606410742330</v>
      </c>
      <c r="AC413" s="48">
        <f>VLOOKUP(B413,'Player Data'!$A1:$AE734,17,FALSE)*$Q413*_xlfn.IFERROR((VLOOKUP(P413,'Settings'!$E$28:$F$33,2,FALSE)+1),1)</f>
        <v>-4.79085838504597</v>
      </c>
      <c r="AD413" s="48">
        <f>VLOOKUP(B413,'Player Data'!$A1:$AE734,18,FALSE)*$Q413</f>
        <v>51.7492174628107</v>
      </c>
      <c r="AE413" s="48">
        <f>VLOOKUP(B413,'Player Data'!$A1:$AE734,19,FALSE)*$Q413*_xlfn.IFERROR((VLOOKUP(P413,'Settings'!$E$28:$F$33,2,FALSE)+1),1)</f>
        <v>0.400615582888336</v>
      </c>
      <c r="AF413" s="48">
        <f>VLOOKUP(B413,'Player Data'!$A1:$AE734,20,FALSE)*$Q413</f>
        <v>0</v>
      </c>
      <c r="AG413" s="48">
        <f>VLOOKUP(B413,'Player Data'!$A1:$AE734,21,FALSE)*$Q413</f>
        <v>0</v>
      </c>
      <c r="AH413" s="49">
        <f>VLOOKUP(B413,'Player Data'!$A1:$AE734,22,FALSE)</f>
        <v>0</v>
      </c>
      <c r="AI413" s="46"/>
      <c r="AJ413" s="50"/>
      <c r="AK413" s="48"/>
      <c r="AL413" s="48"/>
      <c r="AM413" s="48"/>
      <c r="AN413" s="48"/>
      <c r="AO413" s="48"/>
      <c r="AP413" s="48"/>
      <c r="AQ413" s="51"/>
      <c r="AR413" s="52"/>
      <c r="AS413" s="46"/>
    </row>
    <row r="414" ht="21.25" customHeight="1">
      <c r="A414" s="53">
        <f>RANK(K414,K2:K730)</f>
        <v>210</v>
      </c>
      <c r="B414" t="s" s="8">
        <v>566</v>
      </c>
      <c r="C414" t="s" s="39">
        <v>106</v>
      </c>
      <c r="D414" t="s" s="40">
        <f>VLOOKUP(B414,'Player Data'!A1:D734,4,FALSE)</f>
        <v>146</v>
      </c>
      <c r="E414" s="58">
        <f>VLOOKUP(B414,'G'!A1:D75,3,FALSE)</f>
        <v>35</v>
      </c>
      <c r="F414" t="s" s="42">
        <f>VLOOKUP(B414,'Player Data'!A1:B734,2,FALSE)</f>
        <v>127</v>
      </c>
      <c r="G414" s="9">
        <f>VLOOKUP(B414,'Player Data'!A1:D734,3,FALSE)</f>
        <v>23</v>
      </c>
      <c r="H414" s="43">
        <f>_xlfn.IFERROR(VLOOKUP(B414,'ADP'!A1:G731,7,FALSE)/1000000,VLOOKUP(B414,'ADP'!A1:G731,7,FALSE))</f>
        <v>0</v>
      </c>
      <c r="I414" s="44">
        <f>IF('Settings'!$E$15="POINTS",(AJ414*'Settings'!$B$29)+(AK414*'Settings'!$B$21)+(AL414*'Settings'!$B$22)+(AN414*'Settings'!$B$24)+(AO414*'Settings'!$B$25)+(AP414*'Settings'!$B$27)+(AM414*'Settings'!$B$23),VLOOKUP(B414,'Standard Deviations'!A1:C731,3,FALSE))</f>
        <v>191.651485848983</v>
      </c>
      <c r="J414" s="45">
        <f>IF(D414="G",I414/AJ414,I414/Q414)</f>
        <v>5.98910893278072</v>
      </c>
      <c r="K414" s="44">
        <f>VLOOKUP(B414,'G'!A1:F75,6,FALSE)</f>
        <v>-73.65173565070501</v>
      </c>
      <c r="L414" t="s" s="60">
        <f>_xlfn.IFERROR(K414/H414,"N/A")</f>
        <v>158</v>
      </c>
      <c r="M414" s="46">
        <f>IF('Settings'!$E$9="YAHOO",VLOOKUP(B414,'ADP'!A1:E731,2,FALSE),IF('Settings'!$E$9="ESPN",VLOOKUP(B414,'ADP'!A1:E731,3,FALSE),IF('Settings'!$E$9="FANTRAX",VLOOKUP(B414,'ADP'!A1:E731,4,FALSE),VLOOKUP(B414,'ADP'!A1:E731,5,FALSE))))</f>
        <v>222.23</v>
      </c>
      <c r="N414" s="46">
        <f>_xlfn.IFERROR(M414-A414,"N/A")</f>
        <v>12.23</v>
      </c>
      <c r="O414" s="46"/>
      <c r="P414" t="s" s="47">
        <f>IF('Settings'!$E$27="ON",VLOOKUP(B414,'ADP'!A1:H731,8,FALSE)," ")</f>
        <v>116</v>
      </c>
      <c r="Q414" s="48"/>
      <c r="R414" s="59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9"/>
      <c r="AI414" s="46"/>
      <c r="AJ414" s="50">
        <f>VLOOKUP(B414,'Player Data'!$A1:$AE734,24,FALSE)</f>
        <v>32</v>
      </c>
      <c r="AK414" s="48">
        <f>VLOOKUP(B414,'Player Data'!$A1:$AE734,25,FALSE)*$AJ414*_xlfn.IFERROR((VLOOKUP(P414,'Settings'!$E$28:$F$33,2,FALSE)+1),1)</f>
        <v>18.9329724373232</v>
      </c>
      <c r="AL414" s="48">
        <f>AJ414-AK414-AM414</f>
        <v>9.067027562676801</v>
      </c>
      <c r="AM414" s="48">
        <f>VLOOKUP(B414,'Player Data'!$A1:$AE734,27,FALSE)*$AJ414</f>
        <v>4</v>
      </c>
      <c r="AN414" s="48">
        <f>VLOOKUP(B414,'Player Data'!$A1:$AE734,28,FALSE)*AJ414</f>
        <v>1.76209528490268</v>
      </c>
      <c r="AO414" s="48">
        <f>VLOOKUP(B414,'Player Data'!$A1:$AE734,29,FALSE)*$AJ414*_xlfn.IFERROR((VLOOKUP(P414,'Settings'!$E$28:$F$33,2,FALSE)/4)+1,1)</f>
        <v>878.0401551555869</v>
      </c>
      <c r="AP414" s="48">
        <f>VLOOKUP(B414,'Player Data'!$A1:$AE734,31,FALSE)*$AJ414*(_xlfn.IFERROR(1-(VLOOKUP(P414,'Settings'!$E$28:$F$33,2,FALSE)/4),1))</f>
        <v>89.2305092429137</v>
      </c>
      <c r="AQ414" s="51">
        <f>1-(AP414/(AO414+AP414))</f>
        <v>0.907750216638275</v>
      </c>
      <c r="AR414" s="52">
        <f>AP414/AJ414</f>
        <v>2.78845341384105</v>
      </c>
      <c r="AS414" s="46"/>
    </row>
    <row r="415" ht="21.25" customHeight="1">
      <c r="A415" s="53">
        <f>RANK(K415,K2:K730)</f>
        <v>422</v>
      </c>
      <c r="B415" t="s" s="8">
        <v>567</v>
      </c>
      <c r="C415" t="s" s="39">
        <v>106</v>
      </c>
      <c r="D415" t="s" s="40">
        <f>VLOOKUP(B415,'Player Data'!A1:D734,4,FALSE)</f>
        <v>107</v>
      </c>
      <c r="E415" s="41">
        <f>VLOOKUP(B415,'C'!A1:C218,3,FALSE)</f>
        <v>106</v>
      </c>
      <c r="F415" t="s" s="42">
        <f>VLOOKUP(B415,'Player Data'!A1:B734,2,FALSE)</f>
        <v>258</v>
      </c>
      <c r="G415" s="9">
        <f>VLOOKUP(B415,'Player Data'!A1:D734,3,FALSE)</f>
        <v>22</v>
      </c>
      <c r="H415" s="43">
        <f>_xlfn.IFERROR(VLOOKUP(B415,'ADP'!A1:G731,7,FALSE)/1000000,VLOOKUP(B415,'ADP'!A1:G731,7,FALSE))</f>
        <v>2.9</v>
      </c>
      <c r="I415" s="44">
        <f>IF('Settings'!$E$15="POINTS",((R415*Q415)*'Settings'!$B$12)+(S415*'Settings'!$B$2)+(T415*'Settings'!$B$3)+(U415*'Settings'!$B$4)+(V415*'Settings'!$B$5)+(X415*'Settings'!$B$9)+(AA415*'Settings'!$B$6)+(W415*'Settings'!$B$8)+(AB415*'Settings'!$B$7)+(AC415*'Settings'!$B$14)+(AD415*'Settings'!$B$15)+(AE415*'Settings'!$B$16)+(AF415*'Settings'!$B$17)+(AG415*'Settings'!$B$18)+(Y415*'Settings'!$B$10)+(Z415*'Settings'!$B$11),VLOOKUP(B415,'Standard Deviations'!A1:C731,3,FALSE))</f>
        <v>237.483772989843</v>
      </c>
      <c r="J415" s="45">
        <f>IF(D415="G",I415/AJ415,I415/Q415)</f>
        <v>2.99032043302601</v>
      </c>
      <c r="K415" s="44">
        <f>IF('Settings'!$E$18="C/LW/RW",VLOOKUP(B415,'C'!A1:F218,6,FALSE),VLOOKUP(B415,'F'!A1:F432,6,FALSE))</f>
        <v>-158.290428646172</v>
      </c>
      <c r="L415" s="44">
        <f>_xlfn.IFERROR(K415/H415,"N/A")</f>
        <v>-54.5829064297145</v>
      </c>
      <c r="M415" t="s" s="61">
        <f>IF('Settings'!$E$9="YAHOO",VLOOKUP(B415,'ADP'!A1:E731,2,FALSE),IF('Settings'!$E$9="ESPN",VLOOKUP(B415,'ADP'!A1:E731,3,FALSE),IF('Settings'!$E$9="FANTRAX",VLOOKUP(B415,'ADP'!A1:E731,4,FALSE),VLOOKUP(B415,'ADP'!A1:E731,5,FALSE))))</f>
        <v>329</v>
      </c>
      <c r="N415" t="s" s="61">
        <f>_xlfn.IFERROR(M415-A415,"N/A")</f>
        <v>158</v>
      </c>
      <c r="O415" s="46"/>
      <c r="P415" t="s" s="47">
        <f>IF('Settings'!$E$27="ON",VLOOKUP(B415,'ADP'!A1:H731,8,FALSE)," ")</f>
        <v>109</v>
      </c>
      <c r="Q415" s="48">
        <f>IF('Settings'!$E$12="YES",VLOOKUP(B415,'Player Data'!A1:E734,5,FALSE),82)</f>
        <v>79.4175</v>
      </c>
      <c r="R415" s="46">
        <f>VLOOKUP(B415,'Player Data'!$A1:$AE734,6,FALSE)</f>
        <v>15.1538145807478</v>
      </c>
      <c r="S415" s="48">
        <f>VLOOKUP(B415,'Player Data'!$A1:$AE734,7,FALSE)*$Q415*_xlfn.IFERROR((VLOOKUP(P415,'Settings'!$E$28:$F$33,2,FALSE)+1),1)</f>
        <v>16.5216631957643</v>
      </c>
      <c r="T415" s="48">
        <f>VLOOKUP(B415,'Player Data'!$A1:$AE734,8,FALSE)*$Q415*_xlfn.IFERROR((VLOOKUP(P415,'Settings'!$E$28:$F$33,2,FALSE)+1),1)</f>
        <v>22.5112882418807</v>
      </c>
      <c r="U415" s="48">
        <f>SUM(S415:T415)</f>
        <v>39.032951437645</v>
      </c>
      <c r="V415" s="48">
        <f>VLOOKUP(B415,'Player Data'!$A1:$AE734,10,FALSE)*$Q415*_xlfn.IFERROR(((VLOOKUP(P415,'Settings'!$E$28:$F$33,2,FALSE)/2)+1),1)</f>
        <v>127.051441980842</v>
      </c>
      <c r="W415" s="48">
        <f>VLOOKUP(B415,'Player Data'!$A1:$AE734,11,FALSE)*$Q415*_xlfn.IFERROR((VLOOKUP(P415,'Settings'!$E$28:$F$33,2,FALSE)+1),1)</f>
        <v>1.70759614638375</v>
      </c>
      <c r="X415" s="48">
        <f>VLOOKUP(B415,'Player Data'!$A1:$AE734,12,FALSE)*$Q415*_xlfn.IFERROR((VLOOKUP(P415,'Settings'!$E$28:$F$33,2,FALSE)+1),1)</f>
        <v>3.65146773125246</v>
      </c>
      <c r="Y415" s="48">
        <f>VLOOKUP(B415,'Player Data'!$A1:$AE734,13,FALSE)*$Q415</f>
        <v>0.0189131009050255</v>
      </c>
      <c r="Z415" s="48">
        <f>VLOOKUP(B415,'Player Data'!$A1:$AE734,14,FALSE)*$Q415</f>
        <v>0.0343753810562105</v>
      </c>
      <c r="AA415" s="48">
        <f>VLOOKUP(B415,'Player Data'!$A1:$AE734,15,FALSE)*$Q415</f>
        <v>32.5914085170238</v>
      </c>
      <c r="AB415" s="48">
        <f>VLOOKUP(B415,'Player Data'!$A1:$AE734,16,FALSE)*$Q415</f>
        <v>62.8489914888647</v>
      </c>
      <c r="AC415" s="48">
        <f>VLOOKUP(B415,'Player Data'!$A1:$AE734,17,FALSE)*$Q415*_xlfn.IFERROR((VLOOKUP(P415,'Settings'!$E$28:$F$33,2,FALSE)+1),1)</f>
        <v>-5.76604669520596</v>
      </c>
      <c r="AD415" s="48">
        <f>VLOOKUP(B415,'Player Data'!$A1:$AE734,18,FALSE)*$Q415</f>
        <v>22.5938409314001</v>
      </c>
      <c r="AE415" s="48">
        <f>VLOOKUP(B415,'Player Data'!$A1:$AE734,19,FALSE)*$Q415*_xlfn.IFERROR((VLOOKUP(P415,'Settings'!$E$28:$F$33,2,FALSE)+1),1)</f>
        <v>1.69251411420805</v>
      </c>
      <c r="AF415" s="48">
        <f>VLOOKUP(B415,'Player Data'!$A1:$AE734,20,FALSE)*$Q415</f>
        <v>202.740890434887</v>
      </c>
      <c r="AG415" s="48">
        <f>VLOOKUP(B415,'Player Data'!$A1:$AE734,21,FALSE)*$Q415</f>
        <v>320.774311597458</v>
      </c>
      <c r="AH415" s="49">
        <f>VLOOKUP(B415,'Player Data'!$A1:$AE734,22,FALSE)</f>
        <v>0.38726839191646</v>
      </c>
      <c r="AI415" s="46"/>
      <c r="AJ415" s="50"/>
      <c r="AK415" s="48"/>
      <c r="AL415" s="48"/>
      <c r="AM415" s="48"/>
      <c r="AN415" s="48"/>
      <c r="AO415" s="48"/>
      <c r="AP415" s="48"/>
      <c r="AQ415" s="51"/>
      <c r="AR415" s="52"/>
      <c r="AS415" s="46"/>
    </row>
    <row r="416" ht="21.25" customHeight="1">
      <c r="A416" s="53">
        <f>RANK(K416,K2:K730)</f>
        <v>463</v>
      </c>
      <c r="B416" t="s" s="8">
        <v>568</v>
      </c>
      <c r="C416" t="s" s="39">
        <v>106</v>
      </c>
      <c r="D416" t="s" s="40">
        <f>VLOOKUP(B416,'Player Data'!A1:D734,4,FALSE)</f>
        <v>133</v>
      </c>
      <c r="E416" s="57">
        <f>VLOOKUP(B416,'LW'!A1:C156,3,FALSE)</f>
        <v>102</v>
      </c>
      <c r="F416" t="s" s="42">
        <f>VLOOKUP(B416,'Player Data'!A1:B734,2,FALSE)</f>
        <v>258</v>
      </c>
      <c r="G416" s="9">
        <f>VLOOKUP(B416,'Player Data'!A1:D734,3,FALSE)</f>
        <v>33</v>
      </c>
      <c r="H416" s="43">
        <f>_xlfn.IFERROR(VLOOKUP(B416,'ADP'!A1:G731,7,FALSE)/1000000,VLOOKUP(B416,'ADP'!A1:G731,7,FALSE))</f>
        <v>4.5</v>
      </c>
      <c r="I416" s="44">
        <f>IF('Settings'!$E$15="POINTS",((R416*Q416)*'Settings'!$B$12)+(S416*'Settings'!$B$2)+(T416*'Settings'!$B$3)+(U416*'Settings'!$B$4)+(V416*'Settings'!$B$5)+(X416*'Settings'!$B$9)+(AA416*'Settings'!$B$6)+(W416*'Settings'!$B$8)+(AB416*'Settings'!$B$7)+(AC416*'Settings'!$B$14)+(AD416*'Settings'!$B$15)+(AE416*'Settings'!$B$16)+(AF416*'Settings'!$B$17)+(AG416*'Settings'!$B$18)+(Y416*'Settings'!$B$10)+(Z416*'Settings'!$B$11),VLOOKUP(B416,'Standard Deviations'!A1:C731,3,FALSE))</f>
        <v>210.684613348414</v>
      </c>
      <c r="J416" s="45">
        <f>IF(D416="G",I416/AJ416,I416/Q416)</f>
        <v>2.74617537672386</v>
      </c>
      <c r="K416" s="44">
        <f>IF('Settings'!$E$18="C/LW/RW",VLOOKUP(B416,'LW'!A1:F156,6,FALSE),VLOOKUP(B416,'F'!A1:F432,6,FALSE))</f>
        <v>-170.943950357942</v>
      </c>
      <c r="L416" s="44">
        <f>_xlfn.IFERROR(K416/H416,"N/A")</f>
        <v>-37.9875445239871</v>
      </c>
      <c r="M416" t="s" s="61">
        <f>IF('Settings'!$E$9="YAHOO",VLOOKUP(B416,'ADP'!A1:E731,2,FALSE),IF('Settings'!$E$9="ESPN",VLOOKUP(B416,'ADP'!A1:E731,3,FALSE),IF('Settings'!$E$9="FANTRAX",VLOOKUP(B416,'ADP'!A1:E731,4,FALSE),VLOOKUP(B416,'ADP'!A1:E731,5,FALSE))))</f>
        <v>329</v>
      </c>
      <c r="N416" t="s" s="61">
        <f>_xlfn.IFERROR(M416-A416,"N/A")</f>
        <v>158</v>
      </c>
      <c r="O416" s="46"/>
      <c r="P416" t="s" s="47">
        <f>IF('Settings'!$E$27="ON",VLOOKUP(B416,'ADP'!A1:H731,8,FALSE)," ")</f>
        <v>109</v>
      </c>
      <c r="Q416" s="48">
        <f>IF('Settings'!$E$12="YES",VLOOKUP(B416,'Player Data'!A1:E734,5,FALSE),82)</f>
        <v>76.7192857142857</v>
      </c>
      <c r="R416" s="46">
        <f>VLOOKUP(B416,'Player Data'!$A1:$AE734,6,FALSE)</f>
        <v>14.6197749865649</v>
      </c>
      <c r="S416" s="48">
        <f>VLOOKUP(B416,'Player Data'!$A1:$AE734,7,FALSE)*$Q416*_xlfn.IFERROR((VLOOKUP(P416,'Settings'!$E$28:$F$33,2,FALSE)+1),1)</f>
        <v>14.161921970898</v>
      </c>
      <c r="T416" s="48">
        <f>VLOOKUP(B416,'Player Data'!$A1:$AE734,8,FALSE)*$Q416*_xlfn.IFERROR((VLOOKUP(P416,'Settings'!$E$28:$F$33,2,FALSE)+1),1)</f>
        <v>18.2431605855796</v>
      </c>
      <c r="U416" s="48">
        <f>SUM(S416:T416)</f>
        <v>32.4050825564776</v>
      </c>
      <c r="V416" s="48">
        <f>VLOOKUP(B416,'Player Data'!$A1:$AE734,10,FALSE)*$Q416*_xlfn.IFERROR(((VLOOKUP(P416,'Settings'!$E$28:$F$33,2,FALSE)/2)+1),1)</f>
        <v>140.852480761074</v>
      </c>
      <c r="W416" s="48">
        <f>VLOOKUP(B416,'Player Data'!$A1:$AE734,11,FALSE)*$Q416*_xlfn.IFERROR((VLOOKUP(P416,'Settings'!$E$28:$F$33,2,FALSE)+1),1)</f>
        <v>2.04024827780566</v>
      </c>
      <c r="X416" s="48">
        <f>VLOOKUP(B416,'Player Data'!$A1:$AE734,12,FALSE)*$Q416*_xlfn.IFERROR((VLOOKUP(P416,'Settings'!$E$28:$F$33,2,FALSE)+1),1)</f>
        <v>7.78578352136124</v>
      </c>
      <c r="Y416" s="48">
        <f>VLOOKUP(B416,'Player Data'!$A1:$AE734,13,FALSE)*$Q416</f>
        <v>0.0103012927665327</v>
      </c>
      <c r="Z416" s="48">
        <f>VLOOKUP(B416,'Player Data'!$A1:$AE734,14,FALSE)*$Q416</f>
        <v>0.0190033938859322</v>
      </c>
      <c r="AA416" s="48">
        <f>VLOOKUP(B416,'Player Data'!$A1:$AE734,15,FALSE)*$Q416</f>
        <v>26.5550688317431</v>
      </c>
      <c r="AB416" s="48">
        <f>VLOOKUP(B416,'Player Data'!$A1:$AE734,16,FALSE)*$Q416</f>
        <v>33.938804553817</v>
      </c>
      <c r="AC416" s="48">
        <f>VLOOKUP(B416,'Player Data'!$A1:$AE734,17,FALSE)*$Q416*_xlfn.IFERROR((VLOOKUP(P416,'Settings'!$E$28:$F$33,2,FALSE)+1),1)</f>
        <v>-0.715178429773052</v>
      </c>
      <c r="AD416" s="48">
        <f>VLOOKUP(B416,'Player Data'!$A1:$AE734,18,FALSE)*$Q416</f>
        <v>28.1313592570172</v>
      </c>
      <c r="AE416" s="48">
        <f>VLOOKUP(B416,'Player Data'!$A1:$AE734,19,FALSE)*$Q416*_xlfn.IFERROR((VLOOKUP(P416,'Settings'!$E$28:$F$33,2,FALSE)+1),1)</f>
        <v>1.45077723326325</v>
      </c>
      <c r="AF416" s="48">
        <f>VLOOKUP(B416,'Player Data'!$A1:$AE734,20,FALSE)*$Q416</f>
        <v>15.8122069244554</v>
      </c>
      <c r="AG416" s="48">
        <f>VLOOKUP(B416,'Player Data'!$A1:$AE734,21,FALSE)*$Q416</f>
        <v>10.5286988372511</v>
      </c>
      <c r="AH416" s="49">
        <f>VLOOKUP(B416,'Player Data'!$A1:$AE734,22,FALSE)</f>
        <v>0.600290934089389</v>
      </c>
      <c r="AI416" s="46"/>
      <c r="AJ416" s="50"/>
      <c r="AK416" s="48"/>
      <c r="AL416" s="48"/>
      <c r="AM416" s="48"/>
      <c r="AN416" s="48"/>
      <c r="AO416" s="48"/>
      <c r="AP416" s="48"/>
      <c r="AQ416" s="51"/>
      <c r="AR416" s="52"/>
      <c r="AS416" s="46"/>
    </row>
    <row r="417" ht="21.25" customHeight="1">
      <c r="A417" s="53">
        <f>RANK(K417,K2:K730)</f>
        <v>450</v>
      </c>
      <c r="B417" t="s" s="8">
        <v>569</v>
      </c>
      <c r="C417" t="s" s="39">
        <v>106</v>
      </c>
      <c r="D417" t="s" s="40">
        <f>VLOOKUP(B417,'Player Data'!A1:D734,4,FALSE)</f>
        <v>107</v>
      </c>
      <c r="E417" s="41">
        <f>VLOOKUP(B417,'C'!A1:C218,3,FALSE)</f>
        <v>113</v>
      </c>
      <c r="F417" t="s" s="42">
        <f>VLOOKUP(B417,'Player Data'!A1:B734,2,FALSE)</f>
        <v>113</v>
      </c>
      <c r="G417" s="9">
        <f>VLOOKUP(B417,'Player Data'!A1:D734,3,FALSE)</f>
        <v>31</v>
      </c>
      <c r="H417" s="43">
        <f>_xlfn.IFERROR(VLOOKUP(B417,'ADP'!A1:G731,7,FALSE)/1000000,VLOOKUP(B417,'ADP'!A1:G731,7,FALSE))</f>
        <v>4</v>
      </c>
      <c r="I417" s="44">
        <f>IF('Settings'!$E$15="POINTS",((R417*Q417)*'Settings'!$B$12)+(S417*'Settings'!$B$2)+(T417*'Settings'!$B$3)+(U417*'Settings'!$B$4)+(V417*'Settings'!$B$5)+(X417*'Settings'!$B$9)+(AA417*'Settings'!$B$6)+(W417*'Settings'!$B$8)+(AB417*'Settings'!$B$7)+(AC417*'Settings'!$B$14)+(AD417*'Settings'!$B$15)+(AE417*'Settings'!$B$16)+(AF417*'Settings'!$B$17)+(AG417*'Settings'!$B$18)+(Y417*'Settings'!$B$10)+(Z417*'Settings'!$B$11),VLOOKUP(B417,'Standard Deviations'!A1:C731,3,FALSE))</f>
        <v>228.064280746874</v>
      </c>
      <c r="J417" s="45">
        <f>IF(D417="G",I417/AJ417,I417/Q417)</f>
        <v>3.01458710329626</v>
      </c>
      <c r="K417" s="44">
        <f>IF('Settings'!$E$18="C/LW/RW",VLOOKUP(B417,'C'!A1:F218,6,FALSE),VLOOKUP(B417,'F'!A1:F432,6,FALSE))</f>
        <v>-167.709920889141</v>
      </c>
      <c r="L417" s="44">
        <f>_xlfn.IFERROR(K417/H417,"N/A")</f>
        <v>-41.9274802222853</v>
      </c>
      <c r="M417" s="46">
        <f>IF('Settings'!$E$9="YAHOO",VLOOKUP(B417,'ADP'!A1:E731,2,FALSE),IF('Settings'!$E$9="ESPN",VLOOKUP(B417,'ADP'!A1:E731,3,FALSE),IF('Settings'!$E$9="FANTRAX",VLOOKUP(B417,'ADP'!A1:E731,4,FALSE),VLOOKUP(B417,'ADP'!A1:E731,5,FALSE))))</f>
        <v>327.5</v>
      </c>
      <c r="N417" s="46">
        <f>_xlfn.IFERROR(M417-A417,"N/A")</f>
        <v>-122.5</v>
      </c>
      <c r="O417" s="46"/>
      <c r="P417" t="s" s="47">
        <f>IF('Settings'!$E$27="ON",VLOOKUP(B417,'ADP'!A1:H731,8,FALSE)," ")</f>
        <v>109</v>
      </c>
      <c r="Q417" s="48">
        <f>IF('Settings'!$E$12="YES",VLOOKUP(B417,'Player Data'!A1:E734,5,FALSE),82)</f>
        <v>75.6535714285714</v>
      </c>
      <c r="R417" s="46">
        <f>VLOOKUP(B417,'Player Data'!$A1:$AE734,6,FALSE)</f>
        <v>15.5686443610311</v>
      </c>
      <c r="S417" s="48">
        <f>VLOOKUP(B417,'Player Data'!$A1:$AE734,7,FALSE)*$Q417*_xlfn.IFERROR((VLOOKUP(P417,'Settings'!$E$28:$F$33,2,FALSE)+1),1)</f>
        <v>15.4047138232207</v>
      </c>
      <c r="T417" s="48">
        <f>VLOOKUP(B417,'Player Data'!$A1:$AE734,8,FALSE)*$Q417*_xlfn.IFERROR((VLOOKUP(P417,'Settings'!$E$28:$F$33,2,FALSE)+1),1)</f>
        <v>23.9381004950125</v>
      </c>
      <c r="U417" s="48">
        <f>SUM(S417:T417)</f>
        <v>39.3428143182332</v>
      </c>
      <c r="V417" s="48">
        <f>VLOOKUP(B417,'Player Data'!$A1:$AE734,10,FALSE)*$Q417*_xlfn.IFERROR(((VLOOKUP(P417,'Settings'!$E$28:$F$33,2,FALSE)/2)+1),1)</f>
        <v>107.498108330862</v>
      </c>
      <c r="W417" s="48">
        <f>VLOOKUP(B417,'Player Data'!$A1:$AE734,11,FALSE)*$Q417*_xlfn.IFERROR((VLOOKUP(P417,'Settings'!$E$28:$F$33,2,FALSE)+1),1)</f>
        <v>3.57047430989462</v>
      </c>
      <c r="X417" s="48">
        <f>VLOOKUP(B417,'Player Data'!$A1:$AE734,12,FALSE)*$Q417*_xlfn.IFERROR((VLOOKUP(P417,'Settings'!$E$28:$F$33,2,FALSE)+1),1)</f>
        <v>7.99155044317018</v>
      </c>
      <c r="Y417" s="48">
        <f>VLOOKUP(B417,'Player Data'!$A1:$AE734,13,FALSE)*$Q417</f>
        <v>0.013364285939706</v>
      </c>
      <c r="Z417" s="48">
        <f>VLOOKUP(B417,'Player Data'!$A1:$AE734,14,FALSE)*$Q417</f>
        <v>0.0248258818845233</v>
      </c>
      <c r="AA417" s="48">
        <f>VLOOKUP(B417,'Player Data'!$A1:$AE734,15,FALSE)*$Q417</f>
        <v>30.6250056905216</v>
      </c>
      <c r="AB417" s="48">
        <f>VLOOKUP(B417,'Player Data'!$A1:$AE734,16,FALSE)*$Q417</f>
        <v>71.2702331315306</v>
      </c>
      <c r="AC417" s="48">
        <f>VLOOKUP(B417,'Player Data'!$A1:$AE734,17,FALSE)*$Q417*_xlfn.IFERROR((VLOOKUP(P417,'Settings'!$E$28:$F$33,2,FALSE)+1),1)</f>
        <v>3.5497247033773</v>
      </c>
      <c r="AD417" s="48">
        <f>VLOOKUP(B417,'Player Data'!$A1:$AE734,18,FALSE)*$Q417</f>
        <v>40.2784129741527</v>
      </c>
      <c r="AE417" s="48">
        <f>VLOOKUP(B417,'Player Data'!$A1:$AE734,19,FALSE)*$Q417*_xlfn.IFERROR((VLOOKUP(P417,'Settings'!$E$28:$F$33,2,FALSE)+1),1)</f>
        <v>2.4372578256497</v>
      </c>
      <c r="AF417" s="48">
        <f>VLOOKUP(B417,'Player Data'!$A1:$AE734,20,FALSE)*$Q417</f>
        <v>637.327021183336</v>
      </c>
      <c r="AG417" s="48">
        <f>VLOOKUP(B417,'Player Data'!$A1:$AE734,21,FALSE)*$Q417</f>
        <v>527.377113887361</v>
      </c>
      <c r="AH417" s="49">
        <f>VLOOKUP(B417,'Player Data'!$A1:$AE734,22,FALSE)</f>
        <v>0.547200788588812</v>
      </c>
      <c r="AI417" s="46"/>
      <c r="AJ417" s="50"/>
      <c r="AK417" s="48"/>
      <c r="AL417" s="48"/>
      <c r="AM417" s="48"/>
      <c r="AN417" s="48"/>
      <c r="AO417" s="48"/>
      <c r="AP417" s="48"/>
      <c r="AQ417" s="51"/>
      <c r="AR417" s="52"/>
      <c r="AS417" s="50"/>
    </row>
    <row r="418" ht="21.25" customHeight="1">
      <c r="A418" s="53">
        <f>RANK(K418,K2:K730)</f>
        <v>517</v>
      </c>
      <c r="B418" t="s" s="8">
        <v>570</v>
      </c>
      <c r="C418" t="s" s="39">
        <v>106</v>
      </c>
      <c r="D418" t="s" s="40">
        <f>VLOOKUP(B418,'Player Data'!A1:D734,4,FALSE)</f>
        <v>129</v>
      </c>
      <c r="E418" s="56">
        <f>VLOOKUP(B418,'D'!A1:C228,3,FALSE)</f>
        <v>178</v>
      </c>
      <c r="F418" t="s" s="42">
        <f>VLOOKUP(B418,'Player Data'!A1:B734,2,FALSE)</f>
        <v>119</v>
      </c>
      <c r="G418" s="9">
        <f>VLOOKUP(B418,'Player Data'!A1:D734,3,FALSE)</f>
        <v>30</v>
      </c>
      <c r="H418" s="43">
        <f>_xlfn.IFERROR(VLOOKUP(B418,'ADP'!A1:G731,7,FALSE)/1000000,VLOOKUP(B418,'ADP'!A1:G731,7,FALSE))</f>
        <v>1</v>
      </c>
      <c r="I418" s="44">
        <f>IF('Settings'!$E$15="POINTS",((R418*Q418)*'Settings'!$B$12)+(S418*'Settings'!$B$2)+(T418*'Settings'!$B$3)+(U418*'Settings'!$B$4)+(V418*'Settings'!$B$5)+(X418*'Settings'!$B$9)+(AA418*'Settings'!$B$6)+(W418*'Settings'!$B$8)+(AB418*'Settings'!$B$7)+(AC418*'Settings'!$B$14)+(AD418*'Settings'!$B$15)+(AE418*'Settings'!$B$16)+(AF418*'Settings'!$B$17)+(AG418*'Settings'!$B$18)+(U418*'Settings'!$B$13)+(Y418*'Settings'!$B$10)+(Z418*'Settings'!$B$11),VLOOKUP(B418,'Standard Deviations'!A1:C731,3,FALSE))</f>
        <v>153.738193517388</v>
      </c>
      <c r="J418" s="45">
        <f>IF(D418="G",I418/AJ418,I418/Q418)</f>
        <v>2.27917055037161</v>
      </c>
      <c r="K418" s="44">
        <f>VLOOKUP(B418,'D'!A1:F228,6,FALSE)</f>
        <v>-186.996945129135</v>
      </c>
      <c r="L418" s="44">
        <f>_xlfn.IFERROR(K418/H418,"N/A")</f>
        <v>-186.996945129135</v>
      </c>
      <c r="M418" t="s" s="61">
        <f>IF('Settings'!$E$9="YAHOO",VLOOKUP(B418,'ADP'!A1:E731,2,FALSE),IF('Settings'!$E$9="ESPN",VLOOKUP(B418,'ADP'!A1:E731,3,FALSE),IF('Settings'!$E$9="FANTRAX",VLOOKUP(B418,'ADP'!A1:E731,4,FALSE),VLOOKUP(B418,'ADP'!A1:E731,5,FALSE))))</f>
        <v>329</v>
      </c>
      <c r="N418" t="s" s="61">
        <f>_xlfn.IFERROR(M418-A418,"N/A")</f>
        <v>158</v>
      </c>
      <c r="O418" s="46"/>
      <c r="P418" t="s" s="47">
        <f>IF('Settings'!$E$27="ON",VLOOKUP(B418,'ADP'!A1:H731,8,FALSE)," ")</f>
        <v>109</v>
      </c>
      <c r="Q418" s="48">
        <f>IF('Settings'!$E$12="YES",VLOOKUP(B418,'Player Data'!A1:E734,5,FALSE),82)</f>
        <v>67.45357142857139</v>
      </c>
      <c r="R418" s="46">
        <f>VLOOKUP(B418,'Player Data'!$A1:$AE734,6,FALSE)</f>
        <v>16.1528916506098</v>
      </c>
      <c r="S418" s="48">
        <f>VLOOKUP(B418,'Player Data'!$A1:$AE734,7,FALSE)*$Q418*_xlfn.IFERROR((VLOOKUP(P418,'Settings'!$E$28:$F$33,2,FALSE)+1),1)</f>
        <v>1.9561826665862</v>
      </c>
      <c r="T418" s="48">
        <f>VLOOKUP(B418,'Player Data'!$A1:$AE734,8,FALSE)*$Q418*_xlfn.IFERROR((VLOOKUP(P418,'Settings'!$E$28:$F$33,2,FALSE)+1),1)</f>
        <v>14.7494323846069</v>
      </c>
      <c r="U418" s="48">
        <f>SUM(S418:T418)</f>
        <v>16.7056150511931</v>
      </c>
      <c r="V418" s="48">
        <f>VLOOKUP(B418,'Player Data'!$A1:$AE734,10,FALSE)*$Q418*_xlfn.IFERROR(((VLOOKUP(P418,'Settings'!$E$28:$F$33,2,FALSE)/2)+1),1)</f>
        <v>96.13899125805101</v>
      </c>
      <c r="W418" s="48">
        <f>VLOOKUP(B418,'Player Data'!$A1:$AE734,11,FALSE)*$Q418*_xlfn.IFERROR((VLOOKUP(P418,'Settings'!$E$28:$F$33,2,FALSE)+1),1)</f>
        <v>0.0661270499662399</v>
      </c>
      <c r="X418" s="48">
        <f>VLOOKUP(B418,'Player Data'!$A1:$AE734,12,FALSE)*$Q418*_xlfn.IFERROR((VLOOKUP(P418,'Settings'!$E$28:$F$33,2,FALSE)+1),1)</f>
        <v>1.447679889996</v>
      </c>
      <c r="Y418" s="48">
        <f>VLOOKUP(B418,'Player Data'!$A1:$AE734,13,FALSE)*$Q418</f>
        <v>0.0760178905131423</v>
      </c>
      <c r="Z418" s="48">
        <f>VLOOKUP(B418,'Player Data'!$A1:$AE734,14,FALSE)*$Q418</f>
        <v>0.10471095772684</v>
      </c>
      <c r="AA418" s="48">
        <f>VLOOKUP(B418,'Player Data'!$A1:$AE734,15,FALSE)*$Q418</f>
        <v>60.1304890469838</v>
      </c>
      <c r="AB418" s="48">
        <f>VLOOKUP(B418,'Player Data'!$A1:$AE734,16,FALSE)*$Q418</f>
        <v>89.371649183833</v>
      </c>
      <c r="AC418" s="48">
        <f>VLOOKUP(B418,'Player Data'!$A1:$AE734,17,FALSE)*$Q418*_xlfn.IFERROR((VLOOKUP(P418,'Settings'!$E$28:$F$33,2,FALSE)+1),1)</f>
        <v>2.54796114742217</v>
      </c>
      <c r="AD418" s="48">
        <f>VLOOKUP(B418,'Player Data'!$A1:$AE734,18,FALSE)*$Q418</f>
        <v>25.3049088269598</v>
      </c>
      <c r="AE418" s="48">
        <f>VLOOKUP(B418,'Player Data'!$A1:$AE734,19,FALSE)*$Q418*_xlfn.IFERROR((VLOOKUP(P418,'Settings'!$E$28:$F$33,2,FALSE)+1),1)</f>
        <v>0.28061886554073</v>
      </c>
      <c r="AF418" s="48">
        <f>VLOOKUP(B418,'Player Data'!$A1:$AE734,20,FALSE)*$Q418</f>
        <v>0</v>
      </c>
      <c r="AG418" s="48">
        <f>VLOOKUP(B418,'Player Data'!$A1:$AE734,21,FALSE)*$Q418</f>
        <v>0</v>
      </c>
      <c r="AH418" s="49">
        <f>VLOOKUP(B418,'Player Data'!$A1:$AE734,22,FALSE)</f>
        <v>0</v>
      </c>
      <c r="AI418" s="46"/>
      <c r="AJ418" s="50"/>
      <c r="AK418" s="48"/>
      <c r="AL418" s="48"/>
      <c r="AM418" s="48"/>
      <c r="AN418" s="48"/>
      <c r="AO418" s="48"/>
      <c r="AP418" s="48"/>
      <c r="AQ418" s="51"/>
      <c r="AR418" s="52"/>
      <c r="AS418" s="46"/>
    </row>
    <row r="419" ht="21.25" customHeight="1">
      <c r="A419" s="53">
        <f>RANK(K419,K2:K730)</f>
        <v>436</v>
      </c>
      <c r="B419" t="s" s="8">
        <v>571</v>
      </c>
      <c r="C419" t="s" s="39">
        <v>106</v>
      </c>
      <c r="D419" t="s" s="40">
        <f>VLOOKUP(B419,'Player Data'!A1:D734,4,FALSE)</f>
        <v>107</v>
      </c>
      <c r="E419" s="41">
        <f>VLOOKUP(B419,'C'!A1:C218,3,FALSE)</f>
        <v>109</v>
      </c>
      <c r="F419" t="s" s="42">
        <f>VLOOKUP(B419,'Player Data'!A1:B734,2,FALSE)</f>
        <v>122</v>
      </c>
      <c r="G419" s="9">
        <f>VLOOKUP(B419,'Player Data'!A1:D734,3,FALSE)</f>
        <v>25</v>
      </c>
      <c r="H419" s="43">
        <f>_xlfn.IFERROR(VLOOKUP(B419,'ADP'!A1:G731,7,FALSE)/1000000,VLOOKUP(B419,'ADP'!A1:G731,7,FALSE))</f>
        <v>2</v>
      </c>
      <c r="I419" s="44">
        <f>IF('Settings'!$E$15="POINTS",((R419*Q419)*'Settings'!$B$12)+(S419*'Settings'!$B$2)+(T419*'Settings'!$B$3)+(U419*'Settings'!$B$4)+(V419*'Settings'!$B$5)+(X419*'Settings'!$B$9)+(AA419*'Settings'!$B$6)+(W419*'Settings'!$B$8)+(AB419*'Settings'!$B$7)+(AC419*'Settings'!$B$14)+(AD419*'Settings'!$B$15)+(AE419*'Settings'!$B$16)+(AF419*'Settings'!$B$17)+(AG419*'Settings'!$B$18)+(Y419*'Settings'!$B$10)+(Z419*'Settings'!$B$11),VLOOKUP(B419,'Standard Deviations'!A1:C731,3,FALSE))</f>
        <v>232.464900568512</v>
      </c>
      <c r="J419" s="45">
        <f>IF(D419="G",I419/AJ419,I419/Q419)</f>
        <v>3.076705780882</v>
      </c>
      <c r="K419" s="44">
        <f>IF('Settings'!$E$18="C/LW/RW",VLOOKUP(B419,'C'!A1:F218,6,FALSE),VLOOKUP(B419,'F'!A1:F432,6,FALSE))</f>
        <v>-163.309301067503</v>
      </c>
      <c r="L419" s="44">
        <f>_xlfn.IFERROR(K419/H419,"N/A")</f>
        <v>-81.65465053375149</v>
      </c>
      <c r="M419" t="s" s="61">
        <f>IF('Settings'!$E$9="YAHOO",VLOOKUP(B419,'ADP'!A1:E731,2,FALSE),IF('Settings'!$E$9="ESPN",VLOOKUP(B419,'ADP'!A1:E731,3,FALSE),IF('Settings'!$E$9="FANTRAX",VLOOKUP(B419,'ADP'!A1:E731,4,FALSE),VLOOKUP(B419,'ADP'!A1:E731,5,FALSE))))</f>
        <v>329</v>
      </c>
      <c r="N419" t="s" s="61">
        <f>_xlfn.IFERROR(M419-A419,"N/A")</f>
        <v>158</v>
      </c>
      <c r="O419" s="46"/>
      <c r="P419" t="s" s="47">
        <f>IF('Settings'!$E$27="ON",VLOOKUP(B419,'ADP'!A1:H731,8,FALSE)," ")</f>
        <v>109</v>
      </c>
      <c r="Q419" s="48">
        <f>IF('Settings'!$E$12="YES",VLOOKUP(B419,'Player Data'!A1:E734,5,FALSE),82)</f>
        <v>75.5564285714286</v>
      </c>
      <c r="R419" s="46">
        <f>VLOOKUP(B419,'Player Data'!$A1:$AE734,6,FALSE)</f>
        <v>15.1161716758256</v>
      </c>
      <c r="S419" s="48">
        <f>VLOOKUP(B419,'Player Data'!$A1:$AE734,7,FALSE)*$Q419*_xlfn.IFERROR((VLOOKUP(P419,'Settings'!$E$28:$F$33,2,FALSE)+1),1)</f>
        <v>12.9457201792317</v>
      </c>
      <c r="T419" s="48">
        <f>VLOOKUP(B419,'Player Data'!$A1:$AE734,8,FALSE)*$Q419*_xlfn.IFERROR((VLOOKUP(P419,'Settings'!$E$28:$F$33,2,FALSE)+1),1)</f>
        <v>23.835583023152</v>
      </c>
      <c r="U419" s="48">
        <f>SUM(S419:T419)</f>
        <v>36.7813032023837</v>
      </c>
      <c r="V419" s="48">
        <f>VLOOKUP(B419,'Player Data'!$A1:$AE734,10,FALSE)*$Q419*_xlfn.IFERROR(((VLOOKUP(P419,'Settings'!$E$28:$F$33,2,FALSE)/2)+1),1)</f>
        <v>125.904389928761</v>
      </c>
      <c r="W419" s="48">
        <f>VLOOKUP(B419,'Player Data'!$A1:$AE734,11,FALSE)*$Q419*_xlfn.IFERROR((VLOOKUP(P419,'Settings'!$E$28:$F$33,2,FALSE)+1),1)</f>
        <v>2.40871694467209</v>
      </c>
      <c r="X419" s="48">
        <f>VLOOKUP(B419,'Player Data'!$A1:$AE734,12,FALSE)*$Q419*_xlfn.IFERROR((VLOOKUP(P419,'Settings'!$E$28:$F$33,2,FALSE)+1),1)</f>
        <v>5.82396575328481</v>
      </c>
      <c r="Y419" s="48">
        <f>VLOOKUP(B419,'Player Data'!$A1:$AE734,13,FALSE)*$Q419</f>
        <v>0.206848569863113</v>
      </c>
      <c r="Z419" s="48">
        <f>VLOOKUP(B419,'Player Data'!$A1:$AE734,14,FALSE)*$Q419</f>
        <v>0.377666385274487</v>
      </c>
      <c r="AA419" s="48">
        <f>VLOOKUP(B419,'Player Data'!$A1:$AE734,15,FALSE)*$Q419</f>
        <v>40.4865073904106</v>
      </c>
      <c r="AB419" s="48">
        <f>VLOOKUP(B419,'Player Data'!$A1:$AE734,16,FALSE)*$Q419</f>
        <v>75.0065170495126</v>
      </c>
      <c r="AC419" s="48">
        <f>VLOOKUP(B419,'Player Data'!$A1:$AE734,17,FALSE)*$Q419*_xlfn.IFERROR((VLOOKUP(P419,'Settings'!$E$28:$F$33,2,FALSE)+1),1)</f>
        <v>2.74193368973149</v>
      </c>
      <c r="AD419" s="48">
        <f>VLOOKUP(B419,'Player Data'!$A1:$AE734,18,FALSE)*$Q419</f>
        <v>30.2437098704489</v>
      </c>
      <c r="AE419" s="48">
        <f>VLOOKUP(B419,'Player Data'!$A1:$AE734,19,FALSE)*$Q419*_xlfn.IFERROR((VLOOKUP(P419,'Settings'!$E$28:$F$33,2,FALSE)+1),1)</f>
        <v>2.17333165434102</v>
      </c>
      <c r="AF419" s="48">
        <f>VLOOKUP(B419,'Player Data'!$A1:$AE734,20,FALSE)*$Q419</f>
        <v>458.005230141188</v>
      </c>
      <c r="AG419" s="48">
        <f>VLOOKUP(B419,'Player Data'!$A1:$AE734,21,FALSE)*$Q419</f>
        <v>438.292312974088</v>
      </c>
      <c r="AH419" s="49">
        <f>VLOOKUP(B419,'Player Data'!$A1:$AE734,22,FALSE)</f>
        <v>0.510996859981666</v>
      </c>
      <c r="AI419" s="46"/>
      <c r="AJ419" s="50"/>
      <c r="AK419" s="48"/>
      <c r="AL419" s="48"/>
      <c r="AM419" s="48"/>
      <c r="AN419" s="48"/>
      <c r="AO419" s="48"/>
      <c r="AP419" s="48"/>
      <c r="AQ419" s="51"/>
      <c r="AR419" s="52"/>
      <c r="AS419" s="46"/>
    </row>
    <row r="420" ht="21.25" customHeight="1">
      <c r="A420" s="53">
        <f>RANK(K420,K2:K730)</f>
        <v>428</v>
      </c>
      <c r="B420" t="s" s="8">
        <v>572</v>
      </c>
      <c r="C420" t="s" s="39">
        <v>106</v>
      </c>
      <c r="D420" t="s" s="40">
        <f>VLOOKUP(B420,'Player Data'!A1:D734,4,FALSE)</f>
        <v>129</v>
      </c>
      <c r="E420" s="56">
        <f>VLOOKUP(B420,'D'!A1:C228,3,FALSE)</f>
        <v>147</v>
      </c>
      <c r="F420" t="s" s="42">
        <f>VLOOKUP(B420,'Player Data'!A1:B734,2,FALSE)</f>
        <v>113</v>
      </c>
      <c r="G420" s="9">
        <f>VLOOKUP(B420,'Player Data'!A1:D734,3,FALSE)</f>
        <v>31</v>
      </c>
      <c r="H420" s="43">
        <f>_xlfn.IFERROR(VLOOKUP(B420,'ADP'!A1:G731,7,FALSE)/1000000,VLOOKUP(B420,'ADP'!A1:G731,7,FALSE))</f>
        <v>4.5</v>
      </c>
      <c r="I420" s="44">
        <f>IF('Settings'!$E$15="POINTS",((R420*Q420)*'Settings'!$B$12)+(S420*'Settings'!$B$2)+(T420*'Settings'!$B$3)+(U420*'Settings'!$B$4)+(V420*'Settings'!$B$5)+(X420*'Settings'!$B$9)+(AA420*'Settings'!$B$6)+(W420*'Settings'!$B$8)+(AB420*'Settings'!$B$7)+(AC420*'Settings'!$B$14)+(AD420*'Settings'!$B$15)+(AE420*'Settings'!$B$16)+(AF420*'Settings'!$B$17)+(AG420*'Settings'!$B$18)+(U420*'Settings'!$B$13)+(Y420*'Settings'!$B$10)+(Z420*'Settings'!$B$11),VLOOKUP(B420,'Standard Deviations'!A1:C731,3,FALSE))</f>
        <v>179.481265597416</v>
      </c>
      <c r="J420" s="45">
        <f>IF(D420="G",I420/AJ420,I420/Q420)</f>
        <v>2.65189595880196</v>
      </c>
      <c r="K420" s="44">
        <f>VLOOKUP(B420,'D'!A1:F228,6,FALSE)</f>
        <v>-161.253873049107</v>
      </c>
      <c r="L420" s="44">
        <f>_xlfn.IFERROR(K420/H420,"N/A")</f>
        <v>-35.8341940109127</v>
      </c>
      <c r="M420" t="s" s="61">
        <f>IF('Settings'!$E$9="YAHOO",VLOOKUP(B420,'ADP'!A1:E731,2,FALSE),IF('Settings'!$E$9="ESPN",VLOOKUP(B420,'ADP'!A1:E731,3,FALSE),IF('Settings'!$E$9="FANTRAX",VLOOKUP(B420,'ADP'!A1:E731,4,FALSE),VLOOKUP(B420,'ADP'!A1:E731,5,FALSE))))</f>
        <v>329</v>
      </c>
      <c r="N420" t="s" s="61">
        <f>_xlfn.IFERROR(M420-A420,"N/A")</f>
        <v>158</v>
      </c>
      <c r="O420" s="46"/>
      <c r="P420" t="s" s="47">
        <f>IF('Settings'!$E$27="ON",VLOOKUP(B420,'ADP'!A1:H731,8,FALSE)," ")</f>
        <v>109</v>
      </c>
      <c r="Q420" s="48">
        <f>IF('Settings'!$E$12="YES",VLOOKUP(B420,'Player Data'!A1:E734,5,FALSE),82)</f>
        <v>67.6803571428571</v>
      </c>
      <c r="R420" s="46">
        <f>VLOOKUP(B420,'Player Data'!$A1:$AE734,6,FALSE)</f>
        <v>17.4882093944543</v>
      </c>
      <c r="S420" s="48">
        <f>VLOOKUP(B420,'Player Data'!$A1:$AE734,7,FALSE)*$Q420*_xlfn.IFERROR((VLOOKUP(P420,'Settings'!$E$28:$F$33,2,FALSE)+1),1)</f>
        <v>4.39400887602734</v>
      </c>
      <c r="T420" s="48">
        <f>VLOOKUP(B420,'Player Data'!$A1:$AE734,8,FALSE)*$Q420*_xlfn.IFERROR((VLOOKUP(P420,'Settings'!$E$28:$F$33,2,FALSE)+1),1)</f>
        <v>12.5506574265874</v>
      </c>
      <c r="U420" s="48">
        <f>SUM(S420:T420)</f>
        <v>16.9446663026147</v>
      </c>
      <c r="V420" s="48">
        <f>VLOOKUP(B420,'Player Data'!$A1:$AE734,10,FALSE)*$Q420*_xlfn.IFERROR(((VLOOKUP(P420,'Settings'!$E$28:$F$33,2,FALSE)/2)+1),1)</f>
        <v>88.0614556703655</v>
      </c>
      <c r="W420" s="48">
        <f>VLOOKUP(B420,'Player Data'!$A1:$AE734,11,FALSE)*$Q420*_xlfn.IFERROR((VLOOKUP(P420,'Settings'!$E$28:$F$33,2,FALSE)+1),1)</f>
        <v>0.008084824312317209</v>
      </c>
      <c r="X420" s="48">
        <f>VLOOKUP(B420,'Player Data'!$A1:$AE734,12,FALSE)*$Q420*_xlfn.IFERROR((VLOOKUP(P420,'Settings'!$E$28:$F$33,2,FALSE)+1),1)</f>
        <v>0.0558218391530821</v>
      </c>
      <c r="Y420" s="48">
        <f>VLOOKUP(B420,'Player Data'!$A1:$AE734,13,FALSE)*$Q420</f>
        <v>0.0364821948373443</v>
      </c>
      <c r="Z420" s="48">
        <f>VLOOKUP(B420,'Player Data'!$A1:$AE734,14,FALSE)*$Q420</f>
        <v>0.142105155699567</v>
      </c>
      <c r="AA420" s="48">
        <f>VLOOKUP(B420,'Player Data'!$A1:$AE734,15,FALSE)*$Q420</f>
        <v>86.2572039660966</v>
      </c>
      <c r="AB420" s="48">
        <f>VLOOKUP(B420,'Player Data'!$A1:$AE734,16,FALSE)*$Q420</f>
        <v>138.450852983602</v>
      </c>
      <c r="AC420" s="48">
        <f>VLOOKUP(B420,'Player Data'!$A1:$AE734,17,FALSE)*$Q420*_xlfn.IFERROR((VLOOKUP(P420,'Settings'!$E$28:$F$33,2,FALSE)+1),1)</f>
        <v>3.43850777324027</v>
      </c>
      <c r="AD420" s="48">
        <f>VLOOKUP(B420,'Player Data'!$A1:$AE734,18,FALSE)*$Q420</f>
        <v>65.79155952993681</v>
      </c>
      <c r="AE420" s="48">
        <f>VLOOKUP(B420,'Player Data'!$A1:$AE734,19,FALSE)*$Q420*_xlfn.IFERROR((VLOOKUP(P420,'Settings'!$E$28:$F$33,2,FALSE)+1),1)</f>
        <v>0.695198407576315</v>
      </c>
      <c r="AF420" s="48">
        <f>VLOOKUP(B420,'Player Data'!$A1:$AE734,20,FALSE)*$Q420</f>
        <v>0</v>
      </c>
      <c r="AG420" s="48">
        <f>VLOOKUP(B420,'Player Data'!$A1:$AE734,21,FALSE)*$Q420</f>
        <v>0</v>
      </c>
      <c r="AH420" s="49">
        <f>VLOOKUP(B420,'Player Data'!$A1:$AE734,22,FALSE)</f>
        <v>0</v>
      </c>
      <c r="AI420" s="46"/>
      <c r="AJ420" s="50"/>
      <c r="AK420" s="48"/>
      <c r="AL420" s="48"/>
      <c r="AM420" s="48"/>
      <c r="AN420" s="48"/>
      <c r="AO420" s="48"/>
      <c r="AP420" s="48"/>
      <c r="AQ420" s="51"/>
      <c r="AR420" s="52"/>
      <c r="AS420" s="46"/>
    </row>
    <row r="421" ht="21.25" customHeight="1">
      <c r="A421" s="53">
        <f>RANK(K421,K2:K730)</f>
        <v>327</v>
      </c>
      <c r="B421" t="s" s="8">
        <v>573</v>
      </c>
      <c r="C421" t="s" s="39">
        <v>106</v>
      </c>
      <c r="D421" t="s" s="40">
        <f>VLOOKUP(B421,'Player Data'!A1:D734,4,FALSE)</f>
        <v>133</v>
      </c>
      <c r="E421" s="57">
        <f>VLOOKUP(B421,'LW'!A1:C156,3,FALSE)</f>
        <v>75</v>
      </c>
      <c r="F421" t="s" s="42">
        <f>VLOOKUP(B421,'Player Data'!A1:B734,2,FALSE)</f>
        <v>258</v>
      </c>
      <c r="G421" s="9">
        <f>VLOOKUP(B421,'Player Data'!A1:D734,3,FALSE)</f>
        <v>24</v>
      </c>
      <c r="H421" s="43">
        <f>_xlfn.IFERROR(VLOOKUP(B421,'ADP'!A1:G731,7,FALSE)/1000000,VLOOKUP(B421,'ADP'!A1:G731,7,FALSE))</f>
        <v>1.1</v>
      </c>
      <c r="I421" s="44">
        <f>IF('Settings'!$E$15="POINTS",((R421*Q421)*'Settings'!$B$12)+(S421*'Settings'!$B$2)+(T421*'Settings'!$B$3)+(U421*'Settings'!$B$4)+(V421*'Settings'!$B$5)+(X421*'Settings'!$B$9)+(AA421*'Settings'!$B$6)+(W421*'Settings'!$B$8)+(AB421*'Settings'!$B$7)+(AC421*'Settings'!$B$14)+(AD421*'Settings'!$B$15)+(AE421*'Settings'!$B$16)+(AF421*'Settings'!$B$17)+(AG421*'Settings'!$B$18)+(Y421*'Settings'!$B$10)+(Z421*'Settings'!$B$11),VLOOKUP(B421,'Standard Deviations'!A1:C731,3,FALSE))</f>
        <v>258.489579300993</v>
      </c>
      <c r="J421" s="45">
        <f>IF(D421="G",I421/AJ421,I421/Q421)</f>
        <v>3.85603907363307</v>
      </c>
      <c r="K421" s="44">
        <f>IF('Settings'!$E$18="C/LW/RW",VLOOKUP(B421,'LW'!A1:F156,6,FALSE),VLOOKUP(B421,'F'!A1:F432,6,FALSE))</f>
        <v>-123.138984405363</v>
      </c>
      <c r="L421" s="44">
        <f>_xlfn.IFERROR(K421/H421,"N/A")</f>
        <v>-111.944531277603</v>
      </c>
      <c r="M421" s="46">
        <f>IF('Settings'!$E$9="YAHOO",VLOOKUP(B421,'ADP'!A1:E731,2,FALSE),IF('Settings'!$E$9="ESPN",VLOOKUP(B421,'ADP'!A1:E731,3,FALSE),IF('Settings'!$E$9="FANTRAX",VLOOKUP(B421,'ADP'!A1:E731,4,FALSE),VLOOKUP(B421,'ADP'!A1:E731,5,FALSE))))</f>
        <v>306.68</v>
      </c>
      <c r="N421" s="46">
        <f>_xlfn.IFERROR(M421-A421,"N/A")</f>
        <v>-20.32</v>
      </c>
      <c r="O421" s="46"/>
      <c r="P421" t="s" s="47">
        <f>IF('Settings'!$E$27="ON",VLOOKUP(B421,'ADP'!A1:H731,8,FALSE)," ")</f>
        <v>109</v>
      </c>
      <c r="Q421" s="48">
        <f>IF('Settings'!$E$12="YES",VLOOKUP(B421,'Player Data'!A1:E734,5,FALSE),82)</f>
        <v>67.035</v>
      </c>
      <c r="R421" s="46">
        <f>VLOOKUP(B421,'Player Data'!$A1:$AE734,6,FALSE)</f>
        <v>15.5307984366531</v>
      </c>
      <c r="S421" s="48">
        <f>VLOOKUP(B421,'Player Data'!$A1:$AE734,7,FALSE)*$Q421*_xlfn.IFERROR((VLOOKUP(P421,'Settings'!$E$28:$F$33,2,FALSE)+1),1)</f>
        <v>20.6626508798599</v>
      </c>
      <c r="T421" s="48">
        <f>VLOOKUP(B421,'Player Data'!$A1:$AE734,8,FALSE)*$Q421*_xlfn.IFERROR((VLOOKUP(P421,'Settings'!$E$28:$F$33,2,FALSE)+1),1)</f>
        <v>14.8772377535409</v>
      </c>
      <c r="U421" s="48">
        <f>SUM(S421:T421)</f>
        <v>35.5398886334008</v>
      </c>
      <c r="V421" s="48">
        <f>VLOOKUP(B421,'Player Data'!$A1:$AE734,10,FALSE)*$Q421*_xlfn.IFERROR(((VLOOKUP(P421,'Settings'!$E$28:$F$33,2,FALSE)/2)+1),1)</f>
        <v>108.225608569461</v>
      </c>
      <c r="W421" s="48">
        <f>VLOOKUP(B421,'Player Data'!$A1:$AE734,11,FALSE)*$Q421*_xlfn.IFERROR((VLOOKUP(P421,'Settings'!$E$28:$F$33,2,FALSE)+1),1)</f>
        <v>3.61631100676966</v>
      </c>
      <c r="X421" s="48">
        <f>VLOOKUP(B421,'Player Data'!$A1:$AE734,12,FALSE)*$Q421*_xlfn.IFERROR((VLOOKUP(P421,'Settings'!$E$28:$F$33,2,FALSE)+1),1)</f>
        <v>5.40947083651783</v>
      </c>
      <c r="Y421" s="48">
        <f>VLOOKUP(B421,'Player Data'!$A1:$AE734,13,FALSE)*$Q421</f>
        <v>1.07619663356679</v>
      </c>
      <c r="Z421" s="48">
        <f>VLOOKUP(B421,'Player Data'!$A1:$AE734,14,FALSE)*$Q421</f>
        <v>1.24979794472254</v>
      </c>
      <c r="AA421" s="48">
        <f>VLOOKUP(B421,'Player Data'!$A1:$AE734,15,FALSE)*$Q421</f>
        <v>78.6540340338447</v>
      </c>
      <c r="AB421" s="48">
        <f>VLOOKUP(B421,'Player Data'!$A1:$AE734,16,FALSE)*$Q421</f>
        <v>99.746079559610</v>
      </c>
      <c r="AC421" s="48">
        <f>VLOOKUP(B421,'Player Data'!$A1:$AE734,17,FALSE)*$Q421*_xlfn.IFERROR((VLOOKUP(P421,'Settings'!$E$28:$F$33,2,FALSE)+1),1)</f>
        <v>-4.68530170376052</v>
      </c>
      <c r="AD421" s="48">
        <f>VLOOKUP(B421,'Player Data'!$A1:$AE734,18,FALSE)*$Q421</f>
        <v>21.2185387052637</v>
      </c>
      <c r="AE421" s="48">
        <f>VLOOKUP(B421,'Player Data'!$A1:$AE734,19,FALSE)*$Q421*_xlfn.IFERROR((VLOOKUP(P421,'Settings'!$E$28:$F$33,2,FALSE)+1),1)</f>
        <v>2.11672564903043</v>
      </c>
      <c r="AF421" s="48">
        <f>VLOOKUP(B421,'Player Data'!$A1:$AE734,20,FALSE)*$Q421</f>
        <v>0</v>
      </c>
      <c r="AG421" s="48">
        <f>VLOOKUP(B421,'Player Data'!$A1:$AE734,21,FALSE)*$Q421</f>
        <v>2.10449235746969</v>
      </c>
      <c r="AH421" s="49">
        <f>VLOOKUP(B421,'Player Data'!$A1:$AE734,22,FALSE)</f>
        <v>0</v>
      </c>
      <c r="AI421" s="46"/>
      <c r="AJ421" s="50"/>
      <c r="AK421" s="48"/>
      <c r="AL421" s="48"/>
      <c r="AM421" s="48"/>
      <c r="AN421" s="48"/>
      <c r="AO421" s="48"/>
      <c r="AP421" s="48"/>
      <c r="AQ421" s="51"/>
      <c r="AR421" s="52"/>
      <c r="AS421" s="46"/>
    </row>
    <row r="422" ht="21.25" customHeight="1">
      <c r="A422" s="53">
        <f>RANK(K422,K2:K730)</f>
        <v>502</v>
      </c>
      <c r="B422" t="s" s="8">
        <v>574</v>
      </c>
      <c r="C422" t="s" s="39">
        <v>106</v>
      </c>
      <c r="D422" t="s" s="40">
        <f>VLOOKUP(B422,'Player Data'!A1:D734,4,FALSE)</f>
        <v>118</v>
      </c>
      <c r="E422" s="54">
        <f>VLOOKUP(B422,'LW'!A1:C156,3,FALSE)</f>
        <v>110</v>
      </c>
      <c r="F422" t="s" s="42">
        <f>VLOOKUP(B422,'Player Data'!A1:B734,2,FALSE)</f>
        <v>202</v>
      </c>
      <c r="G422" s="9">
        <f>VLOOKUP(B422,'Player Data'!A1:D734,3,FALSE)</f>
        <v>30</v>
      </c>
      <c r="H422" s="43">
        <f>_xlfn.IFERROR(VLOOKUP(B422,'ADP'!A1:G731,7,FALSE)/1000000,VLOOKUP(B422,'ADP'!A1:G731,7,FALSE))</f>
        <v>0.7625</v>
      </c>
      <c r="I422" s="44">
        <f>IF('Settings'!$E$15="POINTS",((R422*Q422)*'Settings'!$B$12)+(S422*'Settings'!$B$2)+(T422*'Settings'!$B$3)+(U422*'Settings'!$B$4)+(V422*'Settings'!$B$5)+(X422*'Settings'!$B$9)+(AA422*'Settings'!$B$6)+(W422*'Settings'!$B$8)+(AB422*'Settings'!$B$7)+(AC422*'Settings'!$B$14)+(AD422*'Settings'!$B$15)+(AE422*'Settings'!$B$16)+(AF422*'Settings'!$B$17)+(AG422*'Settings'!$B$18)+(Y422*'Settings'!$B$10)+(Z422*'Settings'!$B$11),VLOOKUP(B422,'Standard Deviations'!A1:C731,3,FALSE))</f>
        <v>198.802426282726</v>
      </c>
      <c r="J422" s="45">
        <f>IF(D422="G",I422/AJ422,I422/Q422)</f>
        <v>2.82610599591621</v>
      </c>
      <c r="K422" s="44">
        <f>IF('Settings'!$E$18="C/LW/RW",VLOOKUP(B422,'RW'!A1:F132,6,FALSE),VLOOKUP(B422,'F'!A1:F432,6,FALSE))</f>
        <v>-182.826137423630</v>
      </c>
      <c r="L422" s="44">
        <f>_xlfn.IFERROR(K422/H422,"N/A")</f>
        <v>-239.7719835064</v>
      </c>
      <c r="M422" t="s" s="61">
        <f>IF('Settings'!$E$9="YAHOO",VLOOKUP(B422,'ADP'!A1:E731,2,FALSE),IF('Settings'!$E$9="ESPN",VLOOKUP(B422,'ADP'!A1:E731,3,FALSE),IF('Settings'!$E$9="FANTRAX",VLOOKUP(B422,'ADP'!A1:E731,4,FALSE),VLOOKUP(B422,'ADP'!A1:E731,5,FALSE))))</f>
        <v>329</v>
      </c>
      <c r="N422" t="s" s="61">
        <f>_xlfn.IFERROR(M422-A422,"N/A")</f>
        <v>158</v>
      </c>
      <c r="O422" s="46"/>
      <c r="P422" t="s" s="47">
        <f>IF('Settings'!$E$27="ON",VLOOKUP(B422,'ADP'!A1:H731,8,FALSE)," ")</f>
        <v>109</v>
      </c>
      <c r="Q422" s="48">
        <f>IF('Settings'!$E$12="YES",VLOOKUP(B422,'Player Data'!A1:E734,5,FALSE),82)</f>
        <v>70.345</v>
      </c>
      <c r="R422" s="46">
        <f>VLOOKUP(B422,'Player Data'!$A1:$AE734,6,FALSE)</f>
        <v>12.339441786388</v>
      </c>
      <c r="S422" s="48">
        <f>VLOOKUP(B422,'Player Data'!$A1:$AE734,7,FALSE)*$Q422*_xlfn.IFERROR((VLOOKUP(P422,'Settings'!$E$28:$F$33,2,FALSE)+1),1)</f>
        <v>11.2390369383217</v>
      </c>
      <c r="T422" s="48">
        <f>VLOOKUP(B422,'Player Data'!$A1:$AE734,8,FALSE)*$Q422*_xlfn.IFERROR((VLOOKUP(P422,'Settings'!$E$28:$F$33,2,FALSE)+1),1)</f>
        <v>18.7305252827689</v>
      </c>
      <c r="U422" s="48">
        <f>SUM(S422:T422)</f>
        <v>29.9695622210906</v>
      </c>
      <c r="V422" s="48">
        <f>VLOOKUP(B422,'Player Data'!$A1:$AE734,10,FALSE)*$Q422*_xlfn.IFERROR(((VLOOKUP(P422,'Settings'!$E$28:$F$33,2,FALSE)/2)+1),1)</f>
        <v>119.223680383551</v>
      </c>
      <c r="W422" s="48">
        <f>VLOOKUP(B422,'Player Data'!$A1:$AE734,11,FALSE)*$Q422*_xlfn.IFERROR((VLOOKUP(P422,'Settings'!$E$28:$F$33,2,FALSE)+1),1)</f>
        <v>6.01345492087676</v>
      </c>
      <c r="X422" s="48">
        <f>VLOOKUP(B422,'Player Data'!$A1:$AE734,12,FALSE)*$Q422*_xlfn.IFERROR((VLOOKUP(P422,'Settings'!$E$28:$F$33,2,FALSE)+1),1)</f>
        <v>13.0395583397205</v>
      </c>
      <c r="Y422" s="48">
        <f>VLOOKUP(B422,'Player Data'!$A1:$AE734,13,FALSE)*$Q422</f>
        <v>0.00522066550677831</v>
      </c>
      <c r="Z422" s="48">
        <f>VLOOKUP(B422,'Player Data'!$A1:$AE734,14,FALSE)*$Q422</f>
        <v>0.009695198714026149</v>
      </c>
      <c r="AA422" s="48">
        <f>VLOOKUP(B422,'Player Data'!$A1:$AE734,15,FALSE)*$Q422</f>
        <v>18.2372607215045</v>
      </c>
      <c r="AB422" s="48">
        <f>VLOOKUP(B422,'Player Data'!$A1:$AE734,16,FALSE)*$Q422</f>
        <v>93.14129304806301</v>
      </c>
      <c r="AC422" s="48">
        <f>VLOOKUP(B422,'Player Data'!$A1:$AE734,17,FALSE)*$Q422*_xlfn.IFERROR((VLOOKUP(P422,'Settings'!$E$28:$F$33,2,FALSE)+1),1)</f>
        <v>6.62213293463028</v>
      </c>
      <c r="AD422" s="48">
        <f>VLOOKUP(B422,'Player Data'!$A1:$AE734,18,FALSE)*$Q422</f>
        <v>26.0531496127169</v>
      </c>
      <c r="AE422" s="48">
        <f>VLOOKUP(B422,'Player Data'!$A1:$AE734,19,FALSE)*$Q422*_xlfn.IFERROR((VLOOKUP(P422,'Settings'!$E$28:$F$33,2,FALSE)+1),1)</f>
        <v>2.01653488780351</v>
      </c>
      <c r="AF422" s="48">
        <f>VLOOKUP(B422,'Player Data'!$A1:$AE734,20,FALSE)*$Q422</f>
        <v>45.4250572708966</v>
      </c>
      <c r="AG422" s="48">
        <f>VLOOKUP(B422,'Player Data'!$A1:$AE734,21,FALSE)*$Q422</f>
        <v>50.9567224414235</v>
      </c>
      <c r="AH422" s="49">
        <f>VLOOKUP(B422,'Player Data'!$A1:$AE734,22,FALSE)</f>
        <v>0.471303366740904</v>
      </c>
      <c r="AI422" s="46"/>
      <c r="AJ422" s="50"/>
      <c r="AK422" s="48"/>
      <c r="AL422" s="48"/>
      <c r="AM422" s="48"/>
      <c r="AN422" s="48"/>
      <c r="AO422" s="48"/>
      <c r="AP422" s="48"/>
      <c r="AQ422" s="51"/>
      <c r="AR422" s="52"/>
      <c r="AS422" s="46"/>
    </row>
    <row r="423" ht="21.25" customHeight="1">
      <c r="A423" s="53">
        <f>RANK(K423,K2:K730)</f>
        <v>467</v>
      </c>
      <c r="B423" t="s" s="8">
        <v>575</v>
      </c>
      <c r="C423" t="s" s="39">
        <v>106</v>
      </c>
      <c r="D423" t="s" s="40">
        <f>VLOOKUP(B423,'Player Data'!A1:D734,4,FALSE)</f>
        <v>129</v>
      </c>
      <c r="E423" s="56">
        <f>VLOOKUP(B423,'D'!A1:C228,3,FALSE)</f>
        <v>164</v>
      </c>
      <c r="F423" t="s" s="42">
        <f>VLOOKUP(B423,'Player Data'!A1:B734,2,FALSE)</f>
        <v>170</v>
      </c>
      <c r="G423" s="9">
        <f>VLOOKUP(B423,'Player Data'!A1:D734,3,FALSE)</f>
        <v>33</v>
      </c>
      <c r="H423" s="43">
        <f>_xlfn.IFERROR(VLOOKUP(B423,'ADP'!A1:G731,7,FALSE)/1000000,VLOOKUP(B423,'ADP'!A1:G731,7,FALSE))</f>
        <v>2.75</v>
      </c>
      <c r="I423" s="44">
        <f>IF('Settings'!$E$15="POINTS",((R423*Q423)*'Settings'!$B$12)+(S423*'Settings'!$B$2)+(T423*'Settings'!$B$3)+(U423*'Settings'!$B$4)+(V423*'Settings'!$B$5)+(X423*'Settings'!$B$9)+(AA423*'Settings'!$B$6)+(W423*'Settings'!$B$8)+(AB423*'Settings'!$B$7)+(AC423*'Settings'!$B$14)+(AD423*'Settings'!$B$15)+(AE423*'Settings'!$B$16)+(AF423*'Settings'!$B$17)+(AG423*'Settings'!$B$18)+(U423*'Settings'!$B$13)+(Y423*'Settings'!$B$10)+(Z423*'Settings'!$B$11),VLOOKUP(B423,'Standard Deviations'!A1:C731,3,FALSE))</f>
        <v>169.413577377377</v>
      </c>
      <c r="J423" s="45">
        <f>IF(D423="G",I423/AJ423,I423/Q423)</f>
        <v>2.30447632969295</v>
      </c>
      <c r="K423" s="44">
        <f>VLOOKUP(B423,'D'!A1:F228,6,FALSE)</f>
        <v>-171.321561269146</v>
      </c>
      <c r="L423" s="44">
        <f>_xlfn.IFERROR(K423/H423,"N/A")</f>
        <v>-62.2987495524167</v>
      </c>
      <c r="M423" t="s" s="61">
        <f>IF('Settings'!$E$9="YAHOO",VLOOKUP(B423,'ADP'!A1:E731,2,FALSE),IF('Settings'!$E$9="ESPN",VLOOKUP(B423,'ADP'!A1:E731,3,FALSE),IF('Settings'!$E$9="FANTRAX",VLOOKUP(B423,'ADP'!A1:E731,4,FALSE),VLOOKUP(B423,'ADP'!A1:E731,5,FALSE))))</f>
        <v>329</v>
      </c>
      <c r="N423" t="s" s="61">
        <f>_xlfn.IFERROR(M423-A423,"N/A")</f>
        <v>158</v>
      </c>
      <c r="O423" s="46"/>
      <c r="P423" t="s" s="47">
        <f>IF('Settings'!$E$27="ON",VLOOKUP(B423,'ADP'!A1:H731,8,FALSE)," ")</f>
        <v>109</v>
      </c>
      <c r="Q423" s="48">
        <f>IF('Settings'!$E$12="YES",VLOOKUP(B423,'Player Data'!A1:E734,5,FALSE),82)</f>
        <v>73.515</v>
      </c>
      <c r="R423" s="46">
        <f>VLOOKUP(B423,'Player Data'!$A1:$AE734,6,FALSE)</f>
        <v>17.5140883286932</v>
      </c>
      <c r="S423" s="48">
        <f>VLOOKUP(B423,'Player Data'!$A1:$AE734,7,FALSE)*$Q423*_xlfn.IFERROR((VLOOKUP(P423,'Settings'!$E$28:$F$33,2,FALSE)+1),1)</f>
        <v>2.7228930022939</v>
      </c>
      <c r="T423" s="48">
        <f>VLOOKUP(B423,'Player Data'!$A1:$AE734,8,FALSE)*$Q423*_xlfn.IFERROR((VLOOKUP(P423,'Settings'!$E$28:$F$33,2,FALSE)+1),1)</f>
        <v>12.2119709009611</v>
      </c>
      <c r="U423" s="48">
        <f>SUM(S423:T423)</f>
        <v>14.934863903255</v>
      </c>
      <c r="V423" s="48">
        <f>VLOOKUP(B423,'Player Data'!$A1:$AE734,10,FALSE)*$Q423*_xlfn.IFERROR(((VLOOKUP(P423,'Settings'!$E$28:$F$33,2,FALSE)/2)+1),1)</f>
        <v>93.875322544307</v>
      </c>
      <c r="W423" s="48">
        <f>VLOOKUP(B423,'Player Data'!$A1:$AE734,11,FALSE)*$Q423*_xlfn.IFERROR((VLOOKUP(P423,'Settings'!$E$28:$F$33,2,FALSE)+1),1)</f>
        <v>0.00922249625750428</v>
      </c>
      <c r="X423" s="48">
        <f>VLOOKUP(B423,'Player Data'!$A1:$AE734,12,FALSE)*$Q423*_xlfn.IFERROR((VLOOKUP(P423,'Settings'!$E$28:$F$33,2,FALSE)+1),1)</f>
        <v>0.06750483612435849</v>
      </c>
      <c r="Y423" s="48">
        <f>VLOOKUP(B423,'Player Data'!$A1:$AE734,13,FALSE)*$Q423</f>
        <v>0.0277465056135532</v>
      </c>
      <c r="Z423" s="48">
        <f>VLOOKUP(B423,'Player Data'!$A1:$AE734,14,FALSE)*$Q423</f>
        <v>0.432104146088317</v>
      </c>
      <c r="AA423" s="48">
        <f>VLOOKUP(B423,'Player Data'!$A1:$AE734,15,FALSE)*$Q423</f>
        <v>94.0951516912741</v>
      </c>
      <c r="AB423" s="48">
        <f>VLOOKUP(B423,'Player Data'!$A1:$AE734,16,FALSE)*$Q423</f>
        <v>102.700803016817</v>
      </c>
      <c r="AC423" s="48">
        <f>VLOOKUP(B423,'Player Data'!$A1:$AE734,17,FALSE)*$Q423*_xlfn.IFERROR((VLOOKUP(P423,'Settings'!$E$28:$F$33,2,FALSE)+1),1)</f>
        <v>0.310235353493466</v>
      </c>
      <c r="AD423" s="48">
        <f>VLOOKUP(B423,'Player Data'!$A1:$AE734,18,FALSE)*$Q423</f>
        <v>42.6521672912823</v>
      </c>
      <c r="AE423" s="48">
        <f>VLOOKUP(B423,'Player Data'!$A1:$AE734,19,FALSE)*$Q423*_xlfn.IFERROR((VLOOKUP(P423,'Settings'!$E$28:$F$33,2,FALSE)+1),1)</f>
        <v>0.437078848523753</v>
      </c>
      <c r="AF423" s="48">
        <f>VLOOKUP(B423,'Player Data'!$A1:$AE734,20,FALSE)*$Q423</f>
        <v>0</v>
      </c>
      <c r="AG423" s="48">
        <f>VLOOKUP(B423,'Player Data'!$A1:$AE734,21,FALSE)*$Q423</f>
        <v>0</v>
      </c>
      <c r="AH423" s="49">
        <f>VLOOKUP(B423,'Player Data'!$A1:$AE734,22,FALSE)</f>
        <v>0</v>
      </c>
      <c r="AI423" s="46"/>
      <c r="AJ423" s="50"/>
      <c r="AK423" s="48"/>
      <c r="AL423" s="48"/>
      <c r="AM423" s="48"/>
      <c r="AN423" s="48"/>
      <c r="AO423" s="48"/>
      <c r="AP423" s="48"/>
      <c r="AQ423" s="51"/>
      <c r="AR423" s="52"/>
      <c r="AS423" s="46"/>
    </row>
    <row r="424" ht="21.25" customHeight="1">
      <c r="A424" s="53">
        <f>RANK(K424,K2:K730)</f>
        <v>525</v>
      </c>
      <c r="B424" t="s" s="8">
        <v>576</v>
      </c>
      <c r="C424" t="s" s="39">
        <v>106</v>
      </c>
      <c r="D424" t="s" s="40">
        <f>VLOOKUP(B424,'Player Data'!A1:D734,4,FALSE)</f>
        <v>129</v>
      </c>
      <c r="E424" s="56">
        <f>VLOOKUP(B424,'D'!A1:C228,3,FALSE)</f>
        <v>181</v>
      </c>
      <c r="F424" t="s" s="42">
        <f>VLOOKUP(B424,'Player Data'!A1:B734,2,FALSE)</f>
        <v>194</v>
      </c>
      <c r="G424" s="9">
        <f>VLOOKUP(B424,'Player Data'!A1:D734,3,FALSE)</f>
        <v>32</v>
      </c>
      <c r="H424" s="43">
        <f>_xlfn.IFERROR(VLOOKUP(B424,'ADP'!A1:G731,7,FALSE)/1000000,VLOOKUP(B424,'ADP'!A1:G731,7,FALSE))</f>
        <v>4</v>
      </c>
      <c r="I424" s="44">
        <f>IF('Settings'!$E$15="POINTS",((R424*Q424)*'Settings'!$B$12)+(S424*'Settings'!$B$2)+(T424*'Settings'!$B$3)+(U424*'Settings'!$B$4)+(V424*'Settings'!$B$5)+(X424*'Settings'!$B$9)+(AA424*'Settings'!$B$6)+(W424*'Settings'!$B$8)+(AB424*'Settings'!$B$7)+(AC424*'Settings'!$B$14)+(AD424*'Settings'!$B$15)+(AE424*'Settings'!$B$16)+(AF424*'Settings'!$B$17)+(AG424*'Settings'!$B$18)+(U424*'Settings'!$B$13)+(Y424*'Settings'!$B$10)+(Z424*'Settings'!$B$11),VLOOKUP(B424,'Standard Deviations'!A1:C731,3,FALSE))</f>
        <v>150.990578545230</v>
      </c>
      <c r="J424" s="45">
        <f>IF(D424="G",I424/AJ424,I424/Q424)</f>
        <v>1.87898551529391</v>
      </c>
      <c r="K424" s="44">
        <f>VLOOKUP(B424,'D'!A1:F228,6,FALSE)</f>
        <v>-189.744560101293</v>
      </c>
      <c r="L424" s="44">
        <f>_xlfn.IFERROR(K424/H424,"N/A")</f>
        <v>-47.4361400253233</v>
      </c>
      <c r="M424" t="s" s="61">
        <f>IF('Settings'!$E$9="YAHOO",VLOOKUP(B424,'ADP'!A1:E731,2,FALSE),IF('Settings'!$E$9="ESPN",VLOOKUP(B424,'ADP'!A1:E731,3,FALSE),IF('Settings'!$E$9="FANTRAX",VLOOKUP(B424,'ADP'!A1:E731,4,FALSE),VLOOKUP(B424,'ADP'!A1:E731,5,FALSE))))</f>
        <v>329</v>
      </c>
      <c r="N424" t="s" s="61">
        <f>_xlfn.IFERROR(M424-A424,"N/A")</f>
        <v>158</v>
      </c>
      <c r="O424" s="46"/>
      <c r="P424" t="s" s="47">
        <f>IF('Settings'!$E$27="ON",VLOOKUP(B424,'ADP'!A1:H731,8,FALSE)," ")</f>
        <v>109</v>
      </c>
      <c r="Q424" s="48">
        <f>IF('Settings'!$E$12="YES",VLOOKUP(B424,'Player Data'!A1:E734,5,FALSE),82)</f>
        <v>80.3575</v>
      </c>
      <c r="R424" s="46">
        <f>VLOOKUP(B424,'Player Data'!$A1:$AE734,6,FALSE)</f>
        <v>17.6698172436275</v>
      </c>
      <c r="S424" s="48">
        <f>VLOOKUP(B424,'Player Data'!$A1:$AE734,7,FALSE)*$Q424*_xlfn.IFERROR((VLOOKUP(P424,'Settings'!$E$28:$F$33,2,FALSE)+1),1)</f>
        <v>1.99822383191989</v>
      </c>
      <c r="T424" s="48">
        <f>VLOOKUP(B424,'Player Data'!$A1:$AE734,8,FALSE)*$Q424*_xlfn.IFERROR((VLOOKUP(P424,'Settings'!$E$28:$F$33,2,FALSE)+1),1)</f>
        <v>16.9752089485245</v>
      </c>
      <c r="U424" s="48">
        <f>SUM(S424:T424)</f>
        <v>18.9734327804444</v>
      </c>
      <c r="V424" s="48">
        <f>VLOOKUP(B424,'Player Data'!$A1:$AE734,10,FALSE)*$Q424*_xlfn.IFERROR(((VLOOKUP(P424,'Settings'!$E$28:$F$33,2,FALSE)/2)+1),1)</f>
        <v>69.5421225735811</v>
      </c>
      <c r="W424" s="48">
        <f>VLOOKUP(B424,'Player Data'!$A1:$AE734,11,FALSE)*$Q424*_xlfn.IFERROR((VLOOKUP(P424,'Settings'!$E$28:$F$33,2,FALSE)+1),1)</f>
        <v>0.057251211005107</v>
      </c>
      <c r="X424" s="48">
        <f>VLOOKUP(B424,'Player Data'!$A1:$AE734,12,FALSE)*$Q424*_xlfn.IFERROR((VLOOKUP(P424,'Settings'!$E$28:$F$33,2,FALSE)+1),1)</f>
        <v>0.956092062057005</v>
      </c>
      <c r="Y424" s="48">
        <f>VLOOKUP(B424,'Player Data'!$A1:$AE734,13,FALSE)*$Q424</f>
        <v>0.0327975665864228</v>
      </c>
      <c r="Z424" s="48">
        <f>VLOOKUP(B424,'Player Data'!$A1:$AE734,14,FALSE)*$Q424</f>
        <v>0.14352074869357</v>
      </c>
      <c r="AA424" s="48">
        <f>VLOOKUP(B424,'Player Data'!$A1:$AE734,15,FALSE)*$Q424</f>
        <v>85.10650690333659</v>
      </c>
      <c r="AB424" s="48">
        <f>VLOOKUP(B424,'Player Data'!$A1:$AE734,16,FALSE)*$Q424</f>
        <v>53.8463528806858</v>
      </c>
      <c r="AC424" s="48">
        <f>VLOOKUP(B424,'Player Data'!$A1:$AE734,17,FALSE)*$Q424*_xlfn.IFERROR((VLOOKUP(P424,'Settings'!$E$28:$F$33,2,FALSE)+1),1)</f>
        <v>-5.14157956508419</v>
      </c>
      <c r="AD424" s="48">
        <f>VLOOKUP(B424,'Player Data'!$A1:$AE734,18,FALSE)*$Q424</f>
        <v>19.754161231429</v>
      </c>
      <c r="AE424" s="48">
        <f>VLOOKUP(B424,'Player Data'!$A1:$AE734,19,FALSE)*$Q424*_xlfn.IFERROR((VLOOKUP(P424,'Settings'!$E$28:$F$33,2,FALSE)+1),1)</f>
        <v>0.229941074815255</v>
      </c>
      <c r="AF424" s="48">
        <f>VLOOKUP(B424,'Player Data'!$A1:$AE734,20,FALSE)*$Q424</f>
        <v>0</v>
      </c>
      <c r="AG424" s="48">
        <f>VLOOKUP(B424,'Player Data'!$A1:$AE734,21,FALSE)*$Q424</f>
        <v>0</v>
      </c>
      <c r="AH424" s="49">
        <f>VLOOKUP(B424,'Player Data'!$A1:$AE734,22,FALSE)</f>
        <v>0</v>
      </c>
      <c r="AI424" s="46"/>
      <c r="AJ424" s="50"/>
      <c r="AK424" s="48"/>
      <c r="AL424" s="48"/>
      <c r="AM424" s="48"/>
      <c r="AN424" s="48"/>
      <c r="AO424" s="48"/>
      <c r="AP424" s="48"/>
      <c r="AQ424" s="51"/>
      <c r="AR424" s="52"/>
      <c r="AS424" s="46"/>
    </row>
    <row r="425" ht="21.25" customHeight="1">
      <c r="A425" s="53">
        <f>RANK(K425,K2:K730)</f>
        <v>505</v>
      </c>
      <c r="B425" t="s" s="8">
        <v>577</v>
      </c>
      <c r="C425" t="s" s="39">
        <v>106</v>
      </c>
      <c r="D425" t="s" s="40">
        <f>VLOOKUP(B425,'Player Data'!A1:D734,4,FALSE)</f>
        <v>129</v>
      </c>
      <c r="E425" s="56">
        <f>VLOOKUP(B425,'D'!A1:C228,3,FALSE)</f>
        <v>172</v>
      </c>
      <c r="F425" t="s" s="42">
        <f>VLOOKUP(B425,'Player Data'!A1:B734,2,FALSE)</f>
        <v>134</v>
      </c>
      <c r="G425" s="9">
        <f>VLOOKUP(B425,'Player Data'!A1:D734,3,FALSE)</f>
        <v>38</v>
      </c>
      <c r="H425" s="43">
        <f>_xlfn.IFERROR(VLOOKUP(B425,'ADP'!A1:G731,7,FALSE)/1000000,VLOOKUP(B425,'ADP'!A1:G731,7,FALSE))</f>
        <v>2</v>
      </c>
      <c r="I425" s="44">
        <f>IF('Settings'!$E$15="POINTS",((R425*Q425)*'Settings'!$B$12)+(S425*'Settings'!$B$2)+(T425*'Settings'!$B$3)+(U425*'Settings'!$B$4)+(V425*'Settings'!$B$5)+(X425*'Settings'!$B$9)+(AA425*'Settings'!$B$6)+(W425*'Settings'!$B$8)+(AB425*'Settings'!$B$7)+(AC425*'Settings'!$B$14)+(AD425*'Settings'!$B$15)+(AE425*'Settings'!$B$16)+(AF425*'Settings'!$B$17)+(AG425*'Settings'!$B$18)+(U425*'Settings'!$B$13)+(Y425*'Settings'!$B$10)+(Z425*'Settings'!$B$11),VLOOKUP(B425,'Standard Deviations'!A1:C731,3,FALSE))</f>
        <v>156.421699519327</v>
      </c>
      <c r="J425" s="45">
        <f>IF(D425="G",I425/AJ425,I425/Q425)</f>
        <v>2.10626404792738</v>
      </c>
      <c r="K425" s="44">
        <f>VLOOKUP(B425,'D'!A1:F228,6,FALSE)</f>
        <v>-184.313439127196</v>
      </c>
      <c r="L425" s="44">
        <f>_xlfn.IFERROR(K425/H425,"N/A")</f>
        <v>-92.156719563598</v>
      </c>
      <c r="M425" t="s" s="61">
        <f>IF('Settings'!$E$9="YAHOO",VLOOKUP(B425,'ADP'!A1:E731,2,FALSE),IF('Settings'!$E$9="ESPN",VLOOKUP(B425,'ADP'!A1:E731,3,FALSE),IF('Settings'!$E$9="FANTRAX",VLOOKUP(B425,'ADP'!A1:E731,4,FALSE),VLOOKUP(B425,'ADP'!A1:E731,5,FALSE))))</f>
        <v>329</v>
      </c>
      <c r="N425" t="s" s="61">
        <f>_xlfn.IFERROR(M425-A425,"N/A")</f>
        <v>158</v>
      </c>
      <c r="O425" s="46"/>
      <c r="P425" t="s" s="47">
        <f>IF('Settings'!$E$27="ON",VLOOKUP(B425,'ADP'!A1:H731,8,FALSE)," ")</f>
        <v>109</v>
      </c>
      <c r="Q425" s="48">
        <f>IF('Settings'!$E$12="YES",VLOOKUP(B425,'Player Data'!A1:E734,5,FALSE),82)</f>
        <v>74.265</v>
      </c>
      <c r="R425" s="46">
        <f>VLOOKUP(B425,'Player Data'!$A1:$AE734,6,FALSE)</f>
        <v>16.4964546078249</v>
      </c>
      <c r="S425" s="48">
        <f>VLOOKUP(B425,'Player Data'!$A1:$AE734,7,FALSE)*$Q425*_xlfn.IFERROR((VLOOKUP(P425,'Settings'!$E$28:$F$33,2,FALSE)+1),1)</f>
        <v>1.99219482347908</v>
      </c>
      <c r="T425" s="48">
        <f>VLOOKUP(B425,'Player Data'!$A1:$AE734,8,FALSE)*$Q425*_xlfn.IFERROR((VLOOKUP(P425,'Settings'!$E$28:$F$33,2,FALSE)+1),1)</f>
        <v>14.140465314072</v>
      </c>
      <c r="U425" s="48">
        <f>SUM(S425:T425)</f>
        <v>16.1326601375511</v>
      </c>
      <c r="V425" s="48">
        <f>VLOOKUP(B425,'Player Data'!$A1:$AE734,10,FALSE)*$Q425*_xlfn.IFERROR(((VLOOKUP(P425,'Settings'!$E$28:$F$33,2,FALSE)/2)+1),1)</f>
        <v>82.56792209928599</v>
      </c>
      <c r="W425" s="48">
        <f>VLOOKUP(B425,'Player Data'!$A1:$AE734,11,FALSE)*$Q425*_xlfn.IFERROR((VLOOKUP(P425,'Settings'!$E$28:$F$33,2,FALSE)+1),1)</f>
        <v>0.0254449408386471</v>
      </c>
      <c r="X425" s="48">
        <f>VLOOKUP(B425,'Player Data'!$A1:$AE734,12,FALSE)*$Q425*_xlfn.IFERROR((VLOOKUP(P425,'Settings'!$E$28:$F$33,2,FALSE)+1),1)</f>
        <v>0.988560516042306</v>
      </c>
      <c r="Y425" s="48">
        <f>VLOOKUP(B425,'Player Data'!$A1:$AE734,13,FALSE)*$Q425</f>
        <v>0.0173044631925741</v>
      </c>
      <c r="Z425" s="48">
        <f>VLOOKUP(B425,'Player Data'!$A1:$AE734,14,FALSE)*$Q425</f>
        <v>0.0797188368023337</v>
      </c>
      <c r="AA425" s="48">
        <f>VLOOKUP(B425,'Player Data'!$A1:$AE734,15,FALSE)*$Q425</f>
        <v>94.29692933314981</v>
      </c>
      <c r="AB425" s="48">
        <f>VLOOKUP(B425,'Player Data'!$A1:$AE734,16,FALSE)*$Q425</f>
        <v>65.7742539265287</v>
      </c>
      <c r="AC425" s="48">
        <f>VLOOKUP(B425,'Player Data'!$A1:$AE734,17,FALSE)*$Q425*_xlfn.IFERROR((VLOOKUP(P425,'Settings'!$E$28:$F$33,2,FALSE)+1),1)</f>
        <v>2.30409417681313</v>
      </c>
      <c r="AD425" s="48">
        <f>VLOOKUP(B425,'Player Data'!$A1:$AE734,18,FALSE)*$Q425</f>
        <v>25.5557850984656</v>
      </c>
      <c r="AE425" s="48">
        <f>VLOOKUP(B425,'Player Data'!$A1:$AE734,19,FALSE)*$Q425*_xlfn.IFERROR((VLOOKUP(P425,'Settings'!$E$28:$F$33,2,FALSE)+1),1)</f>
        <v>0.319899503800937</v>
      </c>
      <c r="AF425" s="48">
        <f>VLOOKUP(B425,'Player Data'!$A1:$AE734,20,FALSE)*$Q425</f>
        <v>0</v>
      </c>
      <c r="AG425" s="48">
        <f>VLOOKUP(B425,'Player Data'!$A1:$AE734,21,FALSE)*$Q425</f>
        <v>0</v>
      </c>
      <c r="AH425" s="49">
        <f>VLOOKUP(B425,'Player Data'!$A1:$AE734,22,FALSE)</f>
        <v>0</v>
      </c>
      <c r="AI425" s="46"/>
      <c r="AJ425" s="50"/>
      <c r="AK425" s="48"/>
      <c r="AL425" s="48"/>
      <c r="AM425" s="48"/>
      <c r="AN425" s="48"/>
      <c r="AO425" s="48"/>
      <c r="AP425" s="48"/>
      <c r="AQ425" s="51"/>
      <c r="AR425" s="52"/>
      <c r="AS425" s="46"/>
    </row>
    <row r="426" ht="21.25" customHeight="1">
      <c r="A426" s="53">
        <f>RANK(K426,K2:K730)</f>
        <v>483</v>
      </c>
      <c r="B426" t="s" s="8">
        <v>578</v>
      </c>
      <c r="C426" t="s" s="39">
        <v>106</v>
      </c>
      <c r="D426" t="s" s="40">
        <f>VLOOKUP(B426,'Player Data'!A1:D734,4,FALSE)</f>
        <v>129</v>
      </c>
      <c r="E426" s="56">
        <f>VLOOKUP(B426,'D'!A1:C228,3,FALSE)</f>
        <v>169</v>
      </c>
      <c r="F426" t="s" s="42">
        <f>VLOOKUP(B426,'Player Data'!A1:B734,2,FALSE)</f>
        <v>196</v>
      </c>
      <c r="G426" s="9">
        <f>VLOOKUP(B426,'Player Data'!A1:D734,3,FALSE)</f>
        <v>29</v>
      </c>
      <c r="H426" s="43">
        <f>_xlfn.IFERROR(VLOOKUP(B426,'ADP'!A1:G731,7,FALSE)/1000000,VLOOKUP(B426,'ADP'!A1:G731,7,FALSE))</f>
        <v>1.1</v>
      </c>
      <c r="I426" s="44">
        <f>IF('Settings'!$E$15="POINTS",((R426*Q426)*'Settings'!$B$12)+(S426*'Settings'!$B$2)+(T426*'Settings'!$B$3)+(U426*'Settings'!$B$4)+(V426*'Settings'!$B$5)+(X426*'Settings'!$B$9)+(AA426*'Settings'!$B$6)+(W426*'Settings'!$B$8)+(AB426*'Settings'!$B$7)+(AC426*'Settings'!$B$14)+(AD426*'Settings'!$B$15)+(AE426*'Settings'!$B$16)+(AF426*'Settings'!$B$17)+(AG426*'Settings'!$B$18)+(U426*'Settings'!$B$13)+(Y426*'Settings'!$B$10)+(Z426*'Settings'!$B$11),VLOOKUP(B426,'Standard Deviations'!A1:C731,3,FALSE))</f>
        <v>164.337551014146</v>
      </c>
      <c r="J426" s="45">
        <f>IF(D426="G",I426/AJ426,I426/Q426)</f>
        <v>2.2571403343419</v>
      </c>
      <c r="K426" s="44">
        <f>VLOOKUP(B426,'D'!A1:F228,6,FALSE)</f>
        <v>-176.397587632377</v>
      </c>
      <c r="L426" s="44">
        <f>_xlfn.IFERROR(K426/H426,"N/A")</f>
        <v>-160.361443302161</v>
      </c>
      <c r="M426" t="s" s="61">
        <f>IF('Settings'!$E$9="YAHOO",VLOOKUP(B426,'ADP'!A1:E731,2,FALSE),IF('Settings'!$E$9="ESPN",VLOOKUP(B426,'ADP'!A1:E731,3,FALSE),IF('Settings'!$E$9="FANTRAX",VLOOKUP(B426,'ADP'!A1:E731,4,FALSE),VLOOKUP(B426,'ADP'!A1:E731,5,FALSE))))</f>
        <v>329</v>
      </c>
      <c r="N426" t="s" s="61">
        <f>_xlfn.IFERROR(M426-A426,"N/A")</f>
        <v>158</v>
      </c>
      <c r="O426" s="46"/>
      <c r="P426" t="s" s="47">
        <f>IF('Settings'!$E$27="ON",VLOOKUP(B426,'ADP'!A1:H731,8,FALSE)," ")</f>
        <v>109</v>
      </c>
      <c r="Q426" s="48">
        <f>IF('Settings'!$E$12="YES",VLOOKUP(B426,'Player Data'!A1:E734,5,FALSE),82)</f>
        <v>72.8078571428571</v>
      </c>
      <c r="R426" s="46">
        <f>VLOOKUP(B426,'Player Data'!$A1:$AE734,6,FALSE)</f>
        <v>18.2475032158777</v>
      </c>
      <c r="S426" s="48">
        <f>VLOOKUP(B426,'Player Data'!$A1:$AE734,7,FALSE)*$Q426*_xlfn.IFERROR((VLOOKUP(P426,'Settings'!$E$28:$F$33,2,FALSE)+1),1)</f>
        <v>3.37439195708272</v>
      </c>
      <c r="T426" s="48">
        <f>VLOOKUP(B426,'Player Data'!$A1:$AE734,8,FALSE)*$Q426*_xlfn.IFERROR((VLOOKUP(P426,'Settings'!$E$28:$F$33,2,FALSE)+1),1)</f>
        <v>11.2322122273163</v>
      </c>
      <c r="U426" s="48">
        <f>SUM(S426:T426)</f>
        <v>14.606604184399</v>
      </c>
      <c r="V426" s="48">
        <f>VLOOKUP(B426,'Player Data'!$A1:$AE734,10,FALSE)*$Q426*_xlfn.IFERROR(((VLOOKUP(P426,'Settings'!$E$28:$F$33,2,FALSE)/2)+1),1)</f>
        <v>93.2561357389588</v>
      </c>
      <c r="W426" s="48">
        <f>VLOOKUP(B426,'Player Data'!$A1:$AE734,11,FALSE)*$Q426*_xlfn.IFERROR((VLOOKUP(P426,'Settings'!$E$28:$F$33,2,FALSE)+1),1)</f>
        <v>0.0180469544324919</v>
      </c>
      <c r="X426" s="48">
        <f>VLOOKUP(B426,'Player Data'!$A1:$AE734,12,FALSE)*$Q426*_xlfn.IFERROR((VLOOKUP(P426,'Settings'!$E$28:$F$33,2,FALSE)+1),1)</f>
        <v>0.125449049069241</v>
      </c>
      <c r="Y426" s="48">
        <f>VLOOKUP(B426,'Player Data'!$A1:$AE734,13,FALSE)*$Q426</f>
        <v>0.0284108437741768</v>
      </c>
      <c r="Z426" s="48">
        <f>VLOOKUP(B426,'Player Data'!$A1:$AE734,14,FALSE)*$Q426</f>
        <v>0.153903346856144</v>
      </c>
      <c r="AA426" s="48">
        <f>VLOOKUP(B426,'Player Data'!$A1:$AE734,15,FALSE)*$Q426</f>
        <v>96.38671341711731</v>
      </c>
      <c r="AB426" s="48">
        <f>VLOOKUP(B426,'Player Data'!$A1:$AE734,16,FALSE)*$Q426</f>
        <v>81.3076770142968</v>
      </c>
      <c r="AC426" s="48">
        <f>VLOOKUP(B426,'Player Data'!$A1:$AE734,17,FALSE)*$Q426*_xlfn.IFERROR((VLOOKUP(P426,'Settings'!$E$28:$F$33,2,FALSE)+1),1)</f>
        <v>-4.44706380051275</v>
      </c>
      <c r="AD426" s="48">
        <f>VLOOKUP(B426,'Player Data'!$A1:$AE734,18,FALSE)*$Q426</f>
        <v>36.9580026591418</v>
      </c>
      <c r="AE426" s="48">
        <f>VLOOKUP(B426,'Player Data'!$A1:$AE734,19,FALSE)*$Q426*_xlfn.IFERROR((VLOOKUP(P426,'Settings'!$E$28:$F$33,2,FALSE)+1),1)</f>
        <v>0.425836784947401</v>
      </c>
      <c r="AF426" s="48">
        <f>VLOOKUP(B426,'Player Data'!$A1:$AE734,20,FALSE)*$Q426</f>
        <v>0</v>
      </c>
      <c r="AG426" s="48">
        <f>VLOOKUP(B426,'Player Data'!$A1:$AE734,21,FALSE)*$Q426</f>
        <v>0</v>
      </c>
      <c r="AH426" s="49">
        <f>VLOOKUP(B426,'Player Data'!$A1:$AE734,22,FALSE)</f>
        <v>0</v>
      </c>
      <c r="AI426" s="46"/>
      <c r="AJ426" s="50"/>
      <c r="AK426" s="48"/>
      <c r="AL426" s="48"/>
      <c r="AM426" s="48"/>
      <c r="AN426" s="48"/>
      <c r="AO426" s="48"/>
      <c r="AP426" s="48"/>
      <c r="AQ426" s="51"/>
      <c r="AR426" s="52"/>
      <c r="AS426" s="46"/>
    </row>
    <row r="427" ht="21.25" customHeight="1">
      <c r="A427" s="53">
        <f>RANK(K427,K2:K730)</f>
        <v>476</v>
      </c>
      <c r="B427" t="s" s="8">
        <v>579</v>
      </c>
      <c r="C427" t="s" s="39">
        <v>106</v>
      </c>
      <c r="D427" t="s" s="40">
        <f>VLOOKUP(B427,'Player Data'!A1:D734,4,FALSE)</f>
        <v>133</v>
      </c>
      <c r="E427" s="57">
        <f>VLOOKUP(B427,'LW'!A1:C156,3,FALSE)</f>
        <v>104</v>
      </c>
      <c r="F427" t="s" s="42">
        <f>VLOOKUP(B427,'Player Data'!A1:B734,2,FALSE)</f>
        <v>134</v>
      </c>
      <c r="G427" s="9">
        <f>VLOOKUP(B427,'Player Data'!A1:D734,3,FALSE)</f>
        <v>32</v>
      </c>
      <c r="H427" s="43">
        <f>_xlfn.IFERROR(VLOOKUP(B427,'ADP'!A1:G731,7,FALSE)/1000000,VLOOKUP(B427,'ADP'!A1:G731,7,FALSE))</f>
        <v>2</v>
      </c>
      <c r="I427" s="44">
        <f>IF('Settings'!$E$15="POINTS",((R427*Q427)*'Settings'!$B$12)+(S427*'Settings'!$B$2)+(T427*'Settings'!$B$3)+(U427*'Settings'!$B$4)+(V427*'Settings'!$B$5)+(X427*'Settings'!$B$9)+(AA427*'Settings'!$B$6)+(W427*'Settings'!$B$8)+(AB427*'Settings'!$B$7)+(AC427*'Settings'!$B$14)+(AD427*'Settings'!$B$15)+(AE427*'Settings'!$B$16)+(AF427*'Settings'!$B$17)+(AG427*'Settings'!$B$18)+(Y427*'Settings'!$B$10)+(Z427*'Settings'!$B$11),VLOOKUP(B427,'Standard Deviations'!A1:C731,3,FALSE))</f>
        <v>207.319144047813</v>
      </c>
      <c r="J427" s="45">
        <f>IF(D427="G",I427/AJ427,I427/Q427)</f>
        <v>2.69389332591074</v>
      </c>
      <c r="K427" s="44">
        <f>IF('Settings'!$E$18="C/LW/RW",VLOOKUP(B427,'LW'!A1:F156,6,FALSE),VLOOKUP(B427,'F'!A1:F432,6,FALSE))</f>
        <v>-174.309419658543</v>
      </c>
      <c r="L427" s="44">
        <f>_xlfn.IFERROR(K427/H427,"N/A")</f>
        <v>-87.1547098292715</v>
      </c>
      <c r="M427" s="46">
        <f>IF('Settings'!$E$9="YAHOO",VLOOKUP(B427,'ADP'!A1:E731,2,FALSE),IF('Settings'!$E$9="ESPN",VLOOKUP(B427,'ADP'!A1:E731,3,FALSE),IF('Settings'!$E$9="FANTRAX",VLOOKUP(B427,'ADP'!A1:E731,4,FALSE),VLOOKUP(B427,'ADP'!A1:E731,5,FALSE))))</f>
        <v>414.95</v>
      </c>
      <c r="N427" s="46">
        <f>_xlfn.IFERROR(M427-A427,"N/A")</f>
        <v>-61.05</v>
      </c>
      <c r="O427" s="46"/>
      <c r="P427" t="s" s="47">
        <f>IF('Settings'!$E$27="ON",VLOOKUP(B427,'ADP'!A1:H731,8,FALSE)," ")</f>
        <v>109</v>
      </c>
      <c r="Q427" s="48">
        <f>IF('Settings'!$E$12="YES",VLOOKUP(B427,'Player Data'!A1:E734,5,FALSE),82)</f>
        <v>76.9589285714286</v>
      </c>
      <c r="R427" s="46">
        <f>VLOOKUP(B427,'Player Data'!$A1:$AE734,6,FALSE)</f>
        <v>16.1873609427946</v>
      </c>
      <c r="S427" s="48">
        <f>VLOOKUP(B427,'Player Data'!$A1:$AE734,7,FALSE)*$Q427*_xlfn.IFERROR((VLOOKUP(P427,'Settings'!$E$28:$F$33,2,FALSE)+1),1)</f>
        <v>13.3629855267569</v>
      </c>
      <c r="T427" s="48">
        <f>VLOOKUP(B427,'Player Data'!$A1:$AE734,8,FALSE)*$Q427*_xlfn.IFERROR((VLOOKUP(P427,'Settings'!$E$28:$F$33,2,FALSE)+1),1)</f>
        <v>20.222837252311</v>
      </c>
      <c r="U427" s="48">
        <f>SUM(S427:T427)</f>
        <v>33.5858227790679</v>
      </c>
      <c r="V427" s="48">
        <f>VLOOKUP(B427,'Player Data'!$A1:$AE734,10,FALSE)*$Q427*_xlfn.IFERROR(((VLOOKUP(P427,'Settings'!$E$28:$F$33,2,FALSE)/2)+1),1)</f>
        <v>126.443633368201</v>
      </c>
      <c r="W427" s="48">
        <f>VLOOKUP(B427,'Player Data'!$A1:$AE734,11,FALSE)*$Q427*_xlfn.IFERROR((VLOOKUP(P427,'Settings'!$E$28:$F$33,2,FALSE)+1),1)</f>
        <v>2.28162421310083</v>
      </c>
      <c r="X427" s="48">
        <f>VLOOKUP(B427,'Player Data'!$A1:$AE734,12,FALSE)*$Q427*_xlfn.IFERROR((VLOOKUP(P427,'Settings'!$E$28:$F$33,2,FALSE)+1),1)</f>
        <v>7.80109968845961</v>
      </c>
      <c r="Y427" s="48">
        <f>VLOOKUP(B427,'Player Data'!$A1:$AE734,13,FALSE)*$Q427</f>
        <v>0.671182460531155</v>
      </c>
      <c r="Z427" s="48">
        <f>VLOOKUP(B427,'Player Data'!$A1:$AE734,14,FALSE)*$Q427</f>
        <v>0.790185635619548</v>
      </c>
      <c r="AA427" s="48">
        <f>VLOOKUP(B427,'Player Data'!$A1:$AE734,15,FALSE)*$Q427</f>
        <v>27.1654522661795</v>
      </c>
      <c r="AB427" s="48">
        <f>VLOOKUP(B427,'Player Data'!$A1:$AE734,16,FALSE)*$Q427</f>
        <v>32.5291333281765</v>
      </c>
      <c r="AC427" s="48">
        <f>VLOOKUP(B427,'Player Data'!$A1:$AE734,17,FALSE)*$Q427*_xlfn.IFERROR((VLOOKUP(P427,'Settings'!$E$28:$F$33,2,FALSE)+1),1)</f>
        <v>2.18170584596297</v>
      </c>
      <c r="AD427" s="48">
        <f>VLOOKUP(B427,'Player Data'!$A1:$AE734,18,FALSE)*$Q427</f>
        <v>11.2733978688714</v>
      </c>
      <c r="AE427" s="48">
        <f>VLOOKUP(B427,'Player Data'!$A1:$AE734,19,FALSE)*$Q427*_xlfn.IFERROR((VLOOKUP(P427,'Settings'!$E$28:$F$33,2,FALSE)+1),1)</f>
        <v>2.14578031672791</v>
      </c>
      <c r="AF427" s="48">
        <f>VLOOKUP(B427,'Player Data'!$A1:$AE734,20,FALSE)*$Q427</f>
        <v>28.5007692297683</v>
      </c>
      <c r="AG427" s="48">
        <f>VLOOKUP(B427,'Player Data'!$A1:$AE734,21,FALSE)*$Q427</f>
        <v>38.5395295384479</v>
      </c>
      <c r="AH427" s="49">
        <f>VLOOKUP(B427,'Player Data'!$A1:$AE734,22,FALSE)</f>
        <v>0.425128911318046</v>
      </c>
      <c r="AI427" s="46"/>
      <c r="AJ427" s="50"/>
      <c r="AK427" s="48"/>
      <c r="AL427" s="48"/>
      <c r="AM427" s="48"/>
      <c r="AN427" s="48"/>
      <c r="AO427" s="48"/>
      <c r="AP427" s="48"/>
      <c r="AQ427" s="51"/>
      <c r="AR427" s="52"/>
      <c r="AS427" s="46"/>
    </row>
    <row r="428" ht="21.25" customHeight="1">
      <c r="A428" s="53">
        <f>RANK(K428,K2:K730)</f>
        <v>446</v>
      </c>
      <c r="B428" t="s" s="8">
        <v>580</v>
      </c>
      <c r="C428" t="s" s="39">
        <v>106</v>
      </c>
      <c r="D428" t="s" s="40">
        <f>VLOOKUP(B428,'Player Data'!A1:D734,4,FALSE)</f>
        <v>129</v>
      </c>
      <c r="E428" s="56">
        <f>VLOOKUP(B428,'D'!A1:C228,3,FALSE)</f>
        <v>157</v>
      </c>
      <c r="F428" t="s" s="42">
        <f>VLOOKUP(B428,'Player Data'!A1:B734,2,FALSE)</f>
        <v>189</v>
      </c>
      <c r="G428" s="9">
        <f>VLOOKUP(B428,'Player Data'!A1:D734,3,FALSE)</f>
        <v>31</v>
      </c>
      <c r="H428" s="43">
        <f>_xlfn.IFERROR(VLOOKUP(B428,'ADP'!A1:G731,7,FALSE)/1000000,VLOOKUP(B428,'ADP'!A1:G731,7,FALSE))</f>
        <v>4</v>
      </c>
      <c r="I428" s="44">
        <f>IF('Settings'!$E$15="POINTS",((R428*Q428)*'Settings'!$B$12)+(S428*'Settings'!$B$2)+(T428*'Settings'!$B$3)+(U428*'Settings'!$B$4)+(V428*'Settings'!$B$5)+(X428*'Settings'!$B$9)+(AA428*'Settings'!$B$6)+(W428*'Settings'!$B$8)+(AB428*'Settings'!$B$7)+(AC428*'Settings'!$B$14)+(AD428*'Settings'!$B$15)+(AE428*'Settings'!$B$16)+(AF428*'Settings'!$B$17)+(AG428*'Settings'!$B$18)+(U428*'Settings'!$B$13)+(Y428*'Settings'!$B$10)+(Z428*'Settings'!$B$11),VLOOKUP(B428,'Standard Deviations'!A1:C731,3,FALSE))</f>
        <v>175.027155712832</v>
      </c>
      <c r="J428" s="45">
        <f>IF(D428="G",I428/AJ428,I428/Q428)</f>
        <v>2.3167062304809</v>
      </c>
      <c r="K428" s="44">
        <f>VLOOKUP(B428,'D'!A1:F228,6,FALSE)</f>
        <v>-165.707982933691</v>
      </c>
      <c r="L428" s="44">
        <f>_xlfn.IFERROR(K428/H428,"N/A")</f>
        <v>-41.4269957334228</v>
      </c>
      <c r="M428" t="s" s="61">
        <f>IF('Settings'!$E$9="YAHOO",VLOOKUP(B428,'ADP'!A1:E731,2,FALSE),IF('Settings'!$E$9="ESPN",VLOOKUP(B428,'ADP'!A1:E731,3,FALSE),IF('Settings'!$E$9="FANTRAX",VLOOKUP(B428,'ADP'!A1:E731,4,FALSE),VLOOKUP(B428,'ADP'!A1:E731,5,FALSE))))</f>
        <v>329</v>
      </c>
      <c r="N428" t="s" s="61">
        <f>_xlfn.IFERROR(M428-A428,"N/A")</f>
        <v>158</v>
      </c>
      <c r="O428" s="46"/>
      <c r="P428" t="s" s="47">
        <f>IF('Settings'!$E$27="ON",VLOOKUP(B428,'ADP'!A1:H731,8,FALSE)," ")</f>
        <v>109</v>
      </c>
      <c r="Q428" s="48">
        <f>IF('Settings'!$E$12="YES",VLOOKUP(B428,'Player Data'!A1:E734,5,FALSE),82)</f>
        <v>75.55</v>
      </c>
      <c r="R428" s="46">
        <f>VLOOKUP(B428,'Player Data'!$A1:$AE734,6,FALSE)</f>
        <v>17.4609891967082</v>
      </c>
      <c r="S428" s="48">
        <f>VLOOKUP(B428,'Player Data'!$A1:$AE734,7,FALSE)*$Q428*_xlfn.IFERROR((VLOOKUP(P428,'Settings'!$E$28:$F$33,2,FALSE)+1),1)</f>
        <v>2.76378768218852</v>
      </c>
      <c r="T428" s="48">
        <f>VLOOKUP(B428,'Player Data'!$A1:$AE734,8,FALSE)*$Q428*_xlfn.IFERROR((VLOOKUP(P428,'Settings'!$E$28:$F$33,2,FALSE)+1),1)</f>
        <v>9.99610925398048</v>
      </c>
      <c r="U428" s="48">
        <f>SUM(S428:T428)</f>
        <v>12.759896936169</v>
      </c>
      <c r="V428" s="48">
        <f>VLOOKUP(B428,'Player Data'!$A1:$AE734,10,FALSE)*$Q428*_xlfn.IFERROR(((VLOOKUP(P428,'Settings'!$E$28:$F$33,2,FALSE)/2)+1),1)</f>
        <v>97.5923273724086</v>
      </c>
      <c r="W428" s="48">
        <f>VLOOKUP(B428,'Player Data'!$A1:$AE734,11,FALSE)*$Q428*_xlfn.IFERROR((VLOOKUP(P428,'Settings'!$E$28:$F$33,2,FALSE)+1),1)</f>
        <v>0.0186666940299234</v>
      </c>
      <c r="X428" s="48">
        <f>VLOOKUP(B428,'Player Data'!$A1:$AE734,12,FALSE)*$Q428*_xlfn.IFERROR((VLOOKUP(P428,'Settings'!$E$28:$F$33,2,FALSE)+1),1)</f>
        <v>0.132495422787497</v>
      </c>
      <c r="Y428" s="48">
        <f>VLOOKUP(B428,'Player Data'!$A1:$AE734,13,FALSE)*$Q428</f>
        <v>0.0196481630657</v>
      </c>
      <c r="Z428" s="48">
        <f>VLOOKUP(B428,'Player Data'!$A1:$AE734,14,FALSE)*$Q428</f>
        <v>0.108681569269155</v>
      </c>
      <c r="AA428" s="48">
        <f>VLOOKUP(B428,'Player Data'!$A1:$AE734,15,FALSE)*$Q428</f>
        <v>110.744556544843</v>
      </c>
      <c r="AB428" s="48">
        <f>VLOOKUP(B428,'Player Data'!$A1:$AE734,16,FALSE)*$Q428</f>
        <v>112.863913135511</v>
      </c>
      <c r="AC428" s="48">
        <f>VLOOKUP(B428,'Player Data'!$A1:$AE734,17,FALSE)*$Q428*_xlfn.IFERROR((VLOOKUP(P428,'Settings'!$E$28:$F$33,2,FALSE)+1),1)</f>
        <v>-6.43956915715014</v>
      </c>
      <c r="AD428" s="48">
        <f>VLOOKUP(B428,'Player Data'!$A1:$AE734,18,FALSE)*$Q428</f>
        <v>55.4396349416751</v>
      </c>
      <c r="AE428" s="48">
        <f>VLOOKUP(B428,'Player Data'!$A1:$AE734,19,FALSE)*$Q428*_xlfn.IFERROR((VLOOKUP(P428,'Settings'!$E$28:$F$33,2,FALSE)+1),1)</f>
        <v>0.296158879342255</v>
      </c>
      <c r="AF428" s="48">
        <f>VLOOKUP(B428,'Player Data'!$A1:$AE734,20,FALSE)*$Q428</f>
        <v>0</v>
      </c>
      <c r="AG428" s="48">
        <f>VLOOKUP(B428,'Player Data'!$A1:$AE734,21,FALSE)*$Q428</f>
        <v>0</v>
      </c>
      <c r="AH428" s="49">
        <f>VLOOKUP(B428,'Player Data'!$A1:$AE734,22,FALSE)</f>
        <v>0</v>
      </c>
      <c r="AI428" s="46"/>
      <c r="AJ428" s="50"/>
      <c r="AK428" s="48"/>
      <c r="AL428" s="48"/>
      <c r="AM428" s="48"/>
      <c r="AN428" s="48"/>
      <c r="AO428" s="48"/>
      <c r="AP428" s="48"/>
      <c r="AQ428" s="51"/>
      <c r="AR428" s="52"/>
      <c r="AS428" s="46"/>
    </row>
    <row r="429" ht="21.25" customHeight="1">
      <c r="A429" s="53">
        <f>RANK(K429,K2:K730)</f>
        <v>501</v>
      </c>
      <c r="B429" t="s" s="8">
        <v>581</v>
      </c>
      <c r="C429" t="s" s="39">
        <v>106</v>
      </c>
      <c r="D429" t="s" s="40">
        <f>VLOOKUP(B429,'Player Data'!A1:D734,4,FALSE)</f>
        <v>121</v>
      </c>
      <c r="E429" s="55">
        <f>VLOOKUP(B429,'RW'!A1:F132,3,FALSE)</f>
        <v>92</v>
      </c>
      <c r="F429" t="s" s="42">
        <f>VLOOKUP(B429,'Player Data'!A1:B734,2,FALSE)</f>
        <v>139</v>
      </c>
      <c r="G429" s="9">
        <f>VLOOKUP(B429,'Player Data'!A1:D734,3,FALSE)</f>
        <v>21</v>
      </c>
      <c r="H429" s="43">
        <f>_xlfn.IFERROR(VLOOKUP(B429,'ADP'!A1:G731,7,FALSE)/1000000,VLOOKUP(B429,'ADP'!A1:G731,7,FALSE))</f>
        <v>0.855833</v>
      </c>
      <c r="I429" s="44">
        <f>IF('Settings'!$E$15="POINTS",((R429*Q429)*'Settings'!$B$12)+(S429*'Settings'!$B$2)+(T429*'Settings'!$B$3)+(U429*'Settings'!$B$4)+(V429*'Settings'!$B$5)+(X429*'Settings'!$B$9)+(AA429*'Settings'!$B$6)+(W429*'Settings'!$B$8)+(AB429*'Settings'!$B$7)+(AC429*'Settings'!$B$14)+(AD429*'Settings'!$B$15)+(AE429*'Settings'!$B$16)+(AF429*'Settings'!$B$17)+(AG429*'Settings'!$B$18)+(Y429*'Settings'!$B$10)+(Z429*'Settings'!$B$11),VLOOKUP(B429,'Standard Deviations'!A1:C731,3,FALSE))</f>
        <v>198.853361317536</v>
      </c>
      <c r="J429" s="45">
        <f>IF(D429="G",I429/AJ429,I429/Q429)</f>
        <v>2.59261227271885</v>
      </c>
      <c r="K429" s="44">
        <f>IF('Settings'!$E$18="C/LW/RW",VLOOKUP(B429,'RW'!A1:F132,6,FALSE),VLOOKUP(B429,'F'!A1:F432,6,FALSE))</f>
        <v>-182.775202388820</v>
      </c>
      <c r="L429" s="44">
        <f>_xlfn.IFERROR(K429/H429,"N/A")</f>
        <v>-213.564097655524</v>
      </c>
      <c r="M429" t="s" s="61">
        <f>IF('Settings'!$E$9="YAHOO",VLOOKUP(B429,'ADP'!A1:E731,2,FALSE),IF('Settings'!$E$9="ESPN",VLOOKUP(B429,'ADP'!A1:E731,3,FALSE),IF('Settings'!$E$9="FANTRAX",VLOOKUP(B429,'ADP'!A1:E731,4,FALSE),VLOOKUP(B429,'ADP'!A1:E731,5,FALSE))))</f>
        <v>329</v>
      </c>
      <c r="N429" t="s" s="61">
        <f>_xlfn.IFERROR(M429-A429,"N/A")</f>
        <v>158</v>
      </c>
      <c r="O429" s="46"/>
      <c r="P429" t="s" s="47">
        <f>IF('Settings'!$E$27="ON",VLOOKUP(B429,'ADP'!A1:H731,8,FALSE)," ")</f>
        <v>109</v>
      </c>
      <c r="Q429" s="48">
        <f>IF('Settings'!$E$12="YES",VLOOKUP(B429,'Player Data'!A1:E734,5,FALSE),82)</f>
        <v>76.7</v>
      </c>
      <c r="R429" s="46">
        <f>VLOOKUP(B429,'Player Data'!$A1:$AE734,6,FALSE)</f>
        <v>13.5183494978545</v>
      </c>
      <c r="S429" s="48">
        <f>VLOOKUP(B429,'Player Data'!$A1:$AE734,7,FALSE)*$Q429*_xlfn.IFERROR((VLOOKUP(P429,'Settings'!$E$28:$F$33,2,FALSE)+1),1)</f>
        <v>13.0912258765988</v>
      </c>
      <c r="T429" s="48">
        <f>VLOOKUP(B429,'Player Data'!$A1:$AE734,8,FALSE)*$Q429*_xlfn.IFERROR((VLOOKUP(P429,'Settings'!$E$28:$F$33,2,FALSE)+1),1)</f>
        <v>20.405677822923</v>
      </c>
      <c r="U429" s="48">
        <f>SUM(S429:T429)</f>
        <v>33.4969036995218</v>
      </c>
      <c r="V429" s="48">
        <f>VLOOKUP(B429,'Player Data'!$A1:$AE734,10,FALSE)*$Q429*_xlfn.IFERROR(((VLOOKUP(P429,'Settings'!$E$28:$F$33,2,FALSE)/2)+1),1)</f>
        <v>126.773910743521</v>
      </c>
      <c r="W429" s="48">
        <f>VLOOKUP(B429,'Player Data'!$A1:$AE734,11,FALSE)*$Q429*_xlfn.IFERROR((VLOOKUP(P429,'Settings'!$E$28:$F$33,2,FALSE)+1),1)</f>
        <v>2.08699910777371</v>
      </c>
      <c r="X429" s="48">
        <f>VLOOKUP(B429,'Player Data'!$A1:$AE734,12,FALSE)*$Q429*_xlfn.IFERROR((VLOOKUP(P429,'Settings'!$E$28:$F$33,2,FALSE)+1),1)</f>
        <v>5.16601627858572</v>
      </c>
      <c r="Y429" s="48">
        <f>VLOOKUP(B429,'Player Data'!$A1:$AE734,13,FALSE)*$Q429</f>
        <v>0.0394938835664914</v>
      </c>
      <c r="Z429" s="48">
        <f>VLOOKUP(B429,'Player Data'!$A1:$AE734,14,FALSE)*$Q429</f>
        <v>0.0713520690961254</v>
      </c>
      <c r="AA429" s="48">
        <f>VLOOKUP(B429,'Player Data'!$A1:$AE734,15,FALSE)*$Q429</f>
        <v>15.077015139285</v>
      </c>
      <c r="AB429" s="48">
        <f>VLOOKUP(B429,'Player Data'!$A1:$AE734,16,FALSE)*$Q429</f>
        <v>30.6305772979077</v>
      </c>
      <c r="AC429" s="48">
        <f>VLOOKUP(B429,'Player Data'!$A1:$AE734,17,FALSE)*$Q429*_xlfn.IFERROR((VLOOKUP(P429,'Settings'!$E$28:$F$33,2,FALSE)+1),1)</f>
        <v>-2.73489376426263</v>
      </c>
      <c r="AD429" s="48">
        <f>VLOOKUP(B429,'Player Data'!$A1:$AE734,18,FALSE)*$Q429</f>
        <v>25.4669292144016</v>
      </c>
      <c r="AE429" s="48">
        <f>VLOOKUP(B429,'Player Data'!$A1:$AE734,19,FALSE)*$Q429*_xlfn.IFERROR((VLOOKUP(P429,'Settings'!$E$28:$F$33,2,FALSE)+1),1)</f>
        <v>1.67592638524633</v>
      </c>
      <c r="AF429" s="48">
        <f>VLOOKUP(B429,'Player Data'!$A1:$AE734,20,FALSE)*$Q429</f>
        <v>4.78083423750977</v>
      </c>
      <c r="AG429" s="48">
        <f>VLOOKUP(B429,'Player Data'!$A1:$AE734,21,FALSE)*$Q429</f>
        <v>4.04372503915674</v>
      </c>
      <c r="AH429" s="49">
        <f>VLOOKUP(B429,'Player Data'!$A1:$AE734,22,FALSE)</f>
        <v>0.541764646553061</v>
      </c>
      <c r="AI429" s="46"/>
      <c r="AJ429" s="50"/>
      <c r="AK429" s="48"/>
      <c r="AL429" s="48"/>
      <c r="AM429" s="48"/>
      <c r="AN429" s="48"/>
      <c r="AO429" s="48"/>
      <c r="AP429" s="48"/>
      <c r="AQ429" s="51"/>
      <c r="AR429" s="52"/>
      <c r="AS429" s="46"/>
    </row>
    <row r="430" ht="21.25" customHeight="1">
      <c r="A430" s="53">
        <f>RANK(K430,K2:K730)</f>
        <v>528</v>
      </c>
      <c r="B430" t="s" s="8">
        <v>582</v>
      </c>
      <c r="C430" t="s" s="39">
        <v>106</v>
      </c>
      <c r="D430" t="s" s="40">
        <f>VLOOKUP(B430,'Player Data'!A1:D734,4,FALSE)</f>
        <v>129</v>
      </c>
      <c r="E430" s="56">
        <f>VLOOKUP(B430,'D'!A1:C228,3,FALSE)</f>
        <v>183</v>
      </c>
      <c r="F430" t="s" s="42">
        <f>VLOOKUP(B430,'Player Data'!A1:B734,2,FALSE)</f>
        <v>136</v>
      </c>
      <c r="G430" s="9">
        <f>VLOOKUP(B430,'Player Data'!A1:D734,3,FALSE)</f>
        <v>23</v>
      </c>
      <c r="H430" s="43">
        <f>_xlfn.IFERROR(VLOOKUP(B430,'ADP'!A1:G731,7,FALSE)/1000000,VLOOKUP(B430,'ADP'!A1:G731,7,FALSE))</f>
        <v>0.925</v>
      </c>
      <c r="I430" s="44">
        <f>IF('Settings'!$E$15="POINTS",((R430*Q430)*'Settings'!$B$12)+(S430*'Settings'!$B$2)+(T430*'Settings'!$B$3)+(U430*'Settings'!$B$4)+(V430*'Settings'!$B$5)+(X430*'Settings'!$B$9)+(AA430*'Settings'!$B$6)+(W430*'Settings'!$B$8)+(AB430*'Settings'!$B$7)+(AC430*'Settings'!$B$14)+(AD430*'Settings'!$B$15)+(AE430*'Settings'!$B$16)+(AF430*'Settings'!$B$17)+(AG430*'Settings'!$B$18)+(U430*'Settings'!$B$13)+(Y430*'Settings'!$B$10)+(Z430*'Settings'!$B$11),VLOOKUP(B430,'Standard Deviations'!A1:C731,3,FALSE))</f>
        <v>149.996297985747</v>
      </c>
      <c r="J430" s="45">
        <f>IF(D430="G",I430/AJ430,I430/Q430)</f>
        <v>2.25940573128596</v>
      </c>
      <c r="K430" s="44">
        <f>VLOOKUP(B430,'D'!A1:F228,6,FALSE)</f>
        <v>-190.738840660776</v>
      </c>
      <c r="L430" s="44">
        <f>_xlfn.IFERROR(K430/H430,"N/A")</f>
        <v>-206.204152065704</v>
      </c>
      <c r="M430" t="s" s="61">
        <f>IF('Settings'!$E$9="YAHOO",VLOOKUP(B430,'ADP'!A1:E731,2,FALSE),IF('Settings'!$E$9="ESPN",VLOOKUP(B430,'ADP'!A1:E731,3,FALSE),IF('Settings'!$E$9="FANTRAX",VLOOKUP(B430,'ADP'!A1:E731,4,FALSE),VLOOKUP(B430,'ADP'!A1:E731,5,FALSE))))</f>
        <v>329</v>
      </c>
      <c r="N430" t="s" s="61">
        <f>_xlfn.IFERROR(M430-A430,"N/A")</f>
        <v>158</v>
      </c>
      <c r="O430" s="46"/>
      <c r="P430" t="s" s="47">
        <f>IF('Settings'!$E$27="ON",VLOOKUP(B430,'ADP'!A1:H731,8,FALSE)," ")</f>
        <v>109</v>
      </c>
      <c r="Q430" s="48">
        <f>IF('Settings'!$E$12="YES",VLOOKUP(B430,'Player Data'!A1:E734,5,FALSE),82)</f>
        <v>66.3875</v>
      </c>
      <c r="R430" s="46">
        <f>VLOOKUP(B430,'Player Data'!$A1:$AE734,6,FALSE)</f>
        <v>15.4451657787094</v>
      </c>
      <c r="S430" s="48">
        <f>VLOOKUP(B430,'Player Data'!$A1:$AE734,7,FALSE)*$Q430*_xlfn.IFERROR((VLOOKUP(P430,'Settings'!$E$28:$F$33,2,FALSE)+1),1)</f>
        <v>4.70072741143013</v>
      </c>
      <c r="T430" s="48">
        <f>VLOOKUP(B430,'Player Data'!$A1:$AE734,8,FALSE)*$Q430*_xlfn.IFERROR((VLOOKUP(P430,'Settings'!$E$28:$F$33,2,FALSE)+1),1)</f>
        <v>10.9168882036641</v>
      </c>
      <c r="U430" s="48">
        <f>SUM(S430:T430)</f>
        <v>15.6176156150942</v>
      </c>
      <c r="V430" s="48">
        <f>VLOOKUP(B430,'Player Data'!$A1:$AE734,10,FALSE)*$Q430*_xlfn.IFERROR(((VLOOKUP(P430,'Settings'!$E$28:$F$33,2,FALSE)/2)+1),1)</f>
        <v>90.2616271181584</v>
      </c>
      <c r="W430" s="48">
        <f>VLOOKUP(B430,'Player Data'!$A1:$AE734,11,FALSE)*$Q430*_xlfn.IFERROR((VLOOKUP(P430,'Settings'!$E$28:$F$33,2,FALSE)+1),1)</f>
        <v>0.471785848896463</v>
      </c>
      <c r="X430" s="48">
        <f>VLOOKUP(B430,'Player Data'!$A1:$AE734,12,FALSE)*$Q430*_xlfn.IFERROR((VLOOKUP(P430,'Settings'!$E$28:$F$33,2,FALSE)+1),1)</f>
        <v>1.55092783887574</v>
      </c>
      <c r="Y430" s="48">
        <f>VLOOKUP(B430,'Player Data'!$A1:$AE734,13,FALSE)*$Q430</f>
        <v>0.00235145922904894</v>
      </c>
      <c r="Z430" s="48">
        <f>VLOOKUP(B430,'Player Data'!$A1:$AE734,14,FALSE)*$Q430</f>
        <v>0.008838714051676929</v>
      </c>
      <c r="AA430" s="48">
        <f>VLOOKUP(B430,'Player Data'!$A1:$AE734,15,FALSE)*$Q430</f>
        <v>70.60446320000941</v>
      </c>
      <c r="AB430" s="48">
        <f>VLOOKUP(B430,'Player Data'!$A1:$AE734,16,FALSE)*$Q430</f>
        <v>62.5665497445258</v>
      </c>
      <c r="AC430" s="48">
        <f>VLOOKUP(B430,'Player Data'!$A1:$AE734,17,FALSE)*$Q430*_xlfn.IFERROR((VLOOKUP(P430,'Settings'!$E$28:$F$33,2,FALSE)+1),1)</f>
        <v>3.49323459642296</v>
      </c>
      <c r="AD430" s="48">
        <f>VLOOKUP(B430,'Player Data'!$A1:$AE734,18,FALSE)*$Q430</f>
        <v>22.991804397699</v>
      </c>
      <c r="AE430" s="48">
        <f>VLOOKUP(B430,'Player Data'!$A1:$AE734,19,FALSE)*$Q430*_xlfn.IFERROR((VLOOKUP(P430,'Settings'!$E$28:$F$33,2,FALSE)+1),1)</f>
        <v>0.752083062116204</v>
      </c>
      <c r="AF430" s="48">
        <f>VLOOKUP(B430,'Player Data'!$A1:$AE734,20,FALSE)*$Q430</f>
        <v>0</v>
      </c>
      <c r="AG430" s="48">
        <f>VLOOKUP(B430,'Player Data'!$A1:$AE734,21,FALSE)*$Q430</f>
        <v>0</v>
      </c>
      <c r="AH430" s="49">
        <f>VLOOKUP(B430,'Player Data'!$A1:$AE734,22,FALSE)</f>
        <v>0</v>
      </c>
      <c r="AI430" s="46"/>
      <c r="AJ430" s="50"/>
      <c r="AK430" s="48"/>
      <c r="AL430" s="48"/>
      <c r="AM430" s="48"/>
      <c r="AN430" s="48"/>
      <c r="AO430" s="48"/>
      <c r="AP430" s="48"/>
      <c r="AQ430" s="51"/>
      <c r="AR430" s="52"/>
      <c r="AS430" s="46"/>
    </row>
    <row r="431" ht="21.25" customHeight="1">
      <c r="A431" s="53">
        <f>RANK(K431,K2:K730)</f>
        <v>527</v>
      </c>
      <c r="B431" t="s" s="8">
        <v>583</v>
      </c>
      <c r="C431" t="s" s="39">
        <v>106</v>
      </c>
      <c r="D431" t="s" s="40">
        <f>VLOOKUP(B431,'Player Data'!A1:D734,4,FALSE)</f>
        <v>129</v>
      </c>
      <c r="E431" s="56">
        <f>VLOOKUP(B431,'D'!A1:C228,3,FALSE)</f>
        <v>182</v>
      </c>
      <c r="F431" t="s" s="42">
        <f>VLOOKUP(B431,'Player Data'!A1:B734,2,FALSE)</f>
        <v>194</v>
      </c>
      <c r="G431" s="9">
        <f>VLOOKUP(B431,'Player Data'!A1:D734,3,FALSE)</f>
        <v>29</v>
      </c>
      <c r="H431" s="43">
        <f>_xlfn.IFERROR(VLOOKUP(B431,'ADP'!A1:G731,7,FALSE)/1000000,VLOOKUP(B431,'ADP'!A1:G731,7,FALSE))</f>
        <v>0.7625</v>
      </c>
      <c r="I431" s="44">
        <f>IF('Settings'!$E$15="POINTS",((R431*Q431)*'Settings'!$B$12)+(S431*'Settings'!$B$2)+(T431*'Settings'!$B$3)+(U431*'Settings'!$B$4)+(V431*'Settings'!$B$5)+(X431*'Settings'!$B$9)+(AA431*'Settings'!$B$6)+(W431*'Settings'!$B$8)+(AB431*'Settings'!$B$7)+(AC431*'Settings'!$B$14)+(AD431*'Settings'!$B$15)+(AE431*'Settings'!$B$16)+(AF431*'Settings'!$B$17)+(AG431*'Settings'!$B$18)+(U431*'Settings'!$B$13)+(Y431*'Settings'!$B$10)+(Z431*'Settings'!$B$11),VLOOKUP(B431,'Standard Deviations'!A1:C731,3,FALSE))</f>
        <v>150.481150562695</v>
      </c>
      <c r="J431" s="45">
        <f>IF(D431="G",I431/AJ431,I431/Q431)</f>
        <v>2.42047853567147</v>
      </c>
      <c r="K431" s="44">
        <f>VLOOKUP(B431,'D'!A1:F228,6,FALSE)</f>
        <v>-190.253988083828</v>
      </c>
      <c r="L431" s="44">
        <f>_xlfn.IFERROR(K431/H431,"N/A")</f>
        <v>-249.513426995184</v>
      </c>
      <c r="M431" t="s" s="61">
        <f>IF('Settings'!$E$9="YAHOO",VLOOKUP(B431,'ADP'!A1:E731,2,FALSE),IF('Settings'!$E$9="ESPN",VLOOKUP(B431,'ADP'!A1:E731,3,FALSE),IF('Settings'!$E$9="FANTRAX",VLOOKUP(B431,'ADP'!A1:E731,4,FALSE),VLOOKUP(B431,'ADP'!A1:E731,5,FALSE))))</f>
        <v>329</v>
      </c>
      <c r="N431" t="s" s="61">
        <f>_xlfn.IFERROR(M431-A431,"N/A")</f>
        <v>158</v>
      </c>
      <c r="O431" s="46"/>
      <c r="P431" t="s" s="47">
        <f>IF('Settings'!$E$27="ON",VLOOKUP(B431,'ADP'!A1:H731,8,FALSE)," ")</f>
        <v>109</v>
      </c>
      <c r="Q431" s="48">
        <f>IF('Settings'!$E$12="YES",VLOOKUP(B431,'Player Data'!A1:E734,5,FALSE),82)</f>
        <v>62.17</v>
      </c>
      <c r="R431" s="46">
        <f>VLOOKUP(B431,'Player Data'!$A1:$AE734,6,FALSE)</f>
        <v>15.495330844450</v>
      </c>
      <c r="S431" s="48">
        <f>VLOOKUP(B431,'Player Data'!$A1:$AE734,7,FALSE)*$Q431*_xlfn.IFERROR((VLOOKUP(P431,'Settings'!$E$28:$F$33,2,FALSE)+1),1)</f>
        <v>6.74521371666448</v>
      </c>
      <c r="T431" s="48">
        <f>VLOOKUP(B431,'Player Data'!$A1:$AE734,8,FALSE)*$Q431*_xlfn.IFERROR((VLOOKUP(P431,'Settings'!$E$28:$F$33,2,FALSE)+1),1)</f>
        <v>12.6474443624729</v>
      </c>
      <c r="U431" s="48">
        <f>SUM(S431:T431)</f>
        <v>19.3926580791374</v>
      </c>
      <c r="V431" s="48">
        <f>VLOOKUP(B431,'Player Data'!$A1:$AE734,10,FALSE)*$Q431*_xlfn.IFERROR(((VLOOKUP(P431,'Settings'!$E$28:$F$33,2,FALSE)/2)+1),1)</f>
        <v>74.03589470224171</v>
      </c>
      <c r="W431" s="48">
        <f>VLOOKUP(B431,'Player Data'!$A1:$AE734,11,FALSE)*$Q431*_xlfn.IFERROR((VLOOKUP(P431,'Settings'!$E$28:$F$33,2,FALSE)+1),1)</f>
        <v>0.0162391490690592</v>
      </c>
      <c r="X431" s="48">
        <f>VLOOKUP(B431,'Player Data'!$A1:$AE734,12,FALSE)*$Q431*_xlfn.IFERROR((VLOOKUP(P431,'Settings'!$E$28:$F$33,2,FALSE)+1),1)</f>
        <v>0.110435988728849</v>
      </c>
      <c r="Y431" s="48">
        <f>VLOOKUP(B431,'Player Data'!$A1:$AE734,13,FALSE)*$Q431</f>
        <v>0.0349048821620911</v>
      </c>
      <c r="Z431" s="48">
        <f>VLOOKUP(B431,'Player Data'!$A1:$AE734,14,FALSE)*$Q431</f>
        <v>0.129738109290734</v>
      </c>
      <c r="AA431" s="48">
        <f>VLOOKUP(B431,'Player Data'!$A1:$AE734,15,FALSE)*$Q431</f>
        <v>68.0547941966674</v>
      </c>
      <c r="AB431" s="48">
        <f>VLOOKUP(B431,'Player Data'!$A1:$AE734,16,FALSE)*$Q431</f>
        <v>43.5221403289996</v>
      </c>
      <c r="AC431" s="48">
        <f>VLOOKUP(B431,'Player Data'!$A1:$AE734,17,FALSE)*$Q431*_xlfn.IFERROR((VLOOKUP(P431,'Settings'!$E$28:$F$33,2,FALSE)+1),1)</f>
        <v>-1.61284475998698</v>
      </c>
      <c r="AD431" s="48">
        <f>VLOOKUP(B431,'Player Data'!$A1:$AE734,18,FALSE)*$Q431</f>
        <v>15.9415638153576</v>
      </c>
      <c r="AE431" s="48">
        <f>VLOOKUP(B431,'Player Data'!$A1:$AE734,19,FALSE)*$Q431*_xlfn.IFERROR((VLOOKUP(P431,'Settings'!$E$28:$F$33,2,FALSE)+1),1)</f>
        <v>0.776190168034496</v>
      </c>
      <c r="AF431" s="48">
        <f>VLOOKUP(B431,'Player Data'!$A1:$AE734,20,FALSE)*$Q431</f>
        <v>0</v>
      </c>
      <c r="AG431" s="48">
        <f>VLOOKUP(B431,'Player Data'!$A1:$AE734,21,FALSE)*$Q431</f>
        <v>0</v>
      </c>
      <c r="AH431" s="49">
        <f>VLOOKUP(B431,'Player Data'!$A1:$AE734,22,FALSE)</f>
        <v>0</v>
      </c>
      <c r="AI431" s="46"/>
      <c r="AJ431" s="50"/>
      <c r="AK431" s="48"/>
      <c r="AL431" s="48"/>
      <c r="AM431" s="48"/>
      <c r="AN431" s="48"/>
      <c r="AO431" s="48"/>
      <c r="AP431" s="48"/>
      <c r="AQ431" s="51"/>
      <c r="AR431" s="52"/>
      <c r="AS431" s="46"/>
    </row>
    <row r="432" ht="21.25" customHeight="1">
      <c r="A432" s="53">
        <f>RANK(K432,K2:K730)</f>
        <v>411</v>
      </c>
      <c r="B432" t="s" s="8">
        <v>584</v>
      </c>
      <c r="C432" t="s" s="39">
        <v>106</v>
      </c>
      <c r="D432" t="s" s="40">
        <f>VLOOKUP(B432,'Player Data'!A1:D734,4,FALSE)</f>
        <v>107</v>
      </c>
      <c r="E432" s="41">
        <f>VLOOKUP(B432,'C'!A1:C218,3,FALSE)</f>
        <v>103</v>
      </c>
      <c r="F432" t="s" s="42">
        <f>VLOOKUP(B432,'Player Data'!A1:B734,2,FALSE)</f>
        <v>238</v>
      </c>
      <c r="G432" s="9">
        <f>VLOOKUP(B432,'Player Data'!A1:D734,3,FALSE)</f>
        <v>25</v>
      </c>
      <c r="H432" s="43">
        <f>_xlfn.IFERROR(VLOOKUP(B432,'ADP'!A1:G731,7,FALSE)/1000000,VLOOKUP(B432,'ADP'!A1:G731,7,FALSE))</f>
        <v>3.1</v>
      </c>
      <c r="I432" s="44">
        <f>IF('Settings'!$E$15="POINTS",((R432*Q432)*'Settings'!$B$12)+(S432*'Settings'!$B$2)+(T432*'Settings'!$B$3)+(U432*'Settings'!$B$4)+(V432*'Settings'!$B$5)+(X432*'Settings'!$B$9)+(AA432*'Settings'!$B$6)+(W432*'Settings'!$B$8)+(AB432*'Settings'!$B$7)+(AC432*'Settings'!$B$14)+(AD432*'Settings'!$B$15)+(AE432*'Settings'!$B$16)+(AF432*'Settings'!$B$17)+(AG432*'Settings'!$B$18)+(Y432*'Settings'!$B$10)+(Z432*'Settings'!$B$11),VLOOKUP(B432,'Standard Deviations'!A1:C731,3,FALSE))</f>
        <v>241.235433485918</v>
      </c>
      <c r="J432" s="45">
        <f>IF(D432="G",I432/AJ432,I432/Q432)</f>
        <v>3.02794671639839</v>
      </c>
      <c r="K432" s="44">
        <f>IF('Settings'!$E$18="C/LW/RW",VLOOKUP(B432,'C'!A1:F218,6,FALSE),VLOOKUP(B432,'F'!A1:F432,6,FALSE))</f>
        <v>-154.538768150097</v>
      </c>
      <c r="L432" s="44">
        <f>_xlfn.IFERROR(K432/H432,"N/A")</f>
        <v>-49.8512155322894</v>
      </c>
      <c r="M432" s="46">
        <f>IF('Settings'!$E$9="YAHOO",VLOOKUP(B432,'ADP'!A1:E731,2,FALSE),IF('Settings'!$E$9="ESPN",VLOOKUP(B432,'ADP'!A1:E731,3,FALSE),IF('Settings'!$E$9="FANTRAX",VLOOKUP(B432,'ADP'!A1:E731,4,FALSE),VLOOKUP(B432,'ADP'!A1:E731,5,FALSE))))</f>
        <v>223.67</v>
      </c>
      <c r="N432" s="46">
        <f>_xlfn.IFERROR(M432-A432,"N/A")</f>
        <v>-187.33</v>
      </c>
      <c r="O432" s="46"/>
      <c r="P432" t="s" s="47">
        <f>IF('Settings'!$E$27="ON",VLOOKUP(B432,'ADP'!A1:H731,8,FALSE)," ")</f>
        <v>109</v>
      </c>
      <c r="Q432" s="48">
        <f>IF('Settings'!$E$12="YES",VLOOKUP(B432,'Player Data'!A1:E734,5,FALSE),82)</f>
        <v>79.6696428571429</v>
      </c>
      <c r="R432" s="46">
        <f>VLOOKUP(B432,'Player Data'!$A1:$AE734,6,FALSE)</f>
        <v>14.4639964659553</v>
      </c>
      <c r="S432" s="48">
        <f>VLOOKUP(B432,'Player Data'!$A1:$AE734,7,FALSE)*$Q432*_xlfn.IFERROR((VLOOKUP(P432,'Settings'!$E$28:$F$33,2,FALSE)+1),1)</f>
        <v>17.2562973682782</v>
      </c>
      <c r="T432" s="48">
        <f>VLOOKUP(B432,'Player Data'!$A1:$AE734,8,FALSE)*$Q432*_xlfn.IFERROR((VLOOKUP(P432,'Settings'!$E$28:$F$33,2,FALSE)+1),1)</f>
        <v>19.2170600073942</v>
      </c>
      <c r="U432" s="48">
        <f>SUM(S432:T432)</f>
        <v>36.4733573756724</v>
      </c>
      <c r="V432" s="48">
        <f>VLOOKUP(B432,'Player Data'!$A1:$AE734,10,FALSE)*$Q432*_xlfn.IFERROR(((VLOOKUP(P432,'Settings'!$E$28:$F$33,2,FALSE)/2)+1),1)</f>
        <v>141.900567745539</v>
      </c>
      <c r="W432" s="48">
        <f>VLOOKUP(B432,'Player Data'!$A1:$AE734,11,FALSE)*$Q432*_xlfn.IFERROR((VLOOKUP(P432,'Settings'!$E$28:$F$33,2,FALSE)+1),1)</f>
        <v>0.0850452132940874</v>
      </c>
      <c r="X432" s="48">
        <f>VLOOKUP(B432,'Player Data'!$A1:$AE734,12,FALSE)*$Q432*_xlfn.IFERROR((VLOOKUP(P432,'Settings'!$E$28:$F$33,2,FALSE)+1),1)</f>
        <v>0.165903842897684</v>
      </c>
      <c r="Y432" s="48">
        <f>VLOOKUP(B432,'Player Data'!$A1:$AE734,13,FALSE)*$Q432</f>
        <v>2.03781722575426</v>
      </c>
      <c r="Z432" s="48">
        <f>VLOOKUP(B432,'Player Data'!$A1:$AE734,14,FALSE)*$Q432</f>
        <v>3.50623136278644</v>
      </c>
      <c r="AA432" s="48">
        <f>VLOOKUP(B432,'Player Data'!$A1:$AE734,15,FALSE)*$Q432</f>
        <v>39.5138043020152</v>
      </c>
      <c r="AB432" s="48">
        <f>VLOOKUP(B432,'Player Data'!$A1:$AE734,16,FALSE)*$Q432</f>
        <v>32.8450662285335</v>
      </c>
      <c r="AC432" s="48">
        <f>VLOOKUP(B432,'Player Data'!$A1:$AE734,17,FALSE)*$Q432*_xlfn.IFERROR((VLOOKUP(P432,'Settings'!$E$28:$F$33,2,FALSE)+1),1)</f>
        <v>-0.127566825285475</v>
      </c>
      <c r="AD432" s="48">
        <f>VLOOKUP(B432,'Player Data'!$A1:$AE734,18,FALSE)*$Q432</f>
        <v>15.6703891228451</v>
      </c>
      <c r="AE432" s="48">
        <f>VLOOKUP(B432,'Player Data'!$A1:$AE734,19,FALSE)*$Q432*_xlfn.IFERROR((VLOOKUP(P432,'Settings'!$E$28:$F$33,2,FALSE)+1),1)</f>
        <v>2.88349709276512</v>
      </c>
      <c r="AF432" s="48">
        <f>VLOOKUP(B432,'Player Data'!$A1:$AE734,20,FALSE)*$Q432</f>
        <v>37.8041143864462</v>
      </c>
      <c r="AG432" s="48">
        <f>VLOOKUP(B432,'Player Data'!$A1:$AE734,21,FALSE)*$Q432</f>
        <v>70.4161603942909</v>
      </c>
      <c r="AH432" s="49">
        <f>VLOOKUP(B432,'Player Data'!$A1:$AE734,22,FALSE)</f>
        <v>0.349325618171275</v>
      </c>
      <c r="AI432" s="46"/>
      <c r="AJ432" s="50"/>
      <c r="AK432" s="48"/>
      <c r="AL432" s="48"/>
      <c r="AM432" s="48"/>
      <c r="AN432" s="48"/>
      <c r="AO432" s="48"/>
      <c r="AP432" s="48"/>
      <c r="AQ432" s="51"/>
      <c r="AR432" s="52"/>
      <c r="AS432" s="46"/>
    </row>
    <row r="433" ht="21.25" customHeight="1">
      <c r="A433" s="53">
        <f>RANK(K433,K2:K730)</f>
        <v>487</v>
      </c>
      <c r="B433" t="s" s="8">
        <v>585</v>
      </c>
      <c r="C433" t="s" s="39">
        <v>106</v>
      </c>
      <c r="D433" t="s" s="40">
        <f>VLOOKUP(B433,'Player Data'!A1:D734,4,FALSE)</f>
        <v>129</v>
      </c>
      <c r="E433" s="56">
        <f>VLOOKUP(B433,'D'!A1:C228,3,FALSE)</f>
        <v>171</v>
      </c>
      <c r="F433" t="s" s="42">
        <f>VLOOKUP(B433,'Player Data'!A1:B734,2,FALSE)</f>
        <v>141</v>
      </c>
      <c r="G433" s="9">
        <f>VLOOKUP(B433,'Player Data'!A1:D734,3,FALSE)</f>
        <v>36</v>
      </c>
      <c r="H433" s="43">
        <f>_xlfn.IFERROR(VLOOKUP(B433,'ADP'!A1:G731,7,FALSE)/1000000,VLOOKUP(B433,'ADP'!A1:G731,7,FALSE))</f>
        <v>7</v>
      </c>
      <c r="I433" s="44">
        <f>IF('Settings'!$E$15="POINTS",((R433*Q433)*'Settings'!$B$12)+(S433*'Settings'!$B$2)+(T433*'Settings'!$B$3)+(U433*'Settings'!$B$4)+(V433*'Settings'!$B$5)+(X433*'Settings'!$B$9)+(AA433*'Settings'!$B$6)+(W433*'Settings'!$B$8)+(AB433*'Settings'!$B$7)+(AC433*'Settings'!$B$14)+(AD433*'Settings'!$B$15)+(AE433*'Settings'!$B$16)+(AF433*'Settings'!$B$17)+(AG433*'Settings'!$B$18)+(U433*'Settings'!$B$13)+(Y433*'Settings'!$B$10)+(Z433*'Settings'!$B$11),VLOOKUP(B433,'Standard Deviations'!A1:C731,3,FALSE))</f>
        <v>162.580732324475</v>
      </c>
      <c r="J433" s="45">
        <f>IF(D433="G",I433/AJ433,I433/Q433)</f>
        <v>2.06320726300095</v>
      </c>
      <c r="K433" s="44">
        <f>VLOOKUP(B433,'D'!A1:F228,6,FALSE)</f>
        <v>-178.154406322048</v>
      </c>
      <c r="L433" s="44">
        <f>_xlfn.IFERROR(K433/H433,"N/A")</f>
        <v>-25.4506294745783</v>
      </c>
      <c r="M433" t="s" s="61">
        <f>IF('Settings'!$E$9="YAHOO",VLOOKUP(B433,'ADP'!A1:E731,2,FALSE),IF('Settings'!$E$9="ESPN",VLOOKUP(B433,'ADP'!A1:E731,3,FALSE),IF('Settings'!$E$9="FANTRAX",VLOOKUP(B433,'ADP'!A1:E731,4,FALSE),VLOOKUP(B433,'ADP'!A1:E731,5,FALSE))))</f>
        <v>329</v>
      </c>
      <c r="N433" t="s" s="61">
        <f>_xlfn.IFERROR(M433-A433,"N/A")</f>
        <v>158</v>
      </c>
      <c r="O433" s="46"/>
      <c r="P433" t="s" s="47">
        <f>IF('Settings'!$E$27="ON",VLOOKUP(B433,'ADP'!A1:H731,8,FALSE)," ")</f>
        <v>109</v>
      </c>
      <c r="Q433" s="48">
        <f>IF('Settings'!$E$12="YES",VLOOKUP(B433,'Player Data'!A1:E734,5,FALSE),82)</f>
        <v>78.8</v>
      </c>
      <c r="R433" s="46">
        <f>VLOOKUP(B433,'Player Data'!$A1:$AE734,6,FALSE)</f>
        <v>19.1200104540265</v>
      </c>
      <c r="S433" s="48">
        <f>VLOOKUP(B433,'Player Data'!$A1:$AE734,7,FALSE)*$Q433*_xlfn.IFERROR((VLOOKUP(P433,'Settings'!$E$28:$F$33,2,FALSE)+1),1)</f>
        <v>1.6102814469861</v>
      </c>
      <c r="T433" s="48">
        <f>VLOOKUP(B433,'Player Data'!$A1:$AE734,8,FALSE)*$Q433*_xlfn.IFERROR((VLOOKUP(P433,'Settings'!$E$28:$F$33,2,FALSE)+1),1)</f>
        <v>13.7979307891608</v>
      </c>
      <c r="U433" s="48">
        <f>SUM(S433:T433)</f>
        <v>15.4082122361469</v>
      </c>
      <c r="V433" s="48">
        <f>VLOOKUP(B433,'Player Data'!$A1:$AE734,10,FALSE)*$Q433*_xlfn.IFERROR(((VLOOKUP(P433,'Settings'!$E$28:$F$33,2,FALSE)/2)+1),1)</f>
        <v>75.02404827065681</v>
      </c>
      <c r="W433" s="48">
        <f>VLOOKUP(B433,'Player Data'!$A1:$AE734,11,FALSE)*$Q433*_xlfn.IFERROR((VLOOKUP(P433,'Settings'!$E$28:$F$33,2,FALSE)+1),1)</f>
        <v>0.0416592372863455</v>
      </c>
      <c r="X433" s="48">
        <f>VLOOKUP(B433,'Player Data'!$A1:$AE734,12,FALSE)*$Q433*_xlfn.IFERROR((VLOOKUP(P433,'Settings'!$E$28:$F$33,2,FALSE)+1),1)</f>
        <v>0.173916079776984</v>
      </c>
      <c r="Y433" s="48">
        <f>VLOOKUP(B433,'Player Data'!$A1:$AE734,13,FALSE)*$Q433</f>
        <v>0.0193795827710147</v>
      </c>
      <c r="Z433" s="48">
        <f>VLOOKUP(B433,'Player Data'!$A1:$AE734,14,FALSE)*$Q433</f>
        <v>0.135744192450052</v>
      </c>
      <c r="AA433" s="48">
        <f>VLOOKUP(B433,'Player Data'!$A1:$AE734,15,FALSE)*$Q433</f>
        <v>118.623433504786</v>
      </c>
      <c r="AB433" s="48">
        <f>VLOOKUP(B433,'Player Data'!$A1:$AE734,16,FALSE)*$Q433</f>
        <v>67.3817766917327</v>
      </c>
      <c r="AC433" s="48">
        <f>VLOOKUP(B433,'Player Data'!$A1:$AE734,17,FALSE)*$Q433*_xlfn.IFERROR((VLOOKUP(P433,'Settings'!$E$28:$F$33,2,FALSE)+1),1)</f>
        <v>-0.625031873630124</v>
      </c>
      <c r="AD433" s="48">
        <f>VLOOKUP(B433,'Player Data'!$A1:$AE734,18,FALSE)*$Q433</f>
        <v>17.4077340677791</v>
      </c>
      <c r="AE433" s="48">
        <f>VLOOKUP(B433,'Player Data'!$A1:$AE734,19,FALSE)*$Q433*_xlfn.IFERROR((VLOOKUP(P433,'Settings'!$E$28:$F$33,2,FALSE)+1),1)</f>
        <v>0.199925707884505</v>
      </c>
      <c r="AF433" s="48">
        <f>VLOOKUP(B433,'Player Data'!$A1:$AE734,20,FALSE)*$Q433</f>
        <v>0</v>
      </c>
      <c r="AG433" s="48">
        <f>VLOOKUP(B433,'Player Data'!$A1:$AE734,21,FALSE)*$Q433</f>
        <v>0</v>
      </c>
      <c r="AH433" s="49">
        <f>VLOOKUP(B433,'Player Data'!$A1:$AE734,22,FALSE)</f>
        <v>0</v>
      </c>
      <c r="AI433" s="46"/>
      <c r="AJ433" s="50"/>
      <c r="AK433" s="48"/>
      <c r="AL433" s="48"/>
      <c r="AM433" s="48"/>
      <c r="AN433" s="48"/>
      <c r="AO433" s="48"/>
      <c r="AP433" s="48"/>
      <c r="AQ433" s="51"/>
      <c r="AR433" s="52"/>
      <c r="AS433" s="46"/>
    </row>
    <row r="434" ht="21.25" customHeight="1">
      <c r="A434" s="53">
        <f>RANK(K434,K2:K730)</f>
        <v>448</v>
      </c>
      <c r="B434" t="s" s="8">
        <v>586</v>
      </c>
      <c r="C434" t="s" s="39">
        <v>106</v>
      </c>
      <c r="D434" t="s" s="40">
        <f>VLOOKUP(B434,'Player Data'!A1:D734,4,FALSE)</f>
        <v>129</v>
      </c>
      <c r="E434" s="56">
        <f>VLOOKUP(B434,'D'!A1:C228,3,FALSE)</f>
        <v>158</v>
      </c>
      <c r="F434" t="s" s="42">
        <f>VLOOKUP(B434,'Player Data'!A1:B734,2,FALSE)</f>
        <v>151</v>
      </c>
      <c r="G434" s="9">
        <f>VLOOKUP(B434,'Player Data'!A1:D734,3,FALSE)</f>
        <v>21</v>
      </c>
      <c r="H434" s="43">
        <f>_xlfn.IFERROR(VLOOKUP(B434,'ADP'!A1:G731,7,FALSE)/1000000,VLOOKUP(B434,'ADP'!A1:G731,7,FALSE))</f>
        <v>0.925</v>
      </c>
      <c r="I434" s="44">
        <f>IF('Settings'!$E$15="POINTS",((R434*Q434)*'Settings'!$B$12)+(S434*'Settings'!$B$2)+(T434*'Settings'!$B$3)+(U434*'Settings'!$B$4)+(V434*'Settings'!$B$5)+(X434*'Settings'!$B$9)+(AA434*'Settings'!$B$6)+(W434*'Settings'!$B$8)+(AB434*'Settings'!$B$7)+(AC434*'Settings'!$B$14)+(AD434*'Settings'!$B$15)+(AE434*'Settings'!$B$16)+(AF434*'Settings'!$B$17)+(AG434*'Settings'!$B$18)+(U434*'Settings'!$B$13)+(Y434*'Settings'!$B$10)+(Z434*'Settings'!$B$11),VLOOKUP(B434,'Standard Deviations'!A1:C731,3,FALSE))</f>
        <v>174.261307159282</v>
      </c>
      <c r="J434" s="45">
        <f>IF(D434="G",I434/AJ434,I434/Q434)</f>
        <v>2.4105866255261</v>
      </c>
      <c r="K434" s="44">
        <f>VLOOKUP(B434,'D'!A1:F228,6,FALSE)</f>
        <v>-166.473831487241</v>
      </c>
      <c r="L434" s="44">
        <f>_xlfn.IFERROR(K434/H434,"N/A")</f>
        <v>-179.971709715936</v>
      </c>
      <c r="M434" t="s" s="61">
        <f>IF('Settings'!$E$9="YAHOO",VLOOKUP(B434,'ADP'!A1:E731,2,FALSE),IF('Settings'!$E$9="ESPN",VLOOKUP(B434,'ADP'!A1:E731,3,FALSE),IF('Settings'!$E$9="FANTRAX",VLOOKUP(B434,'ADP'!A1:E731,4,FALSE),VLOOKUP(B434,'ADP'!A1:E731,5,FALSE))))</f>
        <v>329</v>
      </c>
      <c r="N434" t="s" s="61">
        <f>_xlfn.IFERROR(M434-A434,"N/A")</f>
        <v>158</v>
      </c>
      <c r="O434" s="46"/>
      <c r="P434" t="s" s="47">
        <f>IF('Settings'!$E$27="ON",VLOOKUP(B434,'ADP'!A1:H731,8,FALSE)," ")</f>
        <v>109</v>
      </c>
      <c r="Q434" s="48">
        <f>IF('Settings'!$E$12="YES",VLOOKUP(B434,'Player Data'!A1:E734,5,FALSE),82)</f>
        <v>72.29000000000001</v>
      </c>
      <c r="R434" s="46">
        <f>VLOOKUP(B434,'Player Data'!$A1:$AE734,6,FALSE)</f>
        <v>15.7607254043516</v>
      </c>
      <c r="S434" s="48">
        <f>VLOOKUP(B434,'Player Data'!$A1:$AE734,7,FALSE)*$Q434*_xlfn.IFERROR((VLOOKUP(P434,'Settings'!$E$28:$F$33,2,FALSE)+1),1)</f>
        <v>4.2806253464363</v>
      </c>
      <c r="T434" s="48">
        <f>VLOOKUP(B434,'Player Data'!$A1:$AE734,8,FALSE)*$Q434*_xlfn.IFERROR((VLOOKUP(P434,'Settings'!$E$28:$F$33,2,FALSE)+1),1)</f>
        <v>13.2194280449985</v>
      </c>
      <c r="U434" s="48">
        <f>SUM(S434:T434)</f>
        <v>17.5000533914348</v>
      </c>
      <c r="V434" s="48">
        <f>VLOOKUP(B434,'Player Data'!$A1:$AE734,10,FALSE)*$Q434*_xlfn.IFERROR(((VLOOKUP(P434,'Settings'!$E$28:$F$33,2,FALSE)/2)+1),1)</f>
        <v>67.58080257456881</v>
      </c>
      <c r="W434" s="48">
        <f>VLOOKUP(B434,'Player Data'!$A1:$AE734,11,FALSE)*$Q434*_xlfn.IFERROR((VLOOKUP(P434,'Settings'!$E$28:$F$33,2,FALSE)+1),1)</f>
        <v>0.0232404835825019</v>
      </c>
      <c r="X434" s="48">
        <f>VLOOKUP(B434,'Player Data'!$A1:$AE734,12,FALSE)*$Q434*_xlfn.IFERROR((VLOOKUP(P434,'Settings'!$E$28:$F$33,2,FALSE)+1),1)</f>
        <v>0.212216522460185</v>
      </c>
      <c r="Y434" s="48">
        <f>VLOOKUP(B434,'Player Data'!$A1:$AE734,13,FALSE)*$Q434</f>
        <v>0.0289717544675183</v>
      </c>
      <c r="Z434" s="48">
        <f>VLOOKUP(B434,'Player Data'!$A1:$AE734,14,FALSE)*$Q434</f>
        <v>0.107980397903117</v>
      </c>
      <c r="AA434" s="48">
        <f>VLOOKUP(B434,'Player Data'!$A1:$AE734,15,FALSE)*$Q434</f>
        <v>104.118406648992</v>
      </c>
      <c r="AB434" s="48">
        <f>VLOOKUP(B434,'Player Data'!$A1:$AE734,16,FALSE)*$Q434</f>
        <v>117.098574230945</v>
      </c>
      <c r="AC434" s="48">
        <f>VLOOKUP(B434,'Player Data'!$A1:$AE734,17,FALSE)*$Q434*_xlfn.IFERROR((VLOOKUP(P434,'Settings'!$E$28:$F$33,2,FALSE)+1),1)</f>
        <v>3.20203256404293</v>
      </c>
      <c r="AD434" s="48">
        <f>VLOOKUP(B434,'Player Data'!$A1:$AE734,18,FALSE)*$Q434</f>
        <v>19.7275267439085</v>
      </c>
      <c r="AE434" s="48">
        <f>VLOOKUP(B434,'Player Data'!$A1:$AE734,19,FALSE)*$Q434*_xlfn.IFERROR((VLOOKUP(P434,'Settings'!$E$28:$F$33,2,FALSE)+1),1)</f>
        <v>0.72941056550654</v>
      </c>
      <c r="AF434" s="48">
        <f>VLOOKUP(B434,'Player Data'!$A1:$AE734,20,FALSE)*$Q434</f>
        <v>0</v>
      </c>
      <c r="AG434" s="48">
        <f>VLOOKUP(B434,'Player Data'!$A1:$AE734,21,FALSE)*$Q434</f>
        <v>0</v>
      </c>
      <c r="AH434" s="49">
        <f>VLOOKUP(B434,'Player Data'!$A1:$AE734,22,FALSE)</f>
        <v>0</v>
      </c>
      <c r="AI434" s="46"/>
      <c r="AJ434" s="50"/>
      <c r="AK434" s="48"/>
      <c r="AL434" s="48"/>
      <c r="AM434" s="48"/>
      <c r="AN434" s="48"/>
      <c r="AO434" s="48"/>
      <c r="AP434" s="48"/>
      <c r="AQ434" s="51"/>
      <c r="AR434" s="52"/>
      <c r="AS434" s="46"/>
    </row>
    <row r="435" ht="21.25" customHeight="1">
      <c r="A435" s="53">
        <f>RANK(K435,K2:K730)</f>
        <v>488</v>
      </c>
      <c r="B435" t="s" s="8">
        <v>587</v>
      </c>
      <c r="C435" t="s" s="39">
        <v>106</v>
      </c>
      <c r="D435" t="s" s="40">
        <f>VLOOKUP(B435,'Player Data'!A1:D734,4,FALSE)</f>
        <v>107</v>
      </c>
      <c r="E435" s="41">
        <f>VLOOKUP(B435,'C'!A1:C218,3,FALSE)</f>
        <v>125</v>
      </c>
      <c r="F435" t="s" s="42">
        <f>VLOOKUP(B435,'Player Data'!A1:B734,2,FALSE)</f>
        <v>225</v>
      </c>
      <c r="G435" s="9">
        <f>VLOOKUP(B435,'Player Data'!A1:D734,3,FALSE)</f>
        <v>33</v>
      </c>
      <c r="H435" s="43">
        <f>_xlfn.IFERROR(VLOOKUP(B435,'ADP'!A1:G731,7,FALSE)/1000000,VLOOKUP(B435,'ADP'!A1:G731,7,FALSE))</f>
        <v>5</v>
      </c>
      <c r="I435" s="44">
        <f>IF('Settings'!$E$15="POINTS",((R435*Q435)*'Settings'!$B$12)+(S435*'Settings'!$B$2)+(T435*'Settings'!$B$3)+(U435*'Settings'!$B$4)+(V435*'Settings'!$B$5)+(X435*'Settings'!$B$9)+(AA435*'Settings'!$B$6)+(W435*'Settings'!$B$8)+(AB435*'Settings'!$B$7)+(AC435*'Settings'!$B$14)+(AD435*'Settings'!$B$15)+(AE435*'Settings'!$B$16)+(AF435*'Settings'!$B$17)+(AG435*'Settings'!$B$18)+(Y435*'Settings'!$B$10)+(Z435*'Settings'!$B$11),VLOOKUP(B435,'Standard Deviations'!A1:C731,3,FALSE))</f>
        <v>217.179055887973</v>
      </c>
      <c r="J435" s="45">
        <f>IF(D435="G",I435/AJ435,I435/Q435)</f>
        <v>3.12179841310898</v>
      </c>
      <c r="K435" s="44">
        <f>IF('Settings'!$E$18="C/LW/RW",VLOOKUP(B435,'C'!A1:F218,6,FALSE),VLOOKUP(B435,'F'!A1:F432,6,FALSE))</f>
        <v>-178.595145748042</v>
      </c>
      <c r="L435" s="44">
        <f>_xlfn.IFERROR(K435/H435,"N/A")</f>
        <v>-35.7190291496084</v>
      </c>
      <c r="M435" t="s" s="61">
        <f>IF('Settings'!$E$9="YAHOO",VLOOKUP(B435,'ADP'!A1:E731,2,FALSE),IF('Settings'!$E$9="ESPN",VLOOKUP(B435,'ADP'!A1:E731,3,FALSE),IF('Settings'!$E$9="FANTRAX",VLOOKUP(B435,'ADP'!A1:E731,4,FALSE),VLOOKUP(B435,'ADP'!A1:E731,5,FALSE))))</f>
        <v>329</v>
      </c>
      <c r="N435" t="s" s="61">
        <f>_xlfn.IFERROR(M435-A435,"N/A")</f>
        <v>158</v>
      </c>
      <c r="O435" s="46"/>
      <c r="P435" t="s" s="47">
        <f>IF('Settings'!$E$27="ON",VLOOKUP(B435,'ADP'!A1:H731,8,FALSE)," ")</f>
        <v>109</v>
      </c>
      <c r="Q435" s="48">
        <f>IF('Settings'!$E$12="YES",VLOOKUP(B435,'Player Data'!A1:E734,5,FALSE),82)</f>
        <v>69.5685714285714</v>
      </c>
      <c r="R435" s="46">
        <f>VLOOKUP(B435,'Player Data'!$A1:$AE734,6,FALSE)</f>
        <v>15.7077322791556</v>
      </c>
      <c r="S435" s="48">
        <f>VLOOKUP(B435,'Player Data'!$A1:$AE734,7,FALSE)*$Q435*_xlfn.IFERROR((VLOOKUP(P435,'Settings'!$E$28:$F$33,2,FALSE)+1),1)</f>
        <v>12.3368415308447</v>
      </c>
      <c r="T435" s="48">
        <f>VLOOKUP(B435,'Player Data'!$A1:$AE734,8,FALSE)*$Q435*_xlfn.IFERROR((VLOOKUP(P435,'Settings'!$E$28:$F$33,2,FALSE)+1),1)</f>
        <v>20.2312451396116</v>
      </c>
      <c r="U435" s="48">
        <f>SUM(S435:T435)</f>
        <v>32.5680866704563</v>
      </c>
      <c r="V435" s="48">
        <f>VLOOKUP(B435,'Player Data'!$A1:$AE734,10,FALSE)*$Q435*_xlfn.IFERROR(((VLOOKUP(P435,'Settings'!$E$28:$F$33,2,FALSE)/2)+1),1)</f>
        <v>137.931363116670</v>
      </c>
      <c r="W435" s="48">
        <f>VLOOKUP(B435,'Player Data'!$A1:$AE734,11,FALSE)*$Q435*_xlfn.IFERROR((VLOOKUP(P435,'Settings'!$E$28:$F$33,2,FALSE)+1),1)</f>
        <v>2.89201945689308</v>
      </c>
      <c r="X435" s="48">
        <f>VLOOKUP(B435,'Player Data'!$A1:$AE734,12,FALSE)*$Q435*_xlfn.IFERROR((VLOOKUP(P435,'Settings'!$E$28:$F$33,2,FALSE)+1),1)</f>
        <v>7.69713546618984</v>
      </c>
      <c r="Y435" s="48">
        <f>VLOOKUP(B435,'Player Data'!$A1:$AE734,13,FALSE)*$Q435</f>
        <v>0.0185240258596769</v>
      </c>
      <c r="Z435" s="48">
        <f>VLOOKUP(B435,'Player Data'!$A1:$AE734,14,FALSE)*$Q435</f>
        <v>0.0348857625740583</v>
      </c>
      <c r="AA435" s="48">
        <f>VLOOKUP(B435,'Player Data'!$A1:$AE734,15,FALSE)*$Q435</f>
        <v>28.9643516320269</v>
      </c>
      <c r="AB435" s="48">
        <f>VLOOKUP(B435,'Player Data'!$A1:$AE734,16,FALSE)*$Q435</f>
        <v>69.8076187233607</v>
      </c>
      <c r="AC435" s="48">
        <f>VLOOKUP(B435,'Player Data'!$A1:$AE734,17,FALSE)*$Q435*_xlfn.IFERROR((VLOOKUP(P435,'Settings'!$E$28:$F$33,2,FALSE)+1),1)</f>
        <v>-6.75817730499586</v>
      </c>
      <c r="AD435" s="48">
        <f>VLOOKUP(B435,'Player Data'!$A1:$AE734,18,FALSE)*$Q435</f>
        <v>24.2445991951561</v>
      </c>
      <c r="AE435" s="48">
        <f>VLOOKUP(B435,'Player Data'!$A1:$AE734,19,FALSE)*$Q435*_xlfn.IFERROR((VLOOKUP(P435,'Settings'!$E$28:$F$33,2,FALSE)+1),1)</f>
        <v>1.44565023677014</v>
      </c>
      <c r="AF435" s="48">
        <f>VLOOKUP(B435,'Player Data'!$A1:$AE734,20,FALSE)*$Q435</f>
        <v>95.7613838300425</v>
      </c>
      <c r="AG435" s="48">
        <f>VLOOKUP(B435,'Player Data'!$A1:$AE734,21,FALSE)*$Q435</f>
        <v>81.995669372374</v>
      </c>
      <c r="AH435" s="49">
        <f>VLOOKUP(B435,'Player Data'!$A1:$AE734,22,FALSE)</f>
        <v>0.538720585792995</v>
      </c>
      <c r="AI435" s="46"/>
      <c r="AJ435" s="50"/>
      <c r="AK435" s="48"/>
      <c r="AL435" s="48"/>
      <c r="AM435" s="48"/>
      <c r="AN435" s="48"/>
      <c r="AO435" s="48"/>
      <c r="AP435" s="48"/>
      <c r="AQ435" s="51"/>
      <c r="AR435" s="52"/>
      <c r="AS435" s="46"/>
    </row>
    <row r="436" ht="21.25" customHeight="1">
      <c r="A436" s="53">
        <f>RANK(K436,K2:K730)</f>
        <v>400</v>
      </c>
      <c r="B436" t="s" s="8">
        <v>588</v>
      </c>
      <c r="C436" t="s" s="39">
        <v>106</v>
      </c>
      <c r="D436" t="s" s="40">
        <f>VLOOKUP(B436,'Player Data'!A1:D734,4,FALSE)</f>
        <v>133</v>
      </c>
      <c r="E436" s="57">
        <f>VLOOKUP(B436,'LW'!A1:C156,3,FALSE)</f>
        <v>94</v>
      </c>
      <c r="F436" t="s" s="42">
        <f>VLOOKUP(B436,'Player Data'!A1:B734,2,FALSE)</f>
        <v>136</v>
      </c>
      <c r="G436" s="9">
        <f>VLOOKUP(B436,'Player Data'!A1:D734,3,FALSE)</f>
        <v>28</v>
      </c>
      <c r="H436" s="43">
        <f>_xlfn.IFERROR(VLOOKUP(B436,'ADP'!A1:G731,7,FALSE)/1000000,VLOOKUP(B436,'ADP'!A1:G731,7,FALSE))</f>
        <v>4.5</v>
      </c>
      <c r="I436" s="44">
        <f>IF('Settings'!$E$15="POINTS",((R436*Q436)*'Settings'!$B$12)+(S436*'Settings'!$B$2)+(T436*'Settings'!$B$3)+(U436*'Settings'!$B$4)+(V436*'Settings'!$B$5)+(X436*'Settings'!$B$9)+(AA436*'Settings'!$B$6)+(W436*'Settings'!$B$8)+(AB436*'Settings'!$B$7)+(AC436*'Settings'!$B$14)+(AD436*'Settings'!$B$15)+(AE436*'Settings'!$B$16)+(AF436*'Settings'!$B$17)+(AG436*'Settings'!$B$18)+(Y436*'Settings'!$B$10)+(Z436*'Settings'!$B$11),VLOOKUP(B436,'Standard Deviations'!A1:C731,3,FALSE))</f>
        <v>231.026965132655</v>
      </c>
      <c r="J436" s="45">
        <f>IF(D436="G",I436/AJ436,I436/Q436)</f>
        <v>3.19419454448752</v>
      </c>
      <c r="K436" s="44">
        <f>IF('Settings'!$E$18="C/LW/RW",VLOOKUP(B436,'LW'!A1:F156,6,FALSE),VLOOKUP(B436,'F'!A1:F432,6,FALSE))</f>
        <v>-150.601598573701</v>
      </c>
      <c r="L436" s="44">
        <f>_xlfn.IFERROR(K436/H436,"N/A")</f>
        <v>-33.4670219052669</v>
      </c>
      <c r="M436" t="s" s="61">
        <f>IF('Settings'!$E$9="YAHOO",VLOOKUP(B436,'ADP'!A1:E731,2,FALSE),IF('Settings'!$E$9="ESPN",VLOOKUP(B436,'ADP'!A1:E731,3,FALSE),IF('Settings'!$E$9="FANTRAX",VLOOKUP(B436,'ADP'!A1:E731,4,FALSE),VLOOKUP(B436,'ADP'!A1:E731,5,FALSE))))</f>
        <v>329</v>
      </c>
      <c r="N436" t="s" s="61">
        <f>_xlfn.IFERROR(M436-A436,"N/A")</f>
        <v>158</v>
      </c>
      <c r="O436" s="46"/>
      <c r="P436" t="s" s="47">
        <f>IF('Settings'!$E$27="ON",VLOOKUP(B436,'ADP'!A1:H731,8,FALSE)," ")</f>
        <v>109</v>
      </c>
      <c r="Q436" s="48">
        <f>IF('Settings'!$E$12="YES",VLOOKUP(B436,'Player Data'!A1:E734,5,FALSE),82)</f>
        <v>72.3271428571429</v>
      </c>
      <c r="R436" s="46">
        <f>VLOOKUP(B436,'Player Data'!$A1:$AE734,6,FALSE)</f>
        <v>13.6386271776898</v>
      </c>
      <c r="S436" s="48">
        <f>VLOOKUP(B436,'Player Data'!$A1:$AE734,7,FALSE)*$Q436*_xlfn.IFERROR((VLOOKUP(P436,'Settings'!$E$28:$F$33,2,FALSE)+1),1)</f>
        <v>13.1522247589368</v>
      </c>
      <c r="T436" s="48">
        <f>VLOOKUP(B436,'Player Data'!$A1:$AE734,8,FALSE)*$Q436*_xlfn.IFERROR((VLOOKUP(P436,'Settings'!$E$28:$F$33,2,FALSE)+1),1)</f>
        <v>22.0075482116635</v>
      </c>
      <c r="U436" s="48">
        <f>SUM(S436:T436)</f>
        <v>35.1597729706003</v>
      </c>
      <c r="V436" s="48">
        <f>VLOOKUP(B436,'Player Data'!$A1:$AE734,10,FALSE)*$Q436*_xlfn.IFERROR(((VLOOKUP(P436,'Settings'!$E$28:$F$33,2,FALSE)/2)+1),1)</f>
        <v>131.542929003317</v>
      </c>
      <c r="W436" s="48">
        <f>VLOOKUP(B436,'Player Data'!$A1:$AE734,11,FALSE)*$Q436*_xlfn.IFERROR((VLOOKUP(P436,'Settings'!$E$28:$F$33,2,FALSE)+1),1)</f>
        <v>0.92185783750463</v>
      </c>
      <c r="X436" s="48">
        <f>VLOOKUP(B436,'Player Data'!$A1:$AE734,12,FALSE)*$Q436*_xlfn.IFERROR((VLOOKUP(P436,'Settings'!$E$28:$F$33,2,FALSE)+1),1)</f>
        <v>2.27204628027753</v>
      </c>
      <c r="Y436" s="48">
        <f>VLOOKUP(B436,'Player Data'!$A1:$AE734,13,FALSE)*$Q436</f>
        <v>0.00623115767276246</v>
      </c>
      <c r="Z436" s="48">
        <f>VLOOKUP(B436,'Player Data'!$A1:$AE734,14,FALSE)*$Q436</f>
        <v>0.0115039512516351</v>
      </c>
      <c r="AA436" s="48">
        <f>VLOOKUP(B436,'Player Data'!$A1:$AE734,15,FALSE)*$Q436</f>
        <v>31.1764298344196</v>
      </c>
      <c r="AB436" s="48">
        <f>VLOOKUP(B436,'Player Data'!$A1:$AE734,16,FALSE)*$Q436</f>
        <v>97.7464870443106</v>
      </c>
      <c r="AC436" s="48">
        <f>VLOOKUP(B436,'Player Data'!$A1:$AE734,17,FALSE)*$Q436*_xlfn.IFERROR((VLOOKUP(P436,'Settings'!$E$28:$F$33,2,FALSE)+1),1)</f>
        <v>4.40580300591654</v>
      </c>
      <c r="AD436" s="48">
        <f>VLOOKUP(B436,'Player Data'!$A1:$AE734,18,FALSE)*$Q436</f>
        <v>46.5996888383355</v>
      </c>
      <c r="AE436" s="48">
        <f>VLOOKUP(B436,'Player Data'!$A1:$AE734,19,FALSE)*$Q436*_xlfn.IFERROR((VLOOKUP(P436,'Settings'!$E$28:$F$33,2,FALSE)+1),1)</f>
        <v>2.10426272459233</v>
      </c>
      <c r="AF436" s="48">
        <f>VLOOKUP(B436,'Player Data'!$A1:$AE734,20,FALSE)*$Q436</f>
        <v>10.7423322438879</v>
      </c>
      <c r="AG436" s="48">
        <f>VLOOKUP(B436,'Player Data'!$A1:$AE734,21,FALSE)*$Q436</f>
        <v>19.3046027579607</v>
      </c>
      <c r="AH436" s="49">
        <f>VLOOKUP(B436,'Player Data'!$A1:$AE734,22,FALSE)</f>
        <v>0.357518403898004</v>
      </c>
      <c r="AI436" s="46"/>
      <c r="AJ436" s="50"/>
      <c r="AK436" s="48"/>
      <c r="AL436" s="48"/>
      <c r="AM436" s="48"/>
      <c r="AN436" s="48"/>
      <c r="AO436" s="48"/>
      <c r="AP436" s="48"/>
      <c r="AQ436" s="51"/>
      <c r="AR436" s="52"/>
      <c r="AS436" s="46"/>
    </row>
    <row r="437" ht="21.25" customHeight="1">
      <c r="A437" s="53">
        <f>RANK(K437,K2:K730)</f>
        <v>477</v>
      </c>
      <c r="B437" t="s" s="8">
        <v>589</v>
      </c>
      <c r="C437" t="s" s="39">
        <v>106</v>
      </c>
      <c r="D437" t="s" s="40">
        <f>VLOOKUP(B437,'Player Data'!A1:D734,4,FALSE)</f>
        <v>107</v>
      </c>
      <c r="E437" s="41">
        <f>VLOOKUP(B437,'C'!A1:C218,3,FALSE)</f>
        <v>122</v>
      </c>
      <c r="F437" t="s" s="42">
        <f>VLOOKUP(B437,'Player Data'!A1:B734,2,FALSE)</f>
        <v>131</v>
      </c>
      <c r="G437" s="9">
        <f>VLOOKUP(B437,'Player Data'!A1:D734,3,FALSE)</f>
        <v>22</v>
      </c>
      <c r="H437" s="43">
        <f>_xlfn.IFERROR(VLOOKUP(B437,'ADP'!A1:G731,7,FALSE)/1000000,VLOOKUP(B437,'ADP'!A1:G731,7,FALSE))</f>
        <v>0.850833</v>
      </c>
      <c r="I437" s="44">
        <f>IF('Settings'!$E$15="POINTS",((R437*Q437)*'Settings'!$B$12)+(S437*'Settings'!$B$2)+(T437*'Settings'!$B$3)+(U437*'Settings'!$B$4)+(V437*'Settings'!$B$5)+(X437*'Settings'!$B$9)+(AA437*'Settings'!$B$6)+(W437*'Settings'!$B$8)+(AB437*'Settings'!$B$7)+(AC437*'Settings'!$B$14)+(AD437*'Settings'!$B$15)+(AE437*'Settings'!$B$16)+(AF437*'Settings'!$B$17)+(AG437*'Settings'!$B$18)+(Y437*'Settings'!$B$10)+(Z437*'Settings'!$B$11),VLOOKUP(B437,'Standard Deviations'!A1:C731,3,FALSE))</f>
        <v>220.640247210502</v>
      </c>
      <c r="J437" s="45">
        <f>IF(D437="G",I437/AJ437,I437/Q437)</f>
        <v>3.0815676984707</v>
      </c>
      <c r="K437" s="44">
        <f>IF('Settings'!$E$18="C/LW/RW",VLOOKUP(B437,'C'!A1:F218,6,FALSE),VLOOKUP(B437,'F'!A1:F432,6,FALSE))</f>
        <v>-175.133954425513</v>
      </c>
      <c r="L437" s="44">
        <f>_xlfn.IFERROR(K437/H437,"N/A")</f>
        <v>-205.838224922532</v>
      </c>
      <c r="M437" t="s" s="61">
        <f>IF('Settings'!$E$9="YAHOO",VLOOKUP(B437,'ADP'!A1:E731,2,FALSE),IF('Settings'!$E$9="ESPN",VLOOKUP(B437,'ADP'!A1:E731,3,FALSE),IF('Settings'!$E$9="FANTRAX",VLOOKUP(B437,'ADP'!A1:E731,4,FALSE),VLOOKUP(B437,'ADP'!A1:E731,5,FALSE))))</f>
        <v>329</v>
      </c>
      <c r="N437" t="s" s="61">
        <f>_xlfn.IFERROR(M437-A437,"N/A")</f>
        <v>158</v>
      </c>
      <c r="O437" s="46"/>
      <c r="P437" t="s" s="47">
        <f>IF('Settings'!$E$27="ON",VLOOKUP(B437,'ADP'!A1:H731,8,FALSE)," ")</f>
        <v>109</v>
      </c>
      <c r="Q437" s="48">
        <f>IF('Settings'!$E$12="YES",VLOOKUP(B437,'Player Data'!A1:E734,5,FALSE),82)</f>
        <v>71.59999999999999</v>
      </c>
      <c r="R437" s="46">
        <f>VLOOKUP(B437,'Player Data'!$A1:$AE734,6,FALSE)</f>
        <v>14.120485748556</v>
      </c>
      <c r="S437" s="48">
        <f>VLOOKUP(B437,'Player Data'!$A1:$AE734,7,FALSE)*$Q437*_xlfn.IFERROR((VLOOKUP(P437,'Settings'!$E$28:$F$33,2,FALSE)+1),1)</f>
        <v>12.1160370837599</v>
      </c>
      <c r="T437" s="48">
        <f>VLOOKUP(B437,'Player Data'!$A1:$AE734,8,FALSE)*$Q437*_xlfn.IFERROR((VLOOKUP(P437,'Settings'!$E$28:$F$33,2,FALSE)+1),1)</f>
        <v>26.5538037215278</v>
      </c>
      <c r="U437" s="48">
        <f>SUM(S437:T437)</f>
        <v>38.6698408052877</v>
      </c>
      <c r="V437" s="48">
        <f>VLOOKUP(B437,'Player Data'!$A1:$AE734,10,FALSE)*$Q437*_xlfn.IFERROR(((VLOOKUP(P437,'Settings'!$E$28:$F$33,2,FALSE)/2)+1),1)</f>
        <v>89.4056159258856</v>
      </c>
      <c r="W437" s="48">
        <f>VLOOKUP(B437,'Player Data'!$A1:$AE734,11,FALSE)*$Q437*_xlfn.IFERROR((VLOOKUP(P437,'Settings'!$E$28:$F$33,2,FALSE)+1),1)</f>
        <v>2.16975690593826</v>
      </c>
      <c r="X437" s="48">
        <f>VLOOKUP(B437,'Player Data'!$A1:$AE734,12,FALSE)*$Q437*_xlfn.IFERROR((VLOOKUP(P437,'Settings'!$E$28:$F$33,2,FALSE)+1),1)</f>
        <v>10.1723940043128</v>
      </c>
      <c r="Y437" s="48">
        <f>VLOOKUP(B437,'Player Data'!$A1:$AE734,13,FALSE)*$Q437</f>
        <v>0.0160049640244339</v>
      </c>
      <c r="Z437" s="48">
        <f>VLOOKUP(B437,'Player Data'!$A1:$AE734,14,FALSE)*$Q437</f>
        <v>0.0286578135297057</v>
      </c>
      <c r="AA437" s="48">
        <f>VLOOKUP(B437,'Player Data'!$A1:$AE734,15,FALSE)*$Q437</f>
        <v>29.2665852717325</v>
      </c>
      <c r="AB437" s="48">
        <f>VLOOKUP(B437,'Player Data'!$A1:$AE734,16,FALSE)*$Q437</f>
        <v>108.253011772524</v>
      </c>
      <c r="AC437" s="48">
        <f>VLOOKUP(B437,'Player Data'!$A1:$AE734,17,FALSE)*$Q437*_xlfn.IFERROR((VLOOKUP(P437,'Settings'!$E$28:$F$33,2,FALSE)+1),1)</f>
        <v>-0.17221345097197</v>
      </c>
      <c r="AD437" s="48">
        <f>VLOOKUP(B437,'Player Data'!$A1:$AE734,18,FALSE)*$Q437</f>
        <v>24.4454125829979</v>
      </c>
      <c r="AE437" s="48">
        <f>VLOOKUP(B437,'Player Data'!$A1:$AE734,19,FALSE)*$Q437*_xlfn.IFERROR((VLOOKUP(P437,'Settings'!$E$28:$F$33,2,FALSE)+1),1)</f>
        <v>1.76925829799954</v>
      </c>
      <c r="AF437" s="48">
        <f>VLOOKUP(B437,'Player Data'!$A1:$AE734,20,FALSE)*$Q437</f>
        <v>242.959923779030</v>
      </c>
      <c r="AG437" s="48">
        <f>VLOOKUP(B437,'Player Data'!$A1:$AE734,21,FALSE)*$Q437</f>
        <v>244.527407158250</v>
      </c>
      <c r="AH437" s="49">
        <f>VLOOKUP(B437,'Player Data'!$A1:$AE734,22,FALSE)</f>
        <v>0.498392282958199</v>
      </c>
      <c r="AI437" s="46"/>
      <c r="AJ437" s="50"/>
      <c r="AK437" s="48"/>
      <c r="AL437" s="48"/>
      <c r="AM437" s="48"/>
      <c r="AN437" s="48"/>
      <c r="AO437" s="48"/>
      <c r="AP437" s="48"/>
      <c r="AQ437" s="51"/>
      <c r="AR437" s="52"/>
      <c r="AS437" s="46"/>
    </row>
    <row r="438" ht="21.25" customHeight="1">
      <c r="A438" s="53">
        <f>RANK(K438,K2:K730)</f>
        <v>462</v>
      </c>
      <c r="B438" t="s" s="8">
        <v>590</v>
      </c>
      <c r="C438" t="s" s="39">
        <v>106</v>
      </c>
      <c r="D438" t="s" s="40">
        <f>VLOOKUP(B438,'Player Data'!A1:D734,4,FALSE)</f>
        <v>121</v>
      </c>
      <c r="E438" s="55">
        <f>VLOOKUP(B438,'RW'!A1:F132,3,FALSE)</f>
        <v>85</v>
      </c>
      <c r="F438" t="s" s="42">
        <f>VLOOKUP(B438,'Player Data'!A1:B734,2,FALSE)</f>
        <v>108</v>
      </c>
      <c r="G438" s="9">
        <f>VLOOKUP(B438,'Player Data'!A1:D734,3,FALSE)</f>
        <v>29</v>
      </c>
      <c r="H438" s="43">
        <f>_xlfn.IFERROR(VLOOKUP(B438,'ADP'!A1:G731,7,FALSE)/1000000,VLOOKUP(B438,'ADP'!A1:G731,7,FALSE))</f>
        <v>0.775</v>
      </c>
      <c r="I438" s="44">
        <f>IF('Settings'!$E$15="POINTS",((R438*Q438)*'Settings'!$B$12)+(S438*'Settings'!$B$2)+(T438*'Settings'!$B$3)+(U438*'Settings'!$B$4)+(V438*'Settings'!$B$5)+(X438*'Settings'!$B$9)+(AA438*'Settings'!$B$6)+(W438*'Settings'!$B$8)+(AB438*'Settings'!$B$7)+(AC438*'Settings'!$B$14)+(AD438*'Settings'!$B$15)+(AE438*'Settings'!$B$16)+(AF438*'Settings'!$B$17)+(AG438*'Settings'!$B$18)+(Y438*'Settings'!$B$10)+(Z438*'Settings'!$B$11),VLOOKUP(B438,'Standard Deviations'!A1:C731,3,FALSE))</f>
        <v>210.749644052999</v>
      </c>
      <c r="J438" s="45">
        <f>IF(D438="G",I438/AJ438,I438/Q438)</f>
        <v>3.11471855241824</v>
      </c>
      <c r="K438" s="44">
        <f>IF('Settings'!$E$18="C/LW/RW",VLOOKUP(B438,'RW'!A1:F132,6,FALSE),VLOOKUP(B438,'F'!A1:F432,6,FALSE))</f>
        <v>-170.878919653357</v>
      </c>
      <c r="L438" s="44">
        <f>_xlfn.IFERROR(K438/H438,"N/A")</f>
        <v>-220.488928584977</v>
      </c>
      <c r="M438" s="46">
        <f>IF('Settings'!$E$9="YAHOO",VLOOKUP(B438,'ADP'!A1:E731,2,FALSE),IF('Settings'!$E$9="ESPN",VLOOKUP(B438,'ADP'!A1:E731,3,FALSE),IF('Settings'!$E$9="FANTRAX",VLOOKUP(B438,'ADP'!A1:E731,4,FALSE),VLOOKUP(B438,'ADP'!A1:E731,5,FALSE))))</f>
        <v>195.95</v>
      </c>
      <c r="N438" s="46">
        <f>_xlfn.IFERROR(M438-A438,"N/A")</f>
        <v>-266.05</v>
      </c>
      <c r="O438" s="46"/>
      <c r="P438" t="s" s="47">
        <f>IF('Settings'!$E$27="ON",VLOOKUP(B438,'ADP'!A1:H731,8,FALSE)," ")</f>
        <v>109</v>
      </c>
      <c r="Q438" s="48">
        <f>IF('Settings'!$E$12="YES",VLOOKUP(B438,'Player Data'!A1:E734,5,FALSE),82)</f>
        <v>67.66249999999999</v>
      </c>
      <c r="R438" s="46">
        <f>VLOOKUP(B438,'Player Data'!$A1:$AE734,6,FALSE)</f>
        <v>16.8507284719466</v>
      </c>
      <c r="S438" s="48">
        <f>VLOOKUP(B438,'Player Data'!$A1:$AE734,7,FALSE)*$Q438*_xlfn.IFERROR((VLOOKUP(P438,'Settings'!$E$28:$F$33,2,FALSE)+1),1)</f>
        <v>13.4203576447983</v>
      </c>
      <c r="T438" s="48">
        <f>VLOOKUP(B438,'Player Data'!$A1:$AE734,8,FALSE)*$Q438*_xlfn.IFERROR((VLOOKUP(P438,'Settings'!$E$28:$F$33,2,FALSE)+1),1)</f>
        <v>20.2658012544304</v>
      </c>
      <c r="U438" s="48">
        <f>SUM(S438:T438)</f>
        <v>33.6861588992287</v>
      </c>
      <c r="V438" s="48">
        <f>VLOOKUP(B438,'Player Data'!$A1:$AE734,10,FALSE)*$Q438*_xlfn.IFERROR(((VLOOKUP(P438,'Settings'!$E$28:$F$33,2,FALSE)/2)+1),1)</f>
        <v>117.064526477348</v>
      </c>
      <c r="W438" s="48">
        <f>VLOOKUP(B438,'Player Data'!$A1:$AE734,11,FALSE)*$Q438*_xlfn.IFERROR((VLOOKUP(P438,'Settings'!$E$28:$F$33,2,FALSE)+1),1)</f>
        <v>0.567703735424996</v>
      </c>
      <c r="X438" s="48">
        <f>VLOOKUP(B438,'Player Data'!$A1:$AE734,12,FALSE)*$Q438*_xlfn.IFERROR((VLOOKUP(P438,'Settings'!$E$28:$F$33,2,FALSE)+1),1)</f>
        <v>3.62918691832959</v>
      </c>
      <c r="Y438" s="48">
        <f>VLOOKUP(B438,'Player Data'!$A1:$AE734,13,FALSE)*$Q438</f>
        <v>1.59614814680152</v>
      </c>
      <c r="Z438" s="48">
        <f>VLOOKUP(B438,'Player Data'!$A1:$AE734,14,FALSE)*$Q438</f>
        <v>2.82566502259748</v>
      </c>
      <c r="AA438" s="48">
        <f>VLOOKUP(B438,'Player Data'!$A1:$AE734,15,FALSE)*$Q438</f>
        <v>32.9234556252673</v>
      </c>
      <c r="AB438" s="48">
        <f>VLOOKUP(B438,'Player Data'!$A1:$AE734,16,FALSE)*$Q438</f>
        <v>35.6612391664515</v>
      </c>
      <c r="AC438" s="48">
        <f>VLOOKUP(B438,'Player Data'!$A1:$AE734,17,FALSE)*$Q438*_xlfn.IFERROR((VLOOKUP(P438,'Settings'!$E$28:$F$33,2,FALSE)+1),1)</f>
        <v>3.59675801018154</v>
      </c>
      <c r="AD438" s="48">
        <f>VLOOKUP(B438,'Player Data'!$A1:$AE734,18,FALSE)*$Q438</f>
        <v>15.0185297077754</v>
      </c>
      <c r="AE438" s="48">
        <f>VLOOKUP(B438,'Player Data'!$A1:$AE734,19,FALSE)*$Q438*_xlfn.IFERROR((VLOOKUP(P438,'Settings'!$E$28:$F$33,2,FALSE)+1),1)</f>
        <v>2.12429853927217</v>
      </c>
      <c r="AF438" s="48">
        <f>VLOOKUP(B438,'Player Data'!$A1:$AE734,20,FALSE)*$Q438</f>
        <v>31.2588922724494</v>
      </c>
      <c r="AG438" s="48">
        <f>VLOOKUP(B438,'Player Data'!$A1:$AE734,21,FALSE)*$Q438</f>
        <v>48.6075773035573</v>
      </c>
      <c r="AH438" s="49">
        <f>VLOOKUP(B438,'Player Data'!$A1:$AE734,22,FALSE)</f>
        <v>0.391389433367919</v>
      </c>
      <c r="AI438" s="46"/>
      <c r="AJ438" s="50"/>
      <c r="AK438" s="48"/>
      <c r="AL438" s="48"/>
      <c r="AM438" s="48"/>
      <c r="AN438" s="48"/>
      <c r="AO438" s="48"/>
      <c r="AP438" s="48"/>
      <c r="AQ438" s="51"/>
      <c r="AR438" s="52"/>
      <c r="AS438" s="46"/>
    </row>
    <row r="439" ht="21.25" customHeight="1">
      <c r="A439" s="53">
        <f>RANK(K439,K2:K730)</f>
        <v>532</v>
      </c>
      <c r="B439" t="s" s="8">
        <v>591</v>
      </c>
      <c r="C439" t="s" s="39">
        <v>106</v>
      </c>
      <c r="D439" t="s" s="40">
        <f>VLOOKUP(B439,'Player Data'!A1:D734,4,FALSE)</f>
        <v>107</v>
      </c>
      <c r="E439" s="41">
        <f>VLOOKUP(B439,'C'!A1:C218,3,FALSE)</f>
        <v>140</v>
      </c>
      <c r="F439" t="s" s="42">
        <f>VLOOKUP(B439,'Player Data'!A1:B734,2,FALSE)</f>
        <v>234</v>
      </c>
      <c r="G439" s="9">
        <f>VLOOKUP(B439,'Player Data'!A1:D734,3,FALSE)</f>
        <v>18</v>
      </c>
      <c r="H439" s="43">
        <f>_xlfn.IFERROR(VLOOKUP(B439,'ADP'!A1:G731,7,FALSE)/1000000,VLOOKUP(B439,'ADP'!A1:G731,7,FALSE))</f>
        <v>0.95</v>
      </c>
      <c r="I439" s="44">
        <f>IF('Settings'!$E$15="POINTS",((R439*Q439)*'Settings'!$B$12)+(S439*'Settings'!$B$2)+(T439*'Settings'!$B$3)+(U439*'Settings'!$B$4)+(V439*'Settings'!$B$5)+(X439*'Settings'!$B$9)+(AA439*'Settings'!$B$6)+(W439*'Settings'!$B$8)+(AB439*'Settings'!$B$7)+(AC439*'Settings'!$B$14)+(AD439*'Settings'!$B$15)+(AE439*'Settings'!$B$16)+(AF439*'Settings'!$B$17)+(AG439*'Settings'!$B$18)+(Y439*'Settings'!$B$10)+(Z439*'Settings'!$B$11),VLOOKUP(B439,'Standard Deviations'!A1:C731,3,FALSE))</f>
        <v>203.047887061510</v>
      </c>
      <c r="J439" s="45">
        <f>IF(D439="G",I439/AJ439,I439/Q439)</f>
        <v>3.07648313729561</v>
      </c>
      <c r="K439" s="44">
        <f>IF('Settings'!$E$18="C/LW/RW",VLOOKUP(B439,'C'!A1:F218,6,FALSE),VLOOKUP(B439,'F'!A1:F432,6,FALSE))</f>
        <v>-192.726314574505</v>
      </c>
      <c r="L439" s="44">
        <f>_xlfn.IFERROR(K439/H439,"N/A")</f>
        <v>-202.869804815268</v>
      </c>
      <c r="M439" t="s" s="61">
        <f>IF('Settings'!$E$9="YAHOO",VLOOKUP(B439,'ADP'!A1:E731,2,FALSE),IF('Settings'!$E$9="ESPN",VLOOKUP(B439,'ADP'!A1:E731,3,FALSE),IF('Settings'!$E$9="FANTRAX",VLOOKUP(B439,'ADP'!A1:E731,4,FALSE),VLOOKUP(B439,'ADP'!A1:E731,5,FALSE))))</f>
        <v>329</v>
      </c>
      <c r="N439" t="s" s="61">
        <f>_xlfn.IFERROR(M439-A439,"N/A")</f>
        <v>158</v>
      </c>
      <c r="O439" s="46"/>
      <c r="P439" t="s" s="47">
        <f>IF('Settings'!$E$27="ON",VLOOKUP(B439,'ADP'!A1:H731,8,FALSE)," ")</f>
        <v>109</v>
      </c>
      <c r="Q439" s="48">
        <f>IF('Settings'!$E$12="YES",VLOOKUP(B439,'Player Data'!A1:E734,5,FALSE),82)</f>
        <v>66</v>
      </c>
      <c r="R439" s="46">
        <f>VLOOKUP(B439,'Player Data'!$A1:$AE734,6,FALSE)</f>
        <v>13</v>
      </c>
      <c r="S439" s="48">
        <f>VLOOKUP(B439,'Player Data'!$A1:$AE734,7,FALSE)*$Q439*_xlfn.IFERROR((VLOOKUP(P439,'Settings'!$E$28:$F$33,2,FALSE)+1),1)</f>
        <v>12.467327430593</v>
      </c>
      <c r="T439" s="48">
        <f>VLOOKUP(B439,'Player Data'!$A1:$AE734,8,FALSE)*$Q439*_xlfn.IFERROR((VLOOKUP(P439,'Settings'!$E$28:$F$33,2,FALSE)+1),1)</f>
        <v>23.5472720377225</v>
      </c>
      <c r="U439" s="48">
        <f>SUM(S439:T439)</f>
        <v>36.0145994683155</v>
      </c>
      <c r="V439" s="48">
        <f>VLOOKUP(B439,'Player Data'!$A1:$AE734,10,FALSE)*$Q439*_xlfn.IFERROR(((VLOOKUP(P439,'Settings'!$E$28:$F$33,2,FALSE)/2)+1),1)</f>
        <v>109.303755996958</v>
      </c>
      <c r="W439" s="48">
        <f>VLOOKUP(B439,'Player Data'!$A1:$AE734,11,FALSE)*$Q439*_xlfn.IFERROR((VLOOKUP(P439,'Settings'!$E$28:$F$33,2,FALSE)+1),1)</f>
        <v>3.03653451447014</v>
      </c>
      <c r="X439" s="48">
        <f>VLOOKUP(B439,'Player Data'!$A1:$AE734,12,FALSE)*$Q439*_xlfn.IFERROR((VLOOKUP(P439,'Settings'!$E$28:$F$33,2,FALSE)+1),1)</f>
        <v>8.771693445862841</v>
      </c>
      <c r="Y439" s="48">
        <f>VLOOKUP(B439,'Player Data'!$A1:$AE734,13,FALSE)*$Q439</f>
        <v>0</v>
      </c>
      <c r="Z439" s="48">
        <f>VLOOKUP(B439,'Player Data'!$A1:$AE734,14,FALSE)*$Q439</f>
        <v>0</v>
      </c>
      <c r="AA439" s="48">
        <f>VLOOKUP(B439,'Player Data'!$A1:$AE734,15,FALSE)*$Q439</f>
        <v>27.2048780487805</v>
      </c>
      <c r="AB439" s="48">
        <f>VLOOKUP(B439,'Player Data'!$A1:$AE734,16,FALSE)*$Q439</f>
        <v>32.1951219512195</v>
      </c>
      <c r="AC439" s="48">
        <f>VLOOKUP(B439,'Player Data'!$A1:$AE734,17,FALSE)*$Q439*_xlfn.IFERROR((VLOOKUP(P439,'Settings'!$E$28:$F$33,2,FALSE)+1),1)</f>
        <v>-0.249512195121951</v>
      </c>
      <c r="AD439" s="48">
        <f>VLOOKUP(B439,'Player Data'!$A1:$AE734,18,FALSE)*$Q439</f>
        <v>16.0975609756097</v>
      </c>
      <c r="AE439" s="48">
        <f>VLOOKUP(B439,'Player Data'!$A1:$AE734,19,FALSE)*$Q439*_xlfn.IFERROR((VLOOKUP(P439,'Settings'!$E$28:$F$33,2,FALSE)+1),1)</f>
        <v>1.19515572949086</v>
      </c>
      <c r="AF439" s="48">
        <f>VLOOKUP(B439,'Player Data'!$A1:$AE734,20,FALSE)*$Q439</f>
        <v>72.4390243902442</v>
      </c>
      <c r="AG439" s="48">
        <f>VLOOKUP(B439,'Player Data'!$A1:$AE734,21,FALSE)*$Q439</f>
        <v>104.634146341464</v>
      </c>
      <c r="AH439" s="49">
        <f>VLOOKUP(B439,'Player Data'!$A1:$AE734,22,FALSE)</f>
        <v>0.41</v>
      </c>
      <c r="AI439" s="46"/>
      <c r="AJ439" s="50"/>
      <c r="AK439" s="48"/>
      <c r="AL439" s="48"/>
      <c r="AM439" s="48"/>
      <c r="AN439" s="48"/>
      <c r="AO439" s="48"/>
      <c r="AP439" s="48"/>
      <c r="AQ439" s="51"/>
      <c r="AR439" s="52"/>
      <c r="AS439" s="46"/>
    </row>
    <row r="440" ht="21.25" customHeight="1">
      <c r="A440" s="53">
        <f>RANK(K440,K2:K730)</f>
        <v>508</v>
      </c>
      <c r="B440" t="s" s="8">
        <v>592</v>
      </c>
      <c r="C440" t="s" s="39">
        <v>106</v>
      </c>
      <c r="D440" t="s" s="40">
        <f>VLOOKUP(B440,'Player Data'!A1:D734,4,FALSE)</f>
        <v>129</v>
      </c>
      <c r="E440" s="56">
        <f>VLOOKUP(B440,'D'!A1:C228,3,FALSE)</f>
        <v>174</v>
      </c>
      <c r="F440" t="s" s="42">
        <f>VLOOKUP(B440,'Player Data'!A1:B734,2,FALSE)</f>
        <v>258</v>
      </c>
      <c r="G440" s="9">
        <f>VLOOKUP(B440,'Player Data'!A1:D734,3,FALSE)</f>
        <v>26</v>
      </c>
      <c r="H440" s="43">
        <f>_xlfn.IFERROR(VLOOKUP(B440,'ADP'!A1:G731,7,FALSE)/1000000,VLOOKUP(B440,'ADP'!A1:G731,7,FALSE))</f>
        <v>0.766667</v>
      </c>
      <c r="I440" s="44">
        <f>IF('Settings'!$E$15="POINTS",((R440*Q440)*'Settings'!$B$12)+(S440*'Settings'!$B$2)+(T440*'Settings'!$B$3)+(U440*'Settings'!$B$4)+(V440*'Settings'!$B$5)+(X440*'Settings'!$B$9)+(AA440*'Settings'!$B$6)+(W440*'Settings'!$B$8)+(AB440*'Settings'!$B$7)+(AC440*'Settings'!$B$14)+(AD440*'Settings'!$B$15)+(AE440*'Settings'!$B$16)+(AF440*'Settings'!$B$17)+(AG440*'Settings'!$B$18)+(U440*'Settings'!$B$13)+(Y440*'Settings'!$B$10)+(Z440*'Settings'!$B$11),VLOOKUP(B440,'Standard Deviations'!A1:C731,3,FALSE))</f>
        <v>156.019003854029</v>
      </c>
      <c r="J440" s="45">
        <f>IF(D440="G",I440/AJ440,I440/Q440)</f>
        <v>2.18498709969931</v>
      </c>
      <c r="K440" s="44">
        <f>VLOOKUP(B440,'D'!A1:F228,6,FALSE)</f>
        <v>-184.716134792494</v>
      </c>
      <c r="L440" s="44">
        <f>_xlfn.IFERROR(K440/H440,"N/A")</f>
        <v>-240.933984105869</v>
      </c>
      <c r="M440" t="s" s="61">
        <f>IF('Settings'!$E$9="YAHOO",VLOOKUP(B440,'ADP'!A1:E731,2,FALSE),IF('Settings'!$E$9="ESPN",VLOOKUP(B440,'ADP'!A1:E731,3,FALSE),IF('Settings'!$E$9="FANTRAX",VLOOKUP(B440,'ADP'!A1:E731,4,FALSE),VLOOKUP(B440,'ADP'!A1:E731,5,FALSE))))</f>
        <v>329</v>
      </c>
      <c r="N440" t="s" s="61">
        <f>_xlfn.IFERROR(M440-A440,"N/A")</f>
        <v>158</v>
      </c>
      <c r="O440" s="46"/>
      <c r="P440" t="s" s="47">
        <f>IF('Settings'!$E$27="ON",VLOOKUP(B440,'ADP'!A1:H731,8,FALSE)," ")</f>
        <v>109</v>
      </c>
      <c r="Q440" s="48">
        <f>IF('Settings'!$E$12="YES",VLOOKUP(B440,'Player Data'!A1:E734,5,FALSE),82)</f>
        <v>71.405</v>
      </c>
      <c r="R440" s="46">
        <f>VLOOKUP(B440,'Player Data'!$A1:$AE734,6,FALSE)</f>
        <v>16.7468747104154</v>
      </c>
      <c r="S440" s="48">
        <f>VLOOKUP(B440,'Player Data'!$A1:$AE734,7,FALSE)*$Q440*_xlfn.IFERROR((VLOOKUP(P440,'Settings'!$E$28:$F$33,2,FALSE)+1),1)</f>
        <v>3.08864723121335</v>
      </c>
      <c r="T440" s="48">
        <f>VLOOKUP(B440,'Player Data'!$A1:$AE734,8,FALSE)*$Q440*_xlfn.IFERROR((VLOOKUP(P440,'Settings'!$E$28:$F$33,2,FALSE)+1),1)</f>
        <v>11.9726809367582</v>
      </c>
      <c r="U440" s="48">
        <f>SUM(S440:T440)</f>
        <v>15.0613281679716</v>
      </c>
      <c r="V440" s="48">
        <f>VLOOKUP(B440,'Player Data'!$A1:$AE734,10,FALSE)*$Q440*_xlfn.IFERROR(((VLOOKUP(P440,'Settings'!$E$28:$F$33,2,FALSE)/2)+1),1)</f>
        <v>86.11520091938191</v>
      </c>
      <c r="W440" s="48">
        <f>VLOOKUP(B440,'Player Data'!$A1:$AE734,11,FALSE)*$Q440*_xlfn.IFERROR((VLOOKUP(P440,'Settings'!$E$28:$F$33,2,FALSE)+1),1)</f>
        <v>0.0249291449251521</v>
      </c>
      <c r="X440" s="48">
        <f>VLOOKUP(B440,'Player Data'!$A1:$AE734,12,FALSE)*$Q440*_xlfn.IFERROR((VLOOKUP(P440,'Settings'!$E$28:$F$33,2,FALSE)+1),1)</f>
        <v>0.170765745337184</v>
      </c>
      <c r="Y440" s="48">
        <f>VLOOKUP(B440,'Player Data'!$A1:$AE734,13,FALSE)*$Q440</f>
        <v>0.0340624213839696</v>
      </c>
      <c r="Z440" s="48">
        <f>VLOOKUP(B440,'Player Data'!$A1:$AE734,14,FALSE)*$Q440</f>
        <v>0.13163282902927</v>
      </c>
      <c r="AA440" s="48">
        <f>VLOOKUP(B440,'Player Data'!$A1:$AE734,15,FALSE)*$Q440</f>
        <v>81.67706724300309</v>
      </c>
      <c r="AB440" s="48">
        <f>VLOOKUP(B440,'Player Data'!$A1:$AE734,16,FALSE)*$Q440</f>
        <v>88.1705950561747</v>
      </c>
      <c r="AC440" s="48">
        <f>VLOOKUP(B440,'Player Data'!$A1:$AE734,17,FALSE)*$Q440*_xlfn.IFERROR((VLOOKUP(P440,'Settings'!$E$28:$F$33,2,FALSE)+1),1)</f>
        <v>-5.72725031437498</v>
      </c>
      <c r="AD440" s="48">
        <f>VLOOKUP(B440,'Player Data'!$A1:$AE734,18,FALSE)*$Q440</f>
        <v>27.5827639013505</v>
      </c>
      <c r="AE440" s="48">
        <f>VLOOKUP(B440,'Player Data'!$A1:$AE734,19,FALSE)*$Q440*_xlfn.IFERROR((VLOOKUP(P440,'Settings'!$E$28:$F$33,2,FALSE)+1),1)</f>
        <v>0.316407553567515</v>
      </c>
      <c r="AF440" s="48">
        <f>VLOOKUP(B440,'Player Data'!$A1:$AE734,20,FALSE)*$Q440</f>
        <v>0</v>
      </c>
      <c r="AG440" s="48">
        <f>VLOOKUP(B440,'Player Data'!$A1:$AE734,21,FALSE)*$Q440</f>
        <v>0</v>
      </c>
      <c r="AH440" s="49">
        <f>VLOOKUP(B440,'Player Data'!$A1:$AE734,22,FALSE)</f>
        <v>0</v>
      </c>
      <c r="AI440" s="46"/>
      <c r="AJ440" s="50"/>
      <c r="AK440" s="48"/>
      <c r="AL440" s="48"/>
      <c r="AM440" s="48"/>
      <c r="AN440" s="48"/>
      <c r="AO440" s="48"/>
      <c r="AP440" s="48"/>
      <c r="AQ440" s="51"/>
      <c r="AR440" s="52"/>
      <c r="AS440" s="46"/>
    </row>
    <row r="441" ht="21.25" customHeight="1">
      <c r="A441" s="53">
        <f>RANK(K441,K2:K730)</f>
        <v>368</v>
      </c>
      <c r="B441" t="s" s="8">
        <v>593</v>
      </c>
      <c r="C441" t="s" s="39">
        <v>106</v>
      </c>
      <c r="D441" t="s" s="40">
        <f>VLOOKUP(B441,'Player Data'!A1:D734,4,FALSE)</f>
        <v>129</v>
      </c>
      <c r="E441" s="56">
        <f>VLOOKUP(B441,'D'!A1:C228,3,FALSE)</f>
        <v>119</v>
      </c>
      <c r="F441" t="s" s="42">
        <f>VLOOKUP(B441,'Player Data'!A1:B734,2,FALSE)</f>
        <v>136</v>
      </c>
      <c r="G441" s="9">
        <f>VLOOKUP(B441,'Player Data'!A1:D734,3,FALSE)</f>
        <v>31</v>
      </c>
      <c r="H441" s="43">
        <f>_xlfn.IFERROR(VLOOKUP(B441,'ADP'!A1:G731,7,FALSE)/1000000,VLOOKUP(B441,'ADP'!A1:G731,7,FALSE))</f>
        <v>1.5</v>
      </c>
      <c r="I441" s="44">
        <f>IF('Settings'!$E$15="POINTS",((R441*Q441)*'Settings'!$B$12)+(S441*'Settings'!$B$2)+(T441*'Settings'!$B$3)+(U441*'Settings'!$B$4)+(V441*'Settings'!$B$5)+(X441*'Settings'!$B$9)+(AA441*'Settings'!$B$6)+(W441*'Settings'!$B$8)+(AB441*'Settings'!$B$7)+(AC441*'Settings'!$B$14)+(AD441*'Settings'!$B$15)+(AE441*'Settings'!$B$16)+(AF441*'Settings'!$B$17)+(AG441*'Settings'!$B$18)+(U441*'Settings'!$B$13)+(Y441*'Settings'!$B$10)+(Z441*'Settings'!$B$11),VLOOKUP(B441,'Standard Deviations'!A1:C731,3,FALSE))</f>
        <v>201.212232038228</v>
      </c>
      <c r="J441" s="45">
        <f>IF(D441="G",I441/AJ441,I441/Q441)</f>
        <v>2.45676095701731</v>
      </c>
      <c r="K441" s="44">
        <f>VLOOKUP(B441,'D'!A1:F228,6,FALSE)</f>
        <v>-139.522906608295</v>
      </c>
      <c r="L441" s="44">
        <f>_xlfn.IFERROR(K441/H441,"N/A")</f>
        <v>-93.0152710721967</v>
      </c>
      <c r="M441" s="46">
        <f>IF('Settings'!$E$9="YAHOO",VLOOKUP(B441,'ADP'!A1:E731,2,FALSE),IF('Settings'!$E$9="ESPN",VLOOKUP(B441,'ADP'!A1:E731,3,FALSE),IF('Settings'!$E$9="FANTRAX",VLOOKUP(B441,'ADP'!A1:E731,4,FALSE),VLOOKUP(B441,'ADP'!A1:E731,5,FALSE))))</f>
        <v>1120</v>
      </c>
      <c r="N441" s="46">
        <f>_xlfn.IFERROR(M441-A441,"N/A")</f>
        <v>752</v>
      </c>
      <c r="O441" s="46"/>
      <c r="P441" t="s" s="47">
        <f>IF('Settings'!$E$27="ON",VLOOKUP(B441,'ADP'!A1:H731,8,FALSE)," ")</f>
        <v>109</v>
      </c>
      <c r="Q441" s="48">
        <f>IF('Settings'!$E$12="YES",VLOOKUP(B441,'Player Data'!A1:E734,5,FALSE),82)</f>
        <v>81.9014285714286</v>
      </c>
      <c r="R441" s="46">
        <f>VLOOKUP(B441,'Player Data'!$A1:$AE734,6,FALSE)</f>
        <v>18.3002641174468</v>
      </c>
      <c r="S441" s="48">
        <f>VLOOKUP(B441,'Player Data'!$A1:$AE734,7,FALSE)*$Q441*_xlfn.IFERROR((VLOOKUP(P441,'Settings'!$E$28:$F$33,2,FALSE)+1),1)</f>
        <v>4.18289164324625</v>
      </c>
      <c r="T441" s="48">
        <f>VLOOKUP(B441,'Player Data'!$A1:$AE734,8,FALSE)*$Q441*_xlfn.IFERROR((VLOOKUP(P441,'Settings'!$E$28:$F$33,2,FALSE)+1),1)</f>
        <v>8.636093443080579</v>
      </c>
      <c r="U441" s="48">
        <f>SUM(S441:T441)</f>
        <v>12.8189850863268</v>
      </c>
      <c r="V441" s="48">
        <f>VLOOKUP(B441,'Player Data'!$A1:$AE734,10,FALSE)*$Q441*_xlfn.IFERROR(((VLOOKUP(P441,'Settings'!$E$28:$F$33,2,FALSE)/2)+1),1)</f>
        <v>81.50887613689839</v>
      </c>
      <c r="W441" s="48">
        <f>VLOOKUP(B441,'Player Data'!$A1:$AE734,11,FALSE)*$Q441*_xlfn.IFERROR((VLOOKUP(P441,'Settings'!$E$28:$F$33,2,FALSE)+1),1)</f>
        <v>0.0264714215906013</v>
      </c>
      <c r="X441" s="48">
        <f>VLOOKUP(B441,'Player Data'!$A1:$AE734,12,FALSE)*$Q441*_xlfn.IFERROR((VLOOKUP(P441,'Settings'!$E$28:$F$33,2,FALSE)+1),1)</f>
        <v>0.181700357012716</v>
      </c>
      <c r="Y441" s="48">
        <f>VLOOKUP(B441,'Player Data'!$A1:$AE734,13,FALSE)*$Q441</f>
        <v>0.0259194623366298</v>
      </c>
      <c r="Z441" s="48">
        <f>VLOOKUP(B441,'Player Data'!$A1:$AE734,14,FALSE)*$Q441</f>
        <v>0.617674620622069</v>
      </c>
      <c r="AA441" s="48">
        <f>VLOOKUP(B441,'Player Data'!$A1:$AE734,15,FALSE)*$Q441</f>
        <v>124.574106085601</v>
      </c>
      <c r="AB441" s="48">
        <f>VLOOKUP(B441,'Player Data'!$A1:$AE734,16,FALSE)*$Q441</f>
        <v>208.816395847536</v>
      </c>
      <c r="AC441" s="48">
        <f>VLOOKUP(B441,'Player Data'!$A1:$AE734,17,FALSE)*$Q441*_xlfn.IFERROR((VLOOKUP(P441,'Settings'!$E$28:$F$33,2,FALSE)+1),1)</f>
        <v>3.55886215362102</v>
      </c>
      <c r="AD441" s="48">
        <f>VLOOKUP(B441,'Player Data'!$A1:$AE734,18,FALSE)*$Q441</f>
        <v>48.2170679387429</v>
      </c>
      <c r="AE441" s="48">
        <f>VLOOKUP(B441,'Player Data'!$A1:$AE734,19,FALSE)*$Q441*_xlfn.IFERROR((VLOOKUP(P441,'Settings'!$E$28:$F$33,2,FALSE)+1),1)</f>
        <v>0.6692330101727469</v>
      </c>
      <c r="AF441" s="48">
        <f>VLOOKUP(B441,'Player Data'!$A1:$AE734,20,FALSE)*$Q441</f>
        <v>0</v>
      </c>
      <c r="AG441" s="48">
        <f>VLOOKUP(B441,'Player Data'!$A1:$AE734,21,FALSE)*$Q441</f>
        <v>0</v>
      </c>
      <c r="AH441" s="49">
        <f>VLOOKUP(B441,'Player Data'!$A1:$AE734,22,FALSE)</f>
        <v>0</v>
      </c>
      <c r="AI441" s="46"/>
      <c r="AJ441" s="50"/>
      <c r="AK441" s="48"/>
      <c r="AL441" s="48"/>
      <c r="AM441" s="48"/>
      <c r="AN441" s="48"/>
      <c r="AO441" s="48"/>
      <c r="AP441" s="48"/>
      <c r="AQ441" s="51"/>
      <c r="AR441" s="52"/>
      <c r="AS441" s="46"/>
    </row>
    <row r="442" ht="21.25" customHeight="1">
      <c r="A442" s="53">
        <f>RANK(K442,K2:K730)</f>
        <v>519</v>
      </c>
      <c r="B442" t="s" s="8">
        <v>594</v>
      </c>
      <c r="C442" t="s" s="39">
        <v>106</v>
      </c>
      <c r="D442" t="s" s="40">
        <f>VLOOKUP(B442,'Player Data'!A1:D734,4,FALSE)</f>
        <v>107</v>
      </c>
      <c r="E442" s="41">
        <f>VLOOKUP(B442,'C'!A1:C218,3,FALSE)</f>
        <v>135</v>
      </c>
      <c r="F442" t="s" s="42">
        <f>VLOOKUP(B442,'Player Data'!A1:B734,2,FALSE)</f>
        <v>141</v>
      </c>
      <c r="G442" s="9">
        <f>VLOOKUP(B442,'Player Data'!A1:D734,3,FALSE)</f>
        <v>24</v>
      </c>
      <c r="H442" s="43">
        <f>_xlfn.IFERROR(VLOOKUP(B442,'ADP'!A1:G731,7,FALSE)/1000000,VLOOKUP(B442,'ADP'!A1:G731,7,FALSE))</f>
        <v>0.775</v>
      </c>
      <c r="I442" s="44">
        <f>IF('Settings'!$E$15="POINTS",((R442*Q442)*'Settings'!$B$12)+(S442*'Settings'!$B$2)+(T442*'Settings'!$B$3)+(U442*'Settings'!$B$4)+(V442*'Settings'!$B$5)+(X442*'Settings'!$B$9)+(AA442*'Settings'!$B$6)+(W442*'Settings'!$B$8)+(AB442*'Settings'!$B$7)+(AC442*'Settings'!$B$14)+(AD442*'Settings'!$B$15)+(AE442*'Settings'!$B$16)+(AF442*'Settings'!$B$17)+(AG442*'Settings'!$B$18)+(Y442*'Settings'!$B$10)+(Z442*'Settings'!$B$11),VLOOKUP(B442,'Standard Deviations'!A1:C731,3,FALSE))</f>
        <v>208.262051433599</v>
      </c>
      <c r="J442" s="45">
        <f>IF(D442="G",I442/AJ442,I442/Q442)</f>
        <v>3.83539689564639</v>
      </c>
      <c r="K442" s="44">
        <f>IF('Settings'!$E$18="C/LW/RW",VLOOKUP(B442,'C'!A1:F218,6,FALSE),VLOOKUP(B442,'F'!A1:F432,6,FALSE))</f>
        <v>-187.512150202416</v>
      </c>
      <c r="L442" s="44">
        <f>_xlfn.IFERROR(K442/H442,"N/A")</f>
        <v>-241.951161551505</v>
      </c>
      <c r="M442" t="s" s="61">
        <f>IF('Settings'!$E$9="YAHOO",VLOOKUP(B442,'ADP'!A1:E731,2,FALSE),IF('Settings'!$E$9="ESPN",VLOOKUP(B442,'ADP'!A1:E731,3,FALSE),IF('Settings'!$E$9="FANTRAX",VLOOKUP(B442,'ADP'!A1:E731,4,FALSE),VLOOKUP(B442,'ADP'!A1:E731,5,FALSE))))</f>
        <v>329</v>
      </c>
      <c r="N442" t="s" s="61">
        <f>_xlfn.IFERROR(M442-A442,"N/A")</f>
        <v>158</v>
      </c>
      <c r="O442" s="46"/>
      <c r="P442" t="s" s="47">
        <f>IF('Settings'!$E$27="ON",VLOOKUP(B442,'ADP'!A1:H731,8,FALSE)," ")</f>
        <v>109</v>
      </c>
      <c r="Q442" s="48">
        <f>IF('Settings'!$E$12="YES",VLOOKUP(B442,'Player Data'!A1:E734,5,FALSE),82)</f>
        <v>54.3</v>
      </c>
      <c r="R442" s="46">
        <f>VLOOKUP(B442,'Player Data'!$A1:$AE734,6,FALSE)</f>
        <v>17.4391666666667</v>
      </c>
      <c r="S442" s="48">
        <f>VLOOKUP(B442,'Player Data'!$A1:$AE734,7,FALSE)*$Q442*_xlfn.IFERROR((VLOOKUP(P442,'Settings'!$E$28:$F$33,2,FALSE)+1),1)</f>
        <v>16.4115509714967</v>
      </c>
      <c r="T442" s="48">
        <f>VLOOKUP(B442,'Player Data'!$A1:$AE734,8,FALSE)*$Q442*_xlfn.IFERROR((VLOOKUP(P442,'Settings'!$E$28:$F$33,2,FALSE)+1),1)</f>
        <v>17.7054269215637</v>
      </c>
      <c r="U442" s="48">
        <f>SUM(S442:T442)</f>
        <v>34.1169778930604</v>
      </c>
      <c r="V442" s="48">
        <f>VLOOKUP(B442,'Player Data'!$A1:$AE734,10,FALSE)*$Q442*_xlfn.IFERROR(((VLOOKUP(P442,'Settings'!$E$28:$F$33,2,FALSE)/2)+1),1)</f>
        <v>114.090731691555</v>
      </c>
      <c r="W442" s="48">
        <f>VLOOKUP(B442,'Player Data'!$A1:$AE734,11,FALSE)*$Q442*_xlfn.IFERROR((VLOOKUP(P442,'Settings'!$E$28:$F$33,2,FALSE)+1),1)</f>
        <v>5.31776524670808</v>
      </c>
      <c r="X442" s="48">
        <f>VLOOKUP(B442,'Player Data'!$A1:$AE734,12,FALSE)*$Q442*_xlfn.IFERROR((VLOOKUP(P442,'Settings'!$E$28:$F$33,2,FALSE)+1),1)</f>
        <v>10.2532146192094</v>
      </c>
      <c r="Y442" s="48">
        <f>VLOOKUP(B442,'Player Data'!$A1:$AE734,13,FALSE)*$Q442</f>
        <v>0.207699737375553</v>
      </c>
      <c r="Z442" s="48">
        <f>VLOOKUP(B442,'Player Data'!$A1:$AE734,14,FALSE)*$Q442</f>
        <v>0.379812730906832</v>
      </c>
      <c r="AA442" s="48">
        <f>VLOOKUP(B442,'Player Data'!$A1:$AE734,15,FALSE)*$Q442</f>
        <v>25.7461335602688</v>
      </c>
      <c r="AB442" s="48">
        <f>VLOOKUP(B442,'Player Data'!$A1:$AE734,16,FALSE)*$Q442</f>
        <v>42.462932837788</v>
      </c>
      <c r="AC442" s="48">
        <f>VLOOKUP(B442,'Player Data'!$A1:$AE734,17,FALSE)*$Q442*_xlfn.IFERROR((VLOOKUP(P442,'Settings'!$E$28:$F$33,2,FALSE)+1),1)</f>
        <v>-0.5398136430517591</v>
      </c>
      <c r="AD442" s="48">
        <f>VLOOKUP(B442,'Player Data'!$A1:$AE734,18,FALSE)*$Q442</f>
        <v>19.6873460809831</v>
      </c>
      <c r="AE442" s="48">
        <f>VLOOKUP(B442,'Player Data'!$A1:$AE734,19,FALSE)*$Q442*_xlfn.IFERROR((VLOOKUP(P442,'Settings'!$E$28:$F$33,2,FALSE)+1),1)</f>
        <v>2.03758849212366</v>
      </c>
      <c r="AF442" s="48">
        <f>VLOOKUP(B442,'Player Data'!$A1:$AE734,20,FALSE)*$Q442</f>
        <v>34.6838808604671</v>
      </c>
      <c r="AG442" s="48">
        <f>VLOOKUP(B442,'Player Data'!$A1:$AE734,21,FALSE)*$Q442</f>
        <v>33.3696726439621</v>
      </c>
      <c r="AH442" s="49">
        <f>VLOOKUP(B442,'Player Data'!$A1:$AE734,22,FALSE)</f>
        <v>0.50965569135504</v>
      </c>
      <c r="AI442" s="46"/>
      <c r="AJ442" s="50"/>
      <c r="AK442" s="48"/>
      <c r="AL442" s="48"/>
      <c r="AM442" s="48"/>
      <c r="AN442" s="48"/>
      <c r="AO442" s="48"/>
      <c r="AP442" s="48"/>
      <c r="AQ442" s="51"/>
      <c r="AR442" s="52"/>
      <c r="AS442" s="46"/>
    </row>
    <row r="443" ht="21.25" customHeight="1">
      <c r="A443" s="53">
        <f>RANK(K443,K2:K730)</f>
        <v>564</v>
      </c>
      <c r="B443" t="s" s="8">
        <v>595</v>
      </c>
      <c r="C443" t="s" s="39">
        <v>106</v>
      </c>
      <c r="D443" t="s" s="40">
        <f>VLOOKUP(B443,'Player Data'!A1:D734,4,FALSE)</f>
        <v>129</v>
      </c>
      <c r="E443" s="56">
        <f>VLOOKUP(B443,'D'!A1:C228,3,FALSE)</f>
        <v>193</v>
      </c>
      <c r="F443" t="s" s="42">
        <f>VLOOKUP(B443,'Player Data'!A1:B734,2,FALSE)</f>
        <v>238</v>
      </c>
      <c r="G443" s="9">
        <f>VLOOKUP(B443,'Player Data'!A1:D734,3,FALSE)</f>
        <v>26</v>
      </c>
      <c r="H443" s="43">
        <f>_xlfn.IFERROR(VLOOKUP(B443,'ADP'!A1:G731,7,FALSE)/1000000,VLOOKUP(B443,'ADP'!A1:G731,7,FALSE))</f>
        <v>2.5</v>
      </c>
      <c r="I443" s="44">
        <f>IF('Settings'!$E$15="POINTS",((R443*Q443)*'Settings'!$B$12)+(S443*'Settings'!$B$2)+(T443*'Settings'!$B$3)+(U443*'Settings'!$B$4)+(V443*'Settings'!$B$5)+(X443*'Settings'!$B$9)+(AA443*'Settings'!$B$6)+(W443*'Settings'!$B$8)+(AB443*'Settings'!$B$7)+(AC443*'Settings'!$B$14)+(AD443*'Settings'!$B$15)+(AE443*'Settings'!$B$16)+(AF443*'Settings'!$B$17)+(AG443*'Settings'!$B$18)+(U443*'Settings'!$B$13)+(Y443*'Settings'!$B$10)+(Z443*'Settings'!$B$11),VLOOKUP(B443,'Standard Deviations'!A1:C731,3,FALSE))</f>
        <v>134.615101850778</v>
      </c>
      <c r="J443" s="45">
        <f>IF(D443="G",I443/AJ443,I443/Q443)</f>
        <v>2.56899049333546</v>
      </c>
      <c r="K443" s="44">
        <f>VLOOKUP(B443,'D'!A1:F228,6,FALSE)</f>
        <v>-206.120036795745</v>
      </c>
      <c r="L443" s="44">
        <f>_xlfn.IFERROR(K443/H443,"N/A")</f>
        <v>-82.448014718298</v>
      </c>
      <c r="M443" t="s" s="61">
        <f>IF('Settings'!$E$9="YAHOO",VLOOKUP(B443,'ADP'!A1:E731,2,FALSE),IF('Settings'!$E$9="ESPN",VLOOKUP(B443,'ADP'!A1:E731,3,FALSE),IF('Settings'!$E$9="FANTRAX",VLOOKUP(B443,'ADP'!A1:E731,4,FALSE),VLOOKUP(B443,'ADP'!A1:E731,5,FALSE))))</f>
        <v>329</v>
      </c>
      <c r="N443" t="s" s="61">
        <f>_xlfn.IFERROR(M443-A443,"N/A")</f>
        <v>158</v>
      </c>
      <c r="O443" s="46"/>
      <c r="P443" t="s" s="47">
        <f>IF('Settings'!$E$27="ON",VLOOKUP(B443,'ADP'!A1:H731,8,FALSE)," ")</f>
        <v>109</v>
      </c>
      <c r="Q443" s="48">
        <f>IF('Settings'!$E$12="YES",VLOOKUP(B443,'Player Data'!A1:E734,5,FALSE),82)</f>
        <v>52.4</v>
      </c>
      <c r="R443" s="46">
        <f>VLOOKUP(B443,'Player Data'!$A1:$AE734,6,FALSE)</f>
        <v>15.760745007622</v>
      </c>
      <c r="S443" s="48">
        <f>VLOOKUP(B443,'Player Data'!$A1:$AE734,7,FALSE)*$Q443*_xlfn.IFERROR((VLOOKUP(P443,'Settings'!$E$28:$F$33,2,FALSE)+1),1)</f>
        <v>4.48650843651547</v>
      </c>
      <c r="T443" s="48">
        <f>VLOOKUP(B443,'Player Data'!$A1:$AE734,8,FALSE)*$Q443*_xlfn.IFERROR((VLOOKUP(P443,'Settings'!$E$28:$F$33,2,FALSE)+1),1)</f>
        <v>12.8073788997058</v>
      </c>
      <c r="U443" s="48">
        <f>SUM(S443:T443)</f>
        <v>17.2938873362213</v>
      </c>
      <c r="V443" s="48">
        <f>VLOOKUP(B443,'Player Data'!$A1:$AE734,10,FALSE)*$Q443*_xlfn.IFERROR(((VLOOKUP(P443,'Settings'!$E$28:$F$33,2,FALSE)/2)+1),1)</f>
        <v>76.538493949857</v>
      </c>
      <c r="W443" s="48">
        <f>VLOOKUP(B443,'Player Data'!$A1:$AE734,11,FALSE)*$Q443*_xlfn.IFERROR((VLOOKUP(P443,'Settings'!$E$28:$F$33,2,FALSE)+1),1)</f>
        <v>0.418450207007517</v>
      </c>
      <c r="X443" s="48">
        <f>VLOOKUP(B443,'Player Data'!$A1:$AE734,12,FALSE)*$Q443*_xlfn.IFERROR((VLOOKUP(P443,'Settings'!$E$28:$F$33,2,FALSE)+1),1)</f>
        <v>1.74946957308085</v>
      </c>
      <c r="Y443" s="48">
        <f>VLOOKUP(B443,'Player Data'!$A1:$AE734,13,FALSE)*$Q443</f>
        <v>0</v>
      </c>
      <c r="Z443" s="48">
        <f>VLOOKUP(B443,'Player Data'!$A1:$AE734,14,FALSE)*$Q443</f>
        <v>0</v>
      </c>
      <c r="AA443" s="48">
        <f>VLOOKUP(B443,'Player Data'!$A1:$AE734,15,FALSE)*$Q443</f>
        <v>52.7071544594164</v>
      </c>
      <c r="AB443" s="48">
        <f>VLOOKUP(B443,'Player Data'!$A1:$AE734,16,FALSE)*$Q443</f>
        <v>45.5234119308178</v>
      </c>
      <c r="AC443" s="48">
        <f>VLOOKUP(B443,'Player Data'!$A1:$AE734,17,FALSE)*$Q443*_xlfn.IFERROR((VLOOKUP(P443,'Settings'!$E$28:$F$33,2,FALSE)+1),1)</f>
        <v>2.34900840598521</v>
      </c>
      <c r="AD443" s="48">
        <f>VLOOKUP(B443,'Player Data'!$A1:$AE734,18,FALSE)*$Q443</f>
        <v>0</v>
      </c>
      <c r="AE443" s="48">
        <f>VLOOKUP(B443,'Player Data'!$A1:$AE734,19,FALSE)*$Q443*_xlfn.IFERROR((VLOOKUP(P443,'Settings'!$E$28:$F$33,2,FALSE)+1),1)</f>
        <v>0.749687708623986</v>
      </c>
      <c r="AF443" s="48">
        <f>VLOOKUP(B443,'Player Data'!$A1:$AE734,20,FALSE)*$Q443</f>
        <v>0</v>
      </c>
      <c r="AG443" s="48">
        <f>VLOOKUP(B443,'Player Data'!$A1:$AE734,21,FALSE)*$Q443</f>
        <v>0</v>
      </c>
      <c r="AH443" s="49">
        <f>VLOOKUP(B443,'Player Data'!$A1:$AE734,22,FALSE)</f>
        <v>0</v>
      </c>
      <c r="AI443" s="46"/>
      <c r="AJ443" s="50"/>
      <c r="AK443" s="48"/>
      <c r="AL443" s="48"/>
      <c r="AM443" s="48"/>
      <c r="AN443" s="48"/>
      <c r="AO443" s="48"/>
      <c r="AP443" s="48"/>
      <c r="AQ443" s="51"/>
      <c r="AR443" s="52"/>
      <c r="AS443" s="46"/>
    </row>
    <row r="444" ht="21.25" customHeight="1">
      <c r="A444" s="53">
        <f>RANK(K444,K2:K730)</f>
        <v>441</v>
      </c>
      <c r="B444" t="s" s="8">
        <v>596</v>
      </c>
      <c r="C444" t="s" s="39">
        <v>106</v>
      </c>
      <c r="D444" t="s" s="40">
        <f>VLOOKUP(B444,'Player Data'!A1:D734,4,FALSE)</f>
        <v>107</v>
      </c>
      <c r="E444" s="41">
        <f>VLOOKUP(B444,'C'!A1:C218,3,FALSE)</f>
        <v>110</v>
      </c>
      <c r="F444" t="s" s="42">
        <f>VLOOKUP(B444,'Player Data'!A1:B734,2,FALSE)</f>
        <v>134</v>
      </c>
      <c r="G444" s="9">
        <f>VLOOKUP(B444,'Player Data'!A1:D734,3,FALSE)</f>
        <v>30</v>
      </c>
      <c r="H444" s="43">
        <f>_xlfn.IFERROR(VLOOKUP(B444,'ADP'!A1:G731,7,FALSE)/1000000,VLOOKUP(B444,'ADP'!A1:G731,7,FALSE))</f>
        <v>2.1</v>
      </c>
      <c r="I444" s="44">
        <f>IF('Settings'!$E$15="POINTS",((R444*Q444)*'Settings'!$B$12)+(S444*'Settings'!$B$2)+(T444*'Settings'!$B$3)+(U444*'Settings'!$B$4)+(V444*'Settings'!$B$5)+(X444*'Settings'!$B$9)+(AA444*'Settings'!$B$6)+(W444*'Settings'!$B$8)+(AB444*'Settings'!$B$7)+(AC444*'Settings'!$B$14)+(AD444*'Settings'!$B$15)+(AE444*'Settings'!$B$16)+(AF444*'Settings'!$B$17)+(AG444*'Settings'!$B$18)+(Y444*'Settings'!$B$10)+(Z444*'Settings'!$B$11),VLOOKUP(B444,'Standard Deviations'!A1:C731,3,FALSE))</f>
        <v>231.519820313394</v>
      </c>
      <c r="J444" s="45">
        <f>IF(D444="G",I444/AJ444,I444/Q444)</f>
        <v>3.05486935626804</v>
      </c>
      <c r="K444" s="44">
        <f>IF('Settings'!$E$18="C/LW/RW",VLOOKUP(B444,'C'!A1:F218,6,FALSE),VLOOKUP(B444,'F'!A1:F432,6,FALSE))</f>
        <v>-164.254381322621</v>
      </c>
      <c r="L444" s="44">
        <f>_xlfn.IFERROR(K444/H444,"N/A")</f>
        <v>-78.216372058391</v>
      </c>
      <c r="M444" t="s" s="61">
        <f>IF('Settings'!$E$9="YAHOO",VLOOKUP(B444,'ADP'!A1:E731,2,FALSE),IF('Settings'!$E$9="ESPN",VLOOKUP(B444,'ADP'!A1:E731,3,FALSE),IF('Settings'!$E$9="FANTRAX",VLOOKUP(B444,'ADP'!A1:E731,4,FALSE),VLOOKUP(B444,'ADP'!A1:E731,5,FALSE))))</f>
        <v>329</v>
      </c>
      <c r="N444" t="s" s="61">
        <f>_xlfn.IFERROR(M444-A444,"N/A")</f>
        <v>158</v>
      </c>
      <c r="O444" s="46"/>
      <c r="P444" t="s" s="47">
        <f>IF('Settings'!$E$27="ON",VLOOKUP(B444,'ADP'!A1:H731,8,FALSE)," ")</f>
        <v>109</v>
      </c>
      <c r="Q444" s="48">
        <f>IF('Settings'!$E$12="YES",VLOOKUP(B444,'Player Data'!A1:E734,5,FALSE),82)</f>
        <v>75.7871428571429</v>
      </c>
      <c r="R444" s="46">
        <f>VLOOKUP(B444,'Player Data'!$A1:$AE734,6,FALSE)</f>
        <v>15.8398625</v>
      </c>
      <c r="S444" s="48">
        <f>VLOOKUP(B444,'Player Data'!$A1:$AE734,7,FALSE)*$Q444*_xlfn.IFERROR((VLOOKUP(P444,'Settings'!$E$28:$F$33,2,FALSE)+1),1)</f>
        <v>14.3709057868656</v>
      </c>
      <c r="T444" s="48">
        <f>VLOOKUP(B444,'Player Data'!$A1:$AE734,8,FALSE)*$Q444*_xlfn.IFERROR((VLOOKUP(P444,'Settings'!$E$28:$F$33,2,FALSE)+1),1)</f>
        <v>21.5035959201713</v>
      </c>
      <c r="U444" s="48">
        <f>SUM(S444:T444)</f>
        <v>35.8745017070369</v>
      </c>
      <c r="V444" s="48">
        <f>VLOOKUP(B444,'Player Data'!$A1:$AE734,10,FALSE)*$Q444*_xlfn.IFERROR(((VLOOKUP(P444,'Settings'!$E$28:$F$33,2,FALSE)/2)+1),1)</f>
        <v>125.102531043812</v>
      </c>
      <c r="W444" s="48">
        <f>VLOOKUP(B444,'Player Data'!$A1:$AE734,11,FALSE)*$Q444*_xlfn.IFERROR((VLOOKUP(P444,'Settings'!$E$28:$F$33,2,FALSE)+1),1)</f>
        <v>1.40245680356504</v>
      </c>
      <c r="X444" s="48">
        <f>VLOOKUP(B444,'Player Data'!$A1:$AE734,12,FALSE)*$Q444*_xlfn.IFERROR((VLOOKUP(P444,'Settings'!$E$28:$F$33,2,FALSE)+1),1)</f>
        <v>2.57799910837646</v>
      </c>
      <c r="Y444" s="48">
        <f>VLOOKUP(B444,'Player Data'!$A1:$AE734,13,FALSE)*$Q444</f>
        <v>1.10649646206902</v>
      </c>
      <c r="Z444" s="48">
        <f>VLOOKUP(B444,'Player Data'!$A1:$AE734,14,FALSE)*$Q444</f>
        <v>2.52678901059018</v>
      </c>
      <c r="AA444" s="48">
        <f>VLOOKUP(B444,'Player Data'!$A1:$AE734,15,FALSE)*$Q444</f>
        <v>46.1876966322306</v>
      </c>
      <c r="AB444" s="48">
        <f>VLOOKUP(B444,'Player Data'!$A1:$AE734,16,FALSE)*$Q444</f>
        <v>46.565058611132</v>
      </c>
      <c r="AC444" s="48">
        <f>VLOOKUP(B444,'Player Data'!$A1:$AE734,17,FALSE)*$Q444*_xlfn.IFERROR((VLOOKUP(P444,'Settings'!$E$28:$F$33,2,FALSE)+1),1)</f>
        <v>1.9165218814264</v>
      </c>
      <c r="AD444" s="48">
        <f>VLOOKUP(B444,'Player Data'!$A1:$AE734,18,FALSE)*$Q444</f>
        <v>12.777472272240</v>
      </c>
      <c r="AE444" s="48">
        <f>VLOOKUP(B444,'Player Data'!$A1:$AE734,19,FALSE)*$Q444*_xlfn.IFERROR((VLOOKUP(P444,'Settings'!$E$28:$F$33,2,FALSE)+1),1)</f>
        <v>2.3076285392409</v>
      </c>
      <c r="AF444" s="48">
        <f>VLOOKUP(B444,'Player Data'!$A1:$AE734,20,FALSE)*$Q444</f>
        <v>456.637256419146</v>
      </c>
      <c r="AG444" s="48">
        <f>VLOOKUP(B444,'Player Data'!$A1:$AE734,21,FALSE)*$Q444</f>
        <v>459.811997409745</v>
      </c>
      <c r="AH444" s="49">
        <f>VLOOKUP(B444,'Player Data'!$A1:$AE734,22,FALSE)</f>
        <v>0.498267912283559</v>
      </c>
      <c r="AI444" s="46"/>
      <c r="AJ444" s="48"/>
      <c r="AK444" s="48"/>
      <c r="AL444" s="48"/>
      <c r="AM444" s="48"/>
      <c r="AN444" s="48"/>
      <c r="AO444" s="48"/>
      <c r="AP444" s="48"/>
      <c r="AQ444" s="51"/>
      <c r="AR444" s="52"/>
      <c r="AS444" s="46"/>
    </row>
    <row r="445" ht="21.25" customHeight="1">
      <c r="A445" s="53">
        <f>RANK(K445,K2:K730)</f>
        <v>444</v>
      </c>
      <c r="B445" t="s" s="8">
        <v>597</v>
      </c>
      <c r="C445" t="s" s="39">
        <v>106</v>
      </c>
      <c r="D445" t="s" s="40">
        <f>VLOOKUP(B445,'Player Data'!A1:D734,4,FALSE)</f>
        <v>129</v>
      </c>
      <c r="E445" s="56">
        <f>VLOOKUP(B445,'D'!A1:C228,3,FALSE)</f>
        <v>155</v>
      </c>
      <c r="F445" t="s" s="42">
        <f>VLOOKUP(B445,'Player Data'!A1:B734,2,FALSE)</f>
        <v>166</v>
      </c>
      <c r="G445" s="9">
        <f>VLOOKUP(B445,'Player Data'!A1:D734,3,FALSE)</f>
        <v>30</v>
      </c>
      <c r="H445" s="43">
        <f>_xlfn.IFERROR(VLOOKUP(B445,'ADP'!A1:G731,7,FALSE)/1000000,VLOOKUP(B445,'ADP'!A1:G731,7,FALSE))</f>
        <v>1.75</v>
      </c>
      <c r="I445" s="44">
        <f>IF('Settings'!$E$15="POINTS",((R445*Q445)*'Settings'!$B$12)+(S445*'Settings'!$B$2)+(T445*'Settings'!$B$3)+(U445*'Settings'!$B$4)+(V445*'Settings'!$B$5)+(X445*'Settings'!$B$9)+(AA445*'Settings'!$B$6)+(W445*'Settings'!$B$8)+(AB445*'Settings'!$B$7)+(AC445*'Settings'!$B$14)+(AD445*'Settings'!$B$15)+(AE445*'Settings'!$B$16)+(AF445*'Settings'!$B$17)+(AG445*'Settings'!$B$18)+(U445*'Settings'!$B$13)+(Y445*'Settings'!$B$10)+(Z445*'Settings'!$B$11),VLOOKUP(B445,'Standard Deviations'!A1:C731,3,FALSE))</f>
        <v>175.485806041466</v>
      </c>
      <c r="J445" s="45">
        <f>IF(D445="G",I445/AJ445,I445/Q445)</f>
        <v>2.8122725327158</v>
      </c>
      <c r="K445" s="44">
        <f>VLOOKUP(B445,'D'!A1:F228,6,FALSE)</f>
        <v>-165.249332605057</v>
      </c>
      <c r="L445" s="44">
        <f>_xlfn.IFERROR(K445/H445,"N/A")</f>
        <v>-94.42819006003261</v>
      </c>
      <c r="M445" t="s" s="61">
        <f>IF('Settings'!$E$9="YAHOO",VLOOKUP(B445,'ADP'!A1:E731,2,FALSE),IF('Settings'!$E$9="ESPN",VLOOKUP(B445,'ADP'!A1:E731,3,FALSE),IF('Settings'!$E$9="FANTRAX",VLOOKUP(B445,'ADP'!A1:E731,4,FALSE),VLOOKUP(B445,'ADP'!A1:E731,5,FALSE))))</f>
        <v>329</v>
      </c>
      <c r="N445" t="s" s="61">
        <f>_xlfn.IFERROR(M445-A445,"N/A")</f>
        <v>158</v>
      </c>
      <c r="O445" s="46"/>
      <c r="P445" t="s" s="47">
        <f>IF('Settings'!$E$27="ON",VLOOKUP(B445,'ADP'!A1:H731,8,FALSE)," ")</f>
        <v>109</v>
      </c>
      <c r="Q445" s="48">
        <f>IF('Settings'!$E$12="YES",VLOOKUP(B445,'Player Data'!A1:E734,5,FALSE),82)</f>
        <v>62.4</v>
      </c>
      <c r="R445" s="46">
        <f>VLOOKUP(B445,'Player Data'!$A1:$AE734,6,FALSE)</f>
        <v>19.0666608982657</v>
      </c>
      <c r="S445" s="48">
        <f>VLOOKUP(B445,'Player Data'!$A1:$AE734,7,FALSE)*$Q445*_xlfn.IFERROR((VLOOKUP(P445,'Settings'!$E$28:$F$33,2,FALSE)+1),1)</f>
        <v>3.20515856315151</v>
      </c>
      <c r="T445" s="48">
        <f>VLOOKUP(B445,'Player Data'!$A1:$AE734,8,FALSE)*$Q445*_xlfn.IFERROR((VLOOKUP(P445,'Settings'!$E$28:$F$33,2,FALSE)+1),1)</f>
        <v>10.6468395808311</v>
      </c>
      <c r="U445" s="48">
        <f>SUM(S445:T445)</f>
        <v>13.8519981439826</v>
      </c>
      <c r="V445" s="48">
        <f>VLOOKUP(B445,'Player Data'!$A1:$AE734,10,FALSE)*$Q445*_xlfn.IFERROR(((VLOOKUP(P445,'Settings'!$E$28:$F$33,2,FALSE)/2)+1),1)</f>
        <v>73.0871839609011</v>
      </c>
      <c r="W445" s="48">
        <f>VLOOKUP(B445,'Player Data'!$A1:$AE734,11,FALSE)*$Q445*_xlfn.IFERROR((VLOOKUP(P445,'Settings'!$E$28:$F$33,2,FALSE)+1),1)</f>
        <v>0.0162259139568001</v>
      </c>
      <c r="X445" s="48">
        <f>VLOOKUP(B445,'Player Data'!$A1:$AE734,12,FALSE)*$Q445*_xlfn.IFERROR((VLOOKUP(P445,'Settings'!$E$28:$F$33,2,FALSE)+1),1)</f>
        <v>0.113079734642154</v>
      </c>
      <c r="Y445" s="48">
        <f>VLOOKUP(B445,'Player Data'!$A1:$AE734,13,FALSE)*$Q445</f>
        <v>0.0248940364431671</v>
      </c>
      <c r="Z445" s="48">
        <f>VLOOKUP(B445,'Player Data'!$A1:$AE734,14,FALSE)*$Q445</f>
        <v>0.643840263001684</v>
      </c>
      <c r="AA445" s="48">
        <f>VLOOKUP(B445,'Player Data'!$A1:$AE734,15,FALSE)*$Q445</f>
        <v>127.384624614149</v>
      </c>
      <c r="AB445" s="48">
        <f>VLOOKUP(B445,'Player Data'!$A1:$AE734,16,FALSE)*$Q445</f>
        <v>110.393955805051</v>
      </c>
      <c r="AC445" s="48">
        <f>VLOOKUP(B445,'Player Data'!$A1:$AE734,17,FALSE)*$Q445*_xlfn.IFERROR((VLOOKUP(P445,'Settings'!$E$28:$F$33,2,FALSE)+1),1)</f>
        <v>-4.84037435639388</v>
      </c>
      <c r="AD445" s="48">
        <f>VLOOKUP(B445,'Player Data'!$A1:$AE734,18,FALSE)*$Q445</f>
        <v>36.8725638777388</v>
      </c>
      <c r="AE445" s="48">
        <f>VLOOKUP(B445,'Player Data'!$A1:$AE734,19,FALSE)*$Q445*_xlfn.IFERROR((VLOOKUP(P445,'Settings'!$E$28:$F$33,2,FALSE)+1),1)</f>
        <v>0.394253371050226</v>
      </c>
      <c r="AF445" s="48">
        <f>VLOOKUP(B445,'Player Data'!$A1:$AE734,20,FALSE)*$Q445</f>
        <v>0</v>
      </c>
      <c r="AG445" s="48">
        <f>VLOOKUP(B445,'Player Data'!$A1:$AE734,21,FALSE)*$Q445</f>
        <v>0</v>
      </c>
      <c r="AH445" s="49">
        <f>VLOOKUP(B445,'Player Data'!$A1:$AE734,22,FALSE)</f>
        <v>0</v>
      </c>
      <c r="AI445" s="46"/>
      <c r="AJ445" s="50"/>
      <c r="AK445" s="48"/>
      <c r="AL445" s="48"/>
      <c r="AM445" s="48"/>
      <c r="AN445" s="48"/>
      <c r="AO445" s="48"/>
      <c r="AP445" s="48"/>
      <c r="AQ445" s="51"/>
      <c r="AR445" s="52"/>
      <c r="AS445" s="46"/>
    </row>
    <row r="446" ht="21.25" customHeight="1">
      <c r="A446" s="53">
        <f>RANK(K446,K2:K730)</f>
        <v>218</v>
      </c>
      <c r="B446" t="s" s="8">
        <v>598</v>
      </c>
      <c r="C446" t="s" s="39">
        <v>106</v>
      </c>
      <c r="D446" t="s" s="40">
        <f>VLOOKUP(B446,'Player Data'!A1:D734,4,FALSE)</f>
        <v>146</v>
      </c>
      <c r="E446" s="58">
        <f>VLOOKUP(B446,'G'!A1:D75,3,FALSE)</f>
        <v>37</v>
      </c>
      <c r="F446" t="s" s="42">
        <f>VLOOKUP(B446,'Player Data'!A1:B734,2,FALSE)</f>
        <v>225</v>
      </c>
      <c r="G446" s="9">
        <f>VLOOKUP(B446,'Player Data'!A1:D734,3,FALSE)</f>
        <v>31</v>
      </c>
      <c r="H446" s="43">
        <f>_xlfn.IFERROR(VLOOKUP(B446,'ADP'!A1:G731,7,FALSE)/1000000,VLOOKUP(B446,'ADP'!A1:G731,7,FALSE))</f>
        <v>3.8</v>
      </c>
      <c r="I446" s="44">
        <f>IF('Settings'!$E$15="POINTS",(AJ446*'Settings'!$B$29)+(AK446*'Settings'!$B$21)+(AL446*'Settings'!$B$22)+(AN446*'Settings'!$B$24)+(AO446*'Settings'!$B$25)+(AP446*'Settings'!$B$27)+(AM446*'Settings'!$B$23),VLOOKUP(B446,'Standard Deviations'!A1:C731,3,FALSE))</f>
        <v>186.170467526290</v>
      </c>
      <c r="J446" s="45">
        <f>IF(D446="G",I446/AJ446,I446/Q446)</f>
        <v>4.89922282963921</v>
      </c>
      <c r="K446" s="44">
        <f>VLOOKUP(B446,'G'!A1:F75,6,FALSE)</f>
        <v>-79.132753973398</v>
      </c>
      <c r="L446" s="44">
        <f>_xlfn.IFERROR(K446/H446,"N/A")</f>
        <v>-20.8244089403679</v>
      </c>
      <c r="M446" s="46">
        <f>IF('Settings'!$E$9="YAHOO",VLOOKUP(B446,'ADP'!A1:E731,2,FALSE),IF('Settings'!$E$9="ESPN",VLOOKUP(B446,'ADP'!A1:E731,3,FALSE),IF('Settings'!$E$9="FANTRAX",VLOOKUP(B446,'ADP'!A1:E731,4,FALSE),VLOOKUP(B446,'ADP'!A1:E731,5,FALSE))))</f>
        <v>502.1</v>
      </c>
      <c r="N446" s="46">
        <f>_xlfn.IFERROR(M446-A446,"N/A")</f>
        <v>284.1</v>
      </c>
      <c r="O446" s="46"/>
      <c r="P446" t="s" s="47">
        <f>IF('Settings'!$E$27="ON",VLOOKUP(B446,'ADP'!A1:H731,8,FALSE)," ")</f>
        <v>175</v>
      </c>
      <c r="Q446" s="48"/>
      <c r="R446" s="59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9"/>
      <c r="AI446" s="46"/>
      <c r="AJ446" s="50">
        <f>VLOOKUP(B446,'Player Data'!$A1:$AE734,24,FALSE)</f>
        <v>38</v>
      </c>
      <c r="AK446" s="48">
        <f>VLOOKUP(B446,'Player Data'!$A1:$AE734,25,FALSE)*$AJ446*_xlfn.IFERROR((VLOOKUP(P446,'Settings'!$E$28:$F$33,2,FALSE)+1),1)</f>
        <v>13.1919489694691</v>
      </c>
      <c r="AL446" s="48">
        <f>AJ446-AK446-AM446</f>
        <v>20.0580510305309</v>
      </c>
      <c r="AM446" s="48">
        <f>VLOOKUP(B446,'Player Data'!$A1:$AE734,27,FALSE)*$AJ446</f>
        <v>4.75</v>
      </c>
      <c r="AN446" s="48">
        <f>VLOOKUP(B446,'Player Data'!$A1:$AE734,28,FALSE)*AJ446</f>
        <v>1.4526571482127</v>
      </c>
      <c r="AO446" s="48">
        <f>VLOOKUP(B446,'Player Data'!$A1:$AE734,29,FALSE)*$AJ446*_xlfn.IFERROR((VLOOKUP(P446,'Settings'!$E$28:$F$33,2,FALSE)/4)+1,1)</f>
        <v>1059.738305104180</v>
      </c>
      <c r="AP446" s="48">
        <f>VLOOKUP(B446,'Player Data'!$A1:$AE734,31,FALSE)*$AJ446*(_xlfn.IFERROR(1-(VLOOKUP(P446,'Settings'!$E$28:$F$33,2,FALSE)/4),1))</f>
        <v>117.123228238673</v>
      </c>
      <c r="AQ446" s="51">
        <f>1-(AP446/(AO446+AP446))</f>
        <v>0.900478327381483</v>
      </c>
      <c r="AR446" s="52">
        <f>AP446/AJ446</f>
        <v>3.08219021680718</v>
      </c>
      <c r="AS446" s="46"/>
    </row>
    <row r="447" ht="21.25" customHeight="1">
      <c r="A447" s="53">
        <f>RANK(K447,K2:K730)</f>
        <v>219</v>
      </c>
      <c r="B447" t="s" s="8">
        <v>599</v>
      </c>
      <c r="C447" t="s" s="39">
        <v>106</v>
      </c>
      <c r="D447" t="s" s="40">
        <f>VLOOKUP(B447,'Player Data'!A1:D734,4,FALSE)</f>
        <v>146</v>
      </c>
      <c r="E447" s="58">
        <f>VLOOKUP(B447,'G'!A1:D75,3,FALSE)</f>
        <v>38</v>
      </c>
      <c r="F447" t="s" s="42">
        <f>VLOOKUP(B447,'Player Data'!A1:B734,2,FALSE)</f>
        <v>108</v>
      </c>
      <c r="G447" s="9">
        <f>VLOOKUP(B447,'Player Data'!A1:D734,3,FALSE)</f>
        <v>31</v>
      </c>
      <c r="H447" s="43">
        <f>_xlfn.IFERROR(VLOOKUP(B447,'ADP'!A1:G731,7,FALSE)/1000000,VLOOKUP(B447,'ADP'!A1:G731,7,FALSE))</f>
        <v>5</v>
      </c>
      <c r="I447" s="44">
        <f>IF('Settings'!$E$15="POINTS",(AJ447*'Settings'!$B$29)+(AK447*'Settings'!$B$21)+(AL447*'Settings'!$B$22)+(AN447*'Settings'!$B$24)+(AO447*'Settings'!$B$25)+(AP447*'Settings'!$B$27)+(AM447*'Settings'!$B$23),VLOOKUP(B447,'Standard Deviations'!A1:C731,3,FALSE))</f>
        <v>185.772691832983</v>
      </c>
      <c r="J447" s="45">
        <f>IF(D447="G",I447/AJ447,I447/Q447)</f>
        <v>5.80539661978072</v>
      </c>
      <c r="K447" s="44">
        <f>VLOOKUP(B447,'G'!A1:F75,6,FALSE)</f>
        <v>-79.53052966670499</v>
      </c>
      <c r="L447" s="44">
        <f>_xlfn.IFERROR(K447/H447,"N/A")</f>
        <v>-15.906105933341</v>
      </c>
      <c r="M447" s="46">
        <f>IF('Settings'!$E$9="YAHOO",VLOOKUP(B447,'ADP'!A1:E731,2,FALSE),IF('Settings'!$E$9="ESPN",VLOOKUP(B447,'ADP'!A1:E731,3,FALSE),IF('Settings'!$E$9="FANTRAX",VLOOKUP(B447,'ADP'!A1:E731,4,FALSE),VLOOKUP(B447,'ADP'!A1:E731,5,FALSE))))</f>
        <v>326.62</v>
      </c>
      <c r="N447" s="46">
        <f>_xlfn.IFERROR(M447-A447,"N/A")</f>
        <v>107.62</v>
      </c>
      <c r="O447" s="46"/>
      <c r="P447" t="s" s="47">
        <f>IF('Settings'!$E$27="ON",VLOOKUP(B447,'ADP'!A1:H731,8,FALSE)," ")</f>
        <v>109</v>
      </c>
      <c r="Q447" s="48"/>
      <c r="R447" s="59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9"/>
      <c r="AI447" s="46"/>
      <c r="AJ447" s="50">
        <f>VLOOKUP(B447,'Player Data'!$A1:$AE734,24,FALSE)</f>
        <v>32</v>
      </c>
      <c r="AK447" s="48">
        <f>VLOOKUP(B447,'Player Data'!$A1:$AE734,25,FALSE)*$AJ447*_xlfn.IFERROR((VLOOKUP(P447,'Settings'!$E$28:$F$33,2,FALSE)+1),1)</f>
        <v>18.6948509265695</v>
      </c>
      <c r="AL447" s="48">
        <f>AJ447-AK447-AM447</f>
        <v>9.305149073430499</v>
      </c>
      <c r="AM447" s="48">
        <f>VLOOKUP(B447,'Player Data'!$A1:$AE734,27,FALSE)*$AJ447</f>
        <v>4</v>
      </c>
      <c r="AN447" s="48">
        <f>VLOOKUP(B447,'Player Data'!$A1:$AE734,28,FALSE)*AJ447</f>
        <v>1.47491436204917</v>
      </c>
      <c r="AO447" s="48">
        <f>VLOOKUP(B447,'Player Data'!$A1:$AE734,29,FALSE)*$AJ447*_xlfn.IFERROR((VLOOKUP(P447,'Settings'!$E$28:$F$33,2,FALSE)/4)+1,1)</f>
        <v>888.1392630372929</v>
      </c>
      <c r="AP447" s="48">
        <f>VLOOKUP(B447,'Player Data'!$A1:$AE734,31,FALSE)*$AJ447*(_xlfn.IFERROR(1-(VLOOKUP(P447,'Settings'!$E$28:$F$33,2,FALSE)/4),1))</f>
        <v>94.1189219627072</v>
      </c>
      <c r="AQ447" s="51">
        <f>1-(AP447/(AO447+AP447))</f>
        <v>0.904181076421667</v>
      </c>
      <c r="AR447" s="52">
        <f>AP447/AJ447</f>
        <v>2.9412163113346</v>
      </c>
      <c r="AS447" s="46"/>
    </row>
    <row r="448" ht="21.25" customHeight="1">
      <c r="A448" s="53">
        <f>RANK(K448,K2:K730)</f>
        <v>496</v>
      </c>
      <c r="B448" t="s" s="8">
        <v>600</v>
      </c>
      <c r="C448" t="s" s="39">
        <v>106</v>
      </c>
      <c r="D448" t="s" s="40">
        <f>VLOOKUP(B448,'Player Data'!A1:D734,4,FALSE)</f>
        <v>121</v>
      </c>
      <c r="E448" s="55">
        <f>VLOOKUP(B448,'RW'!A1:F132,3,FALSE)</f>
        <v>90</v>
      </c>
      <c r="F448" t="s" s="42">
        <f>VLOOKUP(B448,'Player Data'!A1:B734,2,FALSE)</f>
        <v>136</v>
      </c>
      <c r="G448" s="9">
        <f>VLOOKUP(B448,'Player Data'!A1:D734,3,FALSE)</f>
        <v>34</v>
      </c>
      <c r="H448" s="43">
        <f>_xlfn.IFERROR(VLOOKUP(B448,'ADP'!A1:G731,7,FALSE)/1000000,VLOOKUP(B448,'ADP'!A1:G731,7,FALSE))</f>
        <v>2.71</v>
      </c>
      <c r="I448" s="44">
        <f>IF('Settings'!$E$15="POINTS",((R448*Q448)*'Settings'!$B$12)+(S448*'Settings'!$B$2)+(T448*'Settings'!$B$3)+(U448*'Settings'!$B$4)+(V448*'Settings'!$B$5)+(X448*'Settings'!$B$9)+(AA448*'Settings'!$B$6)+(W448*'Settings'!$B$8)+(AB448*'Settings'!$B$7)+(AC448*'Settings'!$B$14)+(AD448*'Settings'!$B$15)+(AE448*'Settings'!$B$16)+(AF448*'Settings'!$B$17)+(AG448*'Settings'!$B$18)+(Y448*'Settings'!$B$10)+(Z448*'Settings'!$B$11),VLOOKUP(B448,'Standard Deviations'!A1:C731,3,FALSE))</f>
        <v>200.113037397079</v>
      </c>
      <c r="J448" s="45">
        <f>IF(D448="G",I448/AJ448,I448/Q448)</f>
        <v>2.50969271261806</v>
      </c>
      <c r="K448" s="44">
        <f>IF('Settings'!$E$18="C/LW/RW",VLOOKUP(B448,'RW'!A1:F132,6,FALSE),VLOOKUP(B448,'F'!A1:F432,6,FALSE))</f>
        <v>-181.515526309277</v>
      </c>
      <c r="L448" s="44">
        <f>_xlfn.IFERROR(K448/H448,"N/A")</f>
        <v>-66.9798990071133</v>
      </c>
      <c r="M448" t="s" s="61">
        <f>IF('Settings'!$E$9="YAHOO",VLOOKUP(B448,'ADP'!A1:E731,2,FALSE),IF('Settings'!$E$9="ESPN",VLOOKUP(B448,'ADP'!A1:E731,3,FALSE),IF('Settings'!$E$9="FANTRAX",VLOOKUP(B448,'ADP'!A1:E731,4,FALSE),VLOOKUP(B448,'ADP'!A1:E731,5,FALSE))))</f>
        <v>329</v>
      </c>
      <c r="N448" t="s" s="61">
        <f>_xlfn.IFERROR(M448-A448,"N/A")</f>
        <v>158</v>
      </c>
      <c r="O448" s="46"/>
      <c r="P448" t="s" s="47">
        <f>IF('Settings'!$E$27="ON",VLOOKUP(B448,'ADP'!A1:H731,8,FALSE)," ")</f>
        <v>109</v>
      </c>
      <c r="Q448" s="48">
        <f>IF('Settings'!$E$12="YES",VLOOKUP(B448,'Player Data'!A1:E734,5,FALSE),82)</f>
        <v>79.73607142857141</v>
      </c>
      <c r="R448" s="46">
        <f>VLOOKUP(B448,'Player Data'!$A1:$AE734,6,FALSE)</f>
        <v>13.7212905977057</v>
      </c>
      <c r="S448" s="48">
        <f>VLOOKUP(B448,'Player Data'!$A1:$AE734,7,FALSE)*$Q448*_xlfn.IFERROR((VLOOKUP(P448,'Settings'!$E$28:$F$33,2,FALSE)+1),1)</f>
        <v>10.510819597283</v>
      </c>
      <c r="T448" s="48">
        <f>VLOOKUP(B448,'Player Data'!$A1:$AE734,8,FALSE)*$Q448*_xlfn.IFERROR((VLOOKUP(P448,'Settings'!$E$28:$F$33,2,FALSE)+1),1)</f>
        <v>19.9288433848628</v>
      </c>
      <c r="U448" s="48">
        <f>SUM(S448:T448)</f>
        <v>30.4396629821458</v>
      </c>
      <c r="V448" s="48">
        <f>VLOOKUP(B448,'Player Data'!$A1:$AE734,10,FALSE)*$Q448*_xlfn.IFERROR(((VLOOKUP(P448,'Settings'!$E$28:$F$33,2,FALSE)/2)+1),1)</f>
        <v>122.822713434770</v>
      </c>
      <c r="W448" s="48">
        <f>VLOOKUP(B448,'Player Data'!$A1:$AE734,11,FALSE)*$Q448*_xlfn.IFERROR((VLOOKUP(P448,'Settings'!$E$28:$F$33,2,FALSE)+1),1)</f>
        <v>1.47141315744261</v>
      </c>
      <c r="X448" s="48">
        <f>VLOOKUP(B448,'Player Data'!$A1:$AE734,12,FALSE)*$Q448*_xlfn.IFERROR((VLOOKUP(P448,'Settings'!$E$28:$F$33,2,FALSE)+1),1)</f>
        <v>5.421061024271</v>
      </c>
      <c r="Y448" s="48">
        <f>VLOOKUP(B448,'Player Data'!$A1:$AE734,13,FALSE)*$Q448</f>
        <v>0.07592294157375511</v>
      </c>
      <c r="Z448" s="48">
        <f>VLOOKUP(B448,'Player Data'!$A1:$AE734,14,FALSE)*$Q448</f>
        <v>0.144855921461834</v>
      </c>
      <c r="AA448" s="48">
        <f>VLOOKUP(B448,'Player Data'!$A1:$AE734,15,FALSE)*$Q448</f>
        <v>37.3009136569317</v>
      </c>
      <c r="AB448" s="48">
        <f>VLOOKUP(B448,'Player Data'!$A1:$AE734,16,FALSE)*$Q448</f>
        <v>50.7051746637703</v>
      </c>
      <c r="AC448" s="48">
        <f>VLOOKUP(B448,'Player Data'!$A1:$AE734,17,FALSE)*$Q448*_xlfn.IFERROR((VLOOKUP(P448,'Settings'!$E$28:$F$33,2,FALSE)+1),1)</f>
        <v>4.61411553147982</v>
      </c>
      <c r="AD448" s="48">
        <f>VLOOKUP(B448,'Player Data'!$A1:$AE734,18,FALSE)*$Q448</f>
        <v>17.1527043427918</v>
      </c>
      <c r="AE448" s="48">
        <f>VLOOKUP(B448,'Player Data'!$A1:$AE734,19,FALSE)*$Q448*_xlfn.IFERROR((VLOOKUP(P448,'Settings'!$E$28:$F$33,2,FALSE)+1),1)</f>
        <v>1.68165662379276</v>
      </c>
      <c r="AF448" s="48">
        <f>VLOOKUP(B448,'Player Data'!$A1:$AE734,20,FALSE)*$Q448</f>
        <v>1.22104990842853</v>
      </c>
      <c r="AG448" s="48">
        <f>VLOOKUP(B448,'Player Data'!$A1:$AE734,21,FALSE)*$Q448</f>
        <v>5.49107580423787</v>
      </c>
      <c r="AH448" s="49">
        <f>VLOOKUP(B448,'Player Data'!$A1:$AE734,22,FALSE)</f>
        <v>0.181917020136303</v>
      </c>
      <c r="AI448" s="46"/>
      <c r="AJ448" s="50"/>
      <c r="AK448" s="48"/>
      <c r="AL448" s="48"/>
      <c r="AM448" s="48"/>
      <c r="AN448" s="48"/>
      <c r="AO448" s="48"/>
      <c r="AP448" s="48"/>
      <c r="AQ448" s="51"/>
      <c r="AR448" s="52"/>
      <c r="AS448" s="46"/>
    </row>
    <row r="449" ht="21.25" customHeight="1">
      <c r="A449" s="53">
        <f>RANK(K449,K2:K730)</f>
        <v>465</v>
      </c>
      <c r="B449" t="s" s="8">
        <v>601</v>
      </c>
      <c r="C449" t="s" s="39">
        <v>106</v>
      </c>
      <c r="D449" t="s" s="40">
        <f>VLOOKUP(B449,'Player Data'!A1:D734,4,FALSE)</f>
        <v>129</v>
      </c>
      <c r="E449" s="56">
        <f>VLOOKUP(B449,'D'!A1:C228,3,FALSE)</f>
        <v>163</v>
      </c>
      <c r="F449" t="s" s="42">
        <f>VLOOKUP(B449,'Player Data'!A1:B734,2,FALSE)</f>
        <v>164</v>
      </c>
      <c r="G449" s="9">
        <f>VLOOKUP(B449,'Player Data'!A1:D734,3,FALSE)</f>
        <v>24</v>
      </c>
      <c r="H449" s="43">
        <f>_xlfn.IFERROR(VLOOKUP(B449,'ADP'!A1:G731,7,FALSE)/1000000,VLOOKUP(B449,'ADP'!A1:G731,7,FALSE))</f>
        <v>1.4</v>
      </c>
      <c r="I449" s="44">
        <f>IF('Settings'!$E$15="POINTS",((R449*Q449)*'Settings'!$B$12)+(S449*'Settings'!$B$2)+(T449*'Settings'!$B$3)+(U449*'Settings'!$B$4)+(V449*'Settings'!$B$5)+(X449*'Settings'!$B$9)+(AA449*'Settings'!$B$6)+(W449*'Settings'!$B$8)+(AB449*'Settings'!$B$7)+(AC449*'Settings'!$B$14)+(AD449*'Settings'!$B$15)+(AE449*'Settings'!$B$16)+(AF449*'Settings'!$B$17)+(AG449*'Settings'!$B$18)+(U449*'Settings'!$B$13)+(Y449*'Settings'!$B$10)+(Z449*'Settings'!$B$11),VLOOKUP(B449,'Standard Deviations'!A1:C731,3,FALSE))</f>
        <v>169.510600583036</v>
      </c>
      <c r="J449" s="45">
        <f>IF(D449="G",I449/AJ449,I449/Q449)</f>
        <v>2.28620406747638</v>
      </c>
      <c r="K449" s="44">
        <f>VLOOKUP(B449,'D'!A1:F228,6,FALSE)</f>
        <v>-171.224538063487</v>
      </c>
      <c r="L449" s="44">
        <f>_xlfn.IFERROR(K449/H449,"N/A")</f>
        <v>-122.303241473919</v>
      </c>
      <c r="M449" t="s" s="61">
        <f>IF('Settings'!$E$9="YAHOO",VLOOKUP(B449,'ADP'!A1:E731,2,FALSE),IF('Settings'!$E$9="ESPN",VLOOKUP(B449,'ADP'!A1:E731,3,FALSE),IF('Settings'!$E$9="FANTRAX",VLOOKUP(B449,'ADP'!A1:E731,4,FALSE),VLOOKUP(B449,'ADP'!A1:E731,5,FALSE))))</f>
        <v>329</v>
      </c>
      <c r="N449" t="s" s="61">
        <f>_xlfn.IFERROR(M449-A449,"N/A")</f>
        <v>158</v>
      </c>
      <c r="O449" s="46"/>
      <c r="P449" t="s" s="47">
        <f>IF('Settings'!$E$27="ON",VLOOKUP(B449,'ADP'!A1:H731,8,FALSE)," ")</f>
        <v>109</v>
      </c>
      <c r="Q449" s="48">
        <f>IF('Settings'!$E$12="YES",VLOOKUP(B449,'Player Data'!A1:E734,5,FALSE),82)</f>
        <v>74.145</v>
      </c>
      <c r="R449" s="46">
        <f>VLOOKUP(B449,'Player Data'!$A1:$AE734,6,FALSE)</f>
        <v>16.6680274090347</v>
      </c>
      <c r="S449" s="48">
        <f>VLOOKUP(B449,'Player Data'!$A1:$AE734,7,FALSE)*$Q449*_xlfn.IFERROR((VLOOKUP(P449,'Settings'!$E$28:$F$33,2,FALSE)+1),1)</f>
        <v>2.95898197885168</v>
      </c>
      <c r="T449" s="48">
        <f>VLOOKUP(B449,'Player Data'!$A1:$AE734,8,FALSE)*$Q449*_xlfn.IFERROR((VLOOKUP(P449,'Settings'!$E$28:$F$33,2,FALSE)+1),1)</f>
        <v>12.2307885669647</v>
      </c>
      <c r="U449" s="48">
        <f>SUM(S449:T449)</f>
        <v>15.1897705458164</v>
      </c>
      <c r="V449" s="48">
        <f>VLOOKUP(B449,'Player Data'!$A1:$AE734,10,FALSE)*$Q449*_xlfn.IFERROR(((VLOOKUP(P449,'Settings'!$E$28:$F$33,2,FALSE)/2)+1),1)</f>
        <v>70.8423232645646</v>
      </c>
      <c r="W449" s="48">
        <f>VLOOKUP(B449,'Player Data'!$A1:$AE734,11,FALSE)*$Q449*_xlfn.IFERROR((VLOOKUP(P449,'Settings'!$E$28:$F$33,2,FALSE)+1),1)</f>
        <v>0.0268365715825346</v>
      </c>
      <c r="X449" s="48">
        <f>VLOOKUP(B449,'Player Data'!$A1:$AE734,12,FALSE)*$Q449*_xlfn.IFERROR((VLOOKUP(P449,'Settings'!$E$28:$F$33,2,FALSE)+1),1)</f>
        <v>0.181910556738668</v>
      </c>
      <c r="Y449" s="48">
        <f>VLOOKUP(B449,'Player Data'!$A1:$AE734,13,FALSE)*$Q449</f>
        <v>0.0459898636666843</v>
      </c>
      <c r="Z449" s="48">
        <f>VLOOKUP(B449,'Player Data'!$A1:$AE734,14,FALSE)*$Q449</f>
        <v>0.878291909716743</v>
      </c>
      <c r="AA449" s="48">
        <f>VLOOKUP(B449,'Player Data'!$A1:$AE734,15,FALSE)*$Q449</f>
        <v>108.210922792355</v>
      </c>
      <c r="AB449" s="48">
        <f>VLOOKUP(B449,'Player Data'!$A1:$AE734,16,FALSE)*$Q449</f>
        <v>112.878436517666</v>
      </c>
      <c r="AC449" s="48">
        <f>VLOOKUP(B449,'Player Data'!$A1:$AE734,17,FALSE)*$Q449*_xlfn.IFERROR((VLOOKUP(P449,'Settings'!$E$28:$F$33,2,FALSE)+1),1)</f>
        <v>2.54236190896514</v>
      </c>
      <c r="AD449" s="48">
        <f>VLOOKUP(B449,'Player Data'!$A1:$AE734,18,FALSE)*$Q449</f>
        <v>31.2643386316</v>
      </c>
      <c r="AE449" s="48">
        <f>VLOOKUP(B449,'Player Data'!$A1:$AE734,19,FALSE)*$Q449*_xlfn.IFERROR((VLOOKUP(P449,'Settings'!$E$28:$F$33,2,FALSE)+1),1)</f>
        <v>0.461611092952137</v>
      </c>
      <c r="AF449" s="48">
        <f>VLOOKUP(B449,'Player Data'!$A1:$AE734,20,FALSE)*$Q449</f>
        <v>0</v>
      </c>
      <c r="AG449" s="48">
        <f>VLOOKUP(B449,'Player Data'!$A1:$AE734,21,FALSE)*$Q449</f>
        <v>0</v>
      </c>
      <c r="AH449" s="49">
        <f>VLOOKUP(B449,'Player Data'!$A1:$AE734,22,FALSE)</f>
        <v>0</v>
      </c>
      <c r="AI449" s="46"/>
      <c r="AJ449" s="50"/>
      <c r="AK449" s="48"/>
      <c r="AL449" s="48"/>
      <c r="AM449" s="48"/>
      <c r="AN449" s="48"/>
      <c r="AO449" s="48"/>
      <c r="AP449" s="48"/>
      <c r="AQ449" s="51"/>
      <c r="AR449" s="52"/>
      <c r="AS449" s="46"/>
    </row>
    <row r="450" ht="21.25" customHeight="1">
      <c r="A450" s="53">
        <f>RANK(K450,K2:K730)</f>
        <v>506</v>
      </c>
      <c r="B450" t="s" s="8">
        <v>602</v>
      </c>
      <c r="C450" t="s" s="39">
        <v>106</v>
      </c>
      <c r="D450" t="s" s="40">
        <f>VLOOKUP(B450,'Player Data'!A1:D734,4,FALSE)</f>
        <v>129</v>
      </c>
      <c r="E450" s="56">
        <f>VLOOKUP(B450,'D'!A1:C228,3,FALSE)</f>
        <v>173</v>
      </c>
      <c r="F450" t="s" s="42">
        <f>VLOOKUP(B450,'Player Data'!A1:B734,2,FALSE)</f>
        <v>119</v>
      </c>
      <c r="G450" s="9">
        <f>VLOOKUP(B450,'Player Data'!A1:D734,3,FALSE)</f>
        <v>25</v>
      </c>
      <c r="H450" s="43">
        <f>_xlfn.IFERROR(VLOOKUP(B450,'ADP'!A1:G731,7,FALSE)/1000000,VLOOKUP(B450,'ADP'!A1:G731,7,FALSE))</f>
        <v>0.925</v>
      </c>
      <c r="I450" s="44">
        <f>IF('Settings'!$E$15="POINTS",((R450*Q450)*'Settings'!$B$12)+(S450*'Settings'!$B$2)+(T450*'Settings'!$B$3)+(U450*'Settings'!$B$4)+(V450*'Settings'!$B$5)+(X450*'Settings'!$B$9)+(AA450*'Settings'!$B$6)+(W450*'Settings'!$B$8)+(AB450*'Settings'!$B$7)+(AC450*'Settings'!$B$14)+(AD450*'Settings'!$B$15)+(AE450*'Settings'!$B$16)+(AF450*'Settings'!$B$17)+(AG450*'Settings'!$B$18)+(U450*'Settings'!$B$13)+(Y450*'Settings'!$B$10)+(Z450*'Settings'!$B$11),VLOOKUP(B450,'Standard Deviations'!A1:C731,3,FALSE))</f>
        <v>156.410490380698</v>
      </c>
      <c r="J450" s="45">
        <f>IF(D450="G",I450/AJ450,I450/Q450)</f>
        <v>2.24458200367967</v>
      </c>
      <c r="K450" s="44">
        <f>VLOOKUP(B450,'D'!A1:F228,6,FALSE)</f>
        <v>-184.324648265825</v>
      </c>
      <c r="L450" s="44">
        <f>_xlfn.IFERROR(K450/H450,"N/A")</f>
        <v>-199.269890017108</v>
      </c>
      <c r="M450" t="s" s="61">
        <f>IF('Settings'!$E$9="YAHOO",VLOOKUP(B450,'ADP'!A1:E731,2,FALSE),IF('Settings'!$E$9="ESPN",VLOOKUP(B450,'ADP'!A1:E731,3,FALSE),IF('Settings'!$E$9="FANTRAX",VLOOKUP(B450,'ADP'!A1:E731,4,FALSE),VLOOKUP(B450,'ADP'!A1:E731,5,FALSE))))</f>
        <v>329</v>
      </c>
      <c r="N450" t="s" s="61">
        <f>_xlfn.IFERROR(M450-A450,"N/A")</f>
        <v>158</v>
      </c>
      <c r="O450" s="46"/>
      <c r="P450" t="s" s="47">
        <f>IF('Settings'!$E$27="ON",VLOOKUP(B450,'ADP'!A1:H731,8,FALSE)," ")</f>
        <v>109</v>
      </c>
      <c r="Q450" s="48">
        <f>IF('Settings'!$E$12="YES",VLOOKUP(B450,'Player Data'!A1:E734,5,FALSE),82)</f>
        <v>69.6835714285714</v>
      </c>
      <c r="R450" s="46">
        <f>VLOOKUP(B450,'Player Data'!$A1:$AE734,6,FALSE)</f>
        <v>15.8757315118324</v>
      </c>
      <c r="S450" s="48">
        <f>VLOOKUP(B450,'Player Data'!$A1:$AE734,7,FALSE)*$Q450*_xlfn.IFERROR((VLOOKUP(P450,'Settings'!$E$28:$F$33,2,FALSE)+1),1)</f>
        <v>4.38039520352166</v>
      </c>
      <c r="T450" s="48">
        <f>VLOOKUP(B450,'Player Data'!$A1:$AE734,8,FALSE)*$Q450*_xlfn.IFERROR((VLOOKUP(P450,'Settings'!$E$28:$F$33,2,FALSE)+1),1)</f>
        <v>12.0731526904652</v>
      </c>
      <c r="U450" s="48">
        <f>SUM(S450:T450)</f>
        <v>16.4535478939869</v>
      </c>
      <c r="V450" s="48">
        <f>VLOOKUP(B450,'Player Data'!$A1:$AE734,10,FALSE)*$Q450*_xlfn.IFERROR(((VLOOKUP(P450,'Settings'!$E$28:$F$33,2,FALSE)/2)+1),1)</f>
        <v>76.64453232934569</v>
      </c>
      <c r="W450" s="48">
        <f>VLOOKUP(B450,'Player Data'!$A1:$AE734,11,FALSE)*$Q450*_xlfn.IFERROR((VLOOKUP(P450,'Settings'!$E$28:$F$33,2,FALSE)+1),1)</f>
        <v>0.0188423515076022</v>
      </c>
      <c r="X450" s="48">
        <f>VLOOKUP(B450,'Player Data'!$A1:$AE734,12,FALSE)*$Q450*_xlfn.IFERROR((VLOOKUP(P450,'Settings'!$E$28:$F$33,2,FALSE)+1),1)</f>
        <v>0.12902119409492</v>
      </c>
      <c r="Y450" s="48">
        <f>VLOOKUP(B450,'Player Data'!$A1:$AE734,13,FALSE)*$Q450</f>
        <v>0.0173054600850599</v>
      </c>
      <c r="Z450" s="48">
        <f>VLOOKUP(B450,'Player Data'!$A1:$AE734,14,FALSE)*$Q450</f>
        <v>0.0647654129091554</v>
      </c>
      <c r="AA450" s="48">
        <f>VLOOKUP(B450,'Player Data'!$A1:$AE734,15,FALSE)*$Q450</f>
        <v>74.8593995223745</v>
      </c>
      <c r="AB450" s="48">
        <f>VLOOKUP(B450,'Player Data'!$A1:$AE734,16,FALSE)*$Q450</f>
        <v>98.3910285671069</v>
      </c>
      <c r="AC450" s="48">
        <f>VLOOKUP(B450,'Player Data'!$A1:$AE734,17,FALSE)*$Q450*_xlfn.IFERROR((VLOOKUP(P450,'Settings'!$E$28:$F$33,2,FALSE)+1),1)</f>
        <v>3.73950883791808</v>
      </c>
      <c r="AD450" s="48">
        <f>VLOOKUP(B450,'Player Data'!$A1:$AE734,18,FALSE)*$Q450</f>
        <v>26.5060788251794</v>
      </c>
      <c r="AE450" s="48">
        <f>VLOOKUP(B450,'Player Data'!$A1:$AE734,19,FALSE)*$Q450*_xlfn.IFERROR((VLOOKUP(P450,'Settings'!$E$28:$F$33,2,FALSE)+1),1)</f>
        <v>0.628377683551126</v>
      </c>
      <c r="AF450" s="48">
        <f>VLOOKUP(B450,'Player Data'!$A1:$AE734,20,FALSE)*$Q450</f>
        <v>0</v>
      </c>
      <c r="AG450" s="48">
        <f>VLOOKUP(B450,'Player Data'!$A1:$AE734,21,FALSE)*$Q450</f>
        <v>0</v>
      </c>
      <c r="AH450" s="49">
        <f>VLOOKUP(B450,'Player Data'!$A1:$AE734,22,FALSE)</f>
        <v>0</v>
      </c>
      <c r="AI450" s="46"/>
      <c r="AJ450" s="50"/>
      <c r="AK450" s="48"/>
      <c r="AL450" s="48"/>
      <c r="AM450" s="48"/>
      <c r="AN450" s="48"/>
      <c r="AO450" s="48"/>
      <c r="AP450" s="48"/>
      <c r="AQ450" s="51"/>
      <c r="AR450" s="52"/>
      <c r="AS450" s="46"/>
    </row>
    <row r="451" ht="21.25" customHeight="1">
      <c r="A451" s="53">
        <f>RANK(K451,K2:K730)</f>
        <v>223</v>
      </c>
      <c r="B451" t="s" s="8">
        <v>603</v>
      </c>
      <c r="C451" t="s" s="39">
        <v>106</v>
      </c>
      <c r="D451" t="s" s="40">
        <f>VLOOKUP(B451,'Player Data'!A1:D734,4,FALSE)</f>
        <v>146</v>
      </c>
      <c r="E451" s="58">
        <f>VLOOKUP(B451,'G'!A1:D75,3,FALSE)</f>
        <v>39</v>
      </c>
      <c r="F451" t="s" s="42">
        <f>VLOOKUP(B451,'Player Data'!A1:B734,2,FALSE)</f>
        <v>258</v>
      </c>
      <c r="G451" s="9">
        <f>VLOOKUP(B451,'Player Data'!A1:D734,3,FALSE)</f>
        <v>33</v>
      </c>
      <c r="H451" s="43">
        <f>_xlfn.IFERROR(VLOOKUP(B451,'ADP'!A1:G731,7,FALSE)/1000000,VLOOKUP(B451,'ADP'!A1:G731,7,FALSE))</f>
        <v>0</v>
      </c>
      <c r="I451" s="44">
        <f>IF('Settings'!$E$15="POINTS",(AJ451*'Settings'!$B$29)+(AK451*'Settings'!$B$21)+(AL451*'Settings'!$B$22)+(AN451*'Settings'!$B$24)+(AO451*'Settings'!$B$25)+(AP451*'Settings'!$B$27)+(AM451*'Settings'!$B$23),VLOOKUP(B451,'Standard Deviations'!A1:C731,3,FALSE))</f>
        <v>183.757105785557</v>
      </c>
      <c r="J451" s="45">
        <f>IF(D451="G",I451/AJ451,I451/Q451)</f>
        <v>5.10436404959881</v>
      </c>
      <c r="K451" s="44">
        <f>VLOOKUP(B451,'G'!A1:F75,6,FALSE)</f>
        <v>-81.54611571413101</v>
      </c>
      <c r="L451" t="s" s="60">
        <f>_xlfn.IFERROR(K451/H451,"N/A")</f>
        <v>158</v>
      </c>
      <c r="M451" s="46">
        <f>IF('Settings'!$E$9="YAHOO",VLOOKUP(B451,'ADP'!A1:E731,2,FALSE),IF('Settings'!$E$9="ESPN",VLOOKUP(B451,'ADP'!A1:E731,3,FALSE),IF('Settings'!$E$9="FANTRAX",VLOOKUP(B451,'ADP'!A1:E731,4,FALSE),VLOOKUP(B451,'ADP'!A1:E731,5,FALSE))))</f>
        <v>403.03</v>
      </c>
      <c r="N451" s="46">
        <f>_xlfn.IFERROR(M451-A451,"N/A")</f>
        <v>180.03</v>
      </c>
      <c r="O451" s="46"/>
      <c r="P451" t="s" s="47">
        <f>IF('Settings'!$E$27="ON",VLOOKUP(B451,'ADP'!A1:H731,8,FALSE)," ")</f>
        <v>109</v>
      </c>
      <c r="Q451" s="48"/>
      <c r="R451" s="59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9"/>
      <c r="AI451" s="46"/>
      <c r="AJ451" s="50">
        <f>VLOOKUP(B451,'Player Data'!$A1:$AE734,24,FALSE)</f>
        <v>36</v>
      </c>
      <c r="AK451" s="48">
        <f>VLOOKUP(B451,'Player Data'!$A1:$AE734,25,FALSE)*$AJ451*_xlfn.IFERROR((VLOOKUP(P451,'Settings'!$E$28:$F$33,2,FALSE)+1),1)</f>
        <v>13.2280729371735</v>
      </c>
      <c r="AL451" s="48">
        <f>AJ451-AK451-AM451</f>
        <v>18.2719270628265</v>
      </c>
      <c r="AM451" s="48">
        <f>VLOOKUP(B451,'Player Data'!$A1:$AE734,27,FALSE)*$AJ451</f>
        <v>4.5</v>
      </c>
      <c r="AN451" s="48">
        <f>VLOOKUP(B451,'Player Data'!$A1:$AE734,28,FALSE)*AJ451</f>
        <v>1.23949388667817</v>
      </c>
      <c r="AO451" s="48">
        <f>VLOOKUP(B451,'Player Data'!$A1:$AE734,29,FALSE)*$AJ451*_xlfn.IFERROR((VLOOKUP(P451,'Settings'!$E$28:$F$33,2,FALSE)/4)+1,1)</f>
        <v>1024.739779056390</v>
      </c>
      <c r="AP451" s="48">
        <f>VLOOKUP(B451,'Player Data'!$A1:$AE734,31,FALSE)*$AJ451*(_xlfn.IFERROR(1-(VLOOKUP(P451,'Settings'!$E$28:$F$33,2,FALSE)/4),1))</f>
        <v>111.378352268610</v>
      </c>
      <c r="AQ451" s="51">
        <f>1-(AP451/(AO451+AP451))</f>
        <v>0.901965870275554</v>
      </c>
      <c r="AR451" s="52">
        <f>AP451/AJ451</f>
        <v>3.0938431185725</v>
      </c>
      <c r="AS451" s="46"/>
    </row>
    <row r="452" ht="21.25" customHeight="1">
      <c r="A452" s="53">
        <f>RANK(K452,K2:K730)</f>
        <v>482</v>
      </c>
      <c r="B452" t="s" s="8">
        <v>604</v>
      </c>
      <c r="C452" t="s" s="39">
        <v>106</v>
      </c>
      <c r="D452" t="s" s="40">
        <f>VLOOKUP(B452,'Player Data'!A1:D734,4,FALSE)</f>
        <v>107</v>
      </c>
      <c r="E452" s="41">
        <f>VLOOKUP(B452,'C'!A1:C218,3,FALSE)</f>
        <v>123</v>
      </c>
      <c r="F452" t="s" s="42">
        <f>VLOOKUP(B452,'Player Data'!A1:B734,2,FALSE)</f>
        <v>248</v>
      </c>
      <c r="G452" s="9">
        <f>VLOOKUP(B452,'Player Data'!A1:D734,3,FALSE)</f>
        <v>28</v>
      </c>
      <c r="H452" s="43">
        <f>_xlfn.IFERROR(VLOOKUP(B452,'ADP'!A1:G731,7,FALSE)/1000000,VLOOKUP(B452,'ADP'!A1:G731,7,FALSE))</f>
        <v>4.5</v>
      </c>
      <c r="I452" s="44">
        <f>IF('Settings'!$E$15="POINTS",((R452*Q452)*'Settings'!$B$12)+(S452*'Settings'!$B$2)+(T452*'Settings'!$B$3)+(U452*'Settings'!$B$4)+(V452*'Settings'!$B$5)+(X452*'Settings'!$B$9)+(AA452*'Settings'!$B$6)+(W452*'Settings'!$B$8)+(AB452*'Settings'!$B$7)+(AC452*'Settings'!$B$14)+(AD452*'Settings'!$B$15)+(AE452*'Settings'!$B$16)+(AF452*'Settings'!$B$17)+(AG452*'Settings'!$B$18)+(Y452*'Settings'!$B$10)+(Z452*'Settings'!$B$11),VLOOKUP(B452,'Standard Deviations'!A1:C731,3,FALSE))</f>
        <v>219.404022748844</v>
      </c>
      <c r="J452" s="45">
        <f>IF(D452="G",I452/AJ452,I452/Q452)</f>
        <v>2.68367711759335</v>
      </c>
      <c r="K452" s="44">
        <f>IF('Settings'!$E$18="C/LW/RW",VLOOKUP(B452,'C'!A1:F218,6,FALSE),VLOOKUP(B452,'F'!A1:F432,6,FALSE))</f>
        <v>-176.370178887171</v>
      </c>
      <c r="L452" s="44">
        <f>_xlfn.IFERROR(K452/H452,"N/A")</f>
        <v>-39.193373086038</v>
      </c>
      <c r="M452" t="s" s="61">
        <f>IF('Settings'!$E$9="YAHOO",VLOOKUP(B452,'ADP'!A1:E731,2,FALSE),IF('Settings'!$E$9="ESPN",VLOOKUP(B452,'ADP'!A1:E731,3,FALSE),IF('Settings'!$E$9="FANTRAX",VLOOKUP(B452,'ADP'!A1:E731,4,FALSE),VLOOKUP(B452,'ADP'!A1:E731,5,FALSE))))</f>
        <v>329</v>
      </c>
      <c r="N452" t="s" s="61">
        <f>_xlfn.IFERROR(M452-A452,"N/A")</f>
        <v>158</v>
      </c>
      <c r="O452" s="46"/>
      <c r="P452" t="s" s="47">
        <f>IF('Settings'!$E$27="ON",VLOOKUP(B452,'ADP'!A1:H731,8,FALSE)," ")</f>
        <v>109</v>
      </c>
      <c r="Q452" s="48">
        <f>IF('Settings'!$E$12="YES",VLOOKUP(B452,'Player Data'!A1:E734,5,FALSE),82)</f>
        <v>81.755</v>
      </c>
      <c r="R452" s="46">
        <f>VLOOKUP(B452,'Player Data'!$A1:$AE734,6,FALSE)</f>
        <v>17.7041373058324</v>
      </c>
      <c r="S452" s="48">
        <f>VLOOKUP(B452,'Player Data'!$A1:$AE734,7,FALSE)*$Q452*_xlfn.IFERROR((VLOOKUP(P452,'Settings'!$E$28:$F$33,2,FALSE)+1),1)</f>
        <v>13.1211537040837</v>
      </c>
      <c r="T452" s="48">
        <f>VLOOKUP(B452,'Player Data'!$A1:$AE734,8,FALSE)*$Q452*_xlfn.IFERROR((VLOOKUP(P452,'Settings'!$E$28:$F$33,2,FALSE)+1),1)</f>
        <v>22.7709082391492</v>
      </c>
      <c r="U452" s="48">
        <f>SUM(S452:T452)</f>
        <v>35.8920619432329</v>
      </c>
      <c r="V452" s="48">
        <f>VLOOKUP(B452,'Player Data'!$A1:$AE734,10,FALSE)*$Q452*_xlfn.IFERROR(((VLOOKUP(P452,'Settings'!$E$28:$F$33,2,FALSE)/2)+1),1)</f>
        <v>100.380873822647</v>
      </c>
      <c r="W452" s="48">
        <f>VLOOKUP(B452,'Player Data'!$A1:$AE734,11,FALSE)*$Q452*_xlfn.IFERROR((VLOOKUP(P452,'Settings'!$E$28:$F$33,2,FALSE)+1),1)</f>
        <v>2.7673901583878</v>
      </c>
      <c r="X452" s="48">
        <f>VLOOKUP(B452,'Player Data'!$A1:$AE734,12,FALSE)*$Q452*_xlfn.IFERROR((VLOOKUP(P452,'Settings'!$E$28:$F$33,2,FALSE)+1),1)</f>
        <v>6.90336665636878</v>
      </c>
      <c r="Y452" s="48">
        <f>VLOOKUP(B452,'Player Data'!$A1:$AE734,13,FALSE)*$Q452</f>
        <v>0.324181401680351</v>
      </c>
      <c r="Z452" s="48">
        <f>VLOOKUP(B452,'Player Data'!$A1:$AE734,14,FALSE)*$Q452</f>
        <v>0.817808620845477</v>
      </c>
      <c r="AA452" s="48">
        <f>VLOOKUP(B452,'Player Data'!$A1:$AE734,15,FALSE)*$Q452</f>
        <v>56.7808875360309</v>
      </c>
      <c r="AB452" s="48">
        <f>VLOOKUP(B452,'Player Data'!$A1:$AE734,16,FALSE)*$Q452</f>
        <v>47.3184337679582</v>
      </c>
      <c r="AC452" s="48">
        <f>VLOOKUP(B452,'Player Data'!$A1:$AE734,17,FALSE)*$Q452*_xlfn.IFERROR((VLOOKUP(P452,'Settings'!$E$28:$F$33,2,FALSE)+1),1)</f>
        <v>-1.21163362957342</v>
      </c>
      <c r="AD452" s="48">
        <f>VLOOKUP(B452,'Player Data'!$A1:$AE734,18,FALSE)*$Q452</f>
        <v>22.9684296694034</v>
      </c>
      <c r="AE452" s="48">
        <f>VLOOKUP(B452,'Player Data'!$A1:$AE734,19,FALSE)*$Q452*_xlfn.IFERROR((VLOOKUP(P452,'Settings'!$E$28:$F$33,2,FALSE)+1),1)</f>
        <v>1.8443221730851</v>
      </c>
      <c r="AF452" s="48">
        <f>VLOOKUP(B452,'Player Data'!$A1:$AE734,20,FALSE)*$Q452</f>
        <v>590.660237751025</v>
      </c>
      <c r="AG452" s="48">
        <f>VLOOKUP(B452,'Player Data'!$A1:$AE734,21,FALSE)*$Q452</f>
        <v>676.097412393037</v>
      </c>
      <c r="AH452" s="49">
        <f>VLOOKUP(B452,'Player Data'!$A1:$AE734,22,FALSE)</f>
        <v>0.466277221758915</v>
      </c>
      <c r="AI452" s="46"/>
      <c r="AJ452" s="50"/>
      <c r="AK452" s="48"/>
      <c r="AL452" s="48"/>
      <c r="AM452" s="48"/>
      <c r="AN452" s="48"/>
      <c r="AO452" s="48"/>
      <c r="AP452" s="48"/>
      <c r="AQ452" s="51"/>
      <c r="AR452" s="52"/>
      <c r="AS452" s="46"/>
    </row>
    <row r="453" ht="21.25" customHeight="1">
      <c r="A453" s="53">
        <f>RANK(K453,K2:K730)</f>
        <v>414</v>
      </c>
      <c r="B453" t="s" s="8">
        <v>605</v>
      </c>
      <c r="C453" t="s" s="39">
        <v>106</v>
      </c>
      <c r="D453" t="s" s="40">
        <f>VLOOKUP(B453,'Player Data'!A1:D734,4,FALSE)</f>
        <v>133</v>
      </c>
      <c r="E453" s="57">
        <f>VLOOKUP(B453,'LW'!A1:C156,3,FALSE)</f>
        <v>99</v>
      </c>
      <c r="F453" t="s" s="42">
        <f>VLOOKUP(B453,'Player Data'!A1:B734,2,FALSE)</f>
        <v>292</v>
      </c>
      <c r="G453" s="9">
        <f>VLOOKUP(B453,'Player Data'!A1:D734,3,FALSE)</f>
        <v>39</v>
      </c>
      <c r="H453" s="43">
        <f>_xlfn.IFERROR(VLOOKUP(B453,'ADP'!A1:G731,7,FALSE)/1000000,VLOOKUP(B453,'ADP'!A1:G731,7,FALSE))</f>
        <v>2.629</v>
      </c>
      <c r="I453" s="44">
        <f>IF('Settings'!$E$15="POINTS",((R453*Q453)*'Settings'!$B$12)+(S453*'Settings'!$B$2)+(T453*'Settings'!$B$3)+(U453*'Settings'!$B$4)+(V453*'Settings'!$B$5)+(X453*'Settings'!$B$9)+(AA453*'Settings'!$B$6)+(W453*'Settings'!$B$8)+(AB453*'Settings'!$B$7)+(AC453*'Settings'!$B$14)+(AD453*'Settings'!$B$15)+(AE453*'Settings'!$B$16)+(AF453*'Settings'!$B$17)+(AG453*'Settings'!$B$18)+(Y453*'Settings'!$B$10)+(Z453*'Settings'!$B$11),VLOOKUP(B453,'Standard Deviations'!A1:C731,3,FALSE))</f>
        <v>226.288782712106</v>
      </c>
      <c r="J453" s="45">
        <f>IF(D453="G",I453/AJ453,I453/Q453)</f>
        <v>2.81386213148009</v>
      </c>
      <c r="K453" s="44">
        <f>IF('Settings'!$E$18="C/LW/RW",VLOOKUP(B453,'LW'!A1:F156,6,FALSE),VLOOKUP(B453,'F'!A1:F432,6,FALSE))</f>
        <v>-155.339780994250</v>
      </c>
      <c r="L453" s="44">
        <f>_xlfn.IFERROR(K453/H453,"N/A")</f>
        <v>-59.0870220594332</v>
      </c>
      <c r="M453" t="s" s="61">
        <f>IF('Settings'!$E$9="YAHOO",VLOOKUP(B453,'ADP'!A1:E731,2,FALSE),IF('Settings'!$E$9="ESPN",VLOOKUP(B453,'ADP'!A1:E731,3,FALSE),IF('Settings'!$E$9="FANTRAX",VLOOKUP(B453,'ADP'!A1:E731,4,FALSE),VLOOKUP(B453,'ADP'!A1:E731,5,FALSE))))</f>
        <v>329</v>
      </c>
      <c r="N453" t="s" s="61">
        <f>_xlfn.IFERROR(M453-A453,"N/A")</f>
        <v>158</v>
      </c>
      <c r="O453" s="46"/>
      <c r="P453" t="s" s="47">
        <f>IF('Settings'!$E$27="ON",VLOOKUP(B453,'ADP'!A1:H731,8,FALSE)," ")</f>
        <v>109</v>
      </c>
      <c r="Q453" s="48">
        <f>IF('Settings'!$E$12="YES",VLOOKUP(B453,'Player Data'!A1:E734,5,FALSE),82)</f>
        <v>80.41928571428571</v>
      </c>
      <c r="R453" s="46">
        <f>VLOOKUP(B453,'Player Data'!$A1:$AE734,6,FALSE)</f>
        <v>13.7538688371612</v>
      </c>
      <c r="S453" s="48">
        <f>VLOOKUP(B453,'Player Data'!$A1:$AE734,7,FALSE)*$Q453*_xlfn.IFERROR((VLOOKUP(P453,'Settings'!$E$28:$F$33,2,FALSE)+1),1)</f>
        <v>14.1394470630033</v>
      </c>
      <c r="T453" s="48">
        <f>VLOOKUP(B453,'Player Data'!$A1:$AE734,8,FALSE)*$Q453*_xlfn.IFERROR((VLOOKUP(P453,'Settings'!$E$28:$F$33,2,FALSE)+1),1)</f>
        <v>13.4048413123386</v>
      </c>
      <c r="U453" s="48">
        <f>SUM(S453:T453)</f>
        <v>27.5442883753419</v>
      </c>
      <c r="V453" s="48">
        <f>VLOOKUP(B453,'Player Data'!$A1:$AE734,10,FALSE)*$Q453*_xlfn.IFERROR(((VLOOKUP(P453,'Settings'!$E$28:$F$33,2,FALSE)/2)+1),1)</f>
        <v>152.415323556321</v>
      </c>
      <c r="W453" s="48">
        <f>VLOOKUP(B453,'Player Data'!$A1:$AE734,11,FALSE)*$Q453*_xlfn.IFERROR((VLOOKUP(P453,'Settings'!$E$28:$F$33,2,FALSE)+1),1)</f>
        <v>1.64467908991727</v>
      </c>
      <c r="X453" s="48">
        <f>VLOOKUP(B453,'Player Data'!$A1:$AE734,12,FALSE)*$Q453*_xlfn.IFERROR((VLOOKUP(P453,'Settings'!$E$28:$F$33,2,FALSE)+1),1)</f>
        <v>3.68298148451967</v>
      </c>
      <c r="Y453" s="48">
        <f>VLOOKUP(B453,'Player Data'!$A1:$AE734,13,FALSE)*$Q453</f>
        <v>0</v>
      </c>
      <c r="Z453" s="48">
        <f>VLOOKUP(B453,'Player Data'!$A1:$AE734,14,FALSE)*$Q453</f>
        <v>0</v>
      </c>
      <c r="AA453" s="48">
        <f>VLOOKUP(B453,'Player Data'!$A1:$AE734,15,FALSE)*$Q453</f>
        <v>54.759633459258</v>
      </c>
      <c r="AB453" s="48">
        <f>VLOOKUP(B453,'Player Data'!$A1:$AE734,16,FALSE)*$Q453</f>
        <v>75.43707393514219</v>
      </c>
      <c r="AC453" s="48">
        <f>VLOOKUP(B453,'Player Data'!$A1:$AE734,17,FALSE)*$Q453*_xlfn.IFERROR((VLOOKUP(P453,'Settings'!$E$28:$F$33,2,FALSE)+1),1)</f>
        <v>0.509431532385998</v>
      </c>
      <c r="AD453" s="48">
        <f>VLOOKUP(B453,'Player Data'!$A1:$AE734,18,FALSE)*$Q453</f>
        <v>21.6823282035404</v>
      </c>
      <c r="AE453" s="48">
        <f>VLOOKUP(B453,'Player Data'!$A1:$AE734,19,FALSE)*$Q453*_xlfn.IFERROR((VLOOKUP(P453,'Settings'!$E$28:$F$33,2,FALSE)+1),1)</f>
        <v>0</v>
      </c>
      <c r="AF453" s="48">
        <f>VLOOKUP(B453,'Player Data'!$A1:$AE734,20,FALSE)*$Q453</f>
        <v>15.137266488902</v>
      </c>
      <c r="AG453" s="48">
        <f>VLOOKUP(B453,'Player Data'!$A1:$AE734,21,FALSE)*$Q453</f>
        <v>24.5091642841197</v>
      </c>
      <c r="AH453" s="49">
        <f>VLOOKUP(B453,'Player Data'!$A1:$AE734,22,FALSE)</f>
        <v>0.381806538287488</v>
      </c>
      <c r="AI453" s="46"/>
      <c r="AJ453" s="50"/>
      <c r="AK453" s="48"/>
      <c r="AL453" s="48"/>
      <c r="AM453" s="48"/>
      <c r="AN453" s="48"/>
      <c r="AO453" s="48"/>
      <c r="AP453" s="48"/>
      <c r="AQ453" s="51"/>
      <c r="AR453" s="52"/>
      <c r="AS453" s="46"/>
    </row>
    <row r="454" ht="21.25" customHeight="1">
      <c r="A454" s="53">
        <f>RANK(K454,K2:K730)</f>
        <v>478</v>
      </c>
      <c r="B454" t="s" s="8">
        <v>606</v>
      </c>
      <c r="C454" t="s" s="39">
        <v>106</v>
      </c>
      <c r="D454" t="s" s="40">
        <f>VLOOKUP(B454,'Player Data'!A1:D734,4,FALSE)</f>
        <v>129</v>
      </c>
      <c r="E454" s="56">
        <f>VLOOKUP(B454,'D'!A1:C228,3,FALSE)</f>
        <v>168</v>
      </c>
      <c r="F454" t="s" s="42">
        <f>VLOOKUP(B454,'Player Data'!A1:B734,2,FALSE)</f>
        <v>258</v>
      </c>
      <c r="G454" s="9">
        <f>VLOOKUP(B454,'Player Data'!A1:D734,3,FALSE)</f>
        <v>22</v>
      </c>
      <c r="H454" s="43">
        <f>_xlfn.IFERROR(VLOOKUP(B454,'ADP'!A1:G731,7,FALSE)/1000000,VLOOKUP(B454,'ADP'!A1:G731,7,FALSE))</f>
        <v>0.828333</v>
      </c>
      <c r="I454" s="44">
        <f>IF('Settings'!$E$15="POINTS",((R454*Q454)*'Settings'!$B$12)+(S454*'Settings'!$B$2)+(T454*'Settings'!$B$3)+(U454*'Settings'!$B$4)+(V454*'Settings'!$B$5)+(X454*'Settings'!$B$9)+(AA454*'Settings'!$B$6)+(W454*'Settings'!$B$8)+(AB454*'Settings'!$B$7)+(AC454*'Settings'!$B$14)+(AD454*'Settings'!$B$15)+(AE454*'Settings'!$B$16)+(AF454*'Settings'!$B$17)+(AG454*'Settings'!$B$18)+(U454*'Settings'!$B$13)+(Y454*'Settings'!$B$10)+(Z454*'Settings'!$B$11),VLOOKUP(B454,'Standard Deviations'!A1:C731,3,FALSE))</f>
        <v>165.499975191761</v>
      </c>
      <c r="J454" s="45">
        <f>IF(D454="G",I454/AJ454,I454/Q454)</f>
        <v>2.3928283841793</v>
      </c>
      <c r="K454" s="44">
        <f>VLOOKUP(B454,'D'!A1:F228,6,FALSE)</f>
        <v>-175.235163454762</v>
      </c>
      <c r="L454" s="44">
        <f>_xlfn.IFERROR(K454/H454,"N/A")</f>
        <v>-211.5515903082</v>
      </c>
      <c r="M454" t="s" s="61">
        <f>IF('Settings'!$E$9="YAHOO",VLOOKUP(B454,'ADP'!A1:E731,2,FALSE),IF('Settings'!$E$9="ESPN",VLOOKUP(B454,'ADP'!A1:E731,3,FALSE),IF('Settings'!$E$9="FANTRAX",VLOOKUP(B454,'ADP'!A1:E731,4,FALSE),VLOOKUP(B454,'ADP'!A1:E731,5,FALSE))))</f>
        <v>329</v>
      </c>
      <c r="N454" t="s" s="61">
        <f>_xlfn.IFERROR(M454-A454,"N/A")</f>
        <v>158</v>
      </c>
      <c r="O454" s="46"/>
      <c r="P454" t="s" s="47">
        <f>IF('Settings'!$E$27="ON",VLOOKUP(B454,'ADP'!A1:H731,8,FALSE)," ")</f>
        <v>109</v>
      </c>
      <c r="Q454" s="48">
        <f>IF('Settings'!$E$12="YES",VLOOKUP(B454,'Player Data'!A1:E734,5,FALSE),82)</f>
        <v>69.16500000000001</v>
      </c>
      <c r="R454" s="46">
        <f>VLOOKUP(B454,'Player Data'!$A1:$AE734,6,FALSE)</f>
        <v>14.5802203248371</v>
      </c>
      <c r="S454" s="48">
        <f>VLOOKUP(B454,'Player Data'!$A1:$AE734,7,FALSE)*$Q454*_xlfn.IFERROR((VLOOKUP(P454,'Settings'!$E$28:$F$33,2,FALSE)+1),1)</f>
        <v>3.85763608291428</v>
      </c>
      <c r="T454" s="48">
        <f>VLOOKUP(B454,'Player Data'!$A1:$AE734,8,FALSE)*$Q454*_xlfn.IFERROR((VLOOKUP(P454,'Settings'!$E$28:$F$33,2,FALSE)+1),1)</f>
        <v>9.412298948416041</v>
      </c>
      <c r="U454" s="48">
        <f>SUM(S454:T454)</f>
        <v>13.2699350313303</v>
      </c>
      <c r="V454" s="48">
        <f>VLOOKUP(B454,'Player Data'!$A1:$AE734,10,FALSE)*$Q454*_xlfn.IFERROR(((VLOOKUP(P454,'Settings'!$E$28:$F$33,2,FALSE)/2)+1),1)</f>
        <v>89.4189515467932</v>
      </c>
      <c r="W454" s="48">
        <f>VLOOKUP(B454,'Player Data'!$A1:$AE734,11,FALSE)*$Q454*_xlfn.IFERROR((VLOOKUP(P454,'Settings'!$E$28:$F$33,2,FALSE)+1),1)</f>
        <v>0.845157188678863</v>
      </c>
      <c r="X454" s="48">
        <f>VLOOKUP(B454,'Player Data'!$A1:$AE734,12,FALSE)*$Q454*_xlfn.IFERROR((VLOOKUP(P454,'Settings'!$E$28:$F$33,2,FALSE)+1),1)</f>
        <v>2.01228652205989</v>
      </c>
      <c r="Y454" s="48">
        <f>VLOOKUP(B454,'Player Data'!$A1:$AE734,13,FALSE)*$Q454</f>
        <v>0.0127365820303502</v>
      </c>
      <c r="Z454" s="48">
        <f>VLOOKUP(B454,'Player Data'!$A1:$AE734,14,FALSE)*$Q454</f>
        <v>0.0510723806212929</v>
      </c>
      <c r="AA454" s="48">
        <f>VLOOKUP(B454,'Player Data'!$A1:$AE734,15,FALSE)*$Q454</f>
        <v>67.35996732173849</v>
      </c>
      <c r="AB454" s="48">
        <f>VLOOKUP(B454,'Player Data'!$A1:$AE734,16,FALSE)*$Q454</f>
        <v>165.648447111560</v>
      </c>
      <c r="AC454" s="48">
        <f>VLOOKUP(B454,'Player Data'!$A1:$AE734,17,FALSE)*$Q454*_xlfn.IFERROR((VLOOKUP(P454,'Settings'!$E$28:$F$33,2,FALSE)+1),1)</f>
        <v>-7.42339198403389</v>
      </c>
      <c r="AD454" s="48">
        <f>VLOOKUP(B454,'Player Data'!$A1:$AE734,18,FALSE)*$Q454</f>
        <v>73.28802763561021</v>
      </c>
      <c r="AE454" s="48">
        <f>VLOOKUP(B454,'Player Data'!$A1:$AE734,19,FALSE)*$Q454*_xlfn.IFERROR((VLOOKUP(P454,'Settings'!$E$28:$F$33,2,FALSE)+1),1)</f>
        <v>0.395184397626782</v>
      </c>
      <c r="AF454" s="48">
        <f>VLOOKUP(B454,'Player Data'!$A1:$AE734,20,FALSE)*$Q454</f>
        <v>0</v>
      </c>
      <c r="AG454" s="48">
        <f>VLOOKUP(B454,'Player Data'!$A1:$AE734,21,FALSE)*$Q454</f>
        <v>0</v>
      </c>
      <c r="AH454" s="49">
        <f>VLOOKUP(B454,'Player Data'!$A1:$AE734,22,FALSE)</f>
        <v>0</v>
      </c>
      <c r="AI454" s="46"/>
      <c r="AJ454" s="50"/>
      <c r="AK454" s="48"/>
      <c r="AL454" s="48"/>
      <c r="AM454" s="48"/>
      <c r="AN454" s="48"/>
      <c r="AO454" s="48"/>
      <c r="AP454" s="48"/>
      <c r="AQ454" s="51"/>
      <c r="AR454" s="52"/>
      <c r="AS454" s="50"/>
    </row>
    <row r="455" ht="21.25" customHeight="1">
      <c r="A455" s="53">
        <f>RANK(K455,K2:K730)</f>
        <v>457</v>
      </c>
      <c r="B455" t="s" s="8">
        <v>607</v>
      </c>
      <c r="C455" t="s" s="39">
        <v>106</v>
      </c>
      <c r="D455" t="s" s="40">
        <f>VLOOKUP(B455,'Player Data'!A1:D734,4,FALSE)</f>
        <v>107</v>
      </c>
      <c r="E455" s="41">
        <f>VLOOKUP(B455,'C'!A1:C218,3,FALSE)</f>
        <v>118</v>
      </c>
      <c r="F455" t="s" s="42">
        <f>VLOOKUP(B455,'Player Data'!A1:B734,2,FALSE)</f>
        <v>225</v>
      </c>
      <c r="G455" s="9">
        <f>VLOOKUP(B455,'Player Data'!A1:D734,3,FALSE)</f>
        <v>27</v>
      </c>
      <c r="H455" s="43">
        <f>_xlfn.IFERROR(VLOOKUP(B455,'ADP'!A1:G731,7,FALSE)/1000000,VLOOKUP(B455,'ADP'!A1:G731,7,FALSE))</f>
        <v>2</v>
      </c>
      <c r="I455" s="44">
        <f>IF('Settings'!$E$15="POINTS",((R455*Q455)*'Settings'!$B$12)+(S455*'Settings'!$B$2)+(T455*'Settings'!$B$3)+(U455*'Settings'!$B$4)+(V455*'Settings'!$B$5)+(X455*'Settings'!$B$9)+(AA455*'Settings'!$B$6)+(W455*'Settings'!$B$8)+(AB455*'Settings'!$B$7)+(AC455*'Settings'!$B$14)+(AD455*'Settings'!$B$15)+(AE455*'Settings'!$B$16)+(AF455*'Settings'!$B$17)+(AG455*'Settings'!$B$18)+(Y455*'Settings'!$B$10)+(Z455*'Settings'!$B$11),VLOOKUP(B455,'Standard Deviations'!A1:C731,3,FALSE))</f>
        <v>226.018990069021</v>
      </c>
      <c r="J455" s="45">
        <f>IF(D455="G",I455/AJ455,I455/Q455)</f>
        <v>2.89400884497802</v>
      </c>
      <c r="K455" s="44">
        <f>IF('Settings'!$E$18="C/LW/RW",VLOOKUP(B455,'C'!A1:F218,6,FALSE),VLOOKUP(B455,'F'!A1:F432,6,FALSE))</f>
        <v>-169.755211566994</v>
      </c>
      <c r="L455" s="44">
        <f>_xlfn.IFERROR(K455/H455,"N/A")</f>
        <v>-84.877605783497</v>
      </c>
      <c r="M455" t="s" s="61">
        <f>IF('Settings'!$E$9="YAHOO",VLOOKUP(B455,'ADP'!A1:E731,2,FALSE),IF('Settings'!$E$9="ESPN",VLOOKUP(B455,'ADP'!A1:E731,3,FALSE),IF('Settings'!$E$9="FANTRAX",VLOOKUP(B455,'ADP'!A1:E731,4,FALSE),VLOOKUP(B455,'ADP'!A1:E731,5,FALSE))))</f>
        <v>329</v>
      </c>
      <c r="N455" t="s" s="61">
        <f>_xlfn.IFERROR(M455-A455,"N/A")</f>
        <v>158</v>
      </c>
      <c r="O455" s="46"/>
      <c r="P455" t="s" s="47">
        <f>IF('Settings'!$E$27="ON",VLOOKUP(B455,'ADP'!A1:H731,8,FALSE)," ")</f>
        <v>109</v>
      </c>
      <c r="Q455" s="48">
        <f>IF('Settings'!$E$12="YES",VLOOKUP(B455,'Player Data'!A1:E734,5,FALSE),82)</f>
        <v>78.0989285714286</v>
      </c>
      <c r="R455" s="46">
        <f>VLOOKUP(B455,'Player Data'!$A1:$AE734,6,FALSE)</f>
        <v>13.1853251012783</v>
      </c>
      <c r="S455" s="48">
        <f>VLOOKUP(B455,'Player Data'!$A1:$AE734,7,FALSE)*$Q455*_xlfn.IFERROR((VLOOKUP(P455,'Settings'!$E$28:$F$33,2,FALSE)+1),1)</f>
        <v>15.1042805780994</v>
      </c>
      <c r="T455" s="48">
        <f>VLOOKUP(B455,'Player Data'!$A1:$AE734,8,FALSE)*$Q455*_xlfn.IFERROR((VLOOKUP(P455,'Settings'!$E$28:$F$33,2,FALSE)+1),1)</f>
        <v>16.5817630505902</v>
      </c>
      <c r="U455" s="48">
        <f>SUM(S455:T455)</f>
        <v>31.6860436286896</v>
      </c>
      <c r="V455" s="48">
        <f>VLOOKUP(B455,'Player Data'!$A1:$AE734,10,FALSE)*$Q455*_xlfn.IFERROR(((VLOOKUP(P455,'Settings'!$E$28:$F$33,2,FALSE)/2)+1),1)</f>
        <v>152.027009666329</v>
      </c>
      <c r="W455" s="48">
        <f>VLOOKUP(B455,'Player Data'!$A1:$AE734,11,FALSE)*$Q455*_xlfn.IFERROR((VLOOKUP(P455,'Settings'!$E$28:$F$33,2,FALSE)+1),1)</f>
        <v>0.843120143476901</v>
      </c>
      <c r="X455" s="48">
        <f>VLOOKUP(B455,'Player Data'!$A1:$AE734,12,FALSE)*$Q455*_xlfn.IFERROR((VLOOKUP(P455,'Settings'!$E$28:$F$33,2,FALSE)+1),1)</f>
        <v>2.83159669971768</v>
      </c>
      <c r="Y455" s="48">
        <f>VLOOKUP(B455,'Player Data'!$A1:$AE734,13,FALSE)*$Q455</f>
        <v>0.233196088233068</v>
      </c>
      <c r="Z455" s="48">
        <f>VLOOKUP(B455,'Player Data'!$A1:$AE734,14,FALSE)*$Q455</f>
        <v>0.427347733779225</v>
      </c>
      <c r="AA455" s="48">
        <f>VLOOKUP(B455,'Player Data'!$A1:$AE734,15,FALSE)*$Q455</f>
        <v>20.7356226651412</v>
      </c>
      <c r="AB455" s="48">
        <f>VLOOKUP(B455,'Player Data'!$A1:$AE734,16,FALSE)*$Q455</f>
        <v>84.273706730039</v>
      </c>
      <c r="AC455" s="48">
        <f>VLOOKUP(B455,'Player Data'!$A1:$AE734,17,FALSE)*$Q455*_xlfn.IFERROR((VLOOKUP(P455,'Settings'!$E$28:$F$33,2,FALSE)+1),1)</f>
        <v>-4.96482249639602</v>
      </c>
      <c r="AD455" s="48">
        <f>VLOOKUP(B455,'Player Data'!$A1:$AE734,18,FALSE)*$Q455</f>
        <v>33.2937695913889</v>
      </c>
      <c r="AE455" s="48">
        <f>VLOOKUP(B455,'Player Data'!$A1:$AE734,19,FALSE)*$Q455*_xlfn.IFERROR((VLOOKUP(P455,'Settings'!$E$28:$F$33,2,FALSE)+1),1)</f>
        <v>1.76994303925997</v>
      </c>
      <c r="AF455" s="48">
        <f>VLOOKUP(B455,'Player Data'!$A1:$AE734,20,FALSE)*$Q455</f>
        <v>62.4441685545576</v>
      </c>
      <c r="AG455" s="48">
        <f>VLOOKUP(B455,'Player Data'!$A1:$AE734,21,FALSE)*$Q455</f>
        <v>89.2413159086304</v>
      </c>
      <c r="AH455" s="49">
        <f>VLOOKUP(B455,'Player Data'!$A1:$AE734,22,FALSE)</f>
        <v>0.41166871553693</v>
      </c>
      <c r="AI455" s="46"/>
      <c r="AJ455" s="50"/>
      <c r="AK455" s="48"/>
      <c r="AL455" s="48"/>
      <c r="AM455" s="48"/>
      <c r="AN455" s="48"/>
      <c r="AO455" s="48"/>
      <c r="AP455" s="48"/>
      <c r="AQ455" s="51"/>
      <c r="AR455" s="52"/>
      <c r="AS455" s="46"/>
    </row>
    <row r="456" ht="21.25" customHeight="1">
      <c r="A456" s="53">
        <f>RANK(K456,K2:K730)</f>
        <v>497</v>
      </c>
      <c r="B456" t="s" s="8">
        <v>608</v>
      </c>
      <c r="C456" t="s" s="39">
        <v>106</v>
      </c>
      <c r="D456" t="s" s="40">
        <f>VLOOKUP(B456,'Player Data'!A1:D734,4,FALSE)</f>
        <v>121</v>
      </c>
      <c r="E456" s="55">
        <f>VLOOKUP(B456,'RW'!A1:F132,3,FALSE)</f>
        <v>91</v>
      </c>
      <c r="F456" t="s" s="42">
        <f>VLOOKUP(B456,'Player Data'!A1:B734,2,FALSE)</f>
        <v>258</v>
      </c>
      <c r="G456" s="9">
        <f>VLOOKUP(B456,'Player Data'!A1:D734,3,FALSE)</f>
        <v>31</v>
      </c>
      <c r="H456" s="43">
        <f>_xlfn.IFERROR(VLOOKUP(B456,'ADP'!A1:G731,7,FALSE)/1000000,VLOOKUP(B456,'ADP'!A1:G731,7,FALSE))</f>
        <v>6.5</v>
      </c>
      <c r="I456" s="44">
        <f>IF('Settings'!$E$15="POINTS",((R456*Q456)*'Settings'!$B$12)+(S456*'Settings'!$B$2)+(T456*'Settings'!$B$3)+(U456*'Settings'!$B$4)+(V456*'Settings'!$B$5)+(X456*'Settings'!$B$9)+(AA456*'Settings'!$B$6)+(W456*'Settings'!$B$8)+(AB456*'Settings'!$B$7)+(AC456*'Settings'!$B$14)+(AD456*'Settings'!$B$15)+(AE456*'Settings'!$B$16)+(AF456*'Settings'!$B$17)+(AG456*'Settings'!$B$18)+(Y456*'Settings'!$B$10)+(Z456*'Settings'!$B$11),VLOOKUP(B456,'Standard Deviations'!A1:C731,3,FALSE))</f>
        <v>199.854394714350</v>
      </c>
      <c r="J456" s="45">
        <f>IF(D456="G",I456/AJ456,I456/Q456)</f>
        <v>2.96552872670327</v>
      </c>
      <c r="K456" s="44">
        <f>IF('Settings'!$E$18="C/LW/RW",VLOOKUP(B456,'RW'!A1:F132,6,FALSE),VLOOKUP(B456,'F'!A1:F432,6,FALSE))</f>
        <v>-181.774168992006</v>
      </c>
      <c r="L456" s="44">
        <f>_xlfn.IFERROR(K456/H456,"N/A")</f>
        <v>-27.9652567680009</v>
      </c>
      <c r="M456" s="46">
        <f>IF('Settings'!$E$9="YAHOO",VLOOKUP(B456,'ADP'!A1:E731,2,FALSE),IF('Settings'!$E$9="ESPN",VLOOKUP(B456,'ADP'!A1:E731,3,FALSE),IF('Settings'!$E$9="FANTRAX",VLOOKUP(B456,'ADP'!A1:E731,4,FALSE),VLOOKUP(B456,'ADP'!A1:E731,5,FALSE))))</f>
        <v>1190.6</v>
      </c>
      <c r="N456" s="46">
        <f>_xlfn.IFERROR(M456-A456,"N/A")</f>
        <v>693.6</v>
      </c>
      <c r="O456" s="46"/>
      <c r="P456" t="s" s="47">
        <f>IF('Settings'!$E$27="ON",VLOOKUP(B456,'ADP'!A1:H731,8,FALSE)," ")</f>
        <v>109</v>
      </c>
      <c r="Q456" s="48">
        <f>IF('Settings'!$E$12="YES",VLOOKUP(B456,'Player Data'!A1:E734,5,FALSE),82)</f>
        <v>67.3925</v>
      </c>
      <c r="R456" s="46">
        <f>VLOOKUP(B456,'Player Data'!$A1:$AE734,6,FALSE)</f>
        <v>13.6606361414098</v>
      </c>
      <c r="S456" s="48">
        <f>VLOOKUP(B456,'Player Data'!$A1:$AE734,7,FALSE)*$Q456*_xlfn.IFERROR((VLOOKUP(P456,'Settings'!$E$28:$F$33,2,FALSE)+1),1)</f>
        <v>11.3443001934508</v>
      </c>
      <c r="T456" s="48">
        <f>VLOOKUP(B456,'Player Data'!$A1:$AE734,8,FALSE)*$Q456*_xlfn.IFERROR((VLOOKUP(P456,'Settings'!$E$28:$F$33,2,FALSE)+1),1)</f>
        <v>14.498898875432</v>
      </c>
      <c r="U456" s="48">
        <f>SUM(S456:T456)</f>
        <v>25.8431990688828</v>
      </c>
      <c r="V456" s="48">
        <f>VLOOKUP(B456,'Player Data'!$A1:$AE734,10,FALSE)*$Q456*_xlfn.IFERROR(((VLOOKUP(P456,'Settings'!$E$28:$F$33,2,FALSE)/2)+1),1)</f>
        <v>156.990193809233</v>
      </c>
      <c r="W456" s="48">
        <f>VLOOKUP(B456,'Player Data'!$A1:$AE734,11,FALSE)*$Q456*_xlfn.IFERROR((VLOOKUP(P456,'Settings'!$E$28:$F$33,2,FALSE)+1),1)</f>
        <v>1.67220343130639</v>
      </c>
      <c r="X456" s="48">
        <f>VLOOKUP(B456,'Player Data'!$A1:$AE734,12,FALSE)*$Q456*_xlfn.IFERROR((VLOOKUP(P456,'Settings'!$E$28:$F$33,2,FALSE)+1),1)</f>
        <v>3.32654440782484</v>
      </c>
      <c r="Y456" s="48">
        <f>VLOOKUP(B456,'Player Data'!$A1:$AE734,13,FALSE)*$Q456</f>
        <v>0.00262370024537443</v>
      </c>
      <c r="Z456" s="48">
        <f>VLOOKUP(B456,'Player Data'!$A1:$AE734,14,FALSE)*$Q456</f>
        <v>0.00486430838243772</v>
      </c>
      <c r="AA456" s="48">
        <f>VLOOKUP(B456,'Player Data'!$A1:$AE734,15,FALSE)*$Q456</f>
        <v>27.6300871481515</v>
      </c>
      <c r="AB456" s="48">
        <f>VLOOKUP(B456,'Player Data'!$A1:$AE734,16,FALSE)*$Q456</f>
        <v>51.9539124882715</v>
      </c>
      <c r="AC456" s="48">
        <f>VLOOKUP(B456,'Player Data'!$A1:$AE734,17,FALSE)*$Q456*_xlfn.IFERROR((VLOOKUP(P456,'Settings'!$E$28:$F$33,2,FALSE)+1),1)</f>
        <v>-4.18165633211997</v>
      </c>
      <c r="AD456" s="48">
        <f>VLOOKUP(B456,'Player Data'!$A1:$AE734,18,FALSE)*$Q456</f>
        <v>43.1895510003044</v>
      </c>
      <c r="AE456" s="48">
        <f>VLOOKUP(B456,'Player Data'!$A1:$AE734,19,FALSE)*$Q456*_xlfn.IFERROR((VLOOKUP(P456,'Settings'!$E$28:$F$33,2,FALSE)+1),1)</f>
        <v>1.16213410028544</v>
      </c>
      <c r="AF456" s="48">
        <f>VLOOKUP(B456,'Player Data'!$A1:$AE734,20,FALSE)*$Q456</f>
        <v>14.9608513497783</v>
      </c>
      <c r="AG456" s="48">
        <f>VLOOKUP(B456,'Player Data'!$A1:$AE734,21,FALSE)*$Q456</f>
        <v>22.3914482423511</v>
      </c>
      <c r="AH456" s="49">
        <f>VLOOKUP(B456,'Player Data'!$A1:$AE734,22,FALSE)</f>
        <v>0.400533608724074</v>
      </c>
      <c r="AI456" s="46"/>
      <c r="AJ456" s="50"/>
      <c r="AK456" s="48"/>
      <c r="AL456" s="48"/>
      <c r="AM456" s="48"/>
      <c r="AN456" s="48"/>
      <c r="AO456" s="48"/>
      <c r="AP456" s="48"/>
      <c r="AQ456" s="51"/>
      <c r="AR456" s="52"/>
      <c r="AS456" s="46"/>
    </row>
    <row r="457" ht="21.25" customHeight="1">
      <c r="A457" s="53">
        <f>RANK(K457,K2:K730)</f>
        <v>413</v>
      </c>
      <c r="B457" t="s" s="8">
        <v>609</v>
      </c>
      <c r="C457" t="s" s="39">
        <v>106</v>
      </c>
      <c r="D457" t="s" s="40">
        <f>VLOOKUP(B457,'Player Data'!A1:D734,4,FALSE)</f>
        <v>111</v>
      </c>
      <c r="E457" s="54">
        <f>VLOOKUP(B457,'LW'!A1:C156,3,FALSE)</f>
        <v>98</v>
      </c>
      <c r="F457" t="s" s="42">
        <f>VLOOKUP(B457,'Player Data'!A1:B734,2,FALSE)</f>
        <v>119</v>
      </c>
      <c r="G457" s="9">
        <f>VLOOKUP(B457,'Player Data'!A1:D734,3,FALSE)</f>
        <v>24</v>
      </c>
      <c r="H457" s="43">
        <f>_xlfn.IFERROR(VLOOKUP(B457,'ADP'!A1:G731,7,FALSE)/1000000,VLOOKUP(B457,'ADP'!A1:G731,7,FALSE))</f>
        <v>2.625</v>
      </c>
      <c r="I457" s="44">
        <f>IF('Settings'!$E$15="POINTS",((R457*Q457)*'Settings'!$B$12)+(S457*'Settings'!$B$2)+(T457*'Settings'!$B$3)+(U457*'Settings'!$B$4)+(V457*'Settings'!$B$5)+(X457*'Settings'!$B$9)+(AA457*'Settings'!$B$6)+(W457*'Settings'!$B$8)+(AB457*'Settings'!$B$7)+(AC457*'Settings'!$B$14)+(AD457*'Settings'!$B$15)+(AE457*'Settings'!$B$16)+(AF457*'Settings'!$B$17)+(AG457*'Settings'!$B$18)+(Y457*'Settings'!$B$10)+(Z457*'Settings'!$B$11),VLOOKUP(B457,'Standard Deviations'!A1:C731,3,FALSE))</f>
        <v>226.661258450686</v>
      </c>
      <c r="J457" s="45">
        <f>IF(D457="G",I457/AJ457,I457/Q457)</f>
        <v>2.84311509363653</v>
      </c>
      <c r="K457" s="44">
        <f>IF('Settings'!$E$18="C/LW/RW",VLOOKUP(B457,'LW'!A1:F156,6,FALSE),VLOOKUP(B457,'F'!A1:F432,6,FALSE))</f>
        <v>-154.967305255670</v>
      </c>
      <c r="L457" s="44">
        <f>_xlfn.IFERROR(K457/H457,"N/A")</f>
        <v>-59.0351639069219</v>
      </c>
      <c r="M457" t="s" s="61">
        <f>IF('Settings'!$E$9="YAHOO",VLOOKUP(B457,'ADP'!A1:E731,2,FALSE),IF('Settings'!$E$9="ESPN",VLOOKUP(B457,'ADP'!A1:E731,3,FALSE),IF('Settings'!$E$9="FANTRAX",VLOOKUP(B457,'ADP'!A1:E731,4,FALSE),VLOOKUP(B457,'ADP'!A1:E731,5,FALSE))))</f>
        <v>329</v>
      </c>
      <c r="N457" t="s" s="61">
        <f>_xlfn.IFERROR(M457-A457,"N/A")</f>
        <v>158</v>
      </c>
      <c r="O457" s="46"/>
      <c r="P457" t="s" s="47">
        <f>IF('Settings'!$E$27="ON",VLOOKUP(B457,'ADP'!A1:H731,8,FALSE)," ")</f>
        <v>109</v>
      </c>
      <c r="Q457" s="48">
        <f>IF('Settings'!$E$12="YES",VLOOKUP(B457,'Player Data'!A1:E734,5,FALSE),82)</f>
        <v>79.72285714285709</v>
      </c>
      <c r="R457" s="46">
        <f>VLOOKUP(B457,'Player Data'!$A1:$AE734,6,FALSE)</f>
        <v>14.9668237148669</v>
      </c>
      <c r="S457" s="48">
        <f>VLOOKUP(B457,'Player Data'!$A1:$AE734,7,FALSE)*$Q457*_xlfn.IFERROR((VLOOKUP(P457,'Settings'!$E$28:$F$33,2,FALSE)+1),1)</f>
        <v>13.4516957909273</v>
      </c>
      <c r="T457" s="48">
        <f>VLOOKUP(B457,'Player Data'!$A1:$AE734,8,FALSE)*$Q457*_xlfn.IFERROR((VLOOKUP(P457,'Settings'!$E$28:$F$33,2,FALSE)+1),1)</f>
        <v>21.3213836060095</v>
      </c>
      <c r="U457" s="48">
        <f>SUM(S457:T457)</f>
        <v>34.7730793969368</v>
      </c>
      <c r="V457" s="48">
        <f>VLOOKUP(B457,'Player Data'!$A1:$AE734,10,FALSE)*$Q457*_xlfn.IFERROR(((VLOOKUP(P457,'Settings'!$E$28:$F$33,2,FALSE)/2)+1),1)</f>
        <v>112.912568785432</v>
      </c>
      <c r="W457" s="48">
        <f>VLOOKUP(B457,'Player Data'!$A1:$AE734,11,FALSE)*$Q457*_xlfn.IFERROR((VLOOKUP(P457,'Settings'!$E$28:$F$33,2,FALSE)+1),1)</f>
        <v>0.789026554653765</v>
      </c>
      <c r="X457" s="48">
        <f>VLOOKUP(B457,'Player Data'!$A1:$AE734,12,FALSE)*$Q457*_xlfn.IFERROR((VLOOKUP(P457,'Settings'!$E$28:$F$33,2,FALSE)+1),1)</f>
        <v>2.13478164039513</v>
      </c>
      <c r="Y457" s="48">
        <f>VLOOKUP(B457,'Player Data'!$A1:$AE734,13,FALSE)*$Q457</f>
        <v>0.697311093267266</v>
      </c>
      <c r="Z457" s="48">
        <f>VLOOKUP(B457,'Player Data'!$A1:$AE734,14,FALSE)*$Q457</f>
        <v>1.09350192098474</v>
      </c>
      <c r="AA457" s="48">
        <f>VLOOKUP(B457,'Player Data'!$A1:$AE734,15,FALSE)*$Q457</f>
        <v>48.7759906605616</v>
      </c>
      <c r="AB457" s="48">
        <f>VLOOKUP(B457,'Player Data'!$A1:$AE734,16,FALSE)*$Q457</f>
        <v>76.53277203407519</v>
      </c>
      <c r="AC457" s="48">
        <f>VLOOKUP(B457,'Player Data'!$A1:$AE734,17,FALSE)*$Q457*_xlfn.IFERROR((VLOOKUP(P457,'Settings'!$E$28:$F$33,2,FALSE)+1),1)</f>
        <v>4.56925948826151</v>
      </c>
      <c r="AD457" s="48">
        <f>VLOOKUP(B457,'Player Data'!$A1:$AE734,18,FALSE)*$Q457</f>
        <v>23.2555398178908</v>
      </c>
      <c r="AE457" s="48">
        <f>VLOOKUP(B457,'Player Data'!$A1:$AE734,19,FALSE)*$Q457*_xlfn.IFERROR((VLOOKUP(P457,'Settings'!$E$28:$F$33,2,FALSE)+1),1)</f>
        <v>1.92967644429473</v>
      </c>
      <c r="AF457" s="48">
        <f>VLOOKUP(B457,'Player Data'!$A1:$AE734,20,FALSE)*$Q457</f>
        <v>202.816718982803</v>
      </c>
      <c r="AG457" s="48">
        <f>VLOOKUP(B457,'Player Data'!$A1:$AE734,21,FALSE)*$Q457</f>
        <v>279.423697210596</v>
      </c>
      <c r="AH457" s="49">
        <f>VLOOKUP(B457,'Player Data'!$A1:$AE734,22,FALSE)</f>
        <v>0.420571798157756</v>
      </c>
      <c r="AI457" s="46"/>
      <c r="AJ457" s="50"/>
      <c r="AK457" s="48"/>
      <c r="AL457" s="48"/>
      <c r="AM457" s="48"/>
      <c r="AN457" s="48"/>
      <c r="AO457" s="48"/>
      <c r="AP457" s="48"/>
      <c r="AQ457" s="51"/>
      <c r="AR457" s="52"/>
      <c r="AS457" s="46"/>
    </row>
    <row r="458" ht="21.25" customHeight="1">
      <c r="A458" s="53">
        <f>RANK(K458,K2:K730)</f>
        <v>445</v>
      </c>
      <c r="B458" t="s" s="8">
        <v>610</v>
      </c>
      <c r="C458" t="s" s="39">
        <v>106</v>
      </c>
      <c r="D458" t="s" s="40">
        <f>VLOOKUP(B458,'Player Data'!A1:D734,4,FALSE)</f>
        <v>129</v>
      </c>
      <c r="E458" s="56">
        <f>VLOOKUP(B458,'D'!A1:C228,3,FALSE)</f>
        <v>156</v>
      </c>
      <c r="F458" t="s" s="42">
        <f>VLOOKUP(B458,'Player Data'!A1:B734,2,FALSE)</f>
        <v>122</v>
      </c>
      <c r="G458" s="9">
        <f>VLOOKUP(B458,'Player Data'!A1:D734,3,FALSE)</f>
        <v>31</v>
      </c>
      <c r="H458" s="43">
        <f>_xlfn.IFERROR(VLOOKUP(B458,'ADP'!A1:G731,7,FALSE)/1000000,VLOOKUP(B458,'ADP'!A1:G731,7,FALSE))</f>
        <v>3</v>
      </c>
      <c r="I458" s="44">
        <f>IF('Settings'!$E$15="POINTS",((R458*Q458)*'Settings'!$B$12)+(S458*'Settings'!$B$2)+(T458*'Settings'!$B$3)+(U458*'Settings'!$B$4)+(V458*'Settings'!$B$5)+(X458*'Settings'!$B$9)+(AA458*'Settings'!$B$6)+(W458*'Settings'!$B$8)+(AB458*'Settings'!$B$7)+(AC458*'Settings'!$B$14)+(AD458*'Settings'!$B$15)+(AE458*'Settings'!$B$16)+(AF458*'Settings'!$B$17)+(AG458*'Settings'!$B$18)+(U458*'Settings'!$B$13)+(Y458*'Settings'!$B$10)+(Z458*'Settings'!$B$11),VLOOKUP(B458,'Standard Deviations'!A1:C731,3,FALSE))</f>
        <v>175.411132275015</v>
      </c>
      <c r="J458" s="45">
        <f>IF(D458="G",I458/AJ458,I458/Q458)</f>
        <v>2.30092650718194</v>
      </c>
      <c r="K458" s="44">
        <f>VLOOKUP(B458,'D'!A1:F228,6,FALSE)</f>
        <v>-165.324006371508</v>
      </c>
      <c r="L458" s="44">
        <f>_xlfn.IFERROR(K458/H458,"N/A")</f>
        <v>-55.108002123836</v>
      </c>
      <c r="M458" t="s" s="61">
        <f>IF('Settings'!$E$9="YAHOO",VLOOKUP(B458,'ADP'!A1:E731,2,FALSE),IF('Settings'!$E$9="ESPN",VLOOKUP(B458,'ADP'!A1:E731,3,FALSE),IF('Settings'!$E$9="FANTRAX",VLOOKUP(B458,'ADP'!A1:E731,4,FALSE),VLOOKUP(B458,'ADP'!A1:E731,5,FALSE))))</f>
        <v>329</v>
      </c>
      <c r="N458" t="s" s="61">
        <f>_xlfn.IFERROR(M458-A458,"N/A")</f>
        <v>158</v>
      </c>
      <c r="O458" s="46"/>
      <c r="P458" t="s" s="47">
        <f>IF('Settings'!$E$27="ON",VLOOKUP(B458,'ADP'!A1:H731,8,FALSE)," ")</f>
        <v>109</v>
      </c>
      <c r="Q458" s="48">
        <f>IF('Settings'!$E$12="YES",VLOOKUP(B458,'Player Data'!A1:E734,5,FALSE),82)</f>
        <v>76.235</v>
      </c>
      <c r="R458" s="46">
        <f>VLOOKUP(B458,'Player Data'!$A1:$AE734,6,FALSE)</f>
        <v>17.565507904034</v>
      </c>
      <c r="S458" s="48">
        <f>VLOOKUP(B458,'Player Data'!$A1:$AE734,7,FALSE)*$Q458*_xlfn.IFERROR((VLOOKUP(P458,'Settings'!$E$28:$F$33,2,FALSE)+1),1)</f>
        <v>4.3658330886404</v>
      </c>
      <c r="T458" s="48">
        <f>VLOOKUP(B458,'Player Data'!$A1:$AE734,8,FALSE)*$Q458*_xlfn.IFERROR((VLOOKUP(P458,'Settings'!$E$28:$F$33,2,FALSE)+1),1)</f>
        <v>10.3748685091172</v>
      </c>
      <c r="U458" s="48">
        <f>SUM(S458:T458)</f>
        <v>14.7407015977576</v>
      </c>
      <c r="V458" s="48">
        <f>VLOOKUP(B458,'Player Data'!$A1:$AE734,10,FALSE)*$Q458*_xlfn.IFERROR(((VLOOKUP(P458,'Settings'!$E$28:$F$33,2,FALSE)/2)+1),1)</f>
        <v>64.2476151410367</v>
      </c>
      <c r="W458" s="48">
        <f>VLOOKUP(B458,'Player Data'!$A1:$AE734,11,FALSE)*$Q458*_xlfn.IFERROR((VLOOKUP(P458,'Settings'!$E$28:$F$33,2,FALSE)+1),1)</f>
        <v>0.0166619419569974</v>
      </c>
      <c r="X458" s="48">
        <f>VLOOKUP(B458,'Player Data'!$A1:$AE734,12,FALSE)*$Q458*_xlfn.IFERROR((VLOOKUP(P458,'Settings'!$E$28:$F$33,2,FALSE)+1),1)</f>
        <v>0.114662124897258</v>
      </c>
      <c r="Y458" s="48">
        <f>VLOOKUP(B458,'Player Data'!$A1:$AE734,13,FALSE)*$Q458</f>
        <v>1.03664440772803</v>
      </c>
      <c r="Z458" s="48">
        <f>VLOOKUP(B458,'Player Data'!$A1:$AE734,14,FALSE)*$Q458</f>
        <v>1.46518457002193</v>
      </c>
      <c r="AA458" s="48">
        <f>VLOOKUP(B458,'Player Data'!$A1:$AE734,15,FALSE)*$Q458</f>
        <v>114.295799891690</v>
      </c>
      <c r="AB458" s="48">
        <f>VLOOKUP(B458,'Player Data'!$A1:$AE734,16,FALSE)*$Q458</f>
        <v>129.752804769496</v>
      </c>
      <c r="AC458" s="48">
        <f>VLOOKUP(B458,'Player Data'!$A1:$AE734,17,FALSE)*$Q458*_xlfn.IFERROR((VLOOKUP(P458,'Settings'!$E$28:$F$33,2,FALSE)+1),1)</f>
        <v>1.76901384787232</v>
      </c>
      <c r="AD458" s="48">
        <f>VLOOKUP(B458,'Player Data'!$A1:$AE734,18,FALSE)*$Q458</f>
        <v>33.8601459469855</v>
      </c>
      <c r="AE458" s="48">
        <f>VLOOKUP(B458,'Player Data'!$A1:$AE734,19,FALSE)*$Q458*_xlfn.IFERROR((VLOOKUP(P458,'Settings'!$E$28:$F$33,2,FALSE)+1),1)</f>
        <v>0.732937458692596</v>
      </c>
      <c r="AF458" s="48">
        <f>VLOOKUP(B458,'Player Data'!$A1:$AE734,20,FALSE)*$Q458</f>
        <v>0</v>
      </c>
      <c r="AG458" s="48">
        <f>VLOOKUP(B458,'Player Data'!$A1:$AE734,21,FALSE)*$Q458</f>
        <v>0</v>
      </c>
      <c r="AH458" s="49">
        <f>VLOOKUP(B458,'Player Data'!$A1:$AE734,22,FALSE)</f>
        <v>0</v>
      </c>
      <c r="AI458" s="46"/>
      <c r="AJ458" s="50"/>
      <c r="AK458" s="48"/>
      <c r="AL458" s="48"/>
      <c r="AM458" s="48"/>
      <c r="AN458" s="48"/>
      <c r="AO458" s="48"/>
      <c r="AP458" s="48"/>
      <c r="AQ458" s="51"/>
      <c r="AR458" s="52"/>
      <c r="AS458" s="46"/>
    </row>
    <row r="459" ht="21.25" customHeight="1">
      <c r="A459" s="53">
        <f>RANK(K459,K2:K730)</f>
        <v>516</v>
      </c>
      <c r="B459" t="s" s="8">
        <v>611</v>
      </c>
      <c r="C459" t="s" s="39">
        <v>106</v>
      </c>
      <c r="D459" t="s" s="40">
        <f>VLOOKUP(B459,'Player Data'!A1:D734,4,FALSE)</f>
        <v>107</v>
      </c>
      <c r="E459" s="41">
        <f>VLOOKUP(B459,'C'!A1:C218,3,FALSE)</f>
        <v>134</v>
      </c>
      <c r="F459" t="s" s="42">
        <f>VLOOKUP(B459,'Player Data'!A1:B734,2,FALSE)</f>
        <v>225</v>
      </c>
      <c r="G459" s="9">
        <f>VLOOKUP(B459,'Player Data'!A1:D734,3,FALSE)</f>
        <v>23</v>
      </c>
      <c r="H459" s="43">
        <f>_xlfn.IFERROR(VLOOKUP(B459,'ADP'!A1:G731,7,FALSE)/1000000,VLOOKUP(B459,'ADP'!A1:G731,7,FALSE))</f>
        <v>2.25</v>
      </c>
      <c r="I459" s="44">
        <f>IF('Settings'!$E$15="POINTS",((R459*Q459)*'Settings'!$B$12)+(S459*'Settings'!$B$2)+(T459*'Settings'!$B$3)+(U459*'Settings'!$B$4)+(V459*'Settings'!$B$5)+(X459*'Settings'!$B$9)+(AA459*'Settings'!$B$6)+(W459*'Settings'!$B$8)+(AB459*'Settings'!$B$7)+(AC459*'Settings'!$B$14)+(AD459*'Settings'!$B$15)+(AE459*'Settings'!$B$16)+(AF459*'Settings'!$B$17)+(AG459*'Settings'!$B$18)+(Y459*'Settings'!$B$10)+(Z459*'Settings'!$B$11),VLOOKUP(B459,'Standard Deviations'!A1:C731,3,FALSE))</f>
        <v>209.506369679912</v>
      </c>
      <c r="J459" s="45">
        <f>IF(D459="G",I459/AJ459,I459/Q459)</f>
        <v>2.7017516872942</v>
      </c>
      <c r="K459" s="44">
        <f>IF('Settings'!$E$18="C/LW/RW",VLOOKUP(B459,'C'!A1:F218,6,FALSE),VLOOKUP(B459,'F'!A1:F432,6,FALSE))</f>
        <v>-186.267831956103</v>
      </c>
      <c r="L459" s="44">
        <f>_xlfn.IFERROR(K459/H459,"N/A")</f>
        <v>-82.78570309160131</v>
      </c>
      <c r="M459" s="46">
        <f>IF('Settings'!$E$9="YAHOO",VLOOKUP(B459,'ADP'!A1:E731,2,FALSE),IF('Settings'!$E$9="ESPN",VLOOKUP(B459,'ADP'!A1:E731,3,FALSE),IF('Settings'!$E$9="FANTRAX",VLOOKUP(B459,'ADP'!A1:E731,4,FALSE),VLOOKUP(B459,'ADP'!A1:E731,5,FALSE))))</f>
        <v>447.5</v>
      </c>
      <c r="N459" s="46">
        <f>_xlfn.IFERROR(M459-A459,"N/A")</f>
        <v>-68.5</v>
      </c>
      <c r="O459" s="46"/>
      <c r="P459" t="s" s="47">
        <f>IF('Settings'!$E$27="ON",VLOOKUP(B459,'ADP'!A1:H731,8,FALSE)," ")</f>
        <v>109</v>
      </c>
      <c r="Q459" s="48">
        <f>IF('Settings'!$E$12="YES",VLOOKUP(B459,'Player Data'!A1:E734,5,FALSE),82)</f>
        <v>77.5446428571429</v>
      </c>
      <c r="R459" s="46">
        <f>VLOOKUP(B459,'Player Data'!$A1:$AE734,6,FALSE)</f>
        <v>16.7113782928768</v>
      </c>
      <c r="S459" s="48">
        <f>VLOOKUP(B459,'Player Data'!$A1:$AE734,7,FALSE)*$Q459*_xlfn.IFERROR((VLOOKUP(P459,'Settings'!$E$28:$F$33,2,FALSE)+1),1)</f>
        <v>12.1139931489966</v>
      </c>
      <c r="T459" s="48">
        <f>VLOOKUP(B459,'Player Data'!$A1:$AE734,8,FALSE)*$Q459*_xlfn.IFERROR((VLOOKUP(P459,'Settings'!$E$28:$F$33,2,FALSE)+1),1)</f>
        <v>20.4565726962667</v>
      </c>
      <c r="U459" s="48">
        <f>SUM(S459:T459)</f>
        <v>32.5705658452633</v>
      </c>
      <c r="V459" s="48">
        <f>VLOOKUP(B459,'Player Data'!$A1:$AE734,10,FALSE)*$Q459*_xlfn.IFERROR(((VLOOKUP(P459,'Settings'!$E$28:$F$33,2,FALSE)/2)+1),1)</f>
        <v>125.002139795381</v>
      </c>
      <c r="W459" s="48">
        <f>VLOOKUP(B459,'Player Data'!$A1:$AE734,11,FALSE)*$Q459*_xlfn.IFERROR((VLOOKUP(P459,'Settings'!$E$28:$F$33,2,FALSE)+1),1)</f>
        <v>1.64559234682153</v>
      </c>
      <c r="X459" s="48">
        <f>VLOOKUP(B459,'Player Data'!$A1:$AE734,12,FALSE)*$Q459*_xlfn.IFERROR((VLOOKUP(P459,'Settings'!$E$28:$F$33,2,FALSE)+1),1)</f>
        <v>6.0747962139091</v>
      </c>
      <c r="Y459" s="48">
        <f>VLOOKUP(B459,'Player Data'!$A1:$AE734,13,FALSE)*$Q459</f>
        <v>0.252763485052064</v>
      </c>
      <c r="Z459" s="48">
        <f>VLOOKUP(B459,'Player Data'!$A1:$AE734,14,FALSE)*$Q459</f>
        <v>0.4560339806115</v>
      </c>
      <c r="AA459" s="48">
        <f>VLOOKUP(B459,'Player Data'!$A1:$AE734,15,FALSE)*$Q459</f>
        <v>37.418273451212</v>
      </c>
      <c r="AB459" s="48">
        <f>VLOOKUP(B459,'Player Data'!$A1:$AE734,16,FALSE)*$Q459</f>
        <v>46.0056313444301</v>
      </c>
      <c r="AC459" s="48">
        <f>VLOOKUP(B459,'Player Data'!$A1:$AE734,17,FALSE)*$Q459*_xlfn.IFERROR((VLOOKUP(P459,'Settings'!$E$28:$F$33,2,FALSE)+1),1)</f>
        <v>-9.13091975274558</v>
      </c>
      <c r="AD459" s="48">
        <f>VLOOKUP(B459,'Player Data'!$A1:$AE734,18,FALSE)*$Q459</f>
        <v>20.1640758943534</v>
      </c>
      <c r="AE459" s="48">
        <f>VLOOKUP(B459,'Player Data'!$A1:$AE734,19,FALSE)*$Q459*_xlfn.IFERROR((VLOOKUP(P459,'Settings'!$E$28:$F$33,2,FALSE)+1),1)</f>
        <v>1.41953651753518</v>
      </c>
      <c r="AF459" s="48">
        <f>VLOOKUP(B459,'Player Data'!$A1:$AE734,20,FALSE)*$Q459</f>
        <v>96.8137908439741</v>
      </c>
      <c r="AG459" s="48">
        <f>VLOOKUP(B459,'Player Data'!$A1:$AE734,21,FALSE)*$Q459</f>
        <v>126.714006327907</v>
      </c>
      <c r="AH459" s="49">
        <f>VLOOKUP(B459,'Player Data'!$A1:$AE734,22,FALSE)</f>
        <v>0.433117455944548</v>
      </c>
      <c r="AI459" s="46"/>
      <c r="AJ459" s="50"/>
      <c r="AK459" s="48"/>
      <c r="AL459" s="48"/>
      <c r="AM459" s="48"/>
      <c r="AN459" s="48"/>
      <c r="AO459" s="48"/>
      <c r="AP459" s="48"/>
      <c r="AQ459" s="51"/>
      <c r="AR459" s="52"/>
      <c r="AS459" s="46"/>
    </row>
    <row r="460" ht="21.25" customHeight="1">
      <c r="A460" s="53">
        <f>RANK(K460,K2:K730)</f>
        <v>466</v>
      </c>
      <c r="B460" t="s" s="8">
        <v>612</v>
      </c>
      <c r="C460" t="s" s="39">
        <v>106</v>
      </c>
      <c r="D460" t="s" s="40">
        <f>VLOOKUP(B460,'Player Data'!A1:D734,4,FALSE)</f>
        <v>121</v>
      </c>
      <c r="E460" s="55">
        <f>VLOOKUP(B460,'RW'!A1:F132,3,FALSE)</f>
        <v>86</v>
      </c>
      <c r="F460" t="s" s="42">
        <f>VLOOKUP(B460,'Player Data'!A1:B734,2,FALSE)</f>
        <v>166</v>
      </c>
      <c r="G460" s="9">
        <f>VLOOKUP(B460,'Player Data'!A1:D734,3,FALSE)</f>
        <v>28</v>
      </c>
      <c r="H460" s="43">
        <f>_xlfn.IFERROR(VLOOKUP(B460,'ADP'!A1:G731,7,FALSE)/1000000,VLOOKUP(B460,'ADP'!A1:G731,7,FALSE))</f>
        <v>5.7</v>
      </c>
      <c r="I460" s="44">
        <f>IF('Settings'!$E$15="POINTS",((R460*Q460)*'Settings'!$B$12)+(S460*'Settings'!$B$2)+(T460*'Settings'!$B$3)+(U460*'Settings'!$B$4)+(V460*'Settings'!$B$5)+(X460*'Settings'!$B$9)+(AA460*'Settings'!$B$6)+(W460*'Settings'!$B$8)+(AB460*'Settings'!$B$7)+(AC460*'Settings'!$B$14)+(AD460*'Settings'!$B$15)+(AE460*'Settings'!$B$16)+(AF460*'Settings'!$B$17)+(AG460*'Settings'!$B$18)+(Y460*'Settings'!$B$10)+(Z460*'Settings'!$B$11),VLOOKUP(B460,'Standard Deviations'!A1:C731,3,FALSE))</f>
        <v>210.351963517365</v>
      </c>
      <c r="J460" s="45">
        <f>IF(D460="G",I460/AJ460,I460/Q460)</f>
        <v>2.91750296140589</v>
      </c>
      <c r="K460" s="44">
        <f>IF('Settings'!$E$18="C/LW/RW",VLOOKUP(B460,'RW'!A1:F132,6,FALSE),VLOOKUP(B460,'F'!A1:F432,6,FALSE))</f>
        <v>-171.276600188991</v>
      </c>
      <c r="L460" s="44">
        <f>_xlfn.IFERROR(K460/H460,"N/A")</f>
        <v>-30.0485263489458</v>
      </c>
      <c r="M460" t="s" s="61">
        <f>IF('Settings'!$E$9="YAHOO",VLOOKUP(B460,'ADP'!A1:E731,2,FALSE),IF('Settings'!$E$9="ESPN",VLOOKUP(B460,'ADP'!A1:E731,3,FALSE),IF('Settings'!$E$9="FANTRAX",VLOOKUP(B460,'ADP'!A1:E731,4,FALSE),VLOOKUP(B460,'ADP'!A1:E731,5,FALSE))))</f>
        <v>329</v>
      </c>
      <c r="N460" t="s" s="61">
        <f>_xlfn.IFERROR(M460-A460,"N/A")</f>
        <v>158</v>
      </c>
      <c r="O460" s="46"/>
      <c r="P460" t="s" s="47">
        <f>IF('Settings'!$E$27="ON",VLOOKUP(B460,'ADP'!A1:H731,8,FALSE)," ")</f>
        <v>109</v>
      </c>
      <c r="Q460" s="48">
        <f>IF('Settings'!$E$12="YES",VLOOKUP(B460,'Player Data'!A1:E734,5,FALSE),82)</f>
        <v>72.09999999999999</v>
      </c>
      <c r="R460" s="46">
        <f>VLOOKUP(B460,'Player Data'!$A1:$AE734,6,FALSE)</f>
        <v>14.0675396168923</v>
      </c>
      <c r="S460" s="48">
        <f>VLOOKUP(B460,'Player Data'!$A1:$AE734,7,FALSE)*$Q460*_xlfn.IFERROR((VLOOKUP(P460,'Settings'!$E$28:$F$33,2,FALSE)+1),1)</f>
        <v>13.0017484871593</v>
      </c>
      <c r="T460" s="48">
        <f>VLOOKUP(B460,'Player Data'!$A1:$AE734,8,FALSE)*$Q460*_xlfn.IFERROR((VLOOKUP(P460,'Settings'!$E$28:$F$33,2,FALSE)+1),1)</f>
        <v>18.0684747926108</v>
      </c>
      <c r="U460" s="48">
        <f>SUM(S460:T460)</f>
        <v>31.0702232797701</v>
      </c>
      <c r="V460" s="48">
        <f>VLOOKUP(B460,'Player Data'!$A1:$AE734,10,FALSE)*$Q460*_xlfn.IFERROR(((VLOOKUP(P460,'Settings'!$E$28:$F$33,2,FALSE)/2)+1),1)</f>
        <v>129.335124424204</v>
      </c>
      <c r="W460" s="48">
        <f>VLOOKUP(B460,'Player Data'!$A1:$AE734,11,FALSE)*$Q460*_xlfn.IFERROR((VLOOKUP(P460,'Settings'!$E$28:$F$33,2,FALSE)+1),1)</f>
        <v>0.766230403797044</v>
      </c>
      <c r="X460" s="48">
        <f>VLOOKUP(B460,'Player Data'!$A1:$AE734,12,FALSE)*$Q460*_xlfn.IFERROR((VLOOKUP(P460,'Settings'!$E$28:$F$33,2,FALSE)+1),1)</f>
        <v>1.80241691778806</v>
      </c>
      <c r="Y460" s="48">
        <f>VLOOKUP(B460,'Player Data'!$A1:$AE734,13,FALSE)*$Q460</f>
        <v>0.0056576254779121</v>
      </c>
      <c r="Z460" s="48">
        <f>VLOOKUP(B460,'Player Data'!$A1:$AE734,14,FALSE)*$Q460</f>
        <v>0.0104360242255224</v>
      </c>
      <c r="AA460" s="48">
        <f>VLOOKUP(B460,'Player Data'!$A1:$AE734,15,FALSE)*$Q460</f>
        <v>28.1862485383735</v>
      </c>
      <c r="AB460" s="48">
        <f>VLOOKUP(B460,'Player Data'!$A1:$AE734,16,FALSE)*$Q460</f>
        <v>75.42844967030381</v>
      </c>
      <c r="AC460" s="48">
        <f>VLOOKUP(B460,'Player Data'!$A1:$AE734,17,FALSE)*$Q460*_xlfn.IFERROR((VLOOKUP(P460,'Settings'!$E$28:$F$33,2,FALSE)+1),1)</f>
        <v>-2.06083109159883</v>
      </c>
      <c r="AD460" s="48">
        <f>VLOOKUP(B460,'Player Data'!$A1:$AE734,18,FALSE)*$Q460</f>
        <v>28.2221195283363</v>
      </c>
      <c r="AE460" s="48">
        <f>VLOOKUP(B460,'Player Data'!$A1:$AE734,19,FALSE)*$Q460*_xlfn.IFERROR((VLOOKUP(P460,'Settings'!$E$28:$F$33,2,FALSE)+1),1)</f>
        <v>1.59929160121474</v>
      </c>
      <c r="AF460" s="48">
        <f>VLOOKUP(B460,'Player Data'!$A1:$AE734,20,FALSE)*$Q460</f>
        <v>11.5468914575359</v>
      </c>
      <c r="AG460" s="48">
        <f>VLOOKUP(B460,'Player Data'!$A1:$AE734,21,FALSE)*$Q460</f>
        <v>9.311266090653531</v>
      </c>
      <c r="AH460" s="49">
        <f>VLOOKUP(B460,'Player Data'!$A1:$AE734,22,FALSE)</f>
        <v>0.5535911516086039</v>
      </c>
      <c r="AI460" s="46"/>
      <c r="AJ460" s="50"/>
      <c r="AK460" s="48"/>
      <c r="AL460" s="48"/>
      <c r="AM460" s="48"/>
      <c r="AN460" s="48"/>
      <c r="AO460" s="48"/>
      <c r="AP460" s="48"/>
      <c r="AQ460" s="51"/>
      <c r="AR460" s="52"/>
      <c r="AS460" s="46"/>
    </row>
    <row r="461" ht="21.25" customHeight="1">
      <c r="A461" s="53">
        <f>RANK(K461,K2:K730)</f>
        <v>449</v>
      </c>
      <c r="B461" t="s" s="8">
        <v>613</v>
      </c>
      <c r="C461" t="s" s="39">
        <v>106</v>
      </c>
      <c r="D461" t="s" s="40">
        <f>VLOOKUP(B461,'Player Data'!A1:D734,4,FALSE)</f>
        <v>129</v>
      </c>
      <c r="E461" s="56">
        <f>VLOOKUP(B461,'D'!A1:C228,3,FALSE)</f>
        <v>159</v>
      </c>
      <c r="F461" t="s" s="42">
        <f>VLOOKUP(B461,'Player Data'!A1:B734,2,FALSE)</f>
        <v>234</v>
      </c>
      <c r="G461" s="9">
        <f>VLOOKUP(B461,'Player Data'!A1:D734,3,FALSE)</f>
        <v>28</v>
      </c>
      <c r="H461" s="43">
        <f>_xlfn.IFERROR(VLOOKUP(B461,'ADP'!A1:G731,7,FALSE)/1000000,VLOOKUP(B461,'ADP'!A1:G731,7,FALSE))</f>
        <v>0.775</v>
      </c>
      <c r="I461" s="44">
        <f>IF('Settings'!$E$15="POINTS",((R461*Q461)*'Settings'!$B$12)+(S461*'Settings'!$B$2)+(T461*'Settings'!$B$3)+(U461*'Settings'!$B$4)+(V461*'Settings'!$B$5)+(X461*'Settings'!$B$9)+(AA461*'Settings'!$B$6)+(W461*'Settings'!$B$8)+(AB461*'Settings'!$B$7)+(AC461*'Settings'!$B$14)+(AD461*'Settings'!$B$15)+(AE461*'Settings'!$B$16)+(AF461*'Settings'!$B$17)+(AG461*'Settings'!$B$18)+(U461*'Settings'!$B$13)+(Y461*'Settings'!$B$10)+(Z461*'Settings'!$B$11),VLOOKUP(B461,'Standard Deviations'!A1:C731,3,FALSE))</f>
        <v>173.504576707531</v>
      </c>
      <c r="J461" s="45">
        <f>IF(D461="G",I461/AJ461,I461/Q461)</f>
        <v>2.53204223145887</v>
      </c>
      <c r="K461" s="44">
        <f>VLOOKUP(B461,'D'!A1:F228,6,FALSE)</f>
        <v>-167.230561938992</v>
      </c>
      <c r="L461" s="44">
        <f>_xlfn.IFERROR(K461/H461,"N/A")</f>
        <v>-215.781370243861</v>
      </c>
      <c r="M461" t="s" s="61">
        <f>IF('Settings'!$E$9="YAHOO",VLOOKUP(B461,'ADP'!A1:E731,2,FALSE),IF('Settings'!$E$9="ESPN",VLOOKUP(B461,'ADP'!A1:E731,3,FALSE),IF('Settings'!$E$9="FANTRAX",VLOOKUP(B461,'ADP'!A1:E731,4,FALSE),VLOOKUP(B461,'ADP'!A1:E731,5,FALSE))))</f>
        <v>329</v>
      </c>
      <c r="N461" t="s" s="61">
        <f>_xlfn.IFERROR(M461-A461,"N/A")</f>
        <v>158</v>
      </c>
      <c r="O461" s="46"/>
      <c r="P461" t="s" s="47">
        <f>IF('Settings'!$E$27="ON",VLOOKUP(B461,'ADP'!A1:H731,8,FALSE)," ")</f>
        <v>109</v>
      </c>
      <c r="Q461" s="48">
        <f>IF('Settings'!$E$12="YES",VLOOKUP(B461,'Player Data'!A1:E734,5,FALSE),82)</f>
        <v>68.5235714285714</v>
      </c>
      <c r="R461" s="46">
        <f>VLOOKUP(B461,'Player Data'!$A1:$AE734,6,FALSE)</f>
        <v>17.3519812676322</v>
      </c>
      <c r="S461" s="48">
        <f>VLOOKUP(B461,'Player Data'!$A1:$AE734,7,FALSE)*$Q461*_xlfn.IFERROR((VLOOKUP(P461,'Settings'!$E$28:$F$33,2,FALSE)+1),1)</f>
        <v>2.99394914705746</v>
      </c>
      <c r="T461" s="48">
        <f>VLOOKUP(B461,'Player Data'!$A1:$AE734,8,FALSE)*$Q461*_xlfn.IFERROR((VLOOKUP(P461,'Settings'!$E$28:$F$33,2,FALSE)+1),1)</f>
        <v>10.6421616109091</v>
      </c>
      <c r="U461" s="48">
        <f>SUM(S461:T461)</f>
        <v>13.6361107579666</v>
      </c>
      <c r="V461" s="48">
        <f>VLOOKUP(B461,'Player Data'!$A1:$AE734,10,FALSE)*$Q461*_xlfn.IFERROR(((VLOOKUP(P461,'Settings'!$E$28:$F$33,2,FALSE)/2)+1),1)</f>
        <v>77.7179281696329</v>
      </c>
      <c r="W461" s="48">
        <f>VLOOKUP(B461,'Player Data'!$A1:$AE734,11,FALSE)*$Q461*_xlfn.IFERROR((VLOOKUP(P461,'Settings'!$E$28:$F$33,2,FALSE)+1),1)</f>
        <v>0.0131327393791269</v>
      </c>
      <c r="X461" s="48">
        <f>VLOOKUP(B461,'Player Data'!$A1:$AE734,12,FALSE)*$Q461*_xlfn.IFERROR((VLOOKUP(P461,'Settings'!$E$28:$F$33,2,FALSE)+1),1)</f>
        <v>0.09094557862150381</v>
      </c>
      <c r="Y461" s="48">
        <f>VLOOKUP(B461,'Player Data'!$A1:$AE734,13,FALSE)*$Q461</f>
        <v>0.0211073940603543</v>
      </c>
      <c r="Z461" s="48">
        <f>VLOOKUP(B461,'Player Data'!$A1:$AE734,14,FALSE)*$Q461</f>
        <v>0.07989045893217681</v>
      </c>
      <c r="AA461" s="48">
        <f>VLOOKUP(B461,'Player Data'!$A1:$AE734,15,FALSE)*$Q461</f>
        <v>95.635250474514</v>
      </c>
      <c r="AB461" s="48">
        <f>VLOOKUP(B461,'Player Data'!$A1:$AE734,16,FALSE)*$Q461</f>
        <v>165.075801892429</v>
      </c>
      <c r="AC461" s="48">
        <f>VLOOKUP(B461,'Player Data'!$A1:$AE734,17,FALSE)*$Q461*_xlfn.IFERROR((VLOOKUP(P461,'Settings'!$E$28:$F$33,2,FALSE)+1),1)</f>
        <v>-6.07821728304649</v>
      </c>
      <c r="AD461" s="48">
        <f>VLOOKUP(B461,'Player Data'!$A1:$AE734,18,FALSE)*$Q461</f>
        <v>41.0353445533676</v>
      </c>
      <c r="AE461" s="48">
        <f>VLOOKUP(B461,'Player Data'!$A1:$AE734,19,FALSE)*$Q461*_xlfn.IFERROR((VLOOKUP(P461,'Settings'!$E$28:$F$33,2,FALSE)+1),1)</f>
        <v>0.28700902393319</v>
      </c>
      <c r="AF461" s="48">
        <f>VLOOKUP(B461,'Player Data'!$A1:$AE734,20,FALSE)*$Q461</f>
        <v>0</v>
      </c>
      <c r="AG461" s="48">
        <f>VLOOKUP(B461,'Player Data'!$A1:$AE734,21,FALSE)*$Q461</f>
        <v>0</v>
      </c>
      <c r="AH461" s="49">
        <f>VLOOKUP(B461,'Player Data'!$A1:$AE734,22,FALSE)</f>
        <v>0</v>
      </c>
      <c r="AI461" s="46"/>
      <c r="AJ461" s="50"/>
      <c r="AK461" s="48"/>
      <c r="AL461" s="48"/>
      <c r="AM461" s="48"/>
      <c r="AN461" s="48"/>
      <c r="AO461" s="48"/>
      <c r="AP461" s="48"/>
      <c r="AQ461" s="51"/>
      <c r="AR461" s="52"/>
      <c r="AS461" s="46"/>
    </row>
    <row r="462" ht="21.25" customHeight="1">
      <c r="A462" s="53">
        <f>RANK(K462,K2:K730)</f>
        <v>485</v>
      </c>
      <c r="B462" t="s" s="8">
        <v>614</v>
      </c>
      <c r="C462" t="s" s="39">
        <v>106</v>
      </c>
      <c r="D462" t="s" s="40">
        <f>VLOOKUP(B462,'Player Data'!A1:D734,4,FALSE)</f>
        <v>129</v>
      </c>
      <c r="E462" s="56">
        <f>VLOOKUP(B462,'D'!A1:C228,3,FALSE)</f>
        <v>170</v>
      </c>
      <c r="F462" t="s" s="42">
        <f>VLOOKUP(B462,'Player Data'!A1:B734,2,FALSE)</f>
        <v>248</v>
      </c>
      <c r="G462" s="9">
        <f>VLOOKUP(B462,'Player Data'!A1:D734,3,FALSE)</f>
        <v>26</v>
      </c>
      <c r="H462" s="43">
        <f>_xlfn.IFERROR(VLOOKUP(B462,'ADP'!A1:G731,7,FALSE)/1000000,VLOOKUP(B462,'ADP'!A1:G731,7,FALSE))</f>
        <v>2.7</v>
      </c>
      <c r="I462" s="44">
        <f>IF('Settings'!$E$15="POINTS",((R462*Q462)*'Settings'!$B$12)+(S462*'Settings'!$B$2)+(T462*'Settings'!$B$3)+(U462*'Settings'!$B$4)+(V462*'Settings'!$B$5)+(X462*'Settings'!$B$9)+(AA462*'Settings'!$B$6)+(W462*'Settings'!$B$8)+(AB462*'Settings'!$B$7)+(AC462*'Settings'!$B$14)+(AD462*'Settings'!$B$15)+(AE462*'Settings'!$B$16)+(AF462*'Settings'!$B$17)+(AG462*'Settings'!$B$18)+(U462*'Settings'!$B$13)+(Y462*'Settings'!$B$10)+(Z462*'Settings'!$B$11),VLOOKUP(B462,'Standard Deviations'!A1:C731,3,FALSE))</f>
        <v>163.785200268863</v>
      </c>
      <c r="J462" s="45">
        <f>IF(D462="G",I462/AJ462,I462/Q462)</f>
        <v>2.3747556404653</v>
      </c>
      <c r="K462" s="44">
        <f>VLOOKUP(B462,'D'!A1:F228,6,FALSE)</f>
        <v>-176.949938377660</v>
      </c>
      <c r="L462" s="44">
        <f>_xlfn.IFERROR(K462/H462,"N/A")</f>
        <v>-65.5370142139481</v>
      </c>
      <c r="M462" t="s" s="61">
        <f>IF('Settings'!$E$9="YAHOO",VLOOKUP(B462,'ADP'!A1:E731,2,FALSE),IF('Settings'!$E$9="ESPN",VLOOKUP(B462,'ADP'!A1:E731,3,FALSE),IF('Settings'!$E$9="FANTRAX",VLOOKUP(B462,'ADP'!A1:E731,4,FALSE),VLOOKUP(B462,'ADP'!A1:E731,5,FALSE))))</f>
        <v>329</v>
      </c>
      <c r="N462" t="s" s="61">
        <f>_xlfn.IFERROR(M462-A462,"N/A")</f>
        <v>158</v>
      </c>
      <c r="O462" s="46"/>
      <c r="P462" t="s" s="47">
        <f>IF('Settings'!$E$27="ON",VLOOKUP(B462,'ADP'!A1:H731,8,FALSE)," ")</f>
        <v>109</v>
      </c>
      <c r="Q462" s="48">
        <f>IF('Settings'!$E$12="YES",VLOOKUP(B462,'Player Data'!A1:E734,5,FALSE),82)</f>
        <v>68.9692857142857</v>
      </c>
      <c r="R462" s="46">
        <f>VLOOKUP(B462,'Player Data'!$A1:$AE734,6,FALSE)</f>
        <v>16.2745127134147</v>
      </c>
      <c r="S462" s="48">
        <f>VLOOKUP(B462,'Player Data'!$A1:$AE734,7,FALSE)*$Q462*_xlfn.IFERROR((VLOOKUP(P462,'Settings'!$E$28:$F$33,2,FALSE)+1),1)</f>
        <v>2.99667962647826</v>
      </c>
      <c r="T462" s="48">
        <f>VLOOKUP(B462,'Player Data'!$A1:$AE734,8,FALSE)*$Q462*_xlfn.IFERROR((VLOOKUP(P462,'Settings'!$E$28:$F$33,2,FALSE)+1),1)</f>
        <v>13.0523579789938</v>
      </c>
      <c r="U462" s="48">
        <f>SUM(S462:T462)</f>
        <v>16.0490376054721</v>
      </c>
      <c r="V462" s="48">
        <f>VLOOKUP(B462,'Player Data'!$A1:$AE734,10,FALSE)*$Q462*_xlfn.IFERROR(((VLOOKUP(P462,'Settings'!$E$28:$F$33,2,FALSE)/2)+1),1)</f>
        <v>69.6223732094611</v>
      </c>
      <c r="W462" s="48">
        <f>VLOOKUP(B462,'Player Data'!$A1:$AE734,11,FALSE)*$Q462*_xlfn.IFERROR((VLOOKUP(P462,'Settings'!$E$28:$F$33,2,FALSE)+1),1)</f>
        <v>0.0210268684538007</v>
      </c>
      <c r="X462" s="48">
        <f>VLOOKUP(B462,'Player Data'!$A1:$AE734,12,FALSE)*$Q462*_xlfn.IFERROR((VLOOKUP(P462,'Settings'!$E$28:$F$33,2,FALSE)+1),1)</f>
        <v>0.143453140977782</v>
      </c>
      <c r="Y462" s="48">
        <f>VLOOKUP(B462,'Player Data'!$A1:$AE734,13,FALSE)*$Q462</f>
        <v>0.0326610374487164</v>
      </c>
      <c r="Z462" s="48">
        <f>VLOOKUP(B462,'Player Data'!$A1:$AE734,14,FALSE)*$Q462</f>
        <v>0.125707376240447</v>
      </c>
      <c r="AA462" s="48">
        <f>VLOOKUP(B462,'Player Data'!$A1:$AE734,15,FALSE)*$Q462</f>
        <v>77.35693029268531</v>
      </c>
      <c r="AB462" s="48">
        <f>VLOOKUP(B462,'Player Data'!$A1:$AE734,16,FALSE)*$Q462</f>
        <v>149.608006036701</v>
      </c>
      <c r="AC462" s="48">
        <f>VLOOKUP(B462,'Player Data'!$A1:$AE734,17,FALSE)*$Q462*_xlfn.IFERROR((VLOOKUP(P462,'Settings'!$E$28:$F$33,2,FALSE)+1),1)</f>
        <v>-0.187710489792043</v>
      </c>
      <c r="AD462" s="48">
        <f>VLOOKUP(B462,'Player Data'!$A1:$AE734,18,FALSE)*$Q462</f>
        <v>39.2697659818717</v>
      </c>
      <c r="AE462" s="48">
        <f>VLOOKUP(B462,'Player Data'!$A1:$AE734,19,FALSE)*$Q462*_xlfn.IFERROR((VLOOKUP(P462,'Settings'!$E$28:$F$33,2,FALSE)+1),1)</f>
        <v>0.421216213557965</v>
      </c>
      <c r="AF462" s="48">
        <f>VLOOKUP(B462,'Player Data'!$A1:$AE734,20,FALSE)*$Q462</f>
        <v>0</v>
      </c>
      <c r="AG462" s="48">
        <f>VLOOKUP(B462,'Player Data'!$A1:$AE734,21,FALSE)*$Q462</f>
        <v>0</v>
      </c>
      <c r="AH462" s="49">
        <f>VLOOKUP(B462,'Player Data'!$A1:$AE734,22,FALSE)</f>
        <v>0</v>
      </c>
      <c r="AI462" s="46"/>
      <c r="AJ462" s="50"/>
      <c r="AK462" s="48"/>
      <c r="AL462" s="48"/>
      <c r="AM462" s="48"/>
      <c r="AN462" s="48"/>
      <c r="AO462" s="48"/>
      <c r="AP462" s="48"/>
      <c r="AQ462" s="51"/>
      <c r="AR462" s="52"/>
      <c r="AS462" s="46"/>
    </row>
    <row r="463" ht="21.25" customHeight="1">
      <c r="A463" s="53">
        <f>RANK(K463,K2:K730)</f>
        <v>585</v>
      </c>
      <c r="B463" t="s" s="8">
        <v>615</v>
      </c>
      <c r="C463" t="s" s="39">
        <v>106</v>
      </c>
      <c r="D463" t="s" s="40">
        <f>VLOOKUP(B463,'Player Data'!A1:D734,4,FALSE)</f>
        <v>129</v>
      </c>
      <c r="E463" s="56">
        <f>VLOOKUP(B463,'D'!A1:C228,3,FALSE)</f>
        <v>198</v>
      </c>
      <c r="F463" t="s" s="42">
        <f>VLOOKUP(B463,'Player Data'!A1:B734,2,FALSE)</f>
        <v>202</v>
      </c>
      <c r="G463" s="9">
        <f>VLOOKUP(B463,'Player Data'!A1:D734,3,FALSE)</f>
        <v>25</v>
      </c>
      <c r="H463" s="43">
        <f>_xlfn.IFERROR(VLOOKUP(B463,'ADP'!A1:G731,7,FALSE)/1000000,VLOOKUP(B463,'ADP'!A1:G731,7,FALSE))</f>
        <v>0.85</v>
      </c>
      <c r="I463" s="44">
        <f>IF('Settings'!$E$15="POINTS",((R463*Q463)*'Settings'!$B$12)+(S463*'Settings'!$B$2)+(T463*'Settings'!$B$3)+(U463*'Settings'!$B$4)+(V463*'Settings'!$B$5)+(X463*'Settings'!$B$9)+(AA463*'Settings'!$B$6)+(W463*'Settings'!$B$8)+(AB463*'Settings'!$B$7)+(AC463*'Settings'!$B$14)+(AD463*'Settings'!$B$15)+(AE463*'Settings'!$B$16)+(AF463*'Settings'!$B$17)+(AG463*'Settings'!$B$18)+(U463*'Settings'!$B$13)+(Y463*'Settings'!$B$10)+(Z463*'Settings'!$B$11),VLOOKUP(B463,'Standard Deviations'!A1:C731,3,FALSE))</f>
        <v>128.139157568242</v>
      </c>
      <c r="J463" s="45">
        <f>IF(D463="G",I463/AJ463,I463/Q463)</f>
        <v>2.02187406984952</v>
      </c>
      <c r="K463" s="44">
        <f>VLOOKUP(B463,'D'!A1:F228,6,FALSE)</f>
        <v>-212.595981078281</v>
      </c>
      <c r="L463" s="44">
        <f>_xlfn.IFERROR(K463/H463,"N/A")</f>
        <v>-250.112918915625</v>
      </c>
      <c r="M463" t="s" s="61">
        <f>IF('Settings'!$E$9="YAHOO",VLOOKUP(B463,'ADP'!A1:E731,2,FALSE),IF('Settings'!$E$9="ESPN",VLOOKUP(B463,'ADP'!A1:E731,3,FALSE),IF('Settings'!$E$9="FANTRAX",VLOOKUP(B463,'ADP'!A1:E731,4,FALSE),VLOOKUP(B463,'ADP'!A1:E731,5,FALSE))))</f>
        <v>329</v>
      </c>
      <c r="N463" t="s" s="61">
        <f>_xlfn.IFERROR(M463-A463,"N/A")</f>
        <v>158</v>
      </c>
      <c r="O463" s="46"/>
      <c r="P463" t="s" s="47">
        <f>IF('Settings'!$E$27="ON",VLOOKUP(B463,'ADP'!A1:H731,8,FALSE)," ")</f>
        <v>109</v>
      </c>
      <c r="Q463" s="48">
        <f>IF('Settings'!$E$12="YES",VLOOKUP(B463,'Player Data'!A1:E734,5,FALSE),82)</f>
        <v>63.3764285714286</v>
      </c>
      <c r="R463" s="46">
        <f>VLOOKUP(B463,'Player Data'!$A1:$AE734,6,FALSE)</f>
        <v>12.7205882352941</v>
      </c>
      <c r="S463" s="48">
        <f>VLOOKUP(B463,'Player Data'!$A1:$AE734,7,FALSE)*$Q463*_xlfn.IFERROR((VLOOKUP(P463,'Settings'!$E$28:$F$33,2,FALSE)+1),1)</f>
        <v>2.88309717658762</v>
      </c>
      <c r="T463" s="48">
        <f>VLOOKUP(B463,'Player Data'!$A1:$AE734,8,FALSE)*$Q463*_xlfn.IFERROR((VLOOKUP(P463,'Settings'!$E$28:$F$33,2,FALSE)+1),1)</f>
        <v>9.87164457906826</v>
      </c>
      <c r="U463" s="48">
        <f>SUM(S463:T463)</f>
        <v>12.7547417556559</v>
      </c>
      <c r="V463" s="48">
        <f>VLOOKUP(B463,'Player Data'!$A1:$AE734,10,FALSE)*$Q463*_xlfn.IFERROR(((VLOOKUP(P463,'Settings'!$E$28:$F$33,2,FALSE)/2)+1),1)</f>
        <v>88.2446277493779</v>
      </c>
      <c r="W463" s="48">
        <f>VLOOKUP(B463,'Player Data'!$A1:$AE734,11,FALSE)*$Q463*_xlfn.IFERROR((VLOOKUP(P463,'Settings'!$E$28:$F$33,2,FALSE)+1),1)</f>
        <v>1.03681654262296</v>
      </c>
      <c r="X463" s="48">
        <f>VLOOKUP(B463,'Player Data'!$A1:$AE734,12,FALSE)*$Q463*_xlfn.IFERROR((VLOOKUP(P463,'Settings'!$E$28:$F$33,2,FALSE)+1),1)</f>
        <v>2.9867963380479</v>
      </c>
      <c r="Y463" s="48">
        <f>VLOOKUP(B463,'Player Data'!$A1:$AE734,13,FALSE)*$Q463</f>
        <v>0.00397620589506037</v>
      </c>
      <c r="Z463" s="48">
        <f>VLOOKUP(B463,'Player Data'!$A1:$AE734,14,FALSE)*$Q463</f>
        <v>0.0147944966077091</v>
      </c>
      <c r="AA463" s="48">
        <f>VLOOKUP(B463,'Player Data'!$A1:$AE734,15,FALSE)*$Q463</f>
        <v>51.2028397182894</v>
      </c>
      <c r="AB463" s="48">
        <f>VLOOKUP(B463,'Player Data'!$A1:$AE734,16,FALSE)*$Q463</f>
        <v>63.1878552373759</v>
      </c>
      <c r="AC463" s="48">
        <f>VLOOKUP(B463,'Player Data'!$A1:$AE734,17,FALSE)*$Q463*_xlfn.IFERROR((VLOOKUP(P463,'Settings'!$E$28:$F$33,2,FALSE)+1),1)</f>
        <v>-0.06456455284324809</v>
      </c>
      <c r="AD463" s="48">
        <f>VLOOKUP(B463,'Player Data'!$A1:$AE734,18,FALSE)*$Q463</f>
        <v>15.1690277419827</v>
      </c>
      <c r="AE463" s="48">
        <f>VLOOKUP(B463,'Player Data'!$A1:$AE734,19,FALSE)*$Q463*_xlfn.IFERROR((VLOOKUP(P463,'Settings'!$E$28:$F$33,2,FALSE)+1),1)</f>
        <v>0.517292190907676</v>
      </c>
      <c r="AF463" s="48">
        <f>VLOOKUP(B463,'Player Data'!$A1:$AE734,20,FALSE)*$Q463</f>
        <v>0</v>
      </c>
      <c r="AG463" s="48">
        <f>VLOOKUP(B463,'Player Data'!$A1:$AE734,21,FALSE)*$Q463</f>
        <v>0.353666633342082</v>
      </c>
      <c r="AH463" s="49">
        <f>VLOOKUP(B463,'Player Data'!$A1:$AE734,22,FALSE)</f>
        <v>0</v>
      </c>
      <c r="AI463" s="46"/>
      <c r="AJ463" s="50"/>
      <c r="AK463" s="48"/>
      <c r="AL463" s="48"/>
      <c r="AM463" s="48"/>
      <c r="AN463" s="48"/>
      <c r="AO463" s="48"/>
      <c r="AP463" s="48"/>
      <c r="AQ463" s="51"/>
      <c r="AR463" s="52"/>
      <c r="AS463" s="50"/>
    </row>
    <row r="464" ht="21.25" customHeight="1">
      <c r="A464" s="53">
        <f>RANK(K464,K2:K730)</f>
        <v>474</v>
      </c>
      <c r="B464" t="s" s="8">
        <v>616</v>
      </c>
      <c r="C464" t="s" s="39">
        <v>106</v>
      </c>
      <c r="D464" t="s" s="40">
        <f>VLOOKUP(B464,'Player Data'!A1:D734,4,FALSE)</f>
        <v>121</v>
      </c>
      <c r="E464" s="55">
        <f>VLOOKUP(B464,'RW'!A1:F132,3,FALSE)</f>
        <v>87</v>
      </c>
      <c r="F464" t="s" s="42">
        <f>VLOOKUP(B464,'Player Data'!A1:B734,2,FALSE)</f>
        <v>141</v>
      </c>
      <c r="G464" s="9">
        <f>VLOOKUP(B464,'Player Data'!A1:D734,3,FALSE)</f>
        <v>27</v>
      </c>
      <c r="H464" s="43">
        <f>_xlfn.IFERROR(VLOOKUP(B464,'ADP'!A1:G731,7,FALSE)/1000000,VLOOKUP(B464,'ADP'!A1:G731,7,FALSE))</f>
        <v>4.725</v>
      </c>
      <c r="I464" s="44">
        <f>IF('Settings'!$E$15="POINTS",((R464*Q464)*'Settings'!$B$12)+(S464*'Settings'!$B$2)+(T464*'Settings'!$B$3)+(U464*'Settings'!$B$4)+(V464*'Settings'!$B$5)+(X464*'Settings'!$B$9)+(AA464*'Settings'!$B$6)+(W464*'Settings'!$B$8)+(AB464*'Settings'!$B$7)+(AC464*'Settings'!$B$14)+(AD464*'Settings'!$B$15)+(AE464*'Settings'!$B$16)+(AF464*'Settings'!$B$17)+(AG464*'Settings'!$B$18)+(Y464*'Settings'!$B$10)+(Z464*'Settings'!$B$11),VLOOKUP(B464,'Standard Deviations'!A1:C731,3,FALSE))</f>
        <v>207.641638814847</v>
      </c>
      <c r="J464" s="45">
        <f>IF(D464="G",I464/AJ464,I464/Q464)</f>
        <v>2.8951273967183</v>
      </c>
      <c r="K464" s="44">
        <f>IF('Settings'!$E$18="C/LW/RW",VLOOKUP(B464,'RW'!A1:F132,6,FALSE),VLOOKUP(B464,'F'!A1:F432,6,FALSE))</f>
        <v>-173.986924891509</v>
      </c>
      <c r="L464" s="44">
        <f>_xlfn.IFERROR(K464/H464,"N/A")</f>
        <v>-36.8226296066686</v>
      </c>
      <c r="M464" t="s" s="61">
        <f>IF('Settings'!$E$9="YAHOO",VLOOKUP(B464,'ADP'!A1:E731,2,FALSE),IF('Settings'!$E$9="ESPN",VLOOKUP(B464,'ADP'!A1:E731,3,FALSE),IF('Settings'!$E$9="FANTRAX",VLOOKUP(B464,'ADP'!A1:E731,4,FALSE),VLOOKUP(B464,'ADP'!A1:E731,5,FALSE))))</f>
        <v>329</v>
      </c>
      <c r="N464" t="s" s="61">
        <f>_xlfn.IFERROR(M464-A464,"N/A")</f>
        <v>158</v>
      </c>
      <c r="O464" s="46"/>
      <c r="P464" t="s" s="47">
        <f>IF('Settings'!$E$27="ON",VLOOKUP(B464,'ADP'!A1:H731,8,FALSE)," ")</f>
        <v>109</v>
      </c>
      <c r="Q464" s="48">
        <f>IF('Settings'!$E$12="YES",VLOOKUP(B464,'Player Data'!A1:E734,5,FALSE),82)</f>
        <v>71.72107142857141</v>
      </c>
      <c r="R464" s="46">
        <f>VLOOKUP(B464,'Player Data'!$A1:$AE734,6,FALSE)</f>
        <v>14.3090425424712</v>
      </c>
      <c r="S464" s="48">
        <f>VLOOKUP(B464,'Player Data'!$A1:$AE734,7,FALSE)*$Q464*_xlfn.IFERROR((VLOOKUP(P464,'Settings'!$E$28:$F$33,2,FALSE)+1),1)</f>
        <v>13.8768315927816</v>
      </c>
      <c r="T464" s="48">
        <f>VLOOKUP(B464,'Player Data'!$A1:$AE734,8,FALSE)*$Q464*_xlfn.IFERROR((VLOOKUP(P464,'Settings'!$E$28:$F$33,2,FALSE)+1),1)</f>
        <v>17.5086052515683</v>
      </c>
      <c r="U464" s="48">
        <f>SUM(S464:T464)</f>
        <v>31.3854368443499</v>
      </c>
      <c r="V464" s="48">
        <f>VLOOKUP(B464,'Player Data'!$A1:$AE734,10,FALSE)*$Q464*_xlfn.IFERROR(((VLOOKUP(P464,'Settings'!$E$28:$F$33,2,FALSE)/2)+1),1)</f>
        <v>121.856685873657</v>
      </c>
      <c r="W464" s="48">
        <f>VLOOKUP(B464,'Player Data'!$A1:$AE734,11,FALSE)*$Q464*_xlfn.IFERROR((VLOOKUP(P464,'Settings'!$E$28:$F$33,2,FALSE)+1),1)</f>
        <v>1.09511386982897</v>
      </c>
      <c r="X464" s="48">
        <f>VLOOKUP(B464,'Player Data'!$A1:$AE734,12,FALSE)*$Q464*_xlfn.IFERROR((VLOOKUP(P464,'Settings'!$E$28:$F$33,2,FALSE)+1),1)</f>
        <v>2.77270342293383</v>
      </c>
      <c r="Y464" s="48">
        <f>VLOOKUP(B464,'Player Data'!$A1:$AE734,13,FALSE)*$Q464</f>
        <v>0.000521072123195434</v>
      </c>
      <c r="Z464" s="48">
        <f>VLOOKUP(B464,'Player Data'!$A1:$AE734,14,FALSE)*$Q464</f>
        <v>0.000960017461796021</v>
      </c>
      <c r="AA464" s="48">
        <f>VLOOKUP(B464,'Player Data'!$A1:$AE734,15,FALSE)*$Q464</f>
        <v>27.5179677792398</v>
      </c>
      <c r="AB464" s="48">
        <f>VLOOKUP(B464,'Player Data'!$A1:$AE734,16,FALSE)*$Q464</f>
        <v>71.9233361250128</v>
      </c>
      <c r="AC464" s="48">
        <f>VLOOKUP(B464,'Player Data'!$A1:$AE734,17,FALSE)*$Q464*_xlfn.IFERROR((VLOOKUP(P464,'Settings'!$E$28:$F$33,2,FALSE)+1),1)</f>
        <v>0.47077907019215</v>
      </c>
      <c r="AD464" s="48">
        <f>VLOOKUP(B464,'Player Data'!$A1:$AE734,18,FALSE)*$Q464</f>
        <v>32.1046460213281</v>
      </c>
      <c r="AE464" s="48">
        <f>VLOOKUP(B464,'Player Data'!$A1:$AE734,19,FALSE)*$Q464*_xlfn.IFERROR((VLOOKUP(P464,'Settings'!$E$28:$F$33,2,FALSE)+1),1)</f>
        <v>1.72288849540777</v>
      </c>
      <c r="AF464" s="48">
        <f>VLOOKUP(B464,'Player Data'!$A1:$AE734,20,FALSE)*$Q464</f>
        <v>2.43279216052738</v>
      </c>
      <c r="AG464" s="48">
        <f>VLOOKUP(B464,'Player Data'!$A1:$AE734,21,FALSE)*$Q464</f>
        <v>4.33837157516201</v>
      </c>
      <c r="AH464" s="49">
        <f>VLOOKUP(B464,'Player Data'!$A1:$AE734,22,FALSE)</f>
        <v>0.359287155870214</v>
      </c>
      <c r="AI464" s="46"/>
      <c r="AJ464" s="50"/>
      <c r="AK464" s="48"/>
      <c r="AL464" s="48"/>
      <c r="AM464" s="48"/>
      <c r="AN464" s="48"/>
      <c r="AO464" s="48"/>
      <c r="AP464" s="48"/>
      <c r="AQ464" s="51"/>
      <c r="AR464" s="52"/>
      <c r="AS464" s="46"/>
    </row>
    <row r="465" ht="21.25" customHeight="1">
      <c r="A465" s="53">
        <f>RANK(K465,K2:K730)</f>
        <v>433</v>
      </c>
      <c r="B465" t="s" s="8">
        <v>617</v>
      </c>
      <c r="C465" t="s" s="39">
        <v>106</v>
      </c>
      <c r="D465" t="s" s="40">
        <f>VLOOKUP(B465,'Player Data'!A1:D734,4,FALSE)</f>
        <v>129</v>
      </c>
      <c r="E465" s="56">
        <f>VLOOKUP(B465,'D'!A1:C228,3,FALSE)</f>
        <v>149</v>
      </c>
      <c r="F465" t="s" s="42">
        <f>VLOOKUP(B465,'Player Data'!A1:B734,2,FALSE)</f>
        <v>141</v>
      </c>
      <c r="G465" s="9">
        <f>VLOOKUP(B465,'Player Data'!A1:D734,3,FALSE)</f>
        <v>28</v>
      </c>
      <c r="H465" s="43">
        <f>_xlfn.IFERROR(VLOOKUP(B465,'ADP'!A1:G731,7,FALSE)/1000000,VLOOKUP(B465,'ADP'!A1:G731,7,FALSE))</f>
        <v>1.1</v>
      </c>
      <c r="I465" s="44">
        <f>IF('Settings'!$E$15="POINTS",((R465*Q465)*'Settings'!$B$12)+(S465*'Settings'!$B$2)+(T465*'Settings'!$B$3)+(U465*'Settings'!$B$4)+(V465*'Settings'!$B$5)+(X465*'Settings'!$B$9)+(AA465*'Settings'!$B$6)+(W465*'Settings'!$B$8)+(AB465*'Settings'!$B$7)+(AC465*'Settings'!$B$14)+(AD465*'Settings'!$B$15)+(AE465*'Settings'!$B$16)+(AF465*'Settings'!$B$17)+(AG465*'Settings'!$B$18)+(U465*'Settings'!$B$13)+(Y465*'Settings'!$B$10)+(Z465*'Settings'!$B$11),VLOOKUP(B465,'Standard Deviations'!A1:C731,3,FALSE))</f>
        <v>177.877162580763</v>
      </c>
      <c r="J465" s="45">
        <f>IF(D465="G",I465/AJ465,I465/Q465)</f>
        <v>2.8222310978611</v>
      </c>
      <c r="K465" s="44">
        <f>VLOOKUP(B465,'D'!A1:F228,6,FALSE)</f>
        <v>-162.857976065760</v>
      </c>
      <c r="L465" s="44">
        <f>_xlfn.IFERROR(K465/H465,"N/A")</f>
        <v>-148.052705514327</v>
      </c>
      <c r="M465" t="s" s="61">
        <f>IF('Settings'!$E$9="YAHOO",VLOOKUP(B465,'ADP'!A1:E731,2,FALSE),IF('Settings'!$E$9="ESPN",VLOOKUP(B465,'ADP'!A1:E731,3,FALSE),IF('Settings'!$E$9="FANTRAX",VLOOKUP(B465,'ADP'!A1:E731,4,FALSE),VLOOKUP(B465,'ADP'!A1:E731,5,FALSE))))</f>
        <v>329</v>
      </c>
      <c r="N465" t="s" s="61">
        <f>_xlfn.IFERROR(M465-A465,"N/A")</f>
        <v>158</v>
      </c>
      <c r="O465" s="46"/>
      <c r="P465" t="s" s="47">
        <f>IF('Settings'!$E$27="ON",VLOOKUP(B465,'ADP'!A1:H731,8,FALSE)," ")</f>
        <v>109</v>
      </c>
      <c r="Q465" s="48">
        <f>IF('Settings'!$E$12="YES",VLOOKUP(B465,'Player Data'!A1:E734,5,FALSE),82)</f>
        <v>63.0271428571429</v>
      </c>
      <c r="R465" s="46">
        <f>VLOOKUP(B465,'Player Data'!$A1:$AE734,6,FALSE)</f>
        <v>19.1182654321371</v>
      </c>
      <c r="S465" s="48">
        <f>VLOOKUP(B465,'Player Data'!$A1:$AE734,7,FALSE)*$Q465*_xlfn.IFERROR((VLOOKUP(P465,'Settings'!$E$28:$F$33,2,FALSE)+1),1)</f>
        <v>3.25037989694127</v>
      </c>
      <c r="T465" s="48">
        <f>VLOOKUP(B465,'Player Data'!$A1:$AE734,8,FALSE)*$Q465*_xlfn.IFERROR((VLOOKUP(P465,'Settings'!$E$28:$F$33,2,FALSE)+1),1)</f>
        <v>9.91864126349194</v>
      </c>
      <c r="U465" s="48">
        <f>SUM(S465:T465)</f>
        <v>13.1690211604332</v>
      </c>
      <c r="V465" s="48">
        <f>VLOOKUP(B465,'Player Data'!$A1:$AE734,10,FALSE)*$Q465*_xlfn.IFERROR(((VLOOKUP(P465,'Settings'!$E$28:$F$33,2,FALSE)/2)+1),1)</f>
        <v>71.9329363092541</v>
      </c>
      <c r="W465" s="48">
        <f>VLOOKUP(B465,'Player Data'!$A1:$AE734,11,FALSE)*$Q465*_xlfn.IFERROR((VLOOKUP(P465,'Settings'!$E$28:$F$33,2,FALSE)+1),1)</f>
        <v>0.118629675426252</v>
      </c>
      <c r="X465" s="48">
        <f>VLOOKUP(B465,'Player Data'!$A1:$AE734,12,FALSE)*$Q465*_xlfn.IFERROR((VLOOKUP(P465,'Settings'!$E$28:$F$33,2,FALSE)+1),1)</f>
        <v>0.8044300670216969</v>
      </c>
      <c r="Y465" s="48">
        <f>VLOOKUP(B465,'Player Data'!$A1:$AE734,13,FALSE)*$Q465</f>
        <v>0.043405091989741</v>
      </c>
      <c r="Z465" s="48">
        <f>VLOOKUP(B465,'Player Data'!$A1:$AE734,14,FALSE)*$Q465</f>
        <v>0.160868001561385</v>
      </c>
      <c r="AA465" s="48">
        <f>VLOOKUP(B465,'Player Data'!$A1:$AE734,15,FALSE)*$Q465</f>
        <v>103.841336722978</v>
      </c>
      <c r="AB465" s="48">
        <f>VLOOKUP(B465,'Player Data'!$A1:$AE734,16,FALSE)*$Q465</f>
        <v>181.142626939249</v>
      </c>
      <c r="AC465" s="48">
        <f>VLOOKUP(B465,'Player Data'!$A1:$AE734,17,FALSE)*$Q465*_xlfn.IFERROR((VLOOKUP(P465,'Settings'!$E$28:$F$33,2,FALSE)+1),1)</f>
        <v>-0.424470869597171</v>
      </c>
      <c r="AD465" s="48">
        <f>VLOOKUP(B465,'Player Data'!$A1:$AE734,18,FALSE)*$Q465</f>
        <v>71.2523329277069</v>
      </c>
      <c r="AE465" s="48">
        <f>VLOOKUP(B465,'Player Data'!$A1:$AE734,19,FALSE)*$Q465*_xlfn.IFERROR((VLOOKUP(P465,'Settings'!$E$28:$F$33,2,FALSE)+1),1)</f>
        <v>0.403553368267278</v>
      </c>
      <c r="AF465" s="48">
        <f>VLOOKUP(B465,'Player Data'!$A1:$AE734,20,FALSE)*$Q465</f>
        <v>0</v>
      </c>
      <c r="AG465" s="48">
        <f>VLOOKUP(B465,'Player Data'!$A1:$AE734,21,FALSE)*$Q465</f>
        <v>1.26091321376943</v>
      </c>
      <c r="AH465" s="49">
        <f>VLOOKUP(B465,'Player Data'!$A1:$AE734,22,FALSE)</f>
        <v>0</v>
      </c>
      <c r="AI465" s="46"/>
      <c r="AJ465" s="50"/>
      <c r="AK465" s="48"/>
      <c r="AL465" s="48"/>
      <c r="AM465" s="48"/>
      <c r="AN465" s="48"/>
      <c r="AO465" s="48"/>
      <c r="AP465" s="48"/>
      <c r="AQ465" s="51"/>
      <c r="AR465" s="52"/>
      <c r="AS465" s="46"/>
    </row>
    <row r="466" ht="21.25" customHeight="1">
      <c r="A466" s="53">
        <f>RANK(K466,K2:K730)</f>
        <v>468</v>
      </c>
      <c r="B466" t="s" s="8">
        <v>618</v>
      </c>
      <c r="C466" t="s" s="39">
        <v>106</v>
      </c>
      <c r="D466" t="s" s="40">
        <f>VLOOKUP(B466,'Player Data'!A1:D734,4,FALSE)</f>
        <v>107</v>
      </c>
      <c r="E466" s="41">
        <f>VLOOKUP(B466,'C'!A1:C218,3,FALSE)</f>
        <v>119</v>
      </c>
      <c r="F466" t="s" s="42">
        <f>VLOOKUP(B466,'Player Data'!A1:B734,2,FALSE)</f>
        <v>196</v>
      </c>
      <c r="G466" s="9">
        <f>VLOOKUP(B466,'Player Data'!A1:D734,3,FALSE)</f>
        <v>29</v>
      </c>
      <c r="H466" s="43">
        <f>_xlfn.IFERROR(VLOOKUP(B466,'ADP'!A1:G731,7,FALSE)/1000000,VLOOKUP(B466,'ADP'!A1:G731,7,FALSE))</f>
        <v>3.5</v>
      </c>
      <c r="I466" s="44">
        <f>IF('Settings'!$E$15="POINTS",((R466*Q466)*'Settings'!$B$12)+(S466*'Settings'!$B$2)+(T466*'Settings'!$B$3)+(U466*'Settings'!$B$4)+(V466*'Settings'!$B$5)+(X466*'Settings'!$B$9)+(AA466*'Settings'!$B$6)+(W466*'Settings'!$B$8)+(AB466*'Settings'!$B$7)+(AC466*'Settings'!$B$14)+(AD466*'Settings'!$B$15)+(AE466*'Settings'!$B$16)+(AF466*'Settings'!$B$17)+(AG466*'Settings'!$B$18)+(Y466*'Settings'!$B$10)+(Z466*'Settings'!$B$11),VLOOKUP(B466,'Standard Deviations'!A1:C731,3,FALSE))</f>
        <v>223.691072467255</v>
      </c>
      <c r="J466" s="45">
        <f>IF(D466="G",I466/AJ466,I466/Q466)</f>
        <v>2.72793990813726</v>
      </c>
      <c r="K466" s="44">
        <f>IF('Settings'!$E$18="C/LW/RW",VLOOKUP(B466,'C'!A1:F218,6,FALSE),VLOOKUP(B466,'F'!A1:F432,6,FALSE))</f>
        <v>-172.083129168760</v>
      </c>
      <c r="L466" s="44">
        <f>_xlfn.IFERROR(K466/H466,"N/A")</f>
        <v>-49.1666083339314</v>
      </c>
      <c r="M466" t="s" s="61">
        <f>IF('Settings'!$E$9="YAHOO",VLOOKUP(B466,'ADP'!A1:E731,2,FALSE),IF('Settings'!$E$9="ESPN",VLOOKUP(B466,'ADP'!A1:E731,3,FALSE),IF('Settings'!$E$9="FANTRAX",VLOOKUP(B466,'ADP'!A1:E731,4,FALSE),VLOOKUP(B466,'ADP'!A1:E731,5,FALSE))))</f>
        <v>329</v>
      </c>
      <c r="N466" t="s" s="61">
        <f>_xlfn.IFERROR(M466-A466,"N/A")</f>
        <v>158</v>
      </c>
      <c r="O466" s="46"/>
      <c r="P466" t="s" s="47">
        <f>IF('Settings'!$E$27="ON",VLOOKUP(B466,'ADP'!A1:H731,8,FALSE)," ")</f>
        <v>109</v>
      </c>
      <c r="Q466" s="48">
        <f>IF('Settings'!$E$12="YES",VLOOKUP(B466,'Player Data'!A1:E734,5,FALSE),82)</f>
        <v>82</v>
      </c>
      <c r="R466" s="46">
        <f>VLOOKUP(B466,'Player Data'!$A1:$AE734,6,FALSE)</f>
        <v>14.1200300412202</v>
      </c>
      <c r="S466" s="48">
        <f>VLOOKUP(B466,'Player Data'!$A1:$AE734,7,FALSE)*$Q466*_xlfn.IFERROR((VLOOKUP(P466,'Settings'!$E$28:$F$33,2,FALSE)+1),1)</f>
        <v>10.1890239895598</v>
      </c>
      <c r="T466" s="48">
        <f>VLOOKUP(B466,'Player Data'!$A1:$AE734,8,FALSE)*$Q466*_xlfn.IFERROR((VLOOKUP(P466,'Settings'!$E$28:$F$33,2,FALSE)+1),1)</f>
        <v>24.1882984379616</v>
      </c>
      <c r="U466" s="48">
        <f>SUM(S466:T466)</f>
        <v>34.3773224275214</v>
      </c>
      <c r="V466" s="48">
        <f>VLOOKUP(B466,'Player Data'!$A1:$AE734,10,FALSE)*$Q466*_xlfn.IFERROR(((VLOOKUP(P466,'Settings'!$E$28:$F$33,2,FALSE)/2)+1),1)</f>
        <v>120.144550980027</v>
      </c>
      <c r="W466" s="48">
        <f>VLOOKUP(B466,'Player Data'!$A1:$AE734,11,FALSE)*$Q466*_xlfn.IFERROR((VLOOKUP(P466,'Settings'!$E$28:$F$33,2,FALSE)+1),1)</f>
        <v>0.703154966926943</v>
      </c>
      <c r="X466" s="48">
        <f>VLOOKUP(B466,'Player Data'!$A1:$AE734,12,FALSE)*$Q466*_xlfn.IFERROR((VLOOKUP(P466,'Settings'!$E$28:$F$33,2,FALSE)+1),1)</f>
        <v>1.50239577199216</v>
      </c>
      <c r="Y466" s="48">
        <f>VLOOKUP(B466,'Player Data'!$A1:$AE734,13,FALSE)*$Q466</f>
        <v>0.797829039916507</v>
      </c>
      <c r="Z466" s="48">
        <f>VLOOKUP(B466,'Player Data'!$A1:$AE734,14,FALSE)*$Q466</f>
        <v>2.31478396874794</v>
      </c>
      <c r="AA466" s="48">
        <f>VLOOKUP(B466,'Player Data'!$A1:$AE734,15,FALSE)*$Q466</f>
        <v>49.0642307582678</v>
      </c>
      <c r="AB466" s="48">
        <f>VLOOKUP(B466,'Player Data'!$A1:$AE734,16,FALSE)*$Q466</f>
        <v>64.1664415748324</v>
      </c>
      <c r="AC466" s="48">
        <f>VLOOKUP(B466,'Player Data'!$A1:$AE734,17,FALSE)*$Q466*_xlfn.IFERROR((VLOOKUP(P466,'Settings'!$E$28:$F$33,2,FALSE)+1),1)</f>
        <v>-2.15523197236812</v>
      </c>
      <c r="AD466" s="48">
        <f>VLOOKUP(B466,'Player Data'!$A1:$AE734,18,FALSE)*$Q466</f>
        <v>24.2424675800743</v>
      </c>
      <c r="AE466" s="48">
        <f>VLOOKUP(B466,'Player Data'!$A1:$AE734,19,FALSE)*$Q466*_xlfn.IFERROR((VLOOKUP(P466,'Settings'!$E$28:$F$33,2,FALSE)+1),1)</f>
        <v>1.2858201633509</v>
      </c>
      <c r="AF466" s="48">
        <f>VLOOKUP(B466,'Player Data'!$A1:$AE734,20,FALSE)*$Q466</f>
        <v>75.49207543137911</v>
      </c>
      <c r="AG466" s="48">
        <f>VLOOKUP(B466,'Player Data'!$A1:$AE734,21,FALSE)*$Q466</f>
        <v>98.8362680449832</v>
      </c>
      <c r="AH466" s="49">
        <f>VLOOKUP(B466,'Player Data'!$A1:$AE734,22,FALSE)</f>
        <v>0.43304533230774</v>
      </c>
      <c r="AI466" s="46"/>
      <c r="AJ466" s="48"/>
      <c r="AK466" s="48"/>
      <c r="AL466" s="48"/>
      <c r="AM466" s="48"/>
      <c r="AN466" s="48"/>
      <c r="AO466" s="48"/>
      <c r="AP466" s="48"/>
      <c r="AQ466" s="51"/>
      <c r="AR466" s="52"/>
      <c r="AS466" s="46"/>
    </row>
    <row r="467" ht="21.25" customHeight="1">
      <c r="A467" s="53">
        <f>RANK(K467,K2:K730)</f>
        <v>432</v>
      </c>
      <c r="B467" t="s" s="8">
        <v>619</v>
      </c>
      <c r="C467" t="s" s="39">
        <v>106</v>
      </c>
      <c r="D467" t="s" s="40">
        <f>VLOOKUP(B467,'Player Data'!A1:D734,4,FALSE)</f>
        <v>129</v>
      </c>
      <c r="E467" s="56">
        <f>VLOOKUP(B467,'D'!A1:C228,3,FALSE)</f>
        <v>148</v>
      </c>
      <c r="F467" t="s" s="42">
        <f>VLOOKUP(B467,'Player Data'!A1:B734,2,FALSE)</f>
        <v>131</v>
      </c>
      <c r="G467" s="9">
        <f>VLOOKUP(B467,'Player Data'!A1:D734,3,FALSE)</f>
        <v>26</v>
      </c>
      <c r="H467" s="43">
        <f>_xlfn.IFERROR(VLOOKUP(B467,'ADP'!A1:G731,7,FALSE)/1000000,VLOOKUP(B467,'ADP'!A1:G731,7,FALSE))</f>
        <v>2</v>
      </c>
      <c r="I467" s="44">
        <f>IF('Settings'!$E$15="POINTS",((R467*Q467)*'Settings'!$B$12)+(S467*'Settings'!$B$2)+(T467*'Settings'!$B$3)+(U467*'Settings'!$B$4)+(V467*'Settings'!$B$5)+(X467*'Settings'!$B$9)+(AA467*'Settings'!$B$6)+(W467*'Settings'!$B$8)+(AB467*'Settings'!$B$7)+(AC467*'Settings'!$B$14)+(AD467*'Settings'!$B$15)+(AE467*'Settings'!$B$16)+(AF467*'Settings'!$B$17)+(AG467*'Settings'!$B$18)+(U467*'Settings'!$B$13)+(Y467*'Settings'!$B$10)+(Z467*'Settings'!$B$11),VLOOKUP(B467,'Standard Deviations'!A1:C731,3,FALSE))</f>
        <v>177.877593729791</v>
      </c>
      <c r="J467" s="45">
        <f>IF(D467="G",I467/AJ467,I467/Q467)</f>
        <v>2.37261640177123</v>
      </c>
      <c r="K467" s="44">
        <f>VLOOKUP(B467,'D'!A1:F228,6,FALSE)</f>
        <v>-162.857544916732</v>
      </c>
      <c r="L467" s="44">
        <f>_xlfn.IFERROR(K467/H467,"N/A")</f>
        <v>-81.428772458366</v>
      </c>
      <c r="M467" t="s" s="61">
        <f>IF('Settings'!$E$9="YAHOO",VLOOKUP(B467,'ADP'!A1:E731,2,FALSE),IF('Settings'!$E$9="ESPN",VLOOKUP(B467,'ADP'!A1:E731,3,FALSE),IF('Settings'!$E$9="FANTRAX",VLOOKUP(B467,'ADP'!A1:E731,4,FALSE),VLOOKUP(B467,'ADP'!A1:E731,5,FALSE))))</f>
        <v>329</v>
      </c>
      <c r="N467" t="s" s="61">
        <f>_xlfn.IFERROR(M467-A467,"N/A")</f>
        <v>158</v>
      </c>
      <c r="O467" s="46"/>
      <c r="P467" t="s" s="47">
        <f>IF('Settings'!$E$27="ON",VLOOKUP(B467,'ADP'!A1:H731,8,FALSE)," ")</f>
        <v>109</v>
      </c>
      <c r="Q467" s="48">
        <f>IF('Settings'!$E$12="YES",VLOOKUP(B467,'Player Data'!A1:E734,5,FALSE),82)</f>
        <v>74.97107142857141</v>
      </c>
      <c r="R467" s="46">
        <f>VLOOKUP(B467,'Player Data'!$A1:$AE734,6,FALSE)</f>
        <v>16.1807685742265</v>
      </c>
      <c r="S467" s="48">
        <f>VLOOKUP(B467,'Player Data'!$A1:$AE734,7,FALSE)*$Q467*_xlfn.IFERROR((VLOOKUP(P467,'Settings'!$E$28:$F$33,2,FALSE)+1),1)</f>
        <v>2.84431196711477</v>
      </c>
      <c r="T467" s="48">
        <f>VLOOKUP(B467,'Player Data'!$A1:$AE734,8,FALSE)*$Q467*_xlfn.IFERROR((VLOOKUP(P467,'Settings'!$E$28:$F$33,2,FALSE)+1),1)</f>
        <v>9.738657089636909</v>
      </c>
      <c r="U467" s="48">
        <f>SUM(S467:T467)</f>
        <v>12.5829690567517</v>
      </c>
      <c r="V467" s="48">
        <f>VLOOKUP(B467,'Player Data'!$A1:$AE734,10,FALSE)*$Q467*_xlfn.IFERROR(((VLOOKUP(P467,'Settings'!$E$28:$F$33,2,FALSE)/2)+1),1)</f>
        <v>83.3748406583796</v>
      </c>
      <c r="W467" s="48">
        <f>VLOOKUP(B467,'Player Data'!$A1:$AE734,11,FALSE)*$Q467*_xlfn.IFERROR((VLOOKUP(P467,'Settings'!$E$28:$F$33,2,FALSE)+1),1)</f>
        <v>0.0204380891365694</v>
      </c>
      <c r="X467" s="48">
        <f>VLOOKUP(B467,'Player Data'!$A1:$AE734,12,FALSE)*$Q467*_xlfn.IFERROR((VLOOKUP(P467,'Settings'!$E$28:$F$33,2,FALSE)+1),1)</f>
        <v>0.140603353351613</v>
      </c>
      <c r="Y467" s="48">
        <f>VLOOKUP(B467,'Player Data'!$A1:$AE734,13,FALSE)*$Q467</f>
        <v>0.0241920109680548</v>
      </c>
      <c r="Z467" s="48">
        <f>VLOOKUP(B467,'Player Data'!$A1:$AE734,14,FALSE)*$Q467</f>
        <v>0.598995131865423</v>
      </c>
      <c r="AA467" s="48">
        <f>VLOOKUP(B467,'Player Data'!$A1:$AE734,15,FALSE)*$Q467</f>
        <v>78.4482952727724</v>
      </c>
      <c r="AB467" s="48">
        <f>VLOOKUP(B467,'Player Data'!$A1:$AE734,16,FALSE)*$Q467</f>
        <v>215.010641518226</v>
      </c>
      <c r="AC467" s="48">
        <f>VLOOKUP(B467,'Player Data'!$A1:$AE734,17,FALSE)*$Q467*_xlfn.IFERROR((VLOOKUP(P467,'Settings'!$E$28:$F$33,2,FALSE)+1),1)</f>
        <v>-2.75490737652828</v>
      </c>
      <c r="AD467" s="48">
        <f>VLOOKUP(B467,'Player Data'!$A1:$AE734,18,FALSE)*$Q467</f>
        <v>60.6901041317634</v>
      </c>
      <c r="AE467" s="48">
        <f>VLOOKUP(B467,'Player Data'!$A1:$AE734,19,FALSE)*$Q467*_xlfn.IFERROR((VLOOKUP(P467,'Settings'!$E$28:$F$33,2,FALSE)+1),1)</f>
        <v>0.415343937553844</v>
      </c>
      <c r="AF467" s="48">
        <f>VLOOKUP(B467,'Player Data'!$A1:$AE734,20,FALSE)*$Q467</f>
        <v>0</v>
      </c>
      <c r="AG467" s="48">
        <f>VLOOKUP(B467,'Player Data'!$A1:$AE734,21,FALSE)*$Q467</f>
        <v>0</v>
      </c>
      <c r="AH467" s="49">
        <f>VLOOKUP(B467,'Player Data'!$A1:$AE734,22,FALSE)</f>
        <v>0</v>
      </c>
      <c r="AI467" s="46"/>
      <c r="AJ467" s="50"/>
      <c r="AK467" s="48"/>
      <c r="AL467" s="48"/>
      <c r="AM467" s="48"/>
      <c r="AN467" s="48"/>
      <c r="AO467" s="48"/>
      <c r="AP467" s="48"/>
      <c r="AQ467" s="51"/>
      <c r="AR467" s="52"/>
      <c r="AS467" s="46"/>
    </row>
    <row r="468" ht="21.25" customHeight="1">
      <c r="A468" s="53">
        <f>RANK(K468,K2:K730)</f>
        <v>537</v>
      </c>
      <c r="B468" t="s" s="8">
        <v>620</v>
      </c>
      <c r="C468" t="s" s="39">
        <v>106</v>
      </c>
      <c r="D468" t="s" s="40">
        <f>VLOOKUP(B468,'Player Data'!A1:D734,4,FALSE)</f>
        <v>129</v>
      </c>
      <c r="E468" s="56">
        <f>VLOOKUP(B468,'D'!A1:C228,3,FALSE)</f>
        <v>184</v>
      </c>
      <c r="F468" t="s" s="42">
        <f>VLOOKUP(B468,'Player Data'!A1:B734,2,FALSE)</f>
        <v>184</v>
      </c>
      <c r="G468" s="9">
        <f>VLOOKUP(B468,'Player Data'!A1:D734,3,FALSE)</f>
        <v>28</v>
      </c>
      <c r="H468" s="43">
        <f>_xlfn.IFERROR(VLOOKUP(B468,'ADP'!A1:G731,7,FALSE)/1000000,VLOOKUP(B468,'ADP'!A1:G731,7,FALSE))</f>
        <v>3</v>
      </c>
      <c r="I468" s="44">
        <f>IF('Settings'!$E$15="POINTS",((R468*Q468)*'Settings'!$B$12)+(S468*'Settings'!$B$2)+(T468*'Settings'!$B$3)+(U468*'Settings'!$B$4)+(V468*'Settings'!$B$5)+(X468*'Settings'!$B$9)+(AA468*'Settings'!$B$6)+(W468*'Settings'!$B$8)+(AB468*'Settings'!$B$7)+(AC468*'Settings'!$B$14)+(AD468*'Settings'!$B$15)+(AE468*'Settings'!$B$16)+(AF468*'Settings'!$B$17)+(AG468*'Settings'!$B$18)+(U468*'Settings'!$B$13)+(Y468*'Settings'!$B$10)+(Z468*'Settings'!$B$11),VLOOKUP(B468,'Standard Deviations'!A1:C731,3,FALSE))</f>
        <v>145.030830452438</v>
      </c>
      <c r="J468" s="45">
        <f>IF(D468="G",I468/AJ468,I468/Q468)</f>
        <v>1.88538867552592</v>
      </c>
      <c r="K468" s="44">
        <f>VLOOKUP(B468,'D'!A1:F228,6,FALSE)</f>
        <v>-195.704308194085</v>
      </c>
      <c r="L468" s="44">
        <f>_xlfn.IFERROR(K468/H468,"N/A")</f>
        <v>-65.23476939802831</v>
      </c>
      <c r="M468" t="s" s="61">
        <f>IF('Settings'!$E$9="YAHOO",VLOOKUP(B468,'ADP'!A1:E731,2,FALSE),IF('Settings'!$E$9="ESPN",VLOOKUP(B468,'ADP'!A1:E731,3,FALSE),IF('Settings'!$E$9="FANTRAX",VLOOKUP(B468,'ADP'!A1:E731,4,FALSE),VLOOKUP(B468,'ADP'!A1:E731,5,FALSE))))</f>
        <v>329</v>
      </c>
      <c r="N468" t="s" s="61">
        <f>_xlfn.IFERROR(M468-A468,"N/A")</f>
        <v>158</v>
      </c>
      <c r="O468" s="46"/>
      <c r="P468" t="s" s="47">
        <f>IF('Settings'!$E$27="ON",VLOOKUP(B468,'ADP'!A1:H731,8,FALSE)," ")</f>
        <v>109</v>
      </c>
      <c r="Q468" s="48">
        <f>IF('Settings'!$E$12="YES",VLOOKUP(B468,'Player Data'!A1:E734,5,FALSE),82)</f>
        <v>76.92357142857141</v>
      </c>
      <c r="R468" s="46">
        <f>VLOOKUP(B468,'Player Data'!$A1:$AE734,6,FALSE)</f>
        <v>15.7099611391567</v>
      </c>
      <c r="S468" s="48">
        <f>VLOOKUP(B468,'Player Data'!$A1:$AE734,7,FALSE)*$Q468*_xlfn.IFERROR((VLOOKUP(P468,'Settings'!$E$28:$F$33,2,FALSE)+1),1)</f>
        <v>3.04230153112753</v>
      </c>
      <c r="T468" s="48">
        <f>VLOOKUP(B468,'Player Data'!$A1:$AE734,8,FALSE)*$Q468*_xlfn.IFERROR((VLOOKUP(P468,'Settings'!$E$28:$F$33,2,FALSE)+1),1)</f>
        <v>11.745304162372</v>
      </c>
      <c r="U468" s="48">
        <f>SUM(S468:T468)</f>
        <v>14.7876056934995</v>
      </c>
      <c r="V468" s="48">
        <f>VLOOKUP(B468,'Player Data'!$A1:$AE734,10,FALSE)*$Q468*_xlfn.IFERROR(((VLOOKUP(P468,'Settings'!$E$28:$F$33,2,FALSE)/2)+1),1)</f>
        <v>62.3630248460325</v>
      </c>
      <c r="W468" s="48">
        <f>VLOOKUP(B468,'Player Data'!$A1:$AE734,11,FALSE)*$Q468*_xlfn.IFERROR((VLOOKUP(P468,'Settings'!$E$28:$F$33,2,FALSE)+1),1)</f>
        <v>0.02178291666627</v>
      </c>
      <c r="X468" s="48">
        <f>VLOOKUP(B468,'Player Data'!$A1:$AE734,12,FALSE)*$Q468*_xlfn.IFERROR((VLOOKUP(P468,'Settings'!$E$28:$F$33,2,FALSE)+1),1)</f>
        <v>0.150738918185969</v>
      </c>
      <c r="Y468" s="48">
        <f>VLOOKUP(B468,'Player Data'!$A1:$AE734,13,FALSE)*$Q468</f>
        <v>0.00905610574613732</v>
      </c>
      <c r="Z468" s="48">
        <f>VLOOKUP(B468,'Player Data'!$A1:$AE734,14,FALSE)*$Q468</f>
        <v>0.0342519169433524</v>
      </c>
      <c r="AA468" s="48">
        <f>VLOOKUP(B468,'Player Data'!$A1:$AE734,15,FALSE)*$Q468</f>
        <v>93.9854281007875</v>
      </c>
      <c r="AB468" s="48">
        <f>VLOOKUP(B468,'Player Data'!$A1:$AE734,16,FALSE)*$Q468</f>
        <v>71.44732307180441</v>
      </c>
      <c r="AC468" s="48">
        <f>VLOOKUP(B468,'Player Data'!$A1:$AE734,17,FALSE)*$Q468*_xlfn.IFERROR((VLOOKUP(P468,'Settings'!$E$28:$F$33,2,FALSE)+1),1)</f>
        <v>-3.34367435408661</v>
      </c>
      <c r="AD468" s="48">
        <f>VLOOKUP(B468,'Player Data'!$A1:$AE734,18,FALSE)*$Q468</f>
        <v>14.2851365884027</v>
      </c>
      <c r="AE468" s="48">
        <f>VLOOKUP(B468,'Player Data'!$A1:$AE734,19,FALSE)*$Q468*_xlfn.IFERROR((VLOOKUP(P468,'Settings'!$E$28:$F$33,2,FALSE)+1),1)</f>
        <v>0.402605588854828</v>
      </c>
      <c r="AF468" s="48">
        <f>VLOOKUP(B468,'Player Data'!$A1:$AE734,20,FALSE)*$Q468</f>
        <v>0</v>
      </c>
      <c r="AG468" s="48">
        <f>VLOOKUP(B468,'Player Data'!$A1:$AE734,21,FALSE)*$Q468</f>
        <v>0</v>
      </c>
      <c r="AH468" s="49">
        <f>VLOOKUP(B468,'Player Data'!$A1:$AE734,22,FALSE)</f>
        <v>0</v>
      </c>
      <c r="AI468" s="46"/>
      <c r="AJ468" s="50"/>
      <c r="AK468" s="48"/>
      <c r="AL468" s="48"/>
      <c r="AM468" s="48"/>
      <c r="AN468" s="48"/>
      <c r="AO468" s="48"/>
      <c r="AP468" s="48"/>
      <c r="AQ468" s="51"/>
      <c r="AR468" s="52"/>
      <c r="AS468" s="46"/>
    </row>
    <row r="469" ht="21.25" customHeight="1">
      <c r="A469" s="53">
        <f>RANK(K469,K2:K730)</f>
        <v>486</v>
      </c>
      <c r="B469" t="s" s="8">
        <v>621</v>
      </c>
      <c r="C469" t="s" s="39">
        <v>106</v>
      </c>
      <c r="D469" t="s" s="40">
        <f>VLOOKUP(B469,'Player Data'!A1:D734,4,FALSE)</f>
        <v>121</v>
      </c>
      <c r="E469" s="55">
        <f>VLOOKUP(B469,'RW'!A1:F132,3,FALSE)</f>
        <v>88</v>
      </c>
      <c r="F469" t="s" s="42">
        <f>VLOOKUP(B469,'Player Data'!A1:B734,2,FALSE)</f>
        <v>149</v>
      </c>
      <c r="G469" s="9">
        <f>VLOOKUP(B469,'Player Data'!A1:D734,3,FALSE)</f>
        <v>23</v>
      </c>
      <c r="H469" s="43">
        <f>_xlfn.IFERROR(VLOOKUP(B469,'ADP'!A1:G731,7,FALSE)/1000000,VLOOKUP(B469,'ADP'!A1:G731,7,FALSE))</f>
        <v>0.874</v>
      </c>
      <c r="I469" s="44">
        <f>IF('Settings'!$E$15="POINTS",((R469*Q469)*'Settings'!$B$12)+(S469*'Settings'!$B$2)+(T469*'Settings'!$B$3)+(U469*'Settings'!$B$4)+(V469*'Settings'!$B$5)+(X469*'Settings'!$B$9)+(AA469*'Settings'!$B$6)+(W469*'Settings'!$B$8)+(AB469*'Settings'!$B$7)+(AC469*'Settings'!$B$14)+(AD469*'Settings'!$B$15)+(AE469*'Settings'!$B$16)+(AF469*'Settings'!$B$17)+(AG469*'Settings'!$B$18)+(Y469*'Settings'!$B$10)+(Z469*'Settings'!$B$11),VLOOKUP(B469,'Standard Deviations'!A1:C731,3,FALSE))</f>
        <v>204.157689083282</v>
      </c>
      <c r="J469" s="45">
        <f>IF(D469="G",I469/AJ469,I469/Q469)</f>
        <v>2.88795356892589</v>
      </c>
      <c r="K469" s="44">
        <f>IF('Settings'!$E$18="C/LW/RW",VLOOKUP(B469,'RW'!A1:F132,6,FALSE),VLOOKUP(B469,'F'!A1:F432,6,FALSE))</f>
        <v>-177.470874623074</v>
      </c>
      <c r="L469" s="44">
        <f>_xlfn.IFERROR(K469/H469,"N/A")</f>
        <v>-203.055920621366</v>
      </c>
      <c r="M469" s="46">
        <f>IF('Settings'!$E$9="YAHOO",VLOOKUP(B469,'ADP'!A1:E731,2,FALSE),IF('Settings'!$E$9="ESPN",VLOOKUP(B469,'ADP'!A1:E731,3,FALSE),IF('Settings'!$E$9="FANTRAX",VLOOKUP(B469,'ADP'!A1:E731,4,FALSE),VLOOKUP(B469,'ADP'!A1:E731,5,FALSE))))</f>
        <v>439.4</v>
      </c>
      <c r="N469" s="46">
        <f>_xlfn.IFERROR(M469-A469,"N/A")</f>
        <v>-46.6</v>
      </c>
      <c r="O469" s="46"/>
      <c r="P469" t="s" s="47">
        <f>IF('Settings'!$E$27="ON",VLOOKUP(B469,'ADP'!A1:H731,8,FALSE)," ")</f>
        <v>109</v>
      </c>
      <c r="Q469" s="48">
        <f>IF('Settings'!$E$12="YES",VLOOKUP(B469,'Player Data'!A1:E734,5,FALSE),82)</f>
        <v>70.69285714285709</v>
      </c>
      <c r="R469" s="46">
        <f>VLOOKUP(B469,'Player Data'!$A1:$AE734,6,FALSE)</f>
        <v>12.0596347166649</v>
      </c>
      <c r="S469" s="48">
        <f>VLOOKUP(B469,'Player Data'!$A1:$AE734,7,FALSE)*$Q469*_xlfn.IFERROR((VLOOKUP(P469,'Settings'!$E$28:$F$33,2,FALSE)+1),1)</f>
        <v>12.7886748514732</v>
      </c>
      <c r="T469" s="48">
        <f>VLOOKUP(B469,'Player Data'!$A1:$AE734,8,FALSE)*$Q469*_xlfn.IFERROR((VLOOKUP(P469,'Settings'!$E$28:$F$33,2,FALSE)+1),1)</f>
        <v>14.321090436674</v>
      </c>
      <c r="U469" s="48">
        <f>SUM(S469:T469)</f>
        <v>27.1097652881472</v>
      </c>
      <c r="V469" s="48">
        <f>VLOOKUP(B469,'Player Data'!$A1:$AE734,10,FALSE)*$Q469*_xlfn.IFERROR(((VLOOKUP(P469,'Settings'!$E$28:$F$33,2,FALSE)/2)+1),1)</f>
        <v>132.262200779363</v>
      </c>
      <c r="W469" s="48">
        <f>VLOOKUP(B469,'Player Data'!$A1:$AE734,11,FALSE)*$Q469*_xlfn.IFERROR((VLOOKUP(P469,'Settings'!$E$28:$F$33,2,FALSE)+1),1)</f>
        <v>2.44479383492401</v>
      </c>
      <c r="X469" s="48">
        <f>VLOOKUP(B469,'Player Data'!$A1:$AE734,12,FALSE)*$Q469*_xlfn.IFERROR((VLOOKUP(P469,'Settings'!$E$28:$F$33,2,FALSE)+1),1)</f>
        <v>4.55169747440698</v>
      </c>
      <c r="Y469" s="48">
        <f>VLOOKUP(B469,'Player Data'!$A1:$AE734,13,FALSE)*$Q469</f>
        <v>0.000258621246886131</v>
      </c>
      <c r="Z469" s="48">
        <f>VLOOKUP(B469,'Player Data'!$A1:$AE734,14,FALSE)*$Q469</f>
        <v>0.00047308114720755</v>
      </c>
      <c r="AA469" s="48">
        <f>VLOOKUP(B469,'Player Data'!$A1:$AE734,15,FALSE)*$Q469</f>
        <v>25.9816937225822</v>
      </c>
      <c r="AB469" s="48">
        <f>VLOOKUP(B469,'Player Data'!$A1:$AE734,16,FALSE)*$Q469</f>
        <v>98.0899501134534</v>
      </c>
      <c r="AC469" s="48">
        <f>VLOOKUP(B469,'Player Data'!$A1:$AE734,17,FALSE)*$Q469*_xlfn.IFERROR((VLOOKUP(P469,'Settings'!$E$28:$F$33,2,FALSE)+1),1)</f>
        <v>1.36354979520795</v>
      </c>
      <c r="AD469" s="48">
        <f>VLOOKUP(B469,'Player Data'!$A1:$AE734,18,FALSE)*$Q469</f>
        <v>42.848202177545</v>
      </c>
      <c r="AE469" s="48">
        <f>VLOOKUP(B469,'Player Data'!$A1:$AE734,19,FALSE)*$Q469*_xlfn.IFERROR((VLOOKUP(P469,'Settings'!$E$28:$F$33,2,FALSE)+1),1)</f>
        <v>1.9761297910001</v>
      </c>
      <c r="AF469" s="48">
        <f>VLOOKUP(B469,'Player Data'!$A1:$AE734,20,FALSE)*$Q469</f>
        <v>12.1223635367134</v>
      </c>
      <c r="AG469" s="48">
        <f>VLOOKUP(B469,'Player Data'!$A1:$AE734,21,FALSE)*$Q469</f>
        <v>17.933125273890</v>
      </c>
      <c r="AH469" s="49">
        <f>VLOOKUP(B469,'Player Data'!$A1:$AE734,22,FALSE)</f>
        <v>0.403332769368792</v>
      </c>
      <c r="AI469" s="46"/>
      <c r="AJ469" s="50"/>
      <c r="AK469" s="48"/>
      <c r="AL469" s="48"/>
      <c r="AM469" s="48"/>
      <c r="AN469" s="48"/>
      <c r="AO469" s="48"/>
      <c r="AP469" s="48"/>
      <c r="AQ469" s="51"/>
      <c r="AR469" s="52"/>
      <c r="AS469" s="46"/>
    </row>
    <row r="470" ht="21.25" customHeight="1">
      <c r="A470" s="53">
        <f>RANK(K470,K2:K730)</f>
        <v>526</v>
      </c>
      <c r="B470" t="s" s="8">
        <v>622</v>
      </c>
      <c r="C470" t="s" s="39">
        <v>106</v>
      </c>
      <c r="D470" t="s" s="40">
        <f>VLOOKUP(B470,'Player Data'!A1:D734,4,FALSE)</f>
        <v>133</v>
      </c>
      <c r="E470" s="57">
        <f>VLOOKUP(B470,'LW'!A1:C156,3,FALSE)</f>
        <v>112</v>
      </c>
      <c r="F470" t="s" s="42">
        <f>VLOOKUP(B470,'Player Data'!A1:B734,2,FALSE)</f>
        <v>238</v>
      </c>
      <c r="G470" s="9">
        <f>VLOOKUP(B470,'Player Data'!A1:D734,3,FALSE)</f>
        <v>22</v>
      </c>
      <c r="H470" s="43">
        <f>_xlfn.IFERROR(VLOOKUP(B470,'ADP'!A1:G731,7,FALSE)/1000000,VLOOKUP(B470,'ADP'!A1:G731,7,FALSE))</f>
        <v>0</v>
      </c>
      <c r="I470" s="44">
        <f>IF('Settings'!$E$15="POINTS",((R470*Q470)*'Settings'!$B$12)+(S470*'Settings'!$B$2)+(T470*'Settings'!$B$3)+(U470*'Settings'!$B$4)+(V470*'Settings'!$B$5)+(X470*'Settings'!$B$9)+(AA470*'Settings'!$B$6)+(W470*'Settings'!$B$8)+(AB470*'Settings'!$B$7)+(AC470*'Settings'!$B$14)+(AD470*'Settings'!$B$15)+(AE470*'Settings'!$B$16)+(AF470*'Settings'!$B$17)+(AG470*'Settings'!$B$18)+(Y470*'Settings'!$B$10)+(Z470*'Settings'!$B$11),VLOOKUP(B470,'Standard Deviations'!A1:C731,3,FALSE))</f>
        <v>191.474429689718</v>
      </c>
      <c r="J470" s="45">
        <f>IF(D470="G",I470/AJ470,I470/Q470)</f>
        <v>3.04483469332461</v>
      </c>
      <c r="K470" s="44">
        <f>IF('Settings'!$E$18="C/LW/RW",VLOOKUP(B470,'LW'!A1:F156,6,FALSE),VLOOKUP(B470,'F'!A1:F432,6,FALSE))</f>
        <v>-190.154134016638</v>
      </c>
      <c r="L470" t="s" s="60">
        <f>_xlfn.IFERROR(K470/H470,"N/A")</f>
        <v>158</v>
      </c>
      <c r="M470" s="46">
        <f>IF('Settings'!$E$9="YAHOO",VLOOKUP(B470,'ADP'!A1:E731,2,FALSE),IF('Settings'!$E$9="ESPN",VLOOKUP(B470,'ADP'!A1:E731,3,FALSE),IF('Settings'!$E$9="FANTRAX",VLOOKUP(B470,'ADP'!A1:E731,4,FALSE),VLOOKUP(B470,'ADP'!A1:E731,5,FALSE))))</f>
        <v>407.9</v>
      </c>
      <c r="N470" s="46">
        <f>_xlfn.IFERROR(M470-A470,"N/A")</f>
        <v>-118.1</v>
      </c>
      <c r="O470" s="46"/>
      <c r="P470" t="s" s="47">
        <f>IF('Settings'!$E$27="ON",VLOOKUP(B470,'ADP'!A1:H731,8,FALSE)," ")</f>
        <v>109</v>
      </c>
      <c r="Q470" s="48">
        <f>IF('Settings'!$E$12="YES",VLOOKUP(B470,'Player Data'!A1:E734,5,FALSE),82)</f>
        <v>62.885</v>
      </c>
      <c r="R470" s="46">
        <f>VLOOKUP(B470,'Player Data'!$A1:$AE734,6,FALSE)</f>
        <v>14.5636375889373</v>
      </c>
      <c r="S470" s="48">
        <f>VLOOKUP(B470,'Player Data'!$A1:$AE734,7,FALSE)*$Q470*_xlfn.IFERROR((VLOOKUP(P470,'Settings'!$E$28:$F$33,2,FALSE)+1),1)</f>
        <v>11.5968002846793</v>
      </c>
      <c r="T470" s="48">
        <f>VLOOKUP(B470,'Player Data'!$A1:$AE734,8,FALSE)*$Q470*_xlfn.IFERROR((VLOOKUP(P470,'Settings'!$E$28:$F$33,2,FALSE)+1),1)</f>
        <v>15.9227741630749</v>
      </c>
      <c r="U470" s="48">
        <f>SUM(S470:T470)</f>
        <v>27.5195744477542</v>
      </c>
      <c r="V470" s="48">
        <f>VLOOKUP(B470,'Player Data'!$A1:$AE734,10,FALSE)*$Q470*_xlfn.IFERROR(((VLOOKUP(P470,'Settings'!$E$28:$F$33,2,FALSE)/2)+1),1)</f>
        <v>123.763453815029</v>
      </c>
      <c r="W470" s="48">
        <f>VLOOKUP(B470,'Player Data'!$A1:$AE734,11,FALSE)*$Q470*_xlfn.IFERROR((VLOOKUP(P470,'Settings'!$E$28:$F$33,2,FALSE)+1),1)</f>
        <v>4.5202135182012</v>
      </c>
      <c r="X470" s="48">
        <f>VLOOKUP(B470,'Player Data'!$A1:$AE734,12,FALSE)*$Q470*_xlfn.IFERROR((VLOOKUP(P470,'Settings'!$E$28:$F$33,2,FALSE)+1),1)</f>
        <v>8.662190650577489</v>
      </c>
      <c r="Y470" s="48">
        <f>VLOOKUP(B470,'Player Data'!$A1:$AE734,13,FALSE)*$Q470</f>
        <v>0.00682451009803072</v>
      </c>
      <c r="Z470" s="48">
        <f>VLOOKUP(B470,'Player Data'!$A1:$AE734,14,FALSE)*$Q470</f>
        <v>0.0124781354022813</v>
      </c>
      <c r="AA470" s="48">
        <f>VLOOKUP(B470,'Player Data'!$A1:$AE734,15,FALSE)*$Q470</f>
        <v>33.161109475190</v>
      </c>
      <c r="AB470" s="48">
        <f>VLOOKUP(B470,'Player Data'!$A1:$AE734,16,FALSE)*$Q470</f>
        <v>52.1330720140892</v>
      </c>
      <c r="AC470" s="48">
        <f>VLOOKUP(B470,'Player Data'!$A1:$AE734,17,FALSE)*$Q470*_xlfn.IFERROR((VLOOKUP(P470,'Settings'!$E$28:$F$33,2,FALSE)+1),1)</f>
        <v>1.28770415567418</v>
      </c>
      <c r="AD470" s="48">
        <f>VLOOKUP(B470,'Player Data'!$A1:$AE734,18,FALSE)*$Q470</f>
        <v>16.3902429812794</v>
      </c>
      <c r="AE470" s="48">
        <f>VLOOKUP(B470,'Player Data'!$A1:$AE734,19,FALSE)*$Q470*_xlfn.IFERROR((VLOOKUP(P470,'Settings'!$E$28:$F$33,2,FALSE)+1),1)</f>
        <v>1.93780503387253</v>
      </c>
      <c r="AF470" s="48">
        <f>VLOOKUP(B470,'Player Data'!$A1:$AE734,20,FALSE)*$Q470</f>
        <v>5.38045618647194</v>
      </c>
      <c r="AG470" s="48">
        <f>VLOOKUP(B470,'Player Data'!$A1:$AE734,21,FALSE)*$Q470</f>
        <v>16.1413685594159</v>
      </c>
      <c r="AH470" s="49">
        <f>VLOOKUP(B470,'Player Data'!$A1:$AE734,22,FALSE)</f>
        <v>0.25</v>
      </c>
      <c r="AI470" s="46"/>
      <c r="AJ470" s="50"/>
      <c r="AK470" s="48"/>
      <c r="AL470" s="48"/>
      <c r="AM470" s="48"/>
      <c r="AN470" s="48"/>
      <c r="AO470" s="48"/>
      <c r="AP470" s="48"/>
      <c r="AQ470" s="51"/>
      <c r="AR470" s="52"/>
      <c r="AS470" s="46"/>
    </row>
    <row r="471" ht="21.25" customHeight="1">
      <c r="A471" s="53">
        <f>RANK(K471,K2:K730)</f>
        <v>227</v>
      </c>
      <c r="B471" t="s" s="8">
        <v>623</v>
      </c>
      <c r="C471" t="s" s="39">
        <v>106</v>
      </c>
      <c r="D471" t="s" s="40">
        <f>VLOOKUP(B471,'Player Data'!A1:D734,4,FALSE)</f>
        <v>146</v>
      </c>
      <c r="E471" s="58">
        <f>VLOOKUP(B471,'G'!A1:D75,3,FALSE)</f>
        <v>40</v>
      </c>
      <c r="F471" t="s" s="42">
        <f>VLOOKUP(B471,'Player Data'!A1:B734,2,FALSE)</f>
        <v>204</v>
      </c>
      <c r="G471" s="9">
        <f>VLOOKUP(B471,'Player Data'!A1:D734,3,FALSE)</f>
        <v>36</v>
      </c>
      <c r="H471" s="43">
        <f>_xlfn.IFERROR(VLOOKUP(B471,'ADP'!A1:G731,7,FALSE)/1000000,VLOOKUP(B471,'ADP'!A1:G731,7,FALSE))</f>
        <v>1</v>
      </c>
      <c r="I471" s="44">
        <f>IF('Settings'!$E$15="POINTS",(AJ471*'Settings'!$B$29)+(AK471*'Settings'!$B$21)+(AL471*'Settings'!$B$22)+(AN471*'Settings'!$B$24)+(AO471*'Settings'!$B$25)+(AP471*'Settings'!$B$27)+(AM471*'Settings'!$B$23),VLOOKUP(B471,'Standard Deviations'!A1:C731,3,FALSE))</f>
        <v>180.684279380537</v>
      </c>
      <c r="J471" s="45">
        <f>IF(D471="G",I471/AJ471,I471/Q471)</f>
        <v>5.31424351119226</v>
      </c>
      <c r="K471" s="44">
        <f>VLOOKUP(B471,'G'!A1:F75,6,FALSE)</f>
        <v>-84.618942119151</v>
      </c>
      <c r="L471" s="44">
        <f>_xlfn.IFERROR(K471/H471,"N/A")</f>
        <v>-84.618942119151</v>
      </c>
      <c r="M471" s="46">
        <f>IF('Settings'!$E$9="YAHOO",VLOOKUP(B471,'ADP'!A1:E731,2,FALSE),IF('Settings'!$E$9="ESPN",VLOOKUP(B471,'ADP'!A1:E731,3,FALSE),IF('Settings'!$E$9="FANTRAX",VLOOKUP(B471,'ADP'!A1:E731,4,FALSE),VLOOKUP(B471,'ADP'!A1:E731,5,FALSE))))</f>
        <v>238.16</v>
      </c>
      <c r="N471" s="46">
        <f>_xlfn.IFERROR(M471-A471,"N/A")</f>
        <v>11.16</v>
      </c>
      <c r="O471" s="46"/>
      <c r="P471" t="s" s="47">
        <f>IF('Settings'!$E$27="ON",VLOOKUP(B471,'ADP'!A1:H731,8,FALSE)," ")</f>
        <v>109</v>
      </c>
      <c r="Q471" s="48"/>
      <c r="R471" s="59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9"/>
      <c r="AI471" s="46"/>
      <c r="AJ471" s="50">
        <f>VLOOKUP(B471,'Player Data'!$A1:$AE734,24,FALSE)</f>
        <v>34</v>
      </c>
      <c r="AK471" s="48">
        <f>VLOOKUP(B471,'Player Data'!$A1:$AE734,25,FALSE)*$AJ471*_xlfn.IFERROR((VLOOKUP(P471,'Settings'!$E$28:$F$33,2,FALSE)+1),1)</f>
        <v>17.8162902234897</v>
      </c>
      <c r="AL471" s="48">
        <f>AJ471-AK471-AM471</f>
        <v>11.9337097765103</v>
      </c>
      <c r="AM471" s="48">
        <f>VLOOKUP(B471,'Player Data'!$A1:$AE734,27,FALSE)*$AJ471</f>
        <v>4.25</v>
      </c>
      <c r="AN471" s="48">
        <f>VLOOKUP(B471,'Player Data'!$A1:$AE734,28,FALSE)*AJ471</f>
        <v>1.40401919937155</v>
      </c>
      <c r="AO471" s="48">
        <f>VLOOKUP(B471,'Player Data'!$A1:$AE734,29,FALSE)*$AJ471*_xlfn.IFERROR((VLOOKUP(P471,'Settings'!$E$28:$F$33,2,FALSE)/4)+1,1)</f>
        <v>920.757208808725</v>
      </c>
      <c r="AP471" s="48">
        <f>VLOOKUP(B471,'Player Data'!$A1:$AE734,31,FALSE)*$AJ471*(_xlfn.IFERROR(1-(VLOOKUP(P471,'Settings'!$E$28:$F$33,2,FALSE)/4),1))</f>
        <v>102.135874353776</v>
      </c>
      <c r="AQ471" s="51">
        <f>1-(AP471/(AO471+AP471))</f>
        <v>0.90015</v>
      </c>
      <c r="AR471" s="52">
        <f>AP471/AJ471</f>
        <v>3.00399630452282</v>
      </c>
      <c r="AS471" s="46"/>
    </row>
    <row r="472" ht="21.25" customHeight="1">
      <c r="A472" s="53">
        <f>RANK(K472,K2:K730)</f>
        <v>584</v>
      </c>
      <c r="B472" t="s" s="8">
        <v>624</v>
      </c>
      <c r="C472" t="s" s="39">
        <v>106</v>
      </c>
      <c r="D472" t="s" s="40">
        <f>VLOOKUP(B472,'Player Data'!A1:D734,4,FALSE)</f>
        <v>129</v>
      </c>
      <c r="E472" s="56">
        <f>VLOOKUP(B472,'D'!A1:C228,3,FALSE)</f>
        <v>197</v>
      </c>
      <c r="F472" t="s" s="42">
        <f>VLOOKUP(B472,'Player Data'!A1:B734,2,FALSE)</f>
        <v>292</v>
      </c>
      <c r="G472" s="9">
        <f>VLOOKUP(B472,'Player Data'!A1:D734,3,FALSE)</f>
        <v>26</v>
      </c>
      <c r="H472" s="43">
        <f>_xlfn.IFERROR(VLOOKUP(B472,'ADP'!A1:G731,7,FALSE)/1000000,VLOOKUP(B472,'ADP'!A1:G731,7,FALSE))</f>
        <v>2.7</v>
      </c>
      <c r="I472" s="44">
        <f>IF('Settings'!$E$15="POINTS",((R472*Q472)*'Settings'!$B$12)+(S472*'Settings'!$B$2)+(T472*'Settings'!$B$3)+(U472*'Settings'!$B$4)+(V472*'Settings'!$B$5)+(X472*'Settings'!$B$9)+(AA472*'Settings'!$B$6)+(W472*'Settings'!$B$8)+(AB472*'Settings'!$B$7)+(AC472*'Settings'!$B$14)+(AD472*'Settings'!$B$15)+(AE472*'Settings'!$B$16)+(AF472*'Settings'!$B$17)+(AG472*'Settings'!$B$18)+(U472*'Settings'!$B$13)+(Y472*'Settings'!$B$10)+(Z472*'Settings'!$B$11),VLOOKUP(B472,'Standard Deviations'!A1:C731,3,FALSE))</f>
        <v>128.301826947012</v>
      </c>
      <c r="J472" s="45">
        <f>IF(D472="G",I472/AJ472,I472/Q472)</f>
        <v>2.1383637824502</v>
      </c>
      <c r="K472" s="44">
        <f>VLOOKUP(B472,'D'!A1:F228,6,FALSE)</f>
        <v>-212.433311699511</v>
      </c>
      <c r="L472" s="44">
        <f>_xlfn.IFERROR(K472/H472,"N/A")</f>
        <v>-78.67900433315221</v>
      </c>
      <c r="M472" t="s" s="61">
        <f>IF('Settings'!$E$9="YAHOO",VLOOKUP(B472,'ADP'!A1:E731,2,FALSE),IF('Settings'!$E$9="ESPN",VLOOKUP(B472,'ADP'!A1:E731,3,FALSE),IF('Settings'!$E$9="FANTRAX",VLOOKUP(B472,'ADP'!A1:E731,4,FALSE),VLOOKUP(B472,'ADP'!A1:E731,5,FALSE))))</f>
        <v>329</v>
      </c>
      <c r="N472" t="s" s="61">
        <f>_xlfn.IFERROR(M472-A472,"N/A")</f>
        <v>158</v>
      </c>
      <c r="O472" s="46"/>
      <c r="P472" t="s" s="47">
        <f>IF('Settings'!$E$27="ON",VLOOKUP(B472,'ADP'!A1:H731,8,FALSE)," ")</f>
        <v>109</v>
      </c>
      <c r="Q472" s="48">
        <f>IF('Settings'!$E$12="YES",VLOOKUP(B472,'Player Data'!A1:E734,5,FALSE),82)</f>
        <v>60</v>
      </c>
      <c r="R472" s="46">
        <f>VLOOKUP(B472,'Player Data'!$A1:$AE734,6,FALSE)</f>
        <v>15.8323894422616</v>
      </c>
      <c r="S472" s="48">
        <f>VLOOKUP(B472,'Player Data'!$A1:$AE734,7,FALSE)*$Q472*_xlfn.IFERROR((VLOOKUP(P472,'Settings'!$E$28:$F$33,2,FALSE)+1),1)</f>
        <v>3.67708805545761</v>
      </c>
      <c r="T472" s="48">
        <f>VLOOKUP(B472,'Player Data'!$A1:$AE734,8,FALSE)*$Q472*_xlfn.IFERROR((VLOOKUP(P472,'Settings'!$E$28:$F$33,2,FALSE)+1),1)</f>
        <v>10.779056035717</v>
      </c>
      <c r="U472" s="48">
        <f>SUM(S472:T472)</f>
        <v>14.4561440911746</v>
      </c>
      <c r="V472" s="48">
        <f>VLOOKUP(B472,'Player Data'!$A1:$AE734,10,FALSE)*$Q472*_xlfn.IFERROR(((VLOOKUP(P472,'Settings'!$E$28:$F$33,2,FALSE)/2)+1),1)</f>
        <v>74.31253582356599</v>
      </c>
      <c r="W472" s="48">
        <f>VLOOKUP(B472,'Player Data'!$A1:$AE734,11,FALSE)*$Q472*_xlfn.IFERROR((VLOOKUP(P472,'Settings'!$E$28:$F$33,2,FALSE)+1),1)</f>
        <v>0.0108348884536634</v>
      </c>
      <c r="X472" s="48">
        <f>VLOOKUP(B472,'Player Data'!$A1:$AE734,12,FALSE)*$Q472*_xlfn.IFERROR((VLOOKUP(P472,'Settings'!$E$28:$F$33,2,FALSE)+1),1)</f>
        <v>0.09928197129898619</v>
      </c>
      <c r="Y472" s="48">
        <f>VLOOKUP(B472,'Player Data'!$A1:$AE734,13,FALSE)*$Q472</f>
        <v>0</v>
      </c>
      <c r="Z472" s="48">
        <f>VLOOKUP(B472,'Player Data'!$A1:$AE734,14,FALSE)*$Q472</f>
        <v>0</v>
      </c>
      <c r="AA472" s="48">
        <f>VLOOKUP(B472,'Player Data'!$A1:$AE734,15,FALSE)*$Q472</f>
        <v>59.2803114070084</v>
      </c>
      <c r="AB472" s="48">
        <f>VLOOKUP(B472,'Player Data'!$A1:$AE734,16,FALSE)*$Q472</f>
        <v>50.4853559000598</v>
      </c>
      <c r="AC472" s="48">
        <f>VLOOKUP(B472,'Player Data'!$A1:$AE734,17,FALSE)*$Q472*_xlfn.IFERROR((VLOOKUP(P472,'Settings'!$E$28:$F$33,2,FALSE)+1),1)</f>
        <v>0.340558394484836</v>
      </c>
      <c r="AD472" s="48">
        <f>VLOOKUP(B472,'Player Data'!$A1:$AE734,18,FALSE)*$Q472</f>
        <v>21.5151094104721</v>
      </c>
      <c r="AE472" s="48">
        <f>VLOOKUP(B472,'Player Data'!$A1:$AE734,19,FALSE)*$Q472*_xlfn.IFERROR((VLOOKUP(P472,'Settings'!$E$28:$F$33,2,FALSE)+1),1)</f>
        <v>0</v>
      </c>
      <c r="AF472" s="48">
        <f>VLOOKUP(B472,'Player Data'!$A1:$AE734,20,FALSE)*$Q472</f>
        <v>0</v>
      </c>
      <c r="AG472" s="48">
        <f>VLOOKUP(B472,'Player Data'!$A1:$AE734,21,FALSE)*$Q472</f>
        <v>0</v>
      </c>
      <c r="AH472" s="49">
        <f>VLOOKUP(B472,'Player Data'!$A1:$AE734,22,FALSE)</f>
        <v>0</v>
      </c>
      <c r="AI472" s="46"/>
      <c r="AJ472" s="50"/>
      <c r="AK472" s="48"/>
      <c r="AL472" s="48"/>
      <c r="AM472" s="48"/>
      <c r="AN472" s="48"/>
      <c r="AO472" s="48"/>
      <c r="AP472" s="48"/>
      <c r="AQ472" s="51"/>
      <c r="AR472" s="52"/>
      <c r="AS472" s="46"/>
    </row>
    <row r="473" ht="21.25" customHeight="1">
      <c r="A473" s="53">
        <f>RANK(K473,K2:K730)</f>
        <v>565</v>
      </c>
      <c r="B473" t="s" s="8">
        <v>625</v>
      </c>
      <c r="C473" t="s" s="39">
        <v>106</v>
      </c>
      <c r="D473" t="s" s="40">
        <f>VLOOKUP(B473,'Player Data'!A1:D734,4,FALSE)</f>
        <v>129</v>
      </c>
      <c r="E473" s="56">
        <f>VLOOKUP(B473,'D'!A1:C228,3,FALSE)</f>
        <v>194</v>
      </c>
      <c r="F473" t="s" s="42">
        <f>VLOOKUP(B473,'Player Data'!A1:B734,2,FALSE)</f>
        <v>139</v>
      </c>
      <c r="G473" s="9">
        <f>VLOOKUP(B473,'Player Data'!A1:D734,3,FALSE)</f>
        <v>24</v>
      </c>
      <c r="H473" s="43">
        <f>_xlfn.IFERROR(VLOOKUP(B473,'ADP'!A1:G731,7,FALSE)/1000000,VLOOKUP(B473,'ADP'!A1:G731,7,FALSE))</f>
        <v>2.5</v>
      </c>
      <c r="I473" s="44">
        <f>IF('Settings'!$E$15="POINTS",((R473*Q473)*'Settings'!$B$12)+(S473*'Settings'!$B$2)+(T473*'Settings'!$B$3)+(U473*'Settings'!$B$4)+(V473*'Settings'!$B$5)+(X473*'Settings'!$B$9)+(AA473*'Settings'!$B$6)+(W473*'Settings'!$B$8)+(AB473*'Settings'!$B$7)+(AC473*'Settings'!$B$14)+(AD473*'Settings'!$B$15)+(AE473*'Settings'!$B$16)+(AF473*'Settings'!$B$17)+(AG473*'Settings'!$B$18)+(U473*'Settings'!$B$13)+(Y473*'Settings'!$B$10)+(Z473*'Settings'!$B$11),VLOOKUP(B473,'Standard Deviations'!A1:C731,3,FALSE))</f>
        <v>134.613248099804</v>
      </c>
      <c r="J473" s="45">
        <f>IF(D473="G",I473/AJ473,I473/Q473)</f>
        <v>1.91756763674934</v>
      </c>
      <c r="K473" s="44">
        <f>VLOOKUP(B473,'D'!A1:F228,6,FALSE)</f>
        <v>-206.121890546719</v>
      </c>
      <c r="L473" s="44">
        <f>_xlfn.IFERROR(K473/H473,"N/A")</f>
        <v>-82.44875621868761</v>
      </c>
      <c r="M473" t="s" s="61">
        <f>IF('Settings'!$E$9="YAHOO",VLOOKUP(B473,'ADP'!A1:E731,2,FALSE),IF('Settings'!$E$9="ESPN",VLOOKUP(B473,'ADP'!A1:E731,3,FALSE),IF('Settings'!$E$9="FANTRAX",VLOOKUP(B473,'ADP'!A1:E731,4,FALSE),VLOOKUP(B473,'ADP'!A1:E731,5,FALSE))))</f>
        <v>329</v>
      </c>
      <c r="N473" t="s" s="61">
        <f>_xlfn.IFERROR(M473-A473,"N/A")</f>
        <v>158</v>
      </c>
      <c r="O473" s="46"/>
      <c r="P473" t="s" s="47">
        <f>IF('Settings'!$E$27="ON",VLOOKUP(B473,'ADP'!A1:H731,8,FALSE)," ")</f>
        <v>109</v>
      </c>
      <c r="Q473" s="48">
        <f>IF('Settings'!$E$12="YES",VLOOKUP(B473,'Player Data'!A1:E734,5,FALSE),82)</f>
        <v>70.2</v>
      </c>
      <c r="R473" s="46">
        <f>VLOOKUP(B473,'Player Data'!$A1:$AE734,6,FALSE)</f>
        <v>17.0340037185215</v>
      </c>
      <c r="S473" s="48">
        <f>VLOOKUP(B473,'Player Data'!$A1:$AE734,7,FALSE)*$Q473*_xlfn.IFERROR((VLOOKUP(P473,'Settings'!$E$28:$F$33,2,FALSE)+1),1)</f>
        <v>3.26602325083679</v>
      </c>
      <c r="T473" s="48">
        <f>VLOOKUP(B473,'Player Data'!$A1:$AE734,8,FALSE)*$Q473*_xlfn.IFERROR((VLOOKUP(P473,'Settings'!$E$28:$F$33,2,FALSE)+1),1)</f>
        <v>10.9012126281736</v>
      </c>
      <c r="U473" s="48">
        <f>SUM(S473:T473)</f>
        <v>14.1672358790104</v>
      </c>
      <c r="V473" s="48">
        <f>VLOOKUP(B473,'Player Data'!$A1:$AE734,10,FALSE)*$Q473*_xlfn.IFERROR(((VLOOKUP(P473,'Settings'!$E$28:$F$33,2,FALSE)/2)+1),1)</f>
        <v>72.73908687019529</v>
      </c>
      <c r="W473" s="48">
        <f>VLOOKUP(B473,'Player Data'!$A1:$AE734,11,FALSE)*$Q473*_xlfn.IFERROR((VLOOKUP(P473,'Settings'!$E$28:$F$33,2,FALSE)+1),1)</f>
        <v>0.0109431487363077</v>
      </c>
      <c r="X473" s="48">
        <f>VLOOKUP(B473,'Player Data'!$A1:$AE734,12,FALSE)*$Q473*_xlfn.IFERROR((VLOOKUP(P473,'Settings'!$E$28:$F$33,2,FALSE)+1),1)</f>
        <v>0.176127570524052</v>
      </c>
      <c r="Y473" s="48">
        <f>VLOOKUP(B473,'Player Data'!$A1:$AE734,13,FALSE)*$Q473</f>
        <v>0.0351208534748288</v>
      </c>
      <c r="Z473" s="48">
        <f>VLOOKUP(B473,'Player Data'!$A1:$AE734,14,FALSE)*$Q473</f>
        <v>0.135341402267203</v>
      </c>
      <c r="AA473" s="48">
        <f>VLOOKUP(B473,'Player Data'!$A1:$AE734,15,FALSE)*$Q473</f>
        <v>66.4533159135093</v>
      </c>
      <c r="AB473" s="48">
        <f>VLOOKUP(B473,'Player Data'!$A1:$AE734,16,FALSE)*$Q473</f>
        <v>69.3824855605245</v>
      </c>
      <c r="AC473" s="48">
        <f>VLOOKUP(B473,'Player Data'!$A1:$AE734,17,FALSE)*$Q473*_xlfn.IFERROR((VLOOKUP(P473,'Settings'!$E$28:$F$33,2,FALSE)+1),1)</f>
        <v>-3.02882482219254</v>
      </c>
      <c r="AD473" s="48">
        <f>VLOOKUP(B473,'Player Data'!$A1:$AE734,18,FALSE)*$Q473</f>
        <v>22.3038607354758</v>
      </c>
      <c r="AE473" s="48">
        <f>VLOOKUP(B473,'Player Data'!$A1:$AE734,19,FALSE)*$Q473*_xlfn.IFERROR((VLOOKUP(P473,'Settings'!$E$28:$F$33,2,FALSE)+1),1)</f>
        <v>0.418113215103082</v>
      </c>
      <c r="AF473" s="48">
        <f>VLOOKUP(B473,'Player Data'!$A1:$AE734,20,FALSE)*$Q473</f>
        <v>0</v>
      </c>
      <c r="AG473" s="48">
        <f>VLOOKUP(B473,'Player Data'!$A1:$AE734,21,FALSE)*$Q473</f>
        <v>0</v>
      </c>
      <c r="AH473" s="49">
        <f>VLOOKUP(B473,'Player Data'!$A1:$AE734,22,FALSE)</f>
        <v>0</v>
      </c>
      <c r="AI473" s="46"/>
      <c r="AJ473" s="50"/>
      <c r="AK473" s="48"/>
      <c r="AL473" s="48"/>
      <c r="AM473" s="48"/>
      <c r="AN473" s="48"/>
      <c r="AO473" s="48"/>
      <c r="AP473" s="48"/>
      <c r="AQ473" s="51"/>
      <c r="AR473" s="52"/>
      <c r="AS473" s="46"/>
    </row>
    <row r="474" ht="21.25" customHeight="1">
      <c r="A474" s="53">
        <f>RANK(K474,K2:K730)</f>
        <v>473</v>
      </c>
      <c r="B474" t="s" s="8">
        <v>626</v>
      </c>
      <c r="C474" t="s" s="39">
        <v>106</v>
      </c>
      <c r="D474" t="s" s="40">
        <f>VLOOKUP(B474,'Player Data'!A1:D734,4,FALSE)</f>
        <v>107</v>
      </c>
      <c r="E474" s="41">
        <f>VLOOKUP(B474,'C'!A1:C218,3,FALSE)</f>
        <v>121</v>
      </c>
      <c r="F474" t="s" s="42">
        <f>VLOOKUP(B474,'Player Data'!A1:B734,2,FALSE)</f>
        <v>225</v>
      </c>
      <c r="G474" s="9">
        <f>VLOOKUP(B474,'Player Data'!A1:D734,3,FALSE)</f>
        <v>24</v>
      </c>
      <c r="H474" s="43">
        <f>_xlfn.IFERROR(VLOOKUP(B474,'ADP'!A1:G731,7,FALSE)/1000000,VLOOKUP(B474,'ADP'!A1:G731,7,FALSE))</f>
        <v>0.95</v>
      </c>
      <c r="I474" s="44">
        <f>IF('Settings'!$E$15="POINTS",((R474*Q474)*'Settings'!$B$12)+(S474*'Settings'!$B$2)+(T474*'Settings'!$B$3)+(U474*'Settings'!$B$4)+(V474*'Settings'!$B$5)+(X474*'Settings'!$B$9)+(AA474*'Settings'!$B$6)+(W474*'Settings'!$B$8)+(AB474*'Settings'!$B$7)+(AC474*'Settings'!$B$14)+(AD474*'Settings'!$B$15)+(AE474*'Settings'!$B$16)+(AF474*'Settings'!$B$17)+(AG474*'Settings'!$B$18)+(Y474*'Settings'!$B$10)+(Z474*'Settings'!$B$11),VLOOKUP(B474,'Standard Deviations'!A1:C731,3,FALSE))</f>
        <v>221.952363639813</v>
      </c>
      <c r="J474" s="45">
        <f>IF(D474="G",I474/AJ474,I474/Q474)</f>
        <v>3.02490444483561</v>
      </c>
      <c r="K474" s="44">
        <f>IF('Settings'!$E$18="C/LW/RW",VLOOKUP(B474,'C'!A1:F218,6,FALSE),VLOOKUP(B474,'F'!A1:F432,6,FALSE))</f>
        <v>-173.821837996202</v>
      </c>
      <c r="L474" s="44">
        <f>_xlfn.IFERROR(K474/H474,"N/A")</f>
        <v>-182.970355785476</v>
      </c>
      <c r="M474" t="s" s="61">
        <f>IF('Settings'!$E$9="YAHOO",VLOOKUP(B474,'ADP'!A1:E731,2,FALSE),IF('Settings'!$E$9="ESPN",VLOOKUP(B474,'ADP'!A1:E731,3,FALSE),IF('Settings'!$E$9="FANTRAX",VLOOKUP(B474,'ADP'!A1:E731,4,FALSE),VLOOKUP(B474,'ADP'!A1:E731,5,FALSE))))</f>
        <v>329</v>
      </c>
      <c r="N474" t="s" s="61">
        <f>_xlfn.IFERROR(M474-A474,"N/A")</f>
        <v>158</v>
      </c>
      <c r="O474" s="46"/>
      <c r="P474" t="s" s="47">
        <f>IF('Settings'!$E$27="ON",VLOOKUP(B474,'ADP'!A1:H731,8,FALSE)," ")</f>
        <v>109</v>
      </c>
      <c r="Q474" s="48">
        <f>IF('Settings'!$E$12="YES",VLOOKUP(B474,'Player Data'!A1:E734,5,FALSE),82)</f>
        <v>73.375</v>
      </c>
      <c r="R474" s="46">
        <f>VLOOKUP(B474,'Player Data'!$A1:$AE734,6,FALSE)</f>
        <v>14.2358377558798</v>
      </c>
      <c r="S474" s="48">
        <f>VLOOKUP(B474,'Player Data'!$A1:$AE734,7,FALSE)*$Q474*_xlfn.IFERROR((VLOOKUP(P474,'Settings'!$E$28:$F$33,2,FALSE)+1),1)</f>
        <v>16.641010339540</v>
      </c>
      <c r="T474" s="48">
        <f>VLOOKUP(B474,'Player Data'!$A1:$AE734,8,FALSE)*$Q474*_xlfn.IFERROR((VLOOKUP(P474,'Settings'!$E$28:$F$33,2,FALSE)+1),1)</f>
        <v>16.2525892980483</v>
      </c>
      <c r="U474" s="48">
        <f>SUM(S474:T474)</f>
        <v>32.8935996375883</v>
      </c>
      <c r="V474" s="48">
        <f>VLOOKUP(B474,'Player Data'!$A1:$AE734,10,FALSE)*$Q474*_xlfn.IFERROR(((VLOOKUP(P474,'Settings'!$E$28:$F$33,2,FALSE)/2)+1),1)</f>
        <v>128.084825820679</v>
      </c>
      <c r="W474" s="48">
        <f>VLOOKUP(B474,'Player Data'!$A1:$AE734,11,FALSE)*$Q474*_xlfn.IFERROR((VLOOKUP(P474,'Settings'!$E$28:$F$33,2,FALSE)+1),1)</f>
        <v>0.477990811391874</v>
      </c>
      <c r="X474" s="48">
        <f>VLOOKUP(B474,'Player Data'!$A1:$AE734,12,FALSE)*$Q474*_xlfn.IFERROR((VLOOKUP(P474,'Settings'!$E$28:$F$33,2,FALSE)+1),1)</f>
        <v>1.22036795557555</v>
      </c>
      <c r="Y474" s="48">
        <f>VLOOKUP(B474,'Player Data'!$A1:$AE734,13,FALSE)*$Q474</f>
        <v>0.257716287416373</v>
      </c>
      <c r="Z474" s="48">
        <f>VLOOKUP(B474,'Player Data'!$A1:$AE734,14,FALSE)*$Q474</f>
        <v>0.475311264642805</v>
      </c>
      <c r="AA474" s="48">
        <f>VLOOKUP(B474,'Player Data'!$A1:$AE734,15,FALSE)*$Q474</f>
        <v>39.0826130402549</v>
      </c>
      <c r="AB474" s="48">
        <f>VLOOKUP(B474,'Player Data'!$A1:$AE734,16,FALSE)*$Q474</f>
        <v>55.1028290319434</v>
      </c>
      <c r="AC474" s="48">
        <f>VLOOKUP(B474,'Player Data'!$A1:$AE734,17,FALSE)*$Q474*_xlfn.IFERROR((VLOOKUP(P474,'Settings'!$E$28:$F$33,2,FALSE)+1),1)</f>
        <v>-4.87124419021635</v>
      </c>
      <c r="AD474" s="48">
        <f>VLOOKUP(B474,'Player Data'!$A1:$AE734,18,FALSE)*$Q474</f>
        <v>22.0510590908266</v>
      </c>
      <c r="AE474" s="48">
        <f>VLOOKUP(B474,'Player Data'!$A1:$AE734,19,FALSE)*$Q474*_xlfn.IFERROR((VLOOKUP(P474,'Settings'!$E$28:$F$33,2,FALSE)+1),1)</f>
        <v>1.9500194176364</v>
      </c>
      <c r="AF474" s="48">
        <f>VLOOKUP(B474,'Player Data'!$A1:$AE734,20,FALSE)*$Q474</f>
        <v>450.923739954457</v>
      </c>
      <c r="AG474" s="48">
        <f>VLOOKUP(B474,'Player Data'!$A1:$AE734,21,FALSE)*$Q474</f>
        <v>415.054806094442</v>
      </c>
      <c r="AH474" s="49">
        <f>VLOOKUP(B474,'Player Data'!$A1:$AE734,22,FALSE)</f>
        <v>0.520710059171598</v>
      </c>
      <c r="AI474" s="46"/>
      <c r="AJ474" s="50"/>
      <c r="AK474" s="48"/>
      <c r="AL474" s="48"/>
      <c r="AM474" s="48"/>
      <c r="AN474" s="48"/>
      <c r="AO474" s="48"/>
      <c r="AP474" s="48"/>
      <c r="AQ474" s="51"/>
      <c r="AR474" s="52"/>
      <c r="AS474" s="46"/>
    </row>
    <row r="475" ht="21.25" customHeight="1">
      <c r="A475" s="53">
        <f>RANK(K475,K2:K730)</f>
        <v>514</v>
      </c>
      <c r="B475" t="s" s="8">
        <v>627</v>
      </c>
      <c r="C475" t="s" s="39">
        <v>106</v>
      </c>
      <c r="D475" t="s" s="40">
        <f>VLOOKUP(B475,'Player Data'!A1:D734,4,FALSE)</f>
        <v>129</v>
      </c>
      <c r="E475" s="56">
        <f>VLOOKUP(B475,'D'!A1:C228,3,FALSE)</f>
        <v>176</v>
      </c>
      <c r="F475" t="s" s="42">
        <f>VLOOKUP(B475,'Player Data'!A1:B734,2,FALSE)</f>
        <v>236</v>
      </c>
      <c r="G475" s="9">
        <f>VLOOKUP(B475,'Player Data'!A1:D734,3,FALSE)</f>
        <v>36</v>
      </c>
      <c r="H475" s="43">
        <f>_xlfn.IFERROR(VLOOKUP(B475,'ADP'!A1:G731,7,FALSE)/1000000,VLOOKUP(B475,'ADP'!A1:G731,7,FALSE))</f>
        <v>1.1</v>
      </c>
      <c r="I475" s="44">
        <f>IF('Settings'!$E$15="POINTS",((R475*Q475)*'Settings'!$B$12)+(S475*'Settings'!$B$2)+(T475*'Settings'!$B$3)+(U475*'Settings'!$B$4)+(V475*'Settings'!$B$5)+(X475*'Settings'!$B$9)+(AA475*'Settings'!$B$6)+(W475*'Settings'!$B$8)+(AB475*'Settings'!$B$7)+(AC475*'Settings'!$B$14)+(AD475*'Settings'!$B$15)+(AE475*'Settings'!$B$16)+(AF475*'Settings'!$B$17)+(AG475*'Settings'!$B$18)+(U475*'Settings'!$B$13)+(Y475*'Settings'!$B$10)+(Z475*'Settings'!$B$11),VLOOKUP(B475,'Standard Deviations'!A1:C731,3,FALSE))</f>
        <v>154.906609270540</v>
      </c>
      <c r="J475" s="45">
        <f>IF(D475="G",I475/AJ475,I475/Q475)</f>
        <v>2.01177414637065</v>
      </c>
      <c r="K475" s="44">
        <f>VLOOKUP(B475,'D'!A1:F228,6,FALSE)</f>
        <v>-185.828529375983</v>
      </c>
      <c r="L475" s="44">
        <f>_xlfn.IFERROR(K475/H475,"N/A")</f>
        <v>-168.935026705439</v>
      </c>
      <c r="M475" t="s" s="61">
        <f>IF('Settings'!$E$9="YAHOO",VLOOKUP(B475,'ADP'!A1:E731,2,FALSE),IF('Settings'!$E$9="ESPN",VLOOKUP(B475,'ADP'!A1:E731,3,FALSE),IF('Settings'!$E$9="FANTRAX",VLOOKUP(B475,'ADP'!A1:E731,4,FALSE),VLOOKUP(B475,'ADP'!A1:E731,5,FALSE))))</f>
        <v>329</v>
      </c>
      <c r="N475" t="s" s="61">
        <f>_xlfn.IFERROR(M475-A475,"N/A")</f>
        <v>158</v>
      </c>
      <c r="O475" s="46"/>
      <c r="P475" t="s" s="47">
        <f>IF('Settings'!$E$27="ON",VLOOKUP(B475,'ADP'!A1:H731,8,FALSE)," ")</f>
        <v>109</v>
      </c>
      <c r="Q475" s="48">
        <f>IF('Settings'!$E$12="YES",VLOOKUP(B475,'Player Data'!A1:E734,5,FALSE),82)</f>
        <v>77</v>
      </c>
      <c r="R475" s="46">
        <f>VLOOKUP(B475,'Player Data'!$A1:$AE734,6,FALSE)</f>
        <v>16.3655242850154</v>
      </c>
      <c r="S475" s="48">
        <f>VLOOKUP(B475,'Player Data'!$A1:$AE734,7,FALSE)*$Q475*_xlfn.IFERROR((VLOOKUP(P475,'Settings'!$E$28:$F$33,2,FALSE)+1),1)</f>
        <v>2.46963548306257</v>
      </c>
      <c r="T475" s="48">
        <f>VLOOKUP(B475,'Player Data'!$A1:$AE734,8,FALSE)*$Q475*_xlfn.IFERROR((VLOOKUP(P475,'Settings'!$E$28:$F$33,2,FALSE)+1),1)</f>
        <v>10.5051204064241</v>
      </c>
      <c r="U475" s="48">
        <f>SUM(S475:T475)</f>
        <v>12.9747558894867</v>
      </c>
      <c r="V475" s="48">
        <f>VLOOKUP(B475,'Player Data'!$A1:$AE734,10,FALSE)*$Q475*_xlfn.IFERROR(((VLOOKUP(P475,'Settings'!$E$28:$F$33,2,FALSE)/2)+1),1)</f>
        <v>63.9565270280847</v>
      </c>
      <c r="W475" s="48">
        <f>VLOOKUP(B475,'Player Data'!$A1:$AE734,11,FALSE)*$Q475*_xlfn.IFERROR((VLOOKUP(P475,'Settings'!$E$28:$F$33,2,FALSE)+1),1)</f>
        <v>0.0160160091538365</v>
      </c>
      <c r="X475" s="48">
        <f>VLOOKUP(B475,'Player Data'!$A1:$AE734,12,FALSE)*$Q475*_xlfn.IFERROR((VLOOKUP(P475,'Settings'!$E$28:$F$33,2,FALSE)+1),1)</f>
        <v>0.121166170320329</v>
      </c>
      <c r="Y475" s="48">
        <f>VLOOKUP(B475,'Player Data'!$A1:$AE734,13,FALSE)*$Q475</f>
        <v>0.0155848748194545</v>
      </c>
      <c r="Z475" s="48">
        <f>VLOOKUP(B475,'Player Data'!$A1:$AE734,14,FALSE)*$Q475</f>
        <v>0.0665159370494008</v>
      </c>
      <c r="AA475" s="48">
        <f>VLOOKUP(B475,'Player Data'!$A1:$AE734,15,FALSE)*$Q475</f>
        <v>99.3476995921787</v>
      </c>
      <c r="AB475" s="48">
        <f>VLOOKUP(B475,'Player Data'!$A1:$AE734,16,FALSE)*$Q475</f>
        <v>121.970972773024</v>
      </c>
      <c r="AC475" s="48">
        <f>VLOOKUP(B475,'Player Data'!$A1:$AE734,17,FALSE)*$Q475*_xlfn.IFERROR((VLOOKUP(P475,'Settings'!$E$28:$F$33,2,FALSE)+1),1)</f>
        <v>-5.0623410736144</v>
      </c>
      <c r="AD475" s="48">
        <f>VLOOKUP(B475,'Player Data'!$A1:$AE734,18,FALSE)*$Q475</f>
        <v>28.4909273880581</v>
      </c>
      <c r="AE475" s="48">
        <f>VLOOKUP(B475,'Player Data'!$A1:$AE734,19,FALSE)*$Q475*_xlfn.IFERROR((VLOOKUP(P475,'Settings'!$E$28:$F$33,2,FALSE)+1),1)</f>
        <v>0.290294889357226</v>
      </c>
      <c r="AF475" s="48">
        <f>VLOOKUP(B475,'Player Data'!$A1:$AE734,20,FALSE)*$Q475</f>
        <v>0</v>
      </c>
      <c r="AG475" s="48">
        <f>VLOOKUP(B475,'Player Data'!$A1:$AE734,21,FALSE)*$Q475</f>
        <v>0</v>
      </c>
      <c r="AH475" s="49">
        <f>VLOOKUP(B475,'Player Data'!$A1:$AE734,22,FALSE)</f>
        <v>0</v>
      </c>
      <c r="AI475" s="46"/>
      <c r="AJ475" s="48"/>
      <c r="AK475" s="48"/>
      <c r="AL475" s="48"/>
      <c r="AM475" s="48"/>
      <c r="AN475" s="48"/>
      <c r="AO475" s="48"/>
      <c r="AP475" s="48"/>
      <c r="AQ475" s="51"/>
      <c r="AR475" s="52"/>
      <c r="AS475" s="46"/>
    </row>
    <row r="476" ht="21.25" customHeight="1">
      <c r="A476" s="53">
        <f>RANK(K476,K2:K730)</f>
        <v>479</v>
      </c>
      <c r="B476" t="s" s="8">
        <v>628</v>
      </c>
      <c r="C476" t="s" s="39">
        <v>106</v>
      </c>
      <c r="D476" t="s" s="40">
        <f>VLOOKUP(B476,'Player Data'!A1:D734,4,FALSE)</f>
        <v>111</v>
      </c>
      <c r="E476" s="54">
        <f>VLOOKUP(B476,'LW'!A1:C156,3,FALSE)</f>
        <v>105</v>
      </c>
      <c r="F476" t="s" s="42">
        <f>VLOOKUP(B476,'Player Data'!A1:B734,2,FALSE)</f>
        <v>115</v>
      </c>
      <c r="G476" s="9">
        <f>VLOOKUP(B476,'Player Data'!A1:D734,3,FALSE)</f>
        <v>31</v>
      </c>
      <c r="H476" s="43">
        <f>_xlfn.IFERROR(VLOOKUP(B476,'ADP'!A1:G731,7,FALSE)/1000000,VLOOKUP(B476,'ADP'!A1:G731,7,FALSE))</f>
        <v>2.1</v>
      </c>
      <c r="I476" s="44">
        <f>IF('Settings'!$E$15="POINTS",((R476*Q476)*'Settings'!$B$12)+(S476*'Settings'!$B$2)+(T476*'Settings'!$B$3)+(U476*'Settings'!$B$4)+(V476*'Settings'!$B$5)+(X476*'Settings'!$B$9)+(AA476*'Settings'!$B$6)+(W476*'Settings'!$B$8)+(AB476*'Settings'!$B$7)+(AC476*'Settings'!$B$14)+(AD476*'Settings'!$B$15)+(AE476*'Settings'!$B$16)+(AF476*'Settings'!$B$17)+(AG476*'Settings'!$B$18)+(Y476*'Settings'!$B$10)+(Z476*'Settings'!$B$11),VLOOKUP(B476,'Standard Deviations'!A1:C731,3,FALSE))</f>
        <v>206.039557411184</v>
      </c>
      <c r="J476" s="45">
        <f>IF(D476="G",I476/AJ476,I476/Q476)</f>
        <v>2.66864692434264</v>
      </c>
      <c r="K476" s="44">
        <f>IF('Settings'!$E$18="C/LW/RW",VLOOKUP(B476,'LW'!A1:F156,6,FALSE),VLOOKUP(B476,'F'!A1:F432,6,FALSE))</f>
        <v>-175.589006295172</v>
      </c>
      <c r="L476" s="44">
        <f>_xlfn.IFERROR(K476/H476,"N/A")</f>
        <v>-83.6138125215105</v>
      </c>
      <c r="M476" s="46">
        <f>IF('Settings'!$E$9="YAHOO",VLOOKUP(B476,'ADP'!A1:E731,2,FALSE),IF('Settings'!$E$9="ESPN",VLOOKUP(B476,'ADP'!A1:E731,3,FALSE),IF('Settings'!$E$9="FANTRAX",VLOOKUP(B476,'ADP'!A1:E731,4,FALSE),VLOOKUP(B476,'ADP'!A1:E731,5,FALSE))))</f>
        <v>455.5</v>
      </c>
      <c r="N476" s="46">
        <f>_xlfn.IFERROR(M476-A476,"N/A")</f>
        <v>-23.5</v>
      </c>
      <c r="O476" s="46"/>
      <c r="P476" t="s" s="47">
        <f>IF('Settings'!$E$27="ON",VLOOKUP(B476,'ADP'!A1:H731,8,FALSE)," ")</f>
        <v>109</v>
      </c>
      <c r="Q476" s="48">
        <f>IF('Settings'!$E$12="YES",VLOOKUP(B476,'Player Data'!A1:E734,5,FALSE),82)</f>
        <v>77.2075</v>
      </c>
      <c r="R476" s="46">
        <f>VLOOKUP(B476,'Player Data'!$A1:$AE734,6,FALSE)</f>
        <v>14.3263613129072</v>
      </c>
      <c r="S476" s="48">
        <f>VLOOKUP(B476,'Player Data'!$A1:$AE734,7,FALSE)*$Q476*_xlfn.IFERROR((VLOOKUP(P476,'Settings'!$E$28:$F$33,2,FALSE)+1),1)</f>
        <v>15.1796357267031</v>
      </c>
      <c r="T476" s="48">
        <f>VLOOKUP(B476,'Player Data'!$A1:$AE734,8,FALSE)*$Q476*_xlfn.IFERROR((VLOOKUP(P476,'Settings'!$E$28:$F$33,2,FALSE)+1),1)</f>
        <v>17.5348086304277</v>
      </c>
      <c r="U476" s="48">
        <f>SUM(S476:T476)</f>
        <v>32.7144443571308</v>
      </c>
      <c r="V476" s="48">
        <f>VLOOKUP(B476,'Player Data'!$A1:$AE734,10,FALSE)*$Q476*_xlfn.IFERROR(((VLOOKUP(P476,'Settings'!$E$28:$F$33,2,FALSE)/2)+1),1)</f>
        <v>109.960421583546</v>
      </c>
      <c r="W476" s="48">
        <f>VLOOKUP(B476,'Player Data'!$A1:$AE734,11,FALSE)*$Q476*_xlfn.IFERROR((VLOOKUP(P476,'Settings'!$E$28:$F$33,2,FALSE)+1),1)</f>
        <v>1.55455722937567</v>
      </c>
      <c r="X476" s="48">
        <f>VLOOKUP(B476,'Player Data'!$A1:$AE734,12,FALSE)*$Q476*_xlfn.IFERROR((VLOOKUP(P476,'Settings'!$E$28:$F$33,2,FALSE)+1),1)</f>
        <v>3.70231649850685</v>
      </c>
      <c r="Y476" s="48">
        <f>VLOOKUP(B476,'Player Data'!$A1:$AE734,13,FALSE)*$Q476</f>
        <v>0.9347487353957949</v>
      </c>
      <c r="Z476" s="48">
        <f>VLOOKUP(B476,'Player Data'!$A1:$AE734,14,FALSE)*$Q476</f>
        <v>2.23409242157583</v>
      </c>
      <c r="AA476" s="48">
        <f>VLOOKUP(B476,'Player Data'!$A1:$AE734,15,FALSE)*$Q476</f>
        <v>22.741608162156</v>
      </c>
      <c r="AB476" s="48">
        <f>VLOOKUP(B476,'Player Data'!$A1:$AE734,16,FALSE)*$Q476</f>
        <v>57.2302841349375</v>
      </c>
      <c r="AC476" s="48">
        <f>VLOOKUP(B476,'Player Data'!$A1:$AE734,17,FALSE)*$Q476*_xlfn.IFERROR((VLOOKUP(P476,'Settings'!$E$28:$F$33,2,FALSE)+1),1)</f>
        <v>4.29648306067293</v>
      </c>
      <c r="AD476" s="48">
        <f>VLOOKUP(B476,'Player Data'!$A1:$AE734,18,FALSE)*$Q476</f>
        <v>13.469983431814</v>
      </c>
      <c r="AE476" s="48">
        <f>VLOOKUP(B476,'Player Data'!$A1:$AE734,19,FALSE)*$Q476*_xlfn.IFERROR((VLOOKUP(P476,'Settings'!$E$28:$F$33,2,FALSE)+1),1)</f>
        <v>2.43860444480883</v>
      </c>
      <c r="AF476" s="48">
        <f>VLOOKUP(B476,'Player Data'!$A1:$AE734,20,FALSE)*$Q476</f>
        <v>75.4347774393658</v>
      </c>
      <c r="AG476" s="48">
        <f>VLOOKUP(B476,'Player Data'!$A1:$AE734,21,FALSE)*$Q476</f>
        <v>85.9579730337875</v>
      </c>
      <c r="AH476" s="49">
        <f>VLOOKUP(B476,'Player Data'!$A1:$AE734,22,FALSE)</f>
        <v>0.467398797146803</v>
      </c>
      <c r="AI476" s="46"/>
      <c r="AJ476" s="50"/>
      <c r="AK476" s="48"/>
      <c r="AL476" s="48"/>
      <c r="AM476" s="48"/>
      <c r="AN476" s="48"/>
      <c r="AO476" s="48"/>
      <c r="AP476" s="48"/>
      <c r="AQ476" s="51"/>
      <c r="AR476" s="52"/>
      <c r="AS476" s="46"/>
    </row>
    <row r="477" ht="21.25" customHeight="1">
      <c r="A477" s="53">
        <f>RANK(K477,K2:K730)</f>
        <v>425</v>
      </c>
      <c r="B477" t="s" s="8">
        <v>629</v>
      </c>
      <c r="C477" t="s" s="39">
        <v>106</v>
      </c>
      <c r="D477" t="s" s="40">
        <f>VLOOKUP(B477,'Player Data'!A1:D734,4,FALSE)</f>
        <v>187</v>
      </c>
      <c r="E477" s="54">
        <f>VLOOKUP(B477,'RW'!A1:F132,3,FALSE)</f>
        <v>83</v>
      </c>
      <c r="F477" t="s" s="42">
        <f>VLOOKUP(B477,'Player Data'!A1:B734,2,FALSE)</f>
        <v>122</v>
      </c>
      <c r="G477" s="9">
        <f>VLOOKUP(B477,'Player Data'!A1:D734,3,FALSE)</f>
        <v>25</v>
      </c>
      <c r="H477" s="43">
        <f>_xlfn.IFERROR(VLOOKUP(B477,'ADP'!A1:G731,7,FALSE)/1000000,VLOOKUP(B477,'ADP'!A1:G731,7,FALSE))</f>
        <v>2.3</v>
      </c>
      <c r="I477" s="44">
        <f>IF('Settings'!$E$15="POINTS",((R477*Q477)*'Settings'!$B$12)+(S477*'Settings'!$B$2)+(T477*'Settings'!$B$3)+(U477*'Settings'!$B$4)+(V477*'Settings'!$B$5)+(X477*'Settings'!$B$9)+(AA477*'Settings'!$B$6)+(W477*'Settings'!$B$8)+(AB477*'Settings'!$B$7)+(AC477*'Settings'!$B$14)+(AD477*'Settings'!$B$15)+(AE477*'Settings'!$B$16)+(AF477*'Settings'!$B$17)+(AG477*'Settings'!$B$18)+(Y477*'Settings'!$B$10)+(Z477*'Settings'!$B$11),VLOOKUP(B477,'Standard Deviations'!A1:C731,3,FALSE))</f>
        <v>222.444897425510</v>
      </c>
      <c r="J477" s="45">
        <f>IF(D477="G",I477/AJ477,I477/Q477)</f>
        <v>2.91072521084118</v>
      </c>
      <c r="K477" s="44">
        <f>IF('Settings'!$E$18="C/LW/RW",VLOOKUP(B477,'RW'!A1:F132,6,FALSE),VLOOKUP(B477,'F'!A1:F432,6,FALSE))</f>
        <v>-159.183666280846</v>
      </c>
      <c r="L477" s="44">
        <f>_xlfn.IFERROR(K477/H477,"N/A")</f>
        <v>-69.21028968732431</v>
      </c>
      <c r="M477" t="s" s="61">
        <f>IF('Settings'!$E$9="YAHOO",VLOOKUP(B477,'ADP'!A1:E731,2,FALSE),IF('Settings'!$E$9="ESPN",VLOOKUP(B477,'ADP'!A1:E731,3,FALSE),IF('Settings'!$E$9="FANTRAX",VLOOKUP(B477,'ADP'!A1:E731,4,FALSE),VLOOKUP(B477,'ADP'!A1:E731,5,FALSE))))</f>
        <v>329</v>
      </c>
      <c r="N477" t="s" s="61">
        <f>_xlfn.IFERROR(M477-A477,"N/A")</f>
        <v>158</v>
      </c>
      <c r="O477" s="46"/>
      <c r="P477" t="s" s="47">
        <f>IF('Settings'!$E$27="ON",VLOOKUP(B477,'ADP'!A1:H731,8,FALSE)," ")</f>
        <v>109</v>
      </c>
      <c r="Q477" s="48">
        <f>IF('Settings'!$E$12="YES",VLOOKUP(B477,'Player Data'!A1:E734,5,FALSE),82)</f>
        <v>76.4225</v>
      </c>
      <c r="R477" s="46">
        <f>VLOOKUP(B477,'Player Data'!$A1:$AE734,6,FALSE)</f>
        <v>12.4100397600268</v>
      </c>
      <c r="S477" s="48">
        <f>VLOOKUP(B477,'Player Data'!$A1:$AE734,7,FALSE)*$Q477*_xlfn.IFERROR((VLOOKUP(P477,'Settings'!$E$28:$F$33,2,FALSE)+1),1)</f>
        <v>14.1487843896529</v>
      </c>
      <c r="T477" s="48">
        <f>VLOOKUP(B477,'Player Data'!$A1:$AE734,8,FALSE)*$Q477*_xlfn.IFERROR((VLOOKUP(P477,'Settings'!$E$28:$F$33,2,FALSE)+1),1)</f>
        <v>13.7886574512117</v>
      </c>
      <c r="U477" s="48">
        <f>SUM(S477:T477)</f>
        <v>27.9374418408646</v>
      </c>
      <c r="V477" s="48">
        <f>VLOOKUP(B477,'Player Data'!$A1:$AE734,10,FALSE)*$Q477*_xlfn.IFERROR(((VLOOKUP(P477,'Settings'!$E$28:$F$33,2,FALSE)/2)+1),1)</f>
        <v>132.404368918334</v>
      </c>
      <c r="W477" s="48">
        <f>VLOOKUP(B477,'Player Data'!$A1:$AE734,11,FALSE)*$Q477*_xlfn.IFERROR((VLOOKUP(P477,'Settings'!$E$28:$F$33,2,FALSE)+1),1)</f>
        <v>0.0503058541314603</v>
      </c>
      <c r="X477" s="48">
        <f>VLOOKUP(B477,'Player Data'!$A1:$AE734,12,FALSE)*$Q477*_xlfn.IFERROR((VLOOKUP(P477,'Settings'!$E$28:$F$33,2,FALSE)+1),1)</f>
        <v>0.127437225216914</v>
      </c>
      <c r="Y477" s="48">
        <f>VLOOKUP(B477,'Player Data'!$A1:$AE734,13,FALSE)*$Q477</f>
        <v>0.072954680975707</v>
      </c>
      <c r="Z477" s="48">
        <f>VLOOKUP(B477,'Player Data'!$A1:$AE734,14,FALSE)*$Q477</f>
        <v>0.479878588358055</v>
      </c>
      <c r="AA477" s="48">
        <f>VLOOKUP(B477,'Player Data'!$A1:$AE734,15,FALSE)*$Q477</f>
        <v>37.577429014231</v>
      </c>
      <c r="AB477" s="48">
        <f>VLOOKUP(B477,'Player Data'!$A1:$AE734,16,FALSE)*$Q477</f>
        <v>125.834956701752</v>
      </c>
      <c r="AC477" s="48">
        <f>VLOOKUP(B477,'Player Data'!$A1:$AE734,17,FALSE)*$Q477*_xlfn.IFERROR((VLOOKUP(P477,'Settings'!$E$28:$F$33,2,FALSE)+1),1)</f>
        <v>5.26452266819906</v>
      </c>
      <c r="AD477" s="48">
        <f>VLOOKUP(B477,'Player Data'!$A1:$AE734,18,FALSE)*$Q477</f>
        <v>52.7875671782477</v>
      </c>
      <c r="AE477" s="48">
        <f>VLOOKUP(B477,'Player Data'!$A1:$AE734,19,FALSE)*$Q477*_xlfn.IFERROR((VLOOKUP(P477,'Settings'!$E$28:$F$33,2,FALSE)+1),1)</f>
        <v>2.37530245971248</v>
      </c>
      <c r="AF477" s="48">
        <f>VLOOKUP(B477,'Player Data'!$A1:$AE734,20,FALSE)*$Q477</f>
        <v>32.1623999666302</v>
      </c>
      <c r="AG477" s="48">
        <f>VLOOKUP(B477,'Player Data'!$A1:$AE734,21,FALSE)*$Q477</f>
        <v>51.8574715585123</v>
      </c>
      <c r="AH477" s="49">
        <f>VLOOKUP(B477,'Player Data'!$A1:$AE734,22,FALSE)</f>
        <v>0.382795157655124</v>
      </c>
      <c r="AI477" s="46"/>
      <c r="AJ477" s="50"/>
      <c r="AK477" s="48"/>
      <c r="AL477" s="48"/>
      <c r="AM477" s="48"/>
      <c r="AN477" s="48"/>
      <c r="AO477" s="48"/>
      <c r="AP477" s="48"/>
      <c r="AQ477" s="51"/>
      <c r="AR477" s="52"/>
      <c r="AS477" s="46"/>
    </row>
    <row r="478" ht="21.25" customHeight="1">
      <c r="A478" s="53">
        <f>RANK(K478,K2:K730)</f>
        <v>491</v>
      </c>
      <c r="B478" t="s" s="8">
        <v>630</v>
      </c>
      <c r="C478" t="s" s="39">
        <v>106</v>
      </c>
      <c r="D478" t="s" s="40">
        <f>VLOOKUP(B478,'Player Data'!A1:D734,4,FALSE)</f>
        <v>133</v>
      </c>
      <c r="E478" s="57">
        <f>VLOOKUP(B478,'LW'!A1:C156,3,FALSE)</f>
        <v>108</v>
      </c>
      <c r="F478" t="s" s="42">
        <f>VLOOKUP(B478,'Player Data'!A1:B734,2,FALSE)</f>
        <v>218</v>
      </c>
      <c r="G478" s="9">
        <f>VLOOKUP(B478,'Player Data'!A1:D734,3,FALSE)</f>
        <v>22</v>
      </c>
      <c r="H478" s="43">
        <f>_xlfn.IFERROR(VLOOKUP(B478,'ADP'!A1:G731,7,FALSE)/1000000,VLOOKUP(B478,'ADP'!A1:G731,7,FALSE))</f>
        <v>0.825</v>
      </c>
      <c r="I478" s="44">
        <f>IF('Settings'!$E$15="POINTS",((R478*Q478)*'Settings'!$B$12)+(S478*'Settings'!$B$2)+(T478*'Settings'!$B$3)+(U478*'Settings'!$B$4)+(V478*'Settings'!$B$5)+(X478*'Settings'!$B$9)+(AA478*'Settings'!$B$6)+(W478*'Settings'!$B$8)+(AB478*'Settings'!$B$7)+(AC478*'Settings'!$B$14)+(AD478*'Settings'!$B$15)+(AE478*'Settings'!$B$16)+(AF478*'Settings'!$B$17)+(AG478*'Settings'!$B$18)+(Y478*'Settings'!$B$10)+(Z478*'Settings'!$B$11),VLOOKUP(B478,'Standard Deviations'!A1:C731,3,FALSE))</f>
        <v>200.996578477696</v>
      </c>
      <c r="J478" s="45">
        <f>IF(D478="G",I478/AJ478,I478/Q478)</f>
        <v>2.97993444740839</v>
      </c>
      <c r="K478" s="44">
        <f>IF('Settings'!$E$18="C/LW/RW",VLOOKUP(B478,'LW'!A1:F156,6,FALSE),VLOOKUP(B478,'F'!A1:F432,6,FALSE))</f>
        <v>-180.631985228660</v>
      </c>
      <c r="L478" s="44">
        <f>_xlfn.IFERROR(K478/H478,"N/A")</f>
        <v>-218.947860883224</v>
      </c>
      <c r="M478" s="46">
        <f>IF('Settings'!$E$9="YAHOO",VLOOKUP(B478,'ADP'!A1:E731,2,FALSE),IF('Settings'!$E$9="ESPN",VLOOKUP(B478,'ADP'!A1:E731,3,FALSE),IF('Settings'!$E$9="FANTRAX",VLOOKUP(B478,'ADP'!A1:E731,4,FALSE),VLOOKUP(B478,'ADP'!A1:E731,5,FALSE))))</f>
        <v>501.5</v>
      </c>
      <c r="N478" s="46">
        <f>_xlfn.IFERROR(M478-A478,"N/A")</f>
        <v>10.5</v>
      </c>
      <c r="O478" s="46"/>
      <c r="P478" t="s" s="47">
        <f>IF('Settings'!$E$27="ON",VLOOKUP(B478,'ADP'!A1:H731,8,FALSE)," ")</f>
        <v>109</v>
      </c>
      <c r="Q478" s="48">
        <f>IF('Settings'!$E$12="YES",VLOOKUP(B478,'Player Data'!A1:E734,5,FALSE),82)</f>
        <v>67.45</v>
      </c>
      <c r="R478" s="46">
        <f>VLOOKUP(B478,'Player Data'!$A1:$AE734,6,FALSE)</f>
        <v>13.4822938528963</v>
      </c>
      <c r="S478" s="48">
        <f>VLOOKUP(B478,'Player Data'!$A1:$AE734,7,FALSE)*$Q478*_xlfn.IFERROR((VLOOKUP(P478,'Settings'!$E$28:$F$33,2,FALSE)+1),1)</f>
        <v>16.6400238992912</v>
      </c>
      <c r="T478" s="48">
        <f>VLOOKUP(B478,'Player Data'!$A1:$AE734,8,FALSE)*$Q478*_xlfn.IFERROR((VLOOKUP(P478,'Settings'!$E$28:$F$33,2,FALSE)+1),1)</f>
        <v>12.912173736595</v>
      </c>
      <c r="U478" s="48">
        <f>SUM(S478:T478)</f>
        <v>29.5521976358862</v>
      </c>
      <c r="V478" s="48">
        <f>VLOOKUP(B478,'Player Data'!$A1:$AE734,10,FALSE)*$Q478*_xlfn.IFERROR(((VLOOKUP(P478,'Settings'!$E$28:$F$33,2,FALSE)/2)+1),1)</f>
        <v>122.699511591724</v>
      </c>
      <c r="W478" s="48">
        <f>VLOOKUP(B478,'Player Data'!$A1:$AE734,11,FALSE)*$Q478*_xlfn.IFERROR((VLOOKUP(P478,'Settings'!$E$28:$F$33,2,FALSE)+1),1)</f>
        <v>2.22000306187264</v>
      </c>
      <c r="X478" s="48">
        <f>VLOOKUP(B478,'Player Data'!$A1:$AE734,12,FALSE)*$Q478*_xlfn.IFERROR((VLOOKUP(P478,'Settings'!$E$28:$F$33,2,FALSE)+1),1)</f>
        <v>4.15662208544886</v>
      </c>
      <c r="Y478" s="48">
        <f>VLOOKUP(B478,'Player Data'!$A1:$AE734,13,FALSE)*$Q478</f>
        <v>0.00090616755174153</v>
      </c>
      <c r="Z478" s="48">
        <f>VLOOKUP(B478,'Player Data'!$A1:$AE734,14,FALSE)*$Q478</f>
        <v>0.00168141874007903</v>
      </c>
      <c r="AA478" s="48">
        <f>VLOOKUP(B478,'Player Data'!$A1:$AE734,15,FALSE)*$Q478</f>
        <v>31.7472468911721</v>
      </c>
      <c r="AB478" s="48">
        <f>VLOOKUP(B478,'Player Data'!$A1:$AE734,16,FALSE)*$Q478</f>
        <v>40.6128305686886</v>
      </c>
      <c r="AC478" s="48">
        <f>VLOOKUP(B478,'Player Data'!$A1:$AE734,17,FALSE)*$Q478*_xlfn.IFERROR((VLOOKUP(P478,'Settings'!$E$28:$F$33,2,FALSE)+1),1)</f>
        <v>4.27731083790872</v>
      </c>
      <c r="AD478" s="48">
        <f>VLOOKUP(B478,'Player Data'!$A1:$AE734,18,FALSE)*$Q478</f>
        <v>23.7787686199887</v>
      </c>
      <c r="AE478" s="48">
        <f>VLOOKUP(B478,'Player Data'!$A1:$AE734,19,FALSE)*$Q478*_xlfn.IFERROR((VLOOKUP(P478,'Settings'!$E$28:$F$33,2,FALSE)+1),1)</f>
        <v>2.71943392416799</v>
      </c>
      <c r="AF478" s="48">
        <f>VLOOKUP(B478,'Player Data'!$A1:$AE734,20,FALSE)*$Q478</f>
        <v>0</v>
      </c>
      <c r="AG478" s="48">
        <f>VLOOKUP(B478,'Player Data'!$A1:$AE734,21,FALSE)*$Q478</f>
        <v>3.51346870833368</v>
      </c>
      <c r="AH478" s="49">
        <f>VLOOKUP(B478,'Player Data'!$A1:$AE734,22,FALSE)</f>
        <v>0</v>
      </c>
      <c r="AI478" s="46"/>
      <c r="AJ478" s="50"/>
      <c r="AK478" s="48"/>
      <c r="AL478" s="48"/>
      <c r="AM478" s="48"/>
      <c r="AN478" s="48"/>
      <c r="AO478" s="48"/>
      <c r="AP478" s="48"/>
      <c r="AQ478" s="51"/>
      <c r="AR478" s="52"/>
      <c r="AS478" s="46"/>
    </row>
    <row r="479" ht="21.25" customHeight="1">
      <c r="A479" s="53">
        <f>RANK(K479,K2:K730)</f>
        <v>606</v>
      </c>
      <c r="B479" t="s" s="8">
        <v>631</v>
      </c>
      <c r="C479" t="s" s="39">
        <v>106</v>
      </c>
      <c r="D479" t="s" s="40">
        <f>VLOOKUP(B479,'Player Data'!A1:D734,4,FALSE)</f>
        <v>129</v>
      </c>
      <c r="E479" s="56">
        <f>VLOOKUP(B479,'D'!A1:C228,3,FALSE)</f>
        <v>204</v>
      </c>
      <c r="F479" t="s" s="42">
        <f>VLOOKUP(B479,'Player Data'!A1:B734,2,FALSE)</f>
        <v>149</v>
      </c>
      <c r="G479" s="9">
        <f>VLOOKUP(B479,'Player Data'!A1:D734,3,FALSE)</f>
        <v>22</v>
      </c>
      <c r="H479" s="43">
        <f>_xlfn.IFERROR(VLOOKUP(B479,'ADP'!A1:G731,7,FALSE)/1000000,VLOOKUP(B479,'ADP'!A1:G731,7,FALSE))</f>
        <v>0.8</v>
      </c>
      <c r="I479" s="44">
        <f>IF('Settings'!$E$15="POINTS",((R479*Q479)*'Settings'!$B$12)+(S479*'Settings'!$B$2)+(T479*'Settings'!$B$3)+(U479*'Settings'!$B$4)+(V479*'Settings'!$B$5)+(X479*'Settings'!$B$9)+(AA479*'Settings'!$B$6)+(W479*'Settings'!$B$8)+(AB479*'Settings'!$B$7)+(AC479*'Settings'!$B$14)+(AD479*'Settings'!$B$15)+(AE479*'Settings'!$B$16)+(AF479*'Settings'!$B$17)+(AG479*'Settings'!$B$18)+(U479*'Settings'!$B$13)+(Y479*'Settings'!$B$10)+(Z479*'Settings'!$B$11),VLOOKUP(B479,'Standard Deviations'!A1:C731,3,FALSE))</f>
        <v>122.124997915946</v>
      </c>
      <c r="J479" s="45">
        <f>IF(D479="G",I479/AJ479,I479/Q479)</f>
        <v>2.21823627129136</v>
      </c>
      <c r="K479" s="44">
        <f>VLOOKUP(B479,'D'!A1:F228,6,FALSE)</f>
        <v>-218.610140730577</v>
      </c>
      <c r="L479" s="44">
        <f>_xlfn.IFERROR(K479/H479,"N/A")</f>
        <v>-273.262675913221</v>
      </c>
      <c r="M479" t="s" s="61">
        <f>IF('Settings'!$E$9="YAHOO",VLOOKUP(B479,'ADP'!A1:E731,2,FALSE),IF('Settings'!$E$9="ESPN",VLOOKUP(B479,'ADP'!A1:E731,3,FALSE),IF('Settings'!$E$9="FANTRAX",VLOOKUP(B479,'ADP'!A1:E731,4,FALSE),VLOOKUP(B479,'ADP'!A1:E731,5,FALSE))))</f>
        <v>329</v>
      </c>
      <c r="N479" t="s" s="61">
        <f>_xlfn.IFERROR(M479-A479,"N/A")</f>
        <v>158</v>
      </c>
      <c r="O479" s="46"/>
      <c r="P479" t="s" s="47">
        <f>IF('Settings'!$E$27="ON",VLOOKUP(B479,'ADP'!A1:H731,8,FALSE)," ")</f>
        <v>109</v>
      </c>
      <c r="Q479" s="48">
        <f>IF('Settings'!$E$12="YES",VLOOKUP(B479,'Player Data'!A1:E734,5,FALSE),82)</f>
        <v>55.055</v>
      </c>
      <c r="R479" s="46">
        <f>VLOOKUP(B479,'Player Data'!$A1:$AE734,6,FALSE)</f>
        <v>14.4955031132376</v>
      </c>
      <c r="S479" s="48">
        <f>VLOOKUP(B479,'Player Data'!$A1:$AE734,7,FALSE)*$Q479*_xlfn.IFERROR((VLOOKUP(P479,'Settings'!$E$28:$F$33,2,FALSE)+1),1)</f>
        <v>4.12434430527823</v>
      </c>
      <c r="T479" s="48">
        <f>VLOOKUP(B479,'Player Data'!$A1:$AE734,8,FALSE)*$Q479*_xlfn.IFERROR((VLOOKUP(P479,'Settings'!$E$28:$F$33,2,FALSE)+1),1)</f>
        <v>8.982462721540729</v>
      </c>
      <c r="U479" s="48">
        <f>SUM(S479:T479)</f>
        <v>13.106807026819</v>
      </c>
      <c r="V479" s="48">
        <f>VLOOKUP(B479,'Player Data'!$A1:$AE734,10,FALSE)*$Q479*_xlfn.IFERROR(((VLOOKUP(P479,'Settings'!$E$28:$F$33,2,FALSE)/2)+1),1)</f>
        <v>62.2188170120458</v>
      </c>
      <c r="W479" s="48">
        <f>VLOOKUP(B479,'Player Data'!$A1:$AE734,11,FALSE)*$Q479*_xlfn.IFERROR((VLOOKUP(P479,'Settings'!$E$28:$F$33,2,FALSE)+1),1)</f>
        <v>0.709326511864127</v>
      </c>
      <c r="X479" s="48">
        <f>VLOOKUP(B479,'Player Data'!$A1:$AE734,12,FALSE)*$Q479*_xlfn.IFERROR((VLOOKUP(P479,'Settings'!$E$28:$F$33,2,FALSE)+1),1)</f>
        <v>3.87069101923929</v>
      </c>
      <c r="Y479" s="48">
        <f>VLOOKUP(B479,'Player Data'!$A1:$AE734,13,FALSE)*$Q479</f>
        <v>0.00169892261408449</v>
      </c>
      <c r="Z479" s="48">
        <f>VLOOKUP(B479,'Player Data'!$A1:$AE734,14,FALSE)*$Q479</f>
        <v>0.00638089878902165</v>
      </c>
      <c r="AA479" s="48">
        <f>VLOOKUP(B479,'Player Data'!$A1:$AE734,15,FALSE)*$Q479</f>
        <v>53.4076589364004</v>
      </c>
      <c r="AB479" s="48">
        <f>VLOOKUP(B479,'Player Data'!$A1:$AE734,16,FALSE)*$Q479</f>
        <v>75.1682424230824</v>
      </c>
      <c r="AC479" s="48">
        <f>VLOOKUP(B479,'Player Data'!$A1:$AE734,17,FALSE)*$Q479*_xlfn.IFERROR((VLOOKUP(P479,'Settings'!$E$28:$F$33,2,FALSE)+1),1)</f>
        <v>0.517768068593549</v>
      </c>
      <c r="AD479" s="48">
        <f>VLOOKUP(B479,'Player Data'!$A1:$AE734,18,FALSE)*$Q479</f>
        <v>15.9860448002343</v>
      </c>
      <c r="AE479" s="48">
        <f>VLOOKUP(B479,'Player Data'!$A1:$AE734,19,FALSE)*$Q479*_xlfn.IFERROR((VLOOKUP(P479,'Settings'!$E$28:$F$33,2,FALSE)+1),1)</f>
        <v>0.637301342371921</v>
      </c>
      <c r="AF479" s="48">
        <f>VLOOKUP(B479,'Player Data'!$A1:$AE734,20,FALSE)*$Q479</f>
        <v>0</v>
      </c>
      <c r="AG479" s="48">
        <f>VLOOKUP(B479,'Player Data'!$A1:$AE734,21,FALSE)*$Q479</f>
        <v>0</v>
      </c>
      <c r="AH479" s="49">
        <f>VLOOKUP(B479,'Player Data'!$A1:$AE734,22,FALSE)</f>
        <v>0</v>
      </c>
      <c r="AI479" s="46"/>
      <c r="AJ479" s="50"/>
      <c r="AK479" s="48"/>
      <c r="AL479" s="48"/>
      <c r="AM479" s="48"/>
      <c r="AN479" s="48"/>
      <c r="AO479" s="48"/>
      <c r="AP479" s="48"/>
      <c r="AQ479" s="51"/>
      <c r="AR479" s="52"/>
      <c r="AS479" s="46"/>
    </row>
    <row r="480" ht="21.25" customHeight="1">
      <c r="A480" s="53">
        <f>RANK(K480,K2:K730)</f>
        <v>546</v>
      </c>
      <c r="B480" t="s" s="8">
        <v>632</v>
      </c>
      <c r="C480" t="s" s="39">
        <v>106</v>
      </c>
      <c r="D480" t="s" s="40">
        <f>VLOOKUP(B480,'Player Data'!A1:D734,4,FALSE)</f>
        <v>133</v>
      </c>
      <c r="E480" s="57">
        <f>VLOOKUP(B480,'LW'!A1:C156,3,FALSE)</f>
        <v>113</v>
      </c>
      <c r="F480" t="s" s="42">
        <f>VLOOKUP(B480,'Player Data'!A1:B734,2,FALSE)</f>
        <v>196</v>
      </c>
      <c r="G480" s="9">
        <f>VLOOKUP(B480,'Player Data'!A1:D734,3,FALSE)</f>
        <v>20</v>
      </c>
      <c r="H480" s="43">
        <f>_xlfn.IFERROR(VLOOKUP(B480,'ADP'!A1:G731,7,FALSE)/1000000,VLOOKUP(B480,'ADP'!A1:G731,7,FALSE))</f>
        <v>0.894167</v>
      </c>
      <c r="I480" s="44">
        <f>IF('Settings'!$E$15="POINTS",((R480*Q480)*'Settings'!$B$12)+(S480*'Settings'!$B$2)+(T480*'Settings'!$B$3)+(U480*'Settings'!$B$4)+(V480*'Settings'!$B$5)+(X480*'Settings'!$B$9)+(AA480*'Settings'!$B$6)+(W480*'Settings'!$B$8)+(AB480*'Settings'!$B$7)+(AC480*'Settings'!$B$14)+(AD480*'Settings'!$B$15)+(AE480*'Settings'!$B$16)+(AF480*'Settings'!$B$17)+(AG480*'Settings'!$B$18)+(Y480*'Settings'!$B$10)+(Z480*'Settings'!$B$11),VLOOKUP(B480,'Standard Deviations'!A1:C731,3,FALSE))</f>
        <v>183.163777031410</v>
      </c>
      <c r="J480" s="45">
        <f>IF(D480="G",I480/AJ480,I480/Q480)</f>
        <v>2.96885934081222</v>
      </c>
      <c r="K480" s="44">
        <f>IF('Settings'!$E$18="C/LW/RW",VLOOKUP(B480,'LW'!A1:F156,6,FALSE),VLOOKUP(B480,'F'!A1:F432,6,FALSE))</f>
        <v>-198.464786674946</v>
      </c>
      <c r="L480" s="44">
        <f>_xlfn.IFERROR(K480/H480,"N/A")</f>
        <v>-221.954944294462</v>
      </c>
      <c r="M480" s="46">
        <f>IF('Settings'!$E$9="YAHOO",VLOOKUP(B480,'ADP'!A1:E731,2,FALSE),IF('Settings'!$E$9="ESPN",VLOOKUP(B480,'ADP'!A1:E731,3,FALSE),IF('Settings'!$E$9="FANTRAX",VLOOKUP(B480,'ADP'!A1:E731,4,FALSE),VLOOKUP(B480,'ADP'!A1:E731,5,FALSE))))</f>
        <v>484.5</v>
      </c>
      <c r="N480" s="46">
        <f>_xlfn.IFERROR(M480-A480,"N/A")</f>
        <v>-61.5</v>
      </c>
      <c r="O480" s="46"/>
      <c r="P480" t="s" s="47">
        <f>IF('Settings'!$E$27="ON",VLOOKUP(B480,'ADP'!A1:H731,8,FALSE)," ")</f>
        <v>109</v>
      </c>
      <c r="Q480" s="48">
        <f>IF('Settings'!$E$12="YES",VLOOKUP(B480,'Player Data'!A1:E734,5,FALSE),82)</f>
        <v>61.695</v>
      </c>
      <c r="R480" s="46">
        <f>VLOOKUP(B480,'Player Data'!$A1:$AE734,6,FALSE)</f>
        <v>14.0259485103916</v>
      </c>
      <c r="S480" s="48">
        <f>VLOOKUP(B480,'Player Data'!$A1:$AE734,7,FALSE)*$Q480*_xlfn.IFERROR((VLOOKUP(P480,'Settings'!$E$28:$F$33,2,FALSE)+1),1)</f>
        <v>12.1071881562774</v>
      </c>
      <c r="T480" s="48">
        <f>VLOOKUP(B480,'Player Data'!$A1:$AE734,8,FALSE)*$Q480*_xlfn.IFERROR((VLOOKUP(P480,'Settings'!$E$28:$F$33,2,FALSE)+1),1)</f>
        <v>17.9877023582309</v>
      </c>
      <c r="U480" s="48">
        <f>SUM(S480:T480)</f>
        <v>30.0948905145083</v>
      </c>
      <c r="V480" s="48">
        <f>VLOOKUP(B480,'Player Data'!$A1:$AE734,10,FALSE)*$Q480*_xlfn.IFERROR(((VLOOKUP(P480,'Settings'!$E$28:$F$33,2,FALSE)/2)+1),1)</f>
        <v>99.54948529085399</v>
      </c>
      <c r="W480" s="48">
        <f>VLOOKUP(B480,'Player Data'!$A1:$AE734,11,FALSE)*$Q480*_xlfn.IFERROR((VLOOKUP(P480,'Settings'!$E$28:$F$33,2,FALSE)+1),1)</f>
        <v>5.40982047115483</v>
      </c>
      <c r="X480" s="48">
        <f>VLOOKUP(B480,'Player Data'!$A1:$AE734,12,FALSE)*$Q480*_xlfn.IFERROR((VLOOKUP(P480,'Settings'!$E$28:$F$33,2,FALSE)+1),1)</f>
        <v>9.484945029205869</v>
      </c>
      <c r="Y480" s="48">
        <f>VLOOKUP(B480,'Player Data'!$A1:$AE734,13,FALSE)*$Q480</f>
        <v>0.0279869745455697</v>
      </c>
      <c r="Z480" s="48">
        <f>VLOOKUP(B480,'Player Data'!$A1:$AE734,14,FALSE)*$Q480</f>
        <v>0.050777813671526</v>
      </c>
      <c r="AA480" s="48">
        <f>VLOOKUP(B480,'Player Data'!$A1:$AE734,15,FALSE)*$Q480</f>
        <v>23.4714626627712</v>
      </c>
      <c r="AB480" s="48">
        <f>VLOOKUP(B480,'Player Data'!$A1:$AE734,16,FALSE)*$Q480</f>
        <v>52.4251745972551</v>
      </c>
      <c r="AC480" s="48">
        <f>VLOOKUP(B480,'Player Data'!$A1:$AE734,17,FALSE)*$Q480*_xlfn.IFERROR((VLOOKUP(P480,'Settings'!$E$28:$F$33,2,FALSE)+1),1)</f>
        <v>-3.2635393625455</v>
      </c>
      <c r="AD480" s="48">
        <f>VLOOKUP(B480,'Player Data'!$A1:$AE734,18,FALSE)*$Q480</f>
        <v>21.0391251427051</v>
      </c>
      <c r="AE480" s="48">
        <f>VLOOKUP(B480,'Player Data'!$A1:$AE734,19,FALSE)*$Q480*_xlfn.IFERROR((VLOOKUP(P480,'Settings'!$E$28:$F$33,2,FALSE)+1),1)</f>
        <v>1.52788595539437</v>
      </c>
      <c r="AF480" s="48">
        <f>VLOOKUP(B480,'Player Data'!$A1:$AE734,20,FALSE)*$Q480</f>
        <v>3.99968057937882</v>
      </c>
      <c r="AG480" s="48">
        <f>VLOOKUP(B480,'Player Data'!$A1:$AE734,21,FALSE)*$Q480</f>
        <v>3.99968057937882</v>
      </c>
      <c r="AH480" s="49">
        <f>VLOOKUP(B480,'Player Data'!$A1:$AE734,22,FALSE)</f>
        <v>0.5</v>
      </c>
      <c r="AI480" s="46"/>
      <c r="AJ480" s="50"/>
      <c r="AK480" s="48"/>
      <c r="AL480" s="48"/>
      <c r="AM480" s="48"/>
      <c r="AN480" s="48"/>
      <c r="AO480" s="48"/>
      <c r="AP480" s="48"/>
      <c r="AQ480" s="51"/>
      <c r="AR480" s="52"/>
      <c r="AS480" s="46"/>
    </row>
    <row r="481" ht="21.25" customHeight="1">
      <c r="A481" s="53">
        <f>RANK(K481,K2:K730)</f>
        <v>618</v>
      </c>
      <c r="B481" t="s" s="8">
        <v>633</v>
      </c>
      <c r="C481" t="s" s="39">
        <v>106</v>
      </c>
      <c r="D481" t="s" s="40">
        <f>VLOOKUP(B481,'Player Data'!A1:D734,4,FALSE)</f>
        <v>129</v>
      </c>
      <c r="E481" s="56">
        <f>VLOOKUP(B481,'D'!A1:C228,3,FALSE)</f>
        <v>207</v>
      </c>
      <c r="F481" t="s" s="42">
        <f>VLOOKUP(B481,'Player Data'!A1:B734,2,FALSE)</f>
        <v>115</v>
      </c>
      <c r="G481" s="9">
        <f>VLOOKUP(B481,'Player Data'!A1:D734,3,FALSE)</f>
        <v>24</v>
      </c>
      <c r="H481" s="43">
        <f>_xlfn.IFERROR(VLOOKUP(B481,'ADP'!A1:G731,7,FALSE)/1000000,VLOOKUP(B481,'ADP'!A1:G731,7,FALSE))</f>
        <v>1.1</v>
      </c>
      <c r="I481" s="44">
        <f>IF('Settings'!$E$15="POINTS",((R481*Q481)*'Settings'!$B$12)+(S481*'Settings'!$B$2)+(T481*'Settings'!$B$3)+(U481*'Settings'!$B$4)+(V481*'Settings'!$B$5)+(X481*'Settings'!$B$9)+(AA481*'Settings'!$B$6)+(W481*'Settings'!$B$8)+(AB481*'Settings'!$B$7)+(AC481*'Settings'!$B$14)+(AD481*'Settings'!$B$15)+(AE481*'Settings'!$B$16)+(AF481*'Settings'!$B$17)+(AG481*'Settings'!$B$18)+(U481*'Settings'!$B$13)+(Y481*'Settings'!$B$10)+(Z481*'Settings'!$B$11),VLOOKUP(B481,'Standard Deviations'!A1:C731,3,FALSE))</f>
        <v>118.211515713560</v>
      </c>
      <c r="J481" s="45">
        <f>IF(D481="G",I481/AJ481,I481/Q481)</f>
        <v>2.3642303142712</v>
      </c>
      <c r="K481" s="44">
        <f>VLOOKUP(B481,'D'!A1:F228,6,FALSE)</f>
        <v>-222.523622932963</v>
      </c>
      <c r="L481" s="44">
        <f>_xlfn.IFERROR(K481/H481,"N/A")</f>
        <v>-202.294202666330</v>
      </c>
      <c r="M481" t="s" s="61">
        <f>IF('Settings'!$E$9="YAHOO",VLOOKUP(B481,'ADP'!A1:E731,2,FALSE),IF('Settings'!$E$9="ESPN",VLOOKUP(B481,'ADP'!A1:E731,3,FALSE),IF('Settings'!$E$9="FANTRAX",VLOOKUP(B481,'ADP'!A1:E731,4,FALSE),VLOOKUP(B481,'ADP'!A1:E731,5,FALSE))))</f>
        <v>329</v>
      </c>
      <c r="N481" t="s" s="61">
        <f>_xlfn.IFERROR(M481-A481,"N/A")</f>
        <v>158</v>
      </c>
      <c r="O481" s="46"/>
      <c r="P481" t="s" s="47">
        <f>IF('Settings'!$E$27="ON",VLOOKUP(B481,'ADP'!A1:H731,8,FALSE)," ")</f>
        <v>109</v>
      </c>
      <c r="Q481" s="48">
        <f>IF('Settings'!$E$12="YES",VLOOKUP(B481,'Player Data'!A1:E734,5,FALSE),82)</f>
        <v>50</v>
      </c>
      <c r="R481" s="46">
        <f>VLOOKUP(B481,'Player Data'!$A1:$AE734,6,FALSE)</f>
        <v>16.4168791263522</v>
      </c>
      <c r="S481" s="48">
        <f>VLOOKUP(B481,'Player Data'!$A1:$AE734,7,FALSE)*$Q481*_xlfn.IFERROR((VLOOKUP(P481,'Settings'!$E$28:$F$33,2,FALSE)+1),1)</f>
        <v>2.74844275404249</v>
      </c>
      <c r="T481" s="48">
        <f>VLOOKUP(B481,'Player Data'!$A1:$AE734,8,FALSE)*$Q481*_xlfn.IFERROR((VLOOKUP(P481,'Settings'!$E$28:$F$33,2,FALSE)+1),1)</f>
        <v>14.184248271840</v>
      </c>
      <c r="U481" s="48">
        <f>SUM(S481:T481)</f>
        <v>16.9326910258825</v>
      </c>
      <c r="V481" s="48">
        <f>VLOOKUP(B481,'Player Data'!$A1:$AE734,10,FALSE)*$Q481*_xlfn.IFERROR(((VLOOKUP(P481,'Settings'!$E$28:$F$33,2,FALSE)/2)+1),1)</f>
        <v>47.8871863948404</v>
      </c>
      <c r="W481" s="48">
        <f>VLOOKUP(B481,'Player Data'!$A1:$AE734,11,FALSE)*$Q481*_xlfn.IFERROR((VLOOKUP(P481,'Settings'!$E$28:$F$33,2,FALSE)+1),1)</f>
        <v>0.09780937379969799</v>
      </c>
      <c r="X481" s="48">
        <f>VLOOKUP(B481,'Player Data'!$A1:$AE734,12,FALSE)*$Q481*_xlfn.IFERROR((VLOOKUP(P481,'Settings'!$E$28:$F$33,2,FALSE)+1),1)</f>
        <v>1.95224978580848</v>
      </c>
      <c r="Y481" s="48">
        <f>VLOOKUP(B481,'Player Data'!$A1:$AE734,13,FALSE)*$Q481</f>
        <v>0.00404211401985367</v>
      </c>
      <c r="Z481" s="48">
        <f>VLOOKUP(B481,'Player Data'!$A1:$AE734,14,FALSE)*$Q481</f>
        <v>0.0148535922091236</v>
      </c>
      <c r="AA481" s="48">
        <f>VLOOKUP(B481,'Player Data'!$A1:$AE734,15,FALSE)*$Q481</f>
        <v>49.7868256080399</v>
      </c>
      <c r="AB481" s="48">
        <f>VLOOKUP(B481,'Player Data'!$A1:$AE734,16,FALSE)*$Q481</f>
        <v>57.696261275963</v>
      </c>
      <c r="AC481" s="48">
        <f>VLOOKUP(B481,'Player Data'!$A1:$AE734,17,FALSE)*$Q481*_xlfn.IFERROR((VLOOKUP(P481,'Settings'!$E$28:$F$33,2,FALSE)+1),1)</f>
        <v>2.63869137637351</v>
      </c>
      <c r="AD481" s="48">
        <f>VLOOKUP(B481,'Player Data'!$A1:$AE734,18,FALSE)*$Q481</f>
        <v>17.0550141766581</v>
      </c>
      <c r="AE481" s="48">
        <f>VLOOKUP(B481,'Player Data'!$A1:$AE734,19,FALSE)*$Q481*_xlfn.IFERROR((VLOOKUP(P481,'Settings'!$E$28:$F$33,2,FALSE)+1),1)</f>
        <v>0.441536597911915</v>
      </c>
      <c r="AF481" s="48">
        <f>VLOOKUP(B481,'Player Data'!$A1:$AE734,20,FALSE)*$Q481</f>
        <v>0</v>
      </c>
      <c r="AG481" s="48">
        <f>VLOOKUP(B481,'Player Data'!$A1:$AE734,21,FALSE)*$Q481</f>
        <v>0</v>
      </c>
      <c r="AH481" s="49">
        <f>VLOOKUP(B481,'Player Data'!$A1:$AE734,22,FALSE)</f>
        <v>0</v>
      </c>
      <c r="AI481" s="46"/>
      <c r="AJ481" s="50"/>
      <c r="AK481" s="48"/>
      <c r="AL481" s="48"/>
      <c r="AM481" s="48"/>
      <c r="AN481" s="48"/>
      <c r="AO481" s="48"/>
      <c r="AP481" s="48"/>
      <c r="AQ481" s="51"/>
      <c r="AR481" s="52"/>
      <c r="AS481" s="46"/>
    </row>
    <row r="482" ht="21.25" customHeight="1">
      <c r="A482" s="53">
        <f>RANK(K482,K2:K730)</f>
        <v>510</v>
      </c>
      <c r="B482" t="s" s="8">
        <v>634</v>
      </c>
      <c r="C482" t="s" s="39">
        <v>106</v>
      </c>
      <c r="D482" t="s" s="40">
        <f>VLOOKUP(B482,'Player Data'!A1:D734,4,FALSE)</f>
        <v>107</v>
      </c>
      <c r="E482" s="41">
        <f>VLOOKUP(B482,'C'!A1:C218,3,FALSE)</f>
        <v>132</v>
      </c>
      <c r="F482" t="s" s="42">
        <f>VLOOKUP(B482,'Player Data'!A1:B734,2,FALSE)</f>
        <v>258</v>
      </c>
      <c r="G482" s="9">
        <f>VLOOKUP(B482,'Player Data'!A1:D734,3,FALSE)</f>
        <v>27</v>
      </c>
      <c r="H482" s="43">
        <f>_xlfn.IFERROR(VLOOKUP(B482,'ADP'!A1:G731,7,FALSE)/1000000,VLOOKUP(B482,'ADP'!A1:G731,7,FALSE))</f>
        <v>4.45</v>
      </c>
      <c r="I482" s="44">
        <f>IF('Settings'!$E$15="POINTS",((R482*Q482)*'Settings'!$B$12)+(S482*'Settings'!$B$2)+(T482*'Settings'!$B$3)+(U482*'Settings'!$B$4)+(V482*'Settings'!$B$5)+(X482*'Settings'!$B$9)+(AA482*'Settings'!$B$6)+(W482*'Settings'!$B$8)+(AB482*'Settings'!$B$7)+(AC482*'Settings'!$B$14)+(AD482*'Settings'!$B$15)+(AE482*'Settings'!$B$16)+(AF482*'Settings'!$B$17)+(AG482*'Settings'!$B$18)+(Y482*'Settings'!$B$10)+(Z482*'Settings'!$B$11),VLOOKUP(B482,'Standard Deviations'!A1:C731,3,FALSE))</f>
        <v>210.715851771968</v>
      </c>
      <c r="J482" s="45">
        <f>IF(D482="G",I482/AJ482,I482/Q482)</f>
        <v>2.79983858320446</v>
      </c>
      <c r="K482" s="44">
        <f>IF('Settings'!$E$18="C/LW/RW",VLOOKUP(B482,'C'!A1:F218,6,FALSE),VLOOKUP(B482,'F'!A1:F432,6,FALSE))</f>
        <v>-185.058349864047</v>
      </c>
      <c r="L482" s="44">
        <f>_xlfn.IFERROR(K482/H482,"N/A")</f>
        <v>-41.5861460368645</v>
      </c>
      <c r="M482" t="s" s="61">
        <f>IF('Settings'!$E$9="YAHOO",VLOOKUP(B482,'ADP'!A1:E731,2,FALSE),IF('Settings'!$E$9="ESPN",VLOOKUP(B482,'ADP'!A1:E731,3,FALSE),IF('Settings'!$E$9="FANTRAX",VLOOKUP(B482,'ADP'!A1:E731,4,FALSE),VLOOKUP(B482,'ADP'!A1:E731,5,FALSE))))</f>
        <v>329</v>
      </c>
      <c r="N482" t="s" s="61">
        <f>_xlfn.IFERROR(M482-A482,"N/A")</f>
        <v>158</v>
      </c>
      <c r="O482" s="46"/>
      <c r="P482" t="s" s="47">
        <f>IF('Settings'!$E$27="ON",VLOOKUP(B482,'ADP'!A1:H731,8,FALSE)," ")</f>
        <v>109</v>
      </c>
      <c r="Q482" s="48">
        <f>IF('Settings'!$E$12="YES",VLOOKUP(B482,'Player Data'!A1:E734,5,FALSE),82)</f>
        <v>75.26000000000001</v>
      </c>
      <c r="R482" s="46">
        <f>VLOOKUP(B482,'Player Data'!$A1:$AE734,6,FALSE)</f>
        <v>15.5573909713075</v>
      </c>
      <c r="S482" s="48">
        <f>VLOOKUP(B482,'Player Data'!$A1:$AE734,7,FALSE)*$Q482*_xlfn.IFERROR((VLOOKUP(P482,'Settings'!$E$28:$F$33,2,FALSE)+1),1)</f>
        <v>12.8875996917303</v>
      </c>
      <c r="T482" s="48">
        <f>VLOOKUP(B482,'Player Data'!$A1:$AE734,8,FALSE)*$Q482*_xlfn.IFERROR((VLOOKUP(P482,'Settings'!$E$28:$F$33,2,FALSE)+1),1)</f>
        <v>20.2017908026908</v>
      </c>
      <c r="U482" s="48">
        <f>SUM(S482:T482)</f>
        <v>33.0893904944211</v>
      </c>
      <c r="V482" s="48">
        <f>VLOOKUP(B482,'Player Data'!$A1:$AE734,10,FALSE)*$Q482*_xlfn.IFERROR(((VLOOKUP(P482,'Settings'!$E$28:$F$33,2,FALSE)/2)+1),1)</f>
        <v>98.4287221394752</v>
      </c>
      <c r="W482" s="48">
        <f>VLOOKUP(B482,'Player Data'!$A1:$AE734,11,FALSE)*$Q482*_xlfn.IFERROR((VLOOKUP(P482,'Settings'!$E$28:$F$33,2,FALSE)+1),1)</f>
        <v>1.15438360556131</v>
      </c>
      <c r="X482" s="48">
        <f>VLOOKUP(B482,'Player Data'!$A1:$AE734,12,FALSE)*$Q482*_xlfn.IFERROR((VLOOKUP(P482,'Settings'!$E$28:$F$33,2,FALSE)+1),1)</f>
        <v>3.1974110700059</v>
      </c>
      <c r="Y482" s="48">
        <f>VLOOKUP(B482,'Player Data'!$A1:$AE734,13,FALSE)*$Q482</f>
        <v>0.67048062930219</v>
      </c>
      <c r="Z482" s="48">
        <f>VLOOKUP(B482,'Player Data'!$A1:$AE734,14,FALSE)*$Q482</f>
        <v>0.774357112580858</v>
      </c>
      <c r="AA482" s="48">
        <f>VLOOKUP(B482,'Player Data'!$A1:$AE734,15,FALSE)*$Q482</f>
        <v>66.7095111937692</v>
      </c>
      <c r="AB482" s="48">
        <f>VLOOKUP(B482,'Player Data'!$A1:$AE734,16,FALSE)*$Q482</f>
        <v>31.9937994373005</v>
      </c>
      <c r="AC482" s="48">
        <f>VLOOKUP(B482,'Player Data'!$A1:$AE734,17,FALSE)*$Q482*_xlfn.IFERROR((VLOOKUP(P482,'Settings'!$E$28:$F$33,2,FALSE)+1),1)</f>
        <v>-8.155916274610799</v>
      </c>
      <c r="AD482" s="48">
        <f>VLOOKUP(B482,'Player Data'!$A1:$AE734,18,FALSE)*$Q482</f>
        <v>14.8029673422243</v>
      </c>
      <c r="AE482" s="48">
        <f>VLOOKUP(B482,'Player Data'!$A1:$AE734,19,FALSE)*$Q482*_xlfn.IFERROR((VLOOKUP(P482,'Settings'!$E$28:$F$33,2,FALSE)+1),1)</f>
        <v>1.32023296432462</v>
      </c>
      <c r="AF482" s="48">
        <f>VLOOKUP(B482,'Player Data'!$A1:$AE734,20,FALSE)*$Q482</f>
        <v>560.918304831779</v>
      </c>
      <c r="AG482" s="48">
        <f>VLOOKUP(B482,'Player Data'!$A1:$AE734,21,FALSE)*$Q482</f>
        <v>486.802693239064</v>
      </c>
      <c r="AH482" s="49">
        <f>VLOOKUP(B482,'Player Data'!$A1:$AE734,22,FALSE)</f>
        <v>0.535369918007362</v>
      </c>
      <c r="AI482" s="46"/>
      <c r="AJ482" s="50"/>
      <c r="AK482" s="48"/>
      <c r="AL482" s="48"/>
      <c r="AM482" s="48"/>
      <c r="AN482" s="48"/>
      <c r="AO482" s="48"/>
      <c r="AP482" s="48"/>
      <c r="AQ482" s="51"/>
      <c r="AR482" s="52"/>
      <c r="AS482" s="46"/>
    </row>
    <row r="483" ht="21.25" customHeight="1">
      <c r="A483" s="53">
        <f>RANK(K483,K2:K730)</f>
        <v>409</v>
      </c>
      <c r="B483" t="s" s="8">
        <v>635</v>
      </c>
      <c r="C483" t="s" s="39">
        <v>106</v>
      </c>
      <c r="D483" t="s" s="40">
        <f>VLOOKUP(B483,'Player Data'!A1:D734,4,FALSE)</f>
        <v>107</v>
      </c>
      <c r="E483" s="41">
        <f>VLOOKUP(B483,'C'!A1:C218,3,FALSE)</f>
        <v>102</v>
      </c>
      <c r="F483" t="s" s="42">
        <f>VLOOKUP(B483,'Player Data'!A1:B734,2,FALSE)</f>
        <v>184</v>
      </c>
      <c r="G483" s="9">
        <f>VLOOKUP(B483,'Player Data'!A1:D734,3,FALSE)</f>
        <v>24</v>
      </c>
      <c r="H483" s="43">
        <f>_xlfn.IFERROR(VLOOKUP(B483,'ADP'!A1:G731,7,FALSE)/1000000,VLOOKUP(B483,'ADP'!A1:G731,7,FALSE))</f>
        <v>1.46</v>
      </c>
      <c r="I483" s="44">
        <f>IF('Settings'!$E$15="POINTS",((R483*Q483)*'Settings'!$B$12)+(S483*'Settings'!$B$2)+(T483*'Settings'!$B$3)+(U483*'Settings'!$B$4)+(V483*'Settings'!$B$5)+(X483*'Settings'!$B$9)+(AA483*'Settings'!$B$6)+(W483*'Settings'!$B$8)+(AB483*'Settings'!$B$7)+(AC483*'Settings'!$B$14)+(AD483*'Settings'!$B$15)+(AE483*'Settings'!$B$16)+(AF483*'Settings'!$B$17)+(AG483*'Settings'!$B$18)+(Y483*'Settings'!$B$10)+(Z483*'Settings'!$B$11),VLOOKUP(B483,'Standard Deviations'!A1:C731,3,FALSE))</f>
        <v>241.978341733578</v>
      </c>
      <c r="J483" s="45">
        <f>IF(D483="G",I483/AJ483,I483/Q483)</f>
        <v>3.2351281411342</v>
      </c>
      <c r="K483" s="44">
        <f>IF('Settings'!$E$18="C/LW/RW",VLOOKUP(B483,'C'!A1:F218,6,FALSE),VLOOKUP(B483,'F'!A1:F432,6,FALSE))</f>
        <v>-153.795859902437</v>
      </c>
      <c r="L483" s="44">
        <f>_xlfn.IFERROR(K483/H483,"N/A")</f>
        <v>-105.339630070162</v>
      </c>
      <c r="M483" t="s" s="61">
        <f>IF('Settings'!$E$9="YAHOO",VLOOKUP(B483,'ADP'!A1:E731,2,FALSE),IF('Settings'!$E$9="ESPN",VLOOKUP(B483,'ADP'!A1:E731,3,FALSE),IF('Settings'!$E$9="FANTRAX",VLOOKUP(B483,'ADP'!A1:E731,4,FALSE),VLOOKUP(B483,'ADP'!A1:E731,5,FALSE))))</f>
        <v>329</v>
      </c>
      <c r="N483" t="s" s="61">
        <f>_xlfn.IFERROR(M483-A483,"N/A")</f>
        <v>158</v>
      </c>
      <c r="O483" s="46"/>
      <c r="P483" t="s" s="47">
        <f>IF('Settings'!$E$27="ON",VLOOKUP(B483,'ADP'!A1:H731,8,FALSE)," ")</f>
        <v>109</v>
      </c>
      <c r="Q483" s="48">
        <f>IF('Settings'!$E$12="YES",VLOOKUP(B483,'Player Data'!A1:E734,5,FALSE),82)</f>
        <v>74.7971428571429</v>
      </c>
      <c r="R483" s="46">
        <f>VLOOKUP(B483,'Player Data'!$A1:$AE734,6,FALSE)</f>
        <v>14.8967493167466</v>
      </c>
      <c r="S483" s="48">
        <f>VLOOKUP(B483,'Player Data'!$A1:$AE734,7,FALSE)*$Q483*_xlfn.IFERROR((VLOOKUP(P483,'Settings'!$E$28:$F$33,2,FALSE)+1),1)</f>
        <v>14.0024627223087</v>
      </c>
      <c r="T483" s="48">
        <f>VLOOKUP(B483,'Player Data'!$A1:$AE734,8,FALSE)*$Q483*_xlfn.IFERROR((VLOOKUP(P483,'Settings'!$E$28:$F$33,2,FALSE)+1),1)</f>
        <v>18.2138806008566</v>
      </c>
      <c r="U483" s="48">
        <f>SUM(S483:T483)</f>
        <v>32.2163433231653</v>
      </c>
      <c r="V483" s="48">
        <f>VLOOKUP(B483,'Player Data'!$A1:$AE734,10,FALSE)*$Q483*_xlfn.IFERROR(((VLOOKUP(P483,'Settings'!$E$28:$F$33,2,FALSE)/2)+1),1)</f>
        <v>115.887958764285</v>
      </c>
      <c r="W483" s="48">
        <f>VLOOKUP(B483,'Player Data'!$A1:$AE734,11,FALSE)*$Q483*_xlfn.IFERROR((VLOOKUP(P483,'Settings'!$E$28:$F$33,2,FALSE)+1),1)</f>
        <v>0.124014119212559</v>
      </c>
      <c r="X483" s="48">
        <f>VLOOKUP(B483,'Player Data'!$A1:$AE734,12,FALSE)*$Q483*_xlfn.IFERROR((VLOOKUP(P483,'Settings'!$E$28:$F$33,2,FALSE)+1),1)</f>
        <v>0.678882276709299</v>
      </c>
      <c r="Y483" s="48">
        <f>VLOOKUP(B483,'Player Data'!$A1:$AE734,13,FALSE)*$Q483</f>
        <v>0.180461812686636</v>
      </c>
      <c r="Z483" s="48">
        <f>VLOOKUP(B483,'Player Data'!$A1:$AE734,14,FALSE)*$Q483</f>
        <v>0.306488093235707</v>
      </c>
      <c r="AA483" s="48">
        <f>VLOOKUP(B483,'Player Data'!$A1:$AE734,15,FALSE)*$Q483</f>
        <v>61.2028453658505</v>
      </c>
      <c r="AB483" s="48">
        <f>VLOOKUP(B483,'Player Data'!$A1:$AE734,16,FALSE)*$Q483</f>
        <v>140.668957716319</v>
      </c>
      <c r="AC483" s="48">
        <f>VLOOKUP(B483,'Player Data'!$A1:$AE734,17,FALSE)*$Q483*_xlfn.IFERROR((VLOOKUP(P483,'Settings'!$E$28:$F$33,2,FALSE)+1),1)</f>
        <v>-2.69755522061912</v>
      </c>
      <c r="AD483" s="48">
        <f>VLOOKUP(B483,'Player Data'!$A1:$AE734,18,FALSE)*$Q483</f>
        <v>48.5489124510845</v>
      </c>
      <c r="AE483" s="48">
        <f>VLOOKUP(B483,'Player Data'!$A1:$AE734,19,FALSE)*$Q483*_xlfn.IFERROR((VLOOKUP(P483,'Settings'!$E$28:$F$33,2,FALSE)+1),1)</f>
        <v>1.85302794350024</v>
      </c>
      <c r="AF483" s="48">
        <f>VLOOKUP(B483,'Player Data'!$A1:$AE734,20,FALSE)*$Q483</f>
        <v>287.652967247332</v>
      </c>
      <c r="AG483" s="48">
        <f>VLOOKUP(B483,'Player Data'!$A1:$AE734,21,FALSE)*$Q483</f>
        <v>293.321578721432</v>
      </c>
      <c r="AH483" s="49">
        <f>VLOOKUP(B483,'Player Data'!$A1:$AE734,22,FALSE)</f>
        <v>0.49512146314031</v>
      </c>
      <c r="AI483" s="46"/>
      <c r="AJ483" s="50"/>
      <c r="AK483" s="48"/>
      <c r="AL483" s="48"/>
      <c r="AM483" s="48"/>
      <c r="AN483" s="48"/>
      <c r="AO483" s="48"/>
      <c r="AP483" s="48"/>
      <c r="AQ483" s="51"/>
      <c r="AR483" s="52"/>
      <c r="AS483" s="46"/>
    </row>
    <row r="484" ht="21.25" customHeight="1">
      <c r="A484" s="53">
        <f>RANK(K484,K2:K730)</f>
        <v>557</v>
      </c>
      <c r="B484" t="s" s="8">
        <v>636</v>
      </c>
      <c r="C484" t="s" s="39">
        <v>106</v>
      </c>
      <c r="D484" t="s" s="40">
        <f>VLOOKUP(B484,'Player Data'!A1:D734,4,FALSE)</f>
        <v>129</v>
      </c>
      <c r="E484" s="56">
        <f>VLOOKUP(B484,'D'!A1:C228,3,FALSE)</f>
        <v>190</v>
      </c>
      <c r="F484" t="s" s="42">
        <f>VLOOKUP(B484,'Player Data'!A1:B734,2,FALSE)</f>
        <v>134</v>
      </c>
      <c r="G484" s="9">
        <f>VLOOKUP(B484,'Player Data'!A1:D734,3,FALSE)</f>
        <v>31</v>
      </c>
      <c r="H484" s="43">
        <f>_xlfn.IFERROR(VLOOKUP(B484,'ADP'!A1:G731,7,FALSE)/1000000,VLOOKUP(B484,'ADP'!A1:G731,7,FALSE))</f>
        <v>1.2</v>
      </c>
      <c r="I484" s="44">
        <f>IF('Settings'!$E$15="POINTS",((R484*Q484)*'Settings'!$B$12)+(S484*'Settings'!$B$2)+(T484*'Settings'!$B$3)+(U484*'Settings'!$B$4)+(V484*'Settings'!$B$5)+(X484*'Settings'!$B$9)+(AA484*'Settings'!$B$6)+(W484*'Settings'!$B$8)+(AB484*'Settings'!$B$7)+(AC484*'Settings'!$B$14)+(AD484*'Settings'!$B$15)+(AE484*'Settings'!$B$16)+(AF484*'Settings'!$B$17)+(AG484*'Settings'!$B$18)+(U484*'Settings'!$B$13)+(Y484*'Settings'!$B$10)+(Z484*'Settings'!$B$11),VLOOKUP(B484,'Standard Deviations'!A1:C731,3,FALSE))</f>
        <v>137.398934545462</v>
      </c>
      <c r="J484" s="45">
        <f>IF(D484="G",I484/AJ484,I484/Q484)</f>
        <v>1.8169655454306</v>
      </c>
      <c r="K484" s="44">
        <f>VLOOKUP(B484,'D'!A1:F228,6,FALSE)</f>
        <v>-203.336204101061</v>
      </c>
      <c r="L484" s="44">
        <f>_xlfn.IFERROR(K484/H484,"N/A")</f>
        <v>-169.446836750884</v>
      </c>
      <c r="M484" t="s" s="61">
        <f>IF('Settings'!$E$9="YAHOO",VLOOKUP(B484,'ADP'!A1:E731,2,FALSE),IF('Settings'!$E$9="ESPN",VLOOKUP(B484,'ADP'!A1:E731,3,FALSE),IF('Settings'!$E$9="FANTRAX",VLOOKUP(B484,'ADP'!A1:E731,4,FALSE),VLOOKUP(B484,'ADP'!A1:E731,5,FALSE))))</f>
        <v>329</v>
      </c>
      <c r="N484" t="s" s="61">
        <f>_xlfn.IFERROR(M484-A484,"N/A")</f>
        <v>158</v>
      </c>
      <c r="O484" s="46"/>
      <c r="P484" t="s" s="47">
        <f>IF('Settings'!$E$27="ON",VLOOKUP(B484,'ADP'!A1:H731,8,FALSE)," ")</f>
        <v>109</v>
      </c>
      <c r="Q484" s="48">
        <f>IF('Settings'!$E$12="YES",VLOOKUP(B484,'Player Data'!A1:E734,5,FALSE),82)</f>
        <v>75.62</v>
      </c>
      <c r="R484" s="46">
        <f>VLOOKUP(B484,'Player Data'!$A1:$AE734,6,FALSE)</f>
        <v>15.1150950295868</v>
      </c>
      <c r="S484" s="48">
        <f>VLOOKUP(B484,'Player Data'!$A1:$AE734,7,FALSE)*$Q484*_xlfn.IFERROR((VLOOKUP(P484,'Settings'!$E$28:$F$33,2,FALSE)+1),1)</f>
        <v>2.24106055353309</v>
      </c>
      <c r="T484" s="48">
        <f>VLOOKUP(B484,'Player Data'!$A1:$AE734,8,FALSE)*$Q484*_xlfn.IFERROR((VLOOKUP(P484,'Settings'!$E$28:$F$33,2,FALSE)+1),1)</f>
        <v>11.1488188901977</v>
      </c>
      <c r="U484" s="48">
        <f>SUM(S484:T484)</f>
        <v>13.3898794437308</v>
      </c>
      <c r="V484" s="48">
        <f>VLOOKUP(B484,'Player Data'!$A1:$AE734,10,FALSE)*$Q484*_xlfn.IFERROR(((VLOOKUP(P484,'Settings'!$E$28:$F$33,2,FALSE)/2)+1),1)</f>
        <v>53.2115212615799</v>
      </c>
      <c r="W484" s="48">
        <f>VLOOKUP(B484,'Player Data'!$A1:$AE734,11,FALSE)*$Q484*_xlfn.IFERROR((VLOOKUP(P484,'Settings'!$E$28:$F$33,2,FALSE)+1),1)</f>
        <v>0.0154571554836114</v>
      </c>
      <c r="X484" s="48">
        <f>VLOOKUP(B484,'Player Data'!$A1:$AE734,12,FALSE)*$Q484*_xlfn.IFERROR((VLOOKUP(P484,'Settings'!$E$28:$F$33,2,FALSE)+1),1)</f>
        <v>0.111447840791191</v>
      </c>
      <c r="Y484" s="48">
        <f>VLOOKUP(B484,'Player Data'!$A1:$AE734,13,FALSE)*$Q484</f>
        <v>0.019357830867872</v>
      </c>
      <c r="Z484" s="48">
        <f>VLOOKUP(B484,'Player Data'!$A1:$AE734,14,FALSE)*$Q484</f>
        <v>0.0762838858196654</v>
      </c>
      <c r="AA484" s="48">
        <f>VLOOKUP(B484,'Player Data'!$A1:$AE734,15,FALSE)*$Q484</f>
        <v>102.493718778896</v>
      </c>
      <c r="AB484" s="48">
        <f>VLOOKUP(B484,'Player Data'!$A1:$AE734,16,FALSE)*$Q484</f>
        <v>63.450070368370</v>
      </c>
      <c r="AC484" s="48">
        <f>VLOOKUP(B484,'Player Data'!$A1:$AE734,17,FALSE)*$Q484*_xlfn.IFERROR((VLOOKUP(P484,'Settings'!$E$28:$F$33,2,FALSE)+1),1)</f>
        <v>1.14444104300802</v>
      </c>
      <c r="AD484" s="48">
        <f>VLOOKUP(B484,'Player Data'!$A1:$AE734,18,FALSE)*$Q484</f>
        <v>29.8379968396891</v>
      </c>
      <c r="AE484" s="48">
        <f>VLOOKUP(B484,'Player Data'!$A1:$AE734,19,FALSE)*$Q484*_xlfn.IFERROR((VLOOKUP(P484,'Settings'!$E$28:$F$33,2,FALSE)+1),1)</f>
        <v>0.35986147068242</v>
      </c>
      <c r="AF484" s="48">
        <f>VLOOKUP(B484,'Player Data'!$A1:$AE734,20,FALSE)*$Q484</f>
        <v>0</v>
      </c>
      <c r="AG484" s="48">
        <f>VLOOKUP(B484,'Player Data'!$A1:$AE734,21,FALSE)*$Q484</f>
        <v>0</v>
      </c>
      <c r="AH484" s="49">
        <f>VLOOKUP(B484,'Player Data'!$A1:$AE734,22,FALSE)</f>
        <v>0</v>
      </c>
      <c r="AI484" s="46"/>
      <c r="AJ484" s="48"/>
      <c r="AK484" s="48"/>
      <c r="AL484" s="48"/>
      <c r="AM484" s="48"/>
      <c r="AN484" s="48"/>
      <c r="AO484" s="48"/>
      <c r="AP484" s="48"/>
      <c r="AQ484" s="51"/>
      <c r="AR484" s="52"/>
      <c r="AS484" s="46"/>
    </row>
    <row r="485" ht="21.25" customHeight="1">
      <c r="A485" s="53">
        <f>RANK(K485,K2:K730)</f>
        <v>257</v>
      </c>
      <c r="B485" t="s" s="8">
        <v>637</v>
      </c>
      <c r="C485" t="s" s="39">
        <v>106</v>
      </c>
      <c r="D485" t="s" s="40">
        <f>VLOOKUP(B485,'Player Data'!A1:D734,4,FALSE)</f>
        <v>146</v>
      </c>
      <c r="E485" s="58">
        <f>VLOOKUP(B485,'G'!A1:D75,3,FALSE)</f>
        <v>41</v>
      </c>
      <c r="F485" t="s" s="42">
        <f>VLOOKUP(B485,'Player Data'!A1:B734,2,FALSE)</f>
        <v>258</v>
      </c>
      <c r="G485" s="9">
        <f>VLOOKUP(B485,'Player Data'!A1:D734,3,FALSE)</f>
        <v>26</v>
      </c>
      <c r="H485" s="43">
        <f>_xlfn.IFERROR(VLOOKUP(B485,'ADP'!A1:G731,7,FALSE)/1000000,VLOOKUP(B485,'ADP'!A1:G731,7,FALSE))</f>
        <v>1</v>
      </c>
      <c r="I485" s="44">
        <f>IF('Settings'!$E$15="POINTS",(AJ485*'Settings'!$B$29)+(AK485*'Settings'!$B$21)+(AL485*'Settings'!$B$22)+(AN485*'Settings'!$B$24)+(AO485*'Settings'!$B$25)+(AP485*'Settings'!$B$27)+(AM485*'Settings'!$B$23),VLOOKUP(B485,'Standard Deviations'!A1:C731,3,FALSE))</f>
        <v>168.361917921922</v>
      </c>
      <c r="J485" s="45">
        <f>IF(D485="G",I485/AJ485,I485/Q485)</f>
        <v>5.26130993506006</v>
      </c>
      <c r="K485" s="44">
        <f>VLOOKUP(B485,'G'!A1:F75,6,FALSE)</f>
        <v>-96.94130357776601</v>
      </c>
      <c r="L485" s="44">
        <f>_xlfn.IFERROR(K485/H485,"N/A")</f>
        <v>-96.94130357776601</v>
      </c>
      <c r="M485" s="46">
        <f>IF('Settings'!$E$9="YAHOO",VLOOKUP(B485,'ADP'!A1:E731,2,FALSE),IF('Settings'!$E$9="ESPN",VLOOKUP(B485,'ADP'!A1:E731,3,FALSE),IF('Settings'!$E$9="FANTRAX",VLOOKUP(B485,'ADP'!A1:E731,4,FALSE),VLOOKUP(B485,'ADP'!A1:E731,5,FALSE))))</f>
        <v>248.54</v>
      </c>
      <c r="N485" s="46">
        <f>_xlfn.IFERROR(M485-A485,"N/A")</f>
        <v>-8.460000000000001</v>
      </c>
      <c r="O485" s="46"/>
      <c r="P485" t="s" s="47">
        <f>IF('Settings'!$E$27="ON",VLOOKUP(B485,'ADP'!A1:H731,8,FALSE)," ")</f>
        <v>109</v>
      </c>
      <c r="Q485" s="48"/>
      <c r="R485" s="59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9"/>
      <c r="AI485" s="46"/>
      <c r="AJ485" s="50">
        <f>VLOOKUP(B485,'Player Data'!$A1:$AE734,24,FALSE)</f>
        <v>32</v>
      </c>
      <c r="AK485" s="48">
        <f>VLOOKUP(B485,'Player Data'!$A1:$AE734,25,FALSE)*$AJ485*_xlfn.IFERROR((VLOOKUP(P485,'Settings'!$E$28:$F$33,2,FALSE)+1),1)</f>
        <v>11.7300187497039</v>
      </c>
      <c r="AL485" s="48">
        <f>AJ485-AK485-AM485</f>
        <v>16.2699812502961</v>
      </c>
      <c r="AM485" s="48">
        <f>VLOOKUP(B485,'Player Data'!$A1:$AE734,27,FALSE)*$AJ485</f>
        <v>4</v>
      </c>
      <c r="AN485" s="48">
        <f>VLOOKUP(B485,'Player Data'!$A1:$AE734,28,FALSE)*AJ485</f>
        <v>1.29405521204154</v>
      </c>
      <c r="AO485" s="48">
        <f>VLOOKUP(B485,'Player Data'!$A1:$AE734,29,FALSE)*$AJ485*_xlfn.IFERROR((VLOOKUP(P485,'Settings'!$E$28:$F$33,2,FALSE)/4)+1,1)</f>
        <v>913.396595075936</v>
      </c>
      <c r="AP485" s="48">
        <f>VLOOKUP(B485,'Player Data'!$A1:$AE734,31,FALSE)*$AJ485*(_xlfn.IFERROR(1-(VLOOKUP(P485,'Settings'!$E$28:$F$33,2,FALSE)/4),1))</f>
        <v>96.4861883240637</v>
      </c>
      <c r="AQ485" s="51">
        <f>1-(AP485/(AO485+AP485))</f>
        <v>0.904458032248831</v>
      </c>
      <c r="AR485" s="52">
        <f>AP485/AJ485</f>
        <v>3.01519338512699</v>
      </c>
      <c r="AS485" s="46"/>
    </row>
    <row r="486" ht="21.25" customHeight="1">
      <c r="A486" s="53">
        <f>RANK(K486,K2:K730)</f>
        <v>500</v>
      </c>
      <c r="B486" t="s" s="8">
        <v>638</v>
      </c>
      <c r="C486" t="s" s="39">
        <v>106</v>
      </c>
      <c r="D486" t="s" s="40">
        <f>VLOOKUP(B486,'Player Data'!A1:D734,4,FALSE)</f>
        <v>107</v>
      </c>
      <c r="E486" s="41">
        <f>VLOOKUP(B486,'C'!A1:C218,3,FALSE)</f>
        <v>129</v>
      </c>
      <c r="F486" t="s" s="42">
        <f>VLOOKUP(B486,'Player Data'!A1:B734,2,FALSE)</f>
        <v>170</v>
      </c>
      <c r="G486" s="9">
        <f>VLOOKUP(B486,'Player Data'!A1:D734,3,FALSE)</f>
        <v>38</v>
      </c>
      <c r="H486" s="43">
        <f>_xlfn.IFERROR(VLOOKUP(B486,'ADP'!A1:G731,7,FALSE)/1000000,VLOOKUP(B486,'ADP'!A1:G731,7,FALSE))</f>
        <v>3.125</v>
      </c>
      <c r="I486" s="44">
        <f>IF('Settings'!$E$15="POINTS",((R486*Q486)*'Settings'!$B$12)+(S486*'Settings'!$B$2)+(T486*'Settings'!$B$3)+(U486*'Settings'!$B$4)+(V486*'Settings'!$B$5)+(X486*'Settings'!$B$9)+(AA486*'Settings'!$B$6)+(W486*'Settings'!$B$8)+(AB486*'Settings'!$B$7)+(AC486*'Settings'!$B$14)+(AD486*'Settings'!$B$15)+(AE486*'Settings'!$B$16)+(AF486*'Settings'!$B$17)+(AG486*'Settings'!$B$18)+(Y486*'Settings'!$B$10)+(Z486*'Settings'!$B$11),VLOOKUP(B486,'Standard Deviations'!A1:C731,3,FALSE))</f>
        <v>213.410613304838</v>
      </c>
      <c r="J486" s="45">
        <f>IF(D486="G",I486/AJ486,I486/Q486)</f>
        <v>2.65503311185555</v>
      </c>
      <c r="K486" s="44">
        <f>IF('Settings'!$E$18="C/LW/RW",VLOOKUP(B486,'C'!A1:F218,6,FALSE),VLOOKUP(B486,'F'!A1:F432,6,FALSE))</f>
        <v>-182.363588331177</v>
      </c>
      <c r="L486" s="44">
        <f>_xlfn.IFERROR(K486/H486,"N/A")</f>
        <v>-58.3563482659766</v>
      </c>
      <c r="M486" t="s" s="61">
        <f>IF('Settings'!$E$9="YAHOO",VLOOKUP(B486,'ADP'!A1:E731,2,FALSE),IF('Settings'!$E$9="ESPN",VLOOKUP(B486,'ADP'!A1:E731,3,FALSE),IF('Settings'!$E$9="FANTRAX",VLOOKUP(B486,'ADP'!A1:E731,4,FALSE),VLOOKUP(B486,'ADP'!A1:E731,5,FALSE))))</f>
        <v>329</v>
      </c>
      <c r="N486" t="s" s="61">
        <f>_xlfn.IFERROR(M486-A486,"N/A")</f>
        <v>158</v>
      </c>
      <c r="O486" s="46"/>
      <c r="P486" t="s" s="47">
        <f>IF('Settings'!$E$27="ON",VLOOKUP(B486,'ADP'!A1:H731,8,FALSE)," ")</f>
        <v>109</v>
      </c>
      <c r="Q486" s="48">
        <f>IF('Settings'!$E$12="YES",VLOOKUP(B486,'Player Data'!A1:E734,5,FALSE),82)</f>
        <v>80.3796428571429</v>
      </c>
      <c r="R486" s="46">
        <f>VLOOKUP(B486,'Player Data'!$A1:$AE734,6,FALSE)</f>
        <v>13.1988288162821</v>
      </c>
      <c r="S486" s="48">
        <f>VLOOKUP(B486,'Player Data'!$A1:$AE734,7,FALSE)*$Q486*_xlfn.IFERROR((VLOOKUP(P486,'Settings'!$E$28:$F$33,2,FALSE)+1),1)</f>
        <v>11.5309997876319</v>
      </c>
      <c r="T486" s="48">
        <f>VLOOKUP(B486,'Player Data'!$A1:$AE734,8,FALSE)*$Q486*_xlfn.IFERROR((VLOOKUP(P486,'Settings'!$E$28:$F$33,2,FALSE)+1),1)</f>
        <v>15.0464286811588</v>
      </c>
      <c r="U486" s="48">
        <f>SUM(S486:T486)</f>
        <v>26.5774284687907</v>
      </c>
      <c r="V486" s="48">
        <f>VLOOKUP(B486,'Player Data'!$A1:$AE734,10,FALSE)*$Q486*_xlfn.IFERROR(((VLOOKUP(P486,'Settings'!$E$28:$F$33,2,FALSE)/2)+1),1)</f>
        <v>140.697777050650</v>
      </c>
      <c r="W486" s="48">
        <f>VLOOKUP(B486,'Player Data'!$A1:$AE734,11,FALSE)*$Q486*_xlfn.IFERROR((VLOOKUP(P486,'Settings'!$E$28:$F$33,2,FALSE)+1),1)</f>
        <v>1.76781386417587</v>
      </c>
      <c r="X486" s="48">
        <f>VLOOKUP(B486,'Player Data'!$A1:$AE734,12,FALSE)*$Q486*_xlfn.IFERROR((VLOOKUP(P486,'Settings'!$E$28:$F$33,2,FALSE)+1),1)</f>
        <v>4.06288327790023</v>
      </c>
      <c r="Y486" s="48">
        <f>VLOOKUP(B486,'Player Data'!$A1:$AE734,13,FALSE)*$Q486</f>
        <v>0.299414165700659</v>
      </c>
      <c r="Z486" s="48">
        <f>VLOOKUP(B486,'Player Data'!$A1:$AE734,14,FALSE)*$Q486</f>
        <v>0.763546481240732</v>
      </c>
      <c r="AA486" s="48">
        <f>VLOOKUP(B486,'Player Data'!$A1:$AE734,15,FALSE)*$Q486</f>
        <v>47.9044430787284</v>
      </c>
      <c r="AB486" s="48">
        <f>VLOOKUP(B486,'Player Data'!$A1:$AE734,16,FALSE)*$Q486</f>
        <v>82.2145007593878</v>
      </c>
      <c r="AC486" s="48">
        <f>VLOOKUP(B486,'Player Data'!$A1:$AE734,17,FALSE)*$Q486*_xlfn.IFERROR((VLOOKUP(P486,'Settings'!$E$28:$F$33,2,FALSE)+1),1)</f>
        <v>0.0718306785179918</v>
      </c>
      <c r="AD486" s="48">
        <f>VLOOKUP(B486,'Player Data'!$A1:$AE734,18,FALSE)*$Q486</f>
        <v>28.5736825824136</v>
      </c>
      <c r="AE486" s="48">
        <f>VLOOKUP(B486,'Player Data'!$A1:$AE734,19,FALSE)*$Q486*_xlfn.IFERROR((VLOOKUP(P486,'Settings'!$E$28:$F$33,2,FALSE)+1),1)</f>
        <v>1.85095635607416</v>
      </c>
      <c r="AF486" s="48">
        <f>VLOOKUP(B486,'Player Data'!$A1:$AE734,20,FALSE)*$Q486</f>
        <v>479.702000209211</v>
      </c>
      <c r="AG486" s="48">
        <f>VLOOKUP(B486,'Player Data'!$A1:$AE734,21,FALSE)*$Q486</f>
        <v>370.384836830502</v>
      </c>
      <c r="AH486" s="49">
        <f>VLOOKUP(B486,'Player Data'!$A1:$AE734,22,FALSE)</f>
        <v>0.564297645026118</v>
      </c>
      <c r="AI486" s="46"/>
      <c r="AJ486" s="50"/>
      <c r="AK486" s="48"/>
      <c r="AL486" s="48"/>
      <c r="AM486" s="48"/>
      <c r="AN486" s="48"/>
      <c r="AO486" s="48"/>
      <c r="AP486" s="48"/>
      <c r="AQ486" s="51"/>
      <c r="AR486" s="52"/>
      <c r="AS486" s="46"/>
    </row>
    <row r="487" ht="21.25" customHeight="1">
      <c r="A487" s="53">
        <f>RANK(K487,K2:K730)</f>
        <v>604</v>
      </c>
      <c r="B487" t="s" s="8">
        <v>639</v>
      </c>
      <c r="C487" t="s" s="39">
        <v>106</v>
      </c>
      <c r="D487" t="s" s="40">
        <f>VLOOKUP(B487,'Player Data'!A1:D734,4,FALSE)</f>
        <v>129</v>
      </c>
      <c r="E487" s="56">
        <f>VLOOKUP(B487,'D'!A1:C228,3,FALSE)</f>
        <v>202</v>
      </c>
      <c r="F487" t="s" s="42">
        <f>VLOOKUP(B487,'Player Data'!A1:B734,2,FALSE)</f>
        <v>196</v>
      </c>
      <c r="G487" s="9">
        <f>VLOOKUP(B487,'Player Data'!A1:D734,3,FALSE)</f>
        <v>22</v>
      </c>
      <c r="H487" s="43">
        <f>_xlfn.IFERROR(VLOOKUP(B487,'ADP'!A1:G731,7,FALSE)/1000000,VLOOKUP(B487,'ADP'!A1:G731,7,FALSE))</f>
        <v>0</v>
      </c>
      <c r="I487" s="44">
        <f>IF('Settings'!$E$15="POINTS",((R487*Q487)*'Settings'!$B$12)+(S487*'Settings'!$B$2)+(T487*'Settings'!$B$3)+(U487*'Settings'!$B$4)+(V487*'Settings'!$B$5)+(X487*'Settings'!$B$9)+(AA487*'Settings'!$B$6)+(W487*'Settings'!$B$8)+(AB487*'Settings'!$B$7)+(AC487*'Settings'!$B$14)+(AD487*'Settings'!$B$15)+(AE487*'Settings'!$B$16)+(AF487*'Settings'!$B$17)+(AG487*'Settings'!$B$18)+(U487*'Settings'!$B$13)+(Y487*'Settings'!$B$10)+(Z487*'Settings'!$B$11),VLOOKUP(B487,'Standard Deviations'!A1:C731,3,FALSE))</f>
        <v>122.362767185774</v>
      </c>
      <c r="J487" s="45">
        <f>IF(D487="G",I487/AJ487,I487/Q487)</f>
        <v>2.18073800598413</v>
      </c>
      <c r="K487" s="44">
        <f>VLOOKUP(B487,'D'!A1:F228,6,FALSE)</f>
        <v>-218.372371460749</v>
      </c>
      <c r="L487" t="s" s="60">
        <f>_xlfn.IFERROR(K487/H487,"N/A")</f>
        <v>158</v>
      </c>
      <c r="M487" t="s" s="61">
        <f>IF('Settings'!$E$9="YAHOO",VLOOKUP(B487,'ADP'!A1:E731,2,FALSE),IF('Settings'!$E$9="ESPN",VLOOKUP(B487,'ADP'!A1:E731,3,FALSE),IF('Settings'!$E$9="FANTRAX",VLOOKUP(B487,'ADP'!A1:E731,4,FALSE),VLOOKUP(B487,'ADP'!A1:E731,5,FALSE))))</f>
        <v>329</v>
      </c>
      <c r="N487" t="s" s="61">
        <f>_xlfn.IFERROR(M487-A487,"N/A")</f>
        <v>158</v>
      </c>
      <c r="O487" s="46"/>
      <c r="P487" t="s" s="47">
        <f>IF('Settings'!$E$27="ON",VLOOKUP(B487,'ADP'!A1:H731,8,FALSE)," ")</f>
        <v>109</v>
      </c>
      <c r="Q487" s="48">
        <f>IF('Settings'!$E$12="YES",VLOOKUP(B487,'Player Data'!A1:E734,5,FALSE),82)</f>
        <v>56.1107142857143</v>
      </c>
      <c r="R487" s="46">
        <f>VLOOKUP(B487,'Player Data'!$A1:$AE734,6,FALSE)</f>
        <v>16.5161842348652</v>
      </c>
      <c r="S487" s="48">
        <f>VLOOKUP(B487,'Player Data'!$A1:$AE734,7,FALSE)*$Q487*_xlfn.IFERROR((VLOOKUP(P487,'Settings'!$E$28:$F$33,2,FALSE)+1),1)</f>
        <v>1.87013343367949</v>
      </c>
      <c r="T487" s="48">
        <f>VLOOKUP(B487,'Player Data'!$A1:$AE734,8,FALSE)*$Q487*_xlfn.IFERROR((VLOOKUP(P487,'Settings'!$E$28:$F$33,2,FALSE)+1),1)</f>
        <v>11.4448316684187</v>
      </c>
      <c r="U487" s="48">
        <f>SUM(S487:T487)</f>
        <v>13.3149651020982</v>
      </c>
      <c r="V487" s="48">
        <f>VLOOKUP(B487,'Player Data'!$A1:$AE734,10,FALSE)*$Q487*_xlfn.IFERROR(((VLOOKUP(P487,'Settings'!$E$28:$F$33,2,FALSE)/2)+1),1)</f>
        <v>60.1819016187361</v>
      </c>
      <c r="W487" s="48">
        <f>VLOOKUP(B487,'Player Data'!$A1:$AE734,11,FALSE)*$Q487*_xlfn.IFERROR((VLOOKUP(P487,'Settings'!$E$28:$F$33,2,FALSE)+1),1)</f>
        <v>0.08737344550539169</v>
      </c>
      <c r="X487" s="48">
        <f>VLOOKUP(B487,'Player Data'!$A1:$AE734,12,FALSE)*$Q487*_xlfn.IFERROR((VLOOKUP(P487,'Settings'!$E$28:$F$33,2,FALSE)+1),1)</f>
        <v>1.42299617870318</v>
      </c>
      <c r="Y487" s="48">
        <f>VLOOKUP(B487,'Player Data'!$A1:$AE734,13,FALSE)*$Q487</f>
        <v>0.0135219138950141</v>
      </c>
      <c r="Z487" s="48">
        <f>VLOOKUP(B487,'Player Data'!$A1:$AE734,14,FALSE)*$Q487</f>
        <v>0.0486019879893135</v>
      </c>
      <c r="AA487" s="48">
        <f>VLOOKUP(B487,'Player Data'!$A1:$AE734,15,FALSE)*$Q487</f>
        <v>71.069402915195</v>
      </c>
      <c r="AB487" s="48">
        <f>VLOOKUP(B487,'Player Data'!$A1:$AE734,16,FALSE)*$Q487</f>
        <v>55.5592619440651</v>
      </c>
      <c r="AC487" s="48">
        <f>VLOOKUP(B487,'Player Data'!$A1:$AE734,17,FALSE)*$Q487*_xlfn.IFERROR((VLOOKUP(P487,'Settings'!$E$28:$F$33,2,FALSE)+1),1)</f>
        <v>-2.52287895359116</v>
      </c>
      <c r="AD487" s="48">
        <f>VLOOKUP(B487,'Player Data'!$A1:$AE734,18,FALSE)*$Q487</f>
        <v>30.9686596289242</v>
      </c>
      <c r="AE487" s="48">
        <f>VLOOKUP(B487,'Player Data'!$A1:$AE734,19,FALSE)*$Q487*_xlfn.IFERROR((VLOOKUP(P487,'Settings'!$E$28:$F$33,2,FALSE)+1),1)</f>
        <v>0.236004476939664</v>
      </c>
      <c r="AF487" s="48">
        <f>VLOOKUP(B487,'Player Data'!$A1:$AE734,20,FALSE)*$Q487</f>
        <v>0</v>
      </c>
      <c r="AG487" s="48">
        <f>VLOOKUP(B487,'Player Data'!$A1:$AE734,21,FALSE)*$Q487</f>
        <v>0</v>
      </c>
      <c r="AH487" s="49">
        <f>VLOOKUP(B487,'Player Data'!$A1:$AE734,22,FALSE)</f>
        <v>0</v>
      </c>
      <c r="AI487" s="46"/>
      <c r="AJ487" s="50"/>
      <c r="AK487" s="48"/>
      <c r="AL487" s="48"/>
      <c r="AM487" s="48"/>
      <c r="AN487" s="48"/>
      <c r="AO487" s="48"/>
      <c r="AP487" s="48"/>
      <c r="AQ487" s="51"/>
      <c r="AR487" s="52"/>
      <c r="AS487" s="46"/>
    </row>
    <row r="488" ht="21.25" customHeight="1">
      <c r="A488" s="53">
        <f>RANK(K488,K2:K730)</f>
        <v>548</v>
      </c>
      <c r="B488" t="s" s="8">
        <v>640</v>
      </c>
      <c r="C488" t="s" s="39">
        <v>106</v>
      </c>
      <c r="D488" t="s" s="40">
        <f>VLOOKUP(B488,'Player Data'!A1:D734,4,FALSE)</f>
        <v>129</v>
      </c>
      <c r="E488" s="56">
        <f>VLOOKUP(B488,'D'!A1:C228,3,FALSE)</f>
        <v>188</v>
      </c>
      <c r="F488" t="s" s="42">
        <f>VLOOKUP(B488,'Player Data'!A1:B734,2,FALSE)</f>
        <v>194</v>
      </c>
      <c r="G488" s="9">
        <f>VLOOKUP(B488,'Player Data'!A1:D734,3,FALSE)</f>
        <v>33</v>
      </c>
      <c r="H488" s="43">
        <f>_xlfn.IFERROR(VLOOKUP(B488,'ADP'!A1:G731,7,FALSE)/1000000,VLOOKUP(B488,'ADP'!A1:G731,7,FALSE))</f>
        <v>3.275</v>
      </c>
      <c r="I488" s="44">
        <f>IF('Settings'!$E$15="POINTS",((R488*Q488)*'Settings'!$B$12)+(S488*'Settings'!$B$2)+(T488*'Settings'!$B$3)+(U488*'Settings'!$B$4)+(V488*'Settings'!$B$5)+(X488*'Settings'!$B$9)+(AA488*'Settings'!$B$6)+(W488*'Settings'!$B$8)+(AB488*'Settings'!$B$7)+(AC488*'Settings'!$B$14)+(AD488*'Settings'!$B$15)+(AE488*'Settings'!$B$16)+(AF488*'Settings'!$B$17)+(AG488*'Settings'!$B$18)+(U488*'Settings'!$B$13)+(Y488*'Settings'!$B$10)+(Z488*'Settings'!$B$11),VLOOKUP(B488,'Standard Deviations'!A1:C731,3,FALSE))</f>
        <v>142.033707296273</v>
      </c>
      <c r="J488" s="45">
        <f>IF(D488="G",I488/AJ488,I488/Q488)</f>
        <v>2.07803522013567</v>
      </c>
      <c r="K488" s="44">
        <f>VLOOKUP(B488,'D'!A1:F228,6,FALSE)</f>
        <v>-198.701431350250</v>
      </c>
      <c r="L488" s="44">
        <f>_xlfn.IFERROR(K488/H488,"N/A")</f>
        <v>-60.6721927787023</v>
      </c>
      <c r="M488" t="s" s="61">
        <f>IF('Settings'!$E$9="YAHOO",VLOOKUP(B488,'ADP'!A1:E731,2,FALSE),IF('Settings'!$E$9="ESPN",VLOOKUP(B488,'ADP'!A1:E731,3,FALSE),IF('Settings'!$E$9="FANTRAX",VLOOKUP(B488,'ADP'!A1:E731,4,FALSE),VLOOKUP(B488,'ADP'!A1:E731,5,FALSE))))</f>
        <v>329</v>
      </c>
      <c r="N488" t="s" s="61">
        <f>_xlfn.IFERROR(M488-A488,"N/A")</f>
        <v>158</v>
      </c>
      <c r="O488" s="46"/>
      <c r="P488" t="s" s="47">
        <f>IF('Settings'!$E$27="ON",VLOOKUP(B488,'ADP'!A1:H731,8,FALSE)," ")</f>
        <v>109</v>
      </c>
      <c r="Q488" s="48">
        <f>IF('Settings'!$E$12="YES",VLOOKUP(B488,'Player Data'!A1:E734,5,FALSE),82)</f>
        <v>68.34999999999999</v>
      </c>
      <c r="R488" s="46">
        <f>VLOOKUP(B488,'Player Data'!$A1:$AE734,6,FALSE)</f>
        <v>17.7202808079268</v>
      </c>
      <c r="S488" s="48">
        <f>VLOOKUP(B488,'Player Data'!$A1:$AE734,7,FALSE)*$Q488*_xlfn.IFERROR((VLOOKUP(P488,'Settings'!$E$28:$F$33,2,FALSE)+1),1)</f>
        <v>2.81407543226187</v>
      </c>
      <c r="T488" s="48">
        <f>VLOOKUP(B488,'Player Data'!$A1:$AE734,8,FALSE)*$Q488*_xlfn.IFERROR((VLOOKUP(P488,'Settings'!$E$28:$F$33,2,FALSE)+1),1)</f>
        <v>8.78281066853646</v>
      </c>
      <c r="U488" s="48">
        <f>SUM(S488:T488)</f>
        <v>11.5968861007983</v>
      </c>
      <c r="V488" s="48">
        <f>VLOOKUP(B488,'Player Data'!$A1:$AE734,10,FALSE)*$Q488*_xlfn.IFERROR(((VLOOKUP(P488,'Settings'!$E$28:$F$33,2,FALSE)/2)+1),1)</f>
        <v>69.7941571556846</v>
      </c>
      <c r="W488" s="48">
        <f>VLOOKUP(B488,'Player Data'!$A1:$AE734,11,FALSE)*$Q488*_xlfn.IFERROR((VLOOKUP(P488,'Settings'!$E$28:$F$33,2,FALSE)+1),1)</f>
        <v>0.0192480059692665</v>
      </c>
      <c r="X488" s="48">
        <f>VLOOKUP(B488,'Player Data'!$A1:$AE734,12,FALSE)*$Q488*_xlfn.IFERROR((VLOOKUP(P488,'Settings'!$E$28:$F$33,2,FALSE)+1),1)</f>
        <v>0.136598704609841</v>
      </c>
      <c r="Y488" s="48">
        <f>VLOOKUP(B488,'Player Data'!$A1:$AE734,13,FALSE)*$Q488</f>
        <v>0.0291723005933492</v>
      </c>
      <c r="Z488" s="48">
        <f>VLOOKUP(B488,'Player Data'!$A1:$AE734,14,FALSE)*$Q488</f>
        <v>1.06560909693808</v>
      </c>
      <c r="AA488" s="48">
        <f>VLOOKUP(B488,'Player Data'!$A1:$AE734,15,FALSE)*$Q488</f>
        <v>84.43102830628369</v>
      </c>
      <c r="AB488" s="48">
        <f>VLOOKUP(B488,'Player Data'!$A1:$AE734,16,FALSE)*$Q488</f>
        <v>95.1124996824979</v>
      </c>
      <c r="AC488" s="48">
        <f>VLOOKUP(B488,'Player Data'!$A1:$AE734,17,FALSE)*$Q488*_xlfn.IFERROR((VLOOKUP(P488,'Settings'!$E$28:$F$33,2,FALSE)+1),1)</f>
        <v>-3.16619019971165</v>
      </c>
      <c r="AD488" s="48">
        <f>VLOOKUP(B488,'Player Data'!$A1:$AE734,18,FALSE)*$Q488</f>
        <v>23.7425249470793</v>
      </c>
      <c r="AE488" s="48">
        <f>VLOOKUP(B488,'Player Data'!$A1:$AE734,19,FALSE)*$Q488*_xlfn.IFERROR((VLOOKUP(P488,'Settings'!$E$28:$F$33,2,FALSE)+1),1)</f>
        <v>0.323823347099105</v>
      </c>
      <c r="AF488" s="48">
        <f>VLOOKUP(B488,'Player Data'!$A1:$AE734,20,FALSE)*$Q488</f>
        <v>0</v>
      </c>
      <c r="AG488" s="48">
        <f>VLOOKUP(B488,'Player Data'!$A1:$AE734,21,FALSE)*$Q488</f>
        <v>0</v>
      </c>
      <c r="AH488" s="49">
        <f>VLOOKUP(B488,'Player Data'!$A1:$AE734,22,FALSE)</f>
        <v>0</v>
      </c>
      <c r="AI488" s="46"/>
      <c r="AJ488" s="50"/>
      <c r="AK488" s="48"/>
      <c r="AL488" s="48"/>
      <c r="AM488" s="48"/>
      <c r="AN488" s="48"/>
      <c r="AO488" s="48"/>
      <c r="AP488" s="48"/>
      <c r="AQ488" s="51"/>
      <c r="AR488" s="52"/>
      <c r="AS488" s="46"/>
    </row>
    <row r="489" ht="21.25" customHeight="1">
      <c r="A489" s="53">
        <f>RANK(K489,K2:K730)</f>
        <v>398</v>
      </c>
      <c r="B489" t="s" s="8">
        <v>641</v>
      </c>
      <c r="C489" t="s" s="39">
        <v>106</v>
      </c>
      <c r="D489" t="s" s="40">
        <f>VLOOKUP(B489,'Player Data'!A1:D734,4,FALSE)</f>
        <v>133</v>
      </c>
      <c r="E489" s="57">
        <f>VLOOKUP(B489,'LW'!A1:C156,3,FALSE)</f>
        <v>93</v>
      </c>
      <c r="F489" t="s" s="42">
        <f>VLOOKUP(B489,'Player Data'!A1:B734,2,FALSE)</f>
        <v>218</v>
      </c>
      <c r="G489" s="9">
        <f>VLOOKUP(B489,'Player Data'!A1:D734,3,FALSE)</f>
        <v>28</v>
      </c>
      <c r="H489" s="43">
        <f>_xlfn.IFERROR(VLOOKUP(B489,'ADP'!A1:G731,7,FALSE)/1000000,VLOOKUP(B489,'ADP'!A1:G731,7,FALSE))</f>
        <v>1.4</v>
      </c>
      <c r="I489" s="44">
        <f>IF('Settings'!$E$15="POINTS",((R489*Q489)*'Settings'!$B$12)+(S489*'Settings'!$B$2)+(T489*'Settings'!$B$3)+(U489*'Settings'!$B$4)+(V489*'Settings'!$B$5)+(X489*'Settings'!$B$9)+(AA489*'Settings'!$B$6)+(W489*'Settings'!$B$8)+(AB489*'Settings'!$B$7)+(AC489*'Settings'!$B$14)+(AD489*'Settings'!$B$15)+(AE489*'Settings'!$B$16)+(AF489*'Settings'!$B$17)+(AG489*'Settings'!$B$18)+(Y489*'Settings'!$B$10)+(Z489*'Settings'!$B$11),VLOOKUP(B489,'Standard Deviations'!A1:C731,3,FALSE))</f>
        <v>231.242431482956</v>
      </c>
      <c r="J489" s="45">
        <f>IF(D489="G",I489/AJ489,I489/Q489)</f>
        <v>3.11576996035878</v>
      </c>
      <c r="K489" s="44">
        <f>IF('Settings'!$E$18="C/LW/RW",VLOOKUP(B489,'LW'!A1:F156,6,FALSE),VLOOKUP(B489,'F'!A1:F432,6,FALSE))</f>
        <v>-150.3861322234</v>
      </c>
      <c r="L489" s="44">
        <f>_xlfn.IFERROR(K489/H489,"N/A")</f>
        <v>-107.418665873857</v>
      </c>
      <c r="M489" t="s" s="61">
        <f>IF('Settings'!$E$9="YAHOO",VLOOKUP(B489,'ADP'!A1:E731,2,FALSE),IF('Settings'!$E$9="ESPN",VLOOKUP(B489,'ADP'!A1:E731,3,FALSE),IF('Settings'!$E$9="FANTRAX",VLOOKUP(B489,'ADP'!A1:E731,4,FALSE),VLOOKUP(B489,'ADP'!A1:E731,5,FALSE))))</f>
        <v>329</v>
      </c>
      <c r="N489" t="s" s="61">
        <f>_xlfn.IFERROR(M489-A489,"N/A")</f>
        <v>158</v>
      </c>
      <c r="O489" s="46"/>
      <c r="P489" t="s" s="47">
        <f>IF('Settings'!$E$27="ON",VLOOKUP(B489,'ADP'!A1:H731,8,FALSE)," ")</f>
        <v>109</v>
      </c>
      <c r="Q489" s="48">
        <f>IF('Settings'!$E$12="YES",VLOOKUP(B489,'Player Data'!A1:E734,5,FALSE),82)</f>
        <v>74.21678571428571</v>
      </c>
      <c r="R489" s="46">
        <f>VLOOKUP(B489,'Player Data'!$A1:$AE734,6,FALSE)</f>
        <v>12.6036159482524</v>
      </c>
      <c r="S489" s="48">
        <f>VLOOKUP(B489,'Player Data'!$A1:$AE734,7,FALSE)*$Q489*_xlfn.IFERROR((VLOOKUP(P489,'Settings'!$E$28:$F$33,2,FALSE)+1),1)</f>
        <v>14.9041504093258</v>
      </c>
      <c r="T489" s="48">
        <f>VLOOKUP(B489,'Player Data'!$A1:$AE734,8,FALSE)*$Q489*_xlfn.IFERROR((VLOOKUP(P489,'Settings'!$E$28:$F$33,2,FALSE)+1),1)</f>
        <v>13.6144257209787</v>
      </c>
      <c r="U489" s="48">
        <f>SUM(S489:T489)</f>
        <v>28.5185761303045</v>
      </c>
      <c r="V489" s="48">
        <f>VLOOKUP(B489,'Player Data'!$A1:$AE734,10,FALSE)*$Q489*_xlfn.IFERROR(((VLOOKUP(P489,'Settings'!$E$28:$F$33,2,FALSE)/2)+1),1)</f>
        <v>137.430914669580</v>
      </c>
      <c r="W489" s="48">
        <f>VLOOKUP(B489,'Player Data'!$A1:$AE734,11,FALSE)*$Q489*_xlfn.IFERROR((VLOOKUP(P489,'Settings'!$E$28:$F$33,2,FALSE)+1),1)</f>
        <v>0.394442712738586</v>
      </c>
      <c r="X489" s="48">
        <f>VLOOKUP(B489,'Player Data'!$A1:$AE734,12,FALSE)*$Q489*_xlfn.IFERROR((VLOOKUP(P489,'Settings'!$E$28:$F$33,2,FALSE)+1),1)</f>
        <v>0.998689067083006</v>
      </c>
      <c r="Y489" s="48">
        <f>VLOOKUP(B489,'Player Data'!$A1:$AE734,13,FALSE)*$Q489</f>
        <v>0.06633310503721029</v>
      </c>
      <c r="Z489" s="48">
        <f>VLOOKUP(B489,'Player Data'!$A1:$AE734,14,FALSE)*$Q489</f>
        <v>0.121322591612613</v>
      </c>
      <c r="AA489" s="48">
        <f>VLOOKUP(B489,'Player Data'!$A1:$AE734,15,FALSE)*$Q489</f>
        <v>27.8660241896573</v>
      </c>
      <c r="AB489" s="48">
        <f>VLOOKUP(B489,'Player Data'!$A1:$AE734,16,FALSE)*$Q489</f>
        <v>161.757451460841</v>
      </c>
      <c r="AC489" s="48">
        <f>VLOOKUP(B489,'Player Data'!$A1:$AE734,17,FALSE)*$Q489*_xlfn.IFERROR((VLOOKUP(P489,'Settings'!$E$28:$F$33,2,FALSE)+1),1)</f>
        <v>6.31303832908882</v>
      </c>
      <c r="AD489" s="48">
        <f>VLOOKUP(B489,'Player Data'!$A1:$AE734,18,FALSE)*$Q489</f>
        <v>31.4159496507033</v>
      </c>
      <c r="AE489" s="48">
        <f>VLOOKUP(B489,'Player Data'!$A1:$AE734,19,FALSE)*$Q489*_xlfn.IFERROR((VLOOKUP(P489,'Settings'!$E$28:$F$33,2,FALSE)+1),1)</f>
        <v>2.43574483301969</v>
      </c>
      <c r="AF489" s="48">
        <f>VLOOKUP(B489,'Player Data'!$A1:$AE734,20,FALSE)*$Q489</f>
        <v>3.42487427142863</v>
      </c>
      <c r="AG489" s="48">
        <f>VLOOKUP(B489,'Player Data'!$A1:$AE734,21,FALSE)*$Q489</f>
        <v>7.50083586526113</v>
      </c>
      <c r="AH489" s="49">
        <f>VLOOKUP(B489,'Player Data'!$A1:$AE734,22,FALSE)</f>
        <v>0.313469259991395</v>
      </c>
      <c r="AI489" s="46"/>
      <c r="AJ489" s="50"/>
      <c r="AK489" s="48"/>
      <c r="AL489" s="48"/>
      <c r="AM489" s="48"/>
      <c r="AN489" s="48"/>
      <c r="AO489" s="48"/>
      <c r="AP489" s="48"/>
      <c r="AQ489" s="51"/>
      <c r="AR489" s="52"/>
      <c r="AS489" s="50"/>
    </row>
    <row r="490" ht="21.25" customHeight="1">
      <c r="A490" s="53">
        <f>RANK(K490,K2:K730)</f>
        <v>570</v>
      </c>
      <c r="B490" t="s" s="8">
        <v>642</v>
      </c>
      <c r="C490" t="s" s="39">
        <v>106</v>
      </c>
      <c r="D490" t="s" s="40">
        <f>VLOOKUP(B490,'Player Data'!A1:D734,4,FALSE)</f>
        <v>121</v>
      </c>
      <c r="E490" s="55">
        <f>VLOOKUP(B490,'RW'!A1:F132,3,FALSE)</f>
        <v>106</v>
      </c>
      <c r="F490" t="s" s="42">
        <f>VLOOKUP(B490,'Player Data'!A1:B734,2,FALSE)</f>
        <v>204</v>
      </c>
      <c r="G490" s="9">
        <f>VLOOKUP(B490,'Player Data'!A1:D734,3,FALSE)</f>
        <v>22</v>
      </c>
      <c r="H490" s="43">
        <f>_xlfn.IFERROR(VLOOKUP(B490,'ADP'!A1:G731,7,FALSE)/1000000,VLOOKUP(B490,'ADP'!A1:G731,7,FALSE))</f>
        <v>0.894167</v>
      </c>
      <c r="I490" s="44">
        <f>IF('Settings'!$E$15="POINTS",((R490*Q490)*'Settings'!$B$12)+(S490*'Settings'!$B$2)+(T490*'Settings'!$B$3)+(U490*'Settings'!$B$4)+(V490*'Settings'!$B$5)+(X490*'Settings'!$B$9)+(AA490*'Settings'!$B$6)+(W490*'Settings'!$B$8)+(AB490*'Settings'!$B$7)+(AC490*'Settings'!$B$14)+(AD490*'Settings'!$B$15)+(AE490*'Settings'!$B$16)+(AF490*'Settings'!$B$17)+(AG490*'Settings'!$B$18)+(Y490*'Settings'!$B$10)+(Z490*'Settings'!$B$11),VLOOKUP(B490,'Standard Deviations'!A1:C731,3,FALSE))</f>
        <v>173.046607244497</v>
      </c>
      <c r="J490" s="45">
        <f>IF(D490="G",I490/AJ490,I490/Q490)</f>
        <v>2.5047843812853</v>
      </c>
      <c r="K490" s="44">
        <f>IF('Settings'!$E$18="C/LW/RW",VLOOKUP(B490,'RW'!A1:F132,6,FALSE),VLOOKUP(B490,'F'!A1:F432,6,FALSE))</f>
        <v>-208.581956461859</v>
      </c>
      <c r="L490" s="44">
        <f>_xlfn.IFERROR(K490/H490,"N/A")</f>
        <v>-233.269575439330</v>
      </c>
      <c r="M490" s="46">
        <f>IF('Settings'!$E$9="YAHOO",VLOOKUP(B490,'ADP'!A1:E731,2,FALSE),IF('Settings'!$E$9="ESPN",VLOOKUP(B490,'ADP'!A1:E731,3,FALSE),IF('Settings'!$E$9="FANTRAX",VLOOKUP(B490,'ADP'!A1:E731,4,FALSE),VLOOKUP(B490,'ADP'!A1:E731,5,FALSE))))</f>
        <v>343.13</v>
      </c>
      <c r="N490" s="46">
        <f>_xlfn.IFERROR(M490-A490,"N/A")</f>
        <v>-226.87</v>
      </c>
      <c r="O490" s="46"/>
      <c r="P490" t="s" s="47">
        <f>IF('Settings'!$E$27="ON",VLOOKUP(B490,'ADP'!A1:H731,8,FALSE)," ")</f>
        <v>109</v>
      </c>
      <c r="Q490" s="48">
        <f>IF('Settings'!$E$12="YES",VLOOKUP(B490,'Player Data'!A1:E734,5,FALSE),82)</f>
        <v>69.0864285714286</v>
      </c>
      <c r="R490" s="46">
        <f>VLOOKUP(B490,'Player Data'!$A1:$AE734,6,FALSE)</f>
        <v>10.8245709484702</v>
      </c>
      <c r="S490" s="48">
        <f>VLOOKUP(B490,'Player Data'!$A1:$AE734,7,FALSE)*$Q490*_xlfn.IFERROR((VLOOKUP(P490,'Settings'!$E$28:$F$33,2,FALSE)+1),1)</f>
        <v>11.1697055165739</v>
      </c>
      <c r="T490" s="48">
        <f>VLOOKUP(B490,'Player Data'!$A1:$AE734,8,FALSE)*$Q490*_xlfn.IFERROR((VLOOKUP(P490,'Settings'!$E$28:$F$33,2,FALSE)+1),1)</f>
        <v>13.3212545099116</v>
      </c>
      <c r="U490" s="48">
        <f>SUM(S490:T490)</f>
        <v>24.4909600264855</v>
      </c>
      <c r="V490" s="48">
        <f>VLOOKUP(B490,'Player Data'!$A1:$AE734,10,FALSE)*$Q490*_xlfn.IFERROR(((VLOOKUP(P490,'Settings'!$E$28:$F$33,2,FALSE)/2)+1),1)</f>
        <v>126.327036205688</v>
      </c>
      <c r="W490" s="48">
        <f>VLOOKUP(B490,'Player Data'!$A1:$AE734,11,FALSE)*$Q490*_xlfn.IFERROR((VLOOKUP(P490,'Settings'!$E$28:$F$33,2,FALSE)+1),1)</f>
        <v>4.48930076293393</v>
      </c>
      <c r="X490" s="48">
        <f>VLOOKUP(B490,'Player Data'!$A1:$AE734,12,FALSE)*$Q490*_xlfn.IFERROR((VLOOKUP(P490,'Settings'!$E$28:$F$33,2,FALSE)+1),1)</f>
        <v>7.26468118665518</v>
      </c>
      <c r="Y490" s="48">
        <f>VLOOKUP(B490,'Player Data'!$A1:$AE734,13,FALSE)*$Q490</f>
        <v>0.000803249553378371</v>
      </c>
      <c r="Z490" s="48">
        <f>VLOOKUP(B490,'Player Data'!$A1:$AE734,14,FALSE)*$Q490</f>
        <v>0.00146787935789705</v>
      </c>
      <c r="AA490" s="48">
        <f>VLOOKUP(B490,'Player Data'!$A1:$AE734,15,FALSE)*$Q490</f>
        <v>14.0094061403807</v>
      </c>
      <c r="AB490" s="48">
        <f>VLOOKUP(B490,'Player Data'!$A1:$AE734,16,FALSE)*$Q490</f>
        <v>50.5920478337192</v>
      </c>
      <c r="AC490" s="48">
        <f>VLOOKUP(B490,'Player Data'!$A1:$AE734,17,FALSE)*$Q490*_xlfn.IFERROR((VLOOKUP(P490,'Settings'!$E$28:$F$33,2,FALSE)+1),1)</f>
        <v>0.188392193249519</v>
      </c>
      <c r="AD490" s="48">
        <f>VLOOKUP(B490,'Player Data'!$A1:$AE734,18,FALSE)*$Q490</f>
        <v>17.469084821106</v>
      </c>
      <c r="AE490" s="48">
        <f>VLOOKUP(B490,'Player Data'!$A1:$AE734,19,FALSE)*$Q490*_xlfn.IFERROR((VLOOKUP(P490,'Settings'!$E$28:$F$33,2,FALSE)+1),1)</f>
        <v>1.65379839073541</v>
      </c>
      <c r="AF490" s="48">
        <f>VLOOKUP(B490,'Player Data'!$A1:$AE734,20,FALSE)*$Q490</f>
        <v>0</v>
      </c>
      <c r="AG490" s="48">
        <f>VLOOKUP(B490,'Player Data'!$A1:$AE734,21,FALSE)*$Q490</f>
        <v>0</v>
      </c>
      <c r="AH490" s="49">
        <f>VLOOKUP(B490,'Player Data'!$A1:$AE734,22,FALSE)</f>
        <v>0</v>
      </c>
      <c r="AI490" s="46"/>
      <c r="AJ490" s="48"/>
      <c r="AK490" s="48"/>
      <c r="AL490" s="48"/>
      <c r="AM490" s="48"/>
      <c r="AN490" s="48"/>
      <c r="AO490" s="48"/>
      <c r="AP490" s="48"/>
      <c r="AQ490" s="51"/>
      <c r="AR490" s="52"/>
      <c r="AS490" s="46"/>
    </row>
    <row r="491" ht="21.25" customHeight="1">
      <c r="A491" s="53">
        <f>RANK(K491,K2:K730)</f>
        <v>515</v>
      </c>
      <c r="B491" t="s" s="8">
        <v>643</v>
      </c>
      <c r="C491" t="s" s="39">
        <v>106</v>
      </c>
      <c r="D491" t="s" s="40">
        <f>VLOOKUP(B491,'Player Data'!A1:D734,4,FALSE)</f>
        <v>129</v>
      </c>
      <c r="E491" s="56">
        <f>VLOOKUP(B491,'D'!A1:C228,3,FALSE)</f>
        <v>177</v>
      </c>
      <c r="F491" t="s" s="42">
        <f>VLOOKUP(B491,'Player Data'!A1:B734,2,FALSE)</f>
        <v>225</v>
      </c>
      <c r="G491" s="9">
        <f>VLOOKUP(B491,'Player Data'!A1:D734,3,FALSE)</f>
        <v>31</v>
      </c>
      <c r="H491" s="43">
        <f>_xlfn.IFERROR(VLOOKUP(B491,'ADP'!A1:G731,7,FALSE)/1000000,VLOOKUP(B491,'ADP'!A1:G731,7,FALSE))</f>
        <v>4.5</v>
      </c>
      <c r="I491" s="44">
        <f>IF('Settings'!$E$15="POINTS",((R491*Q491)*'Settings'!$B$12)+(S491*'Settings'!$B$2)+(T491*'Settings'!$B$3)+(U491*'Settings'!$B$4)+(V491*'Settings'!$B$5)+(X491*'Settings'!$B$9)+(AA491*'Settings'!$B$6)+(W491*'Settings'!$B$8)+(AB491*'Settings'!$B$7)+(AC491*'Settings'!$B$14)+(AD491*'Settings'!$B$15)+(AE491*'Settings'!$B$16)+(AF491*'Settings'!$B$17)+(AG491*'Settings'!$B$18)+(U491*'Settings'!$B$13)+(Y491*'Settings'!$B$10)+(Z491*'Settings'!$B$11),VLOOKUP(B491,'Standard Deviations'!A1:C731,3,FALSE))</f>
        <v>154.635274224243</v>
      </c>
      <c r="J491" s="45">
        <f>IF(D491="G",I491/AJ491,I491/Q491)</f>
        <v>2.12575862289196</v>
      </c>
      <c r="K491" s="44">
        <f>VLOOKUP(B491,'D'!A1:F228,6,FALSE)</f>
        <v>-186.099864422280</v>
      </c>
      <c r="L491" s="44">
        <f>_xlfn.IFERROR(K491/H491,"N/A")</f>
        <v>-41.3555254271733</v>
      </c>
      <c r="M491" t="s" s="61">
        <f>IF('Settings'!$E$9="YAHOO",VLOOKUP(B491,'ADP'!A1:E731,2,FALSE),IF('Settings'!$E$9="ESPN",VLOOKUP(B491,'ADP'!A1:E731,3,FALSE),IF('Settings'!$E$9="FANTRAX",VLOOKUP(B491,'ADP'!A1:E731,4,FALSE),VLOOKUP(B491,'ADP'!A1:E731,5,FALSE))))</f>
        <v>329</v>
      </c>
      <c r="N491" t="s" s="61">
        <f>_xlfn.IFERROR(M491-A491,"N/A")</f>
        <v>158</v>
      </c>
      <c r="O491" s="46"/>
      <c r="P491" t="s" s="47">
        <f>IF('Settings'!$E$27="ON",VLOOKUP(B491,'ADP'!A1:H731,8,FALSE)," ")</f>
        <v>109</v>
      </c>
      <c r="Q491" s="48">
        <f>IF('Settings'!$E$12="YES",VLOOKUP(B491,'Player Data'!A1:E734,5,FALSE),82)</f>
        <v>72.7435714285714</v>
      </c>
      <c r="R491" s="46">
        <f>VLOOKUP(B491,'Player Data'!$A1:$AE734,6,FALSE)</f>
        <v>16.4214313720407</v>
      </c>
      <c r="S491" s="48">
        <f>VLOOKUP(B491,'Player Data'!$A1:$AE734,7,FALSE)*$Q491*_xlfn.IFERROR((VLOOKUP(P491,'Settings'!$E$28:$F$33,2,FALSE)+1),1)</f>
        <v>2.28938031078132</v>
      </c>
      <c r="T491" s="48">
        <f>VLOOKUP(B491,'Player Data'!$A1:$AE734,8,FALSE)*$Q491*_xlfn.IFERROR((VLOOKUP(P491,'Settings'!$E$28:$F$33,2,FALSE)+1),1)</f>
        <v>10.1614197902116</v>
      </c>
      <c r="U491" s="48">
        <f>SUM(S491:T491)</f>
        <v>12.4508001009929</v>
      </c>
      <c r="V491" s="48">
        <f>VLOOKUP(B491,'Player Data'!$A1:$AE734,10,FALSE)*$Q491*_xlfn.IFERROR(((VLOOKUP(P491,'Settings'!$E$28:$F$33,2,FALSE)/2)+1),1)</f>
        <v>54.1512738586237</v>
      </c>
      <c r="W491" s="48">
        <f>VLOOKUP(B491,'Player Data'!$A1:$AE734,11,FALSE)*$Q491*_xlfn.IFERROR((VLOOKUP(P491,'Settings'!$E$28:$F$33,2,FALSE)+1),1)</f>
        <v>0.0132578348399825</v>
      </c>
      <c r="X491" s="48">
        <f>VLOOKUP(B491,'Player Data'!$A1:$AE734,12,FALSE)*$Q491*_xlfn.IFERROR((VLOOKUP(P491,'Settings'!$E$28:$F$33,2,FALSE)+1),1)</f>
        <v>0.0952760324008619</v>
      </c>
      <c r="Y491" s="48">
        <f>VLOOKUP(B491,'Player Data'!$A1:$AE734,13,FALSE)*$Q491</f>
        <v>0.0222259848439947</v>
      </c>
      <c r="Z491" s="48">
        <f>VLOOKUP(B491,'Player Data'!$A1:$AE734,14,FALSE)*$Q491</f>
        <v>0.554532910316141</v>
      </c>
      <c r="AA491" s="48">
        <f>VLOOKUP(B491,'Player Data'!$A1:$AE734,15,FALSE)*$Q491</f>
        <v>106.072278658291</v>
      </c>
      <c r="AB491" s="48">
        <f>VLOOKUP(B491,'Player Data'!$A1:$AE734,16,FALSE)*$Q491</f>
        <v>130.511845504010</v>
      </c>
      <c r="AC491" s="48">
        <f>VLOOKUP(B491,'Player Data'!$A1:$AE734,17,FALSE)*$Q491*_xlfn.IFERROR((VLOOKUP(P491,'Settings'!$E$28:$F$33,2,FALSE)+1),1)</f>
        <v>-7.04774501479225</v>
      </c>
      <c r="AD491" s="48">
        <f>VLOOKUP(B491,'Player Data'!$A1:$AE734,18,FALSE)*$Q491</f>
        <v>28.669131268492</v>
      </c>
      <c r="AE491" s="48">
        <f>VLOOKUP(B491,'Player Data'!$A1:$AE734,19,FALSE)*$Q491*_xlfn.IFERROR((VLOOKUP(P491,'Settings'!$E$28:$F$33,2,FALSE)+1),1)</f>
        <v>0.268273137825682</v>
      </c>
      <c r="AF491" s="48">
        <f>VLOOKUP(B491,'Player Data'!$A1:$AE734,20,FALSE)*$Q491</f>
        <v>0</v>
      </c>
      <c r="AG491" s="48">
        <f>VLOOKUP(B491,'Player Data'!$A1:$AE734,21,FALSE)*$Q491</f>
        <v>0</v>
      </c>
      <c r="AH491" s="49">
        <f>VLOOKUP(B491,'Player Data'!$A1:$AE734,22,FALSE)</f>
        <v>0</v>
      </c>
      <c r="AI491" s="46"/>
      <c r="AJ491" s="50"/>
      <c r="AK491" s="48"/>
      <c r="AL491" s="48"/>
      <c r="AM491" s="48"/>
      <c r="AN491" s="48"/>
      <c r="AO491" s="48"/>
      <c r="AP491" s="48"/>
      <c r="AQ491" s="51"/>
      <c r="AR491" s="52"/>
      <c r="AS491" s="46"/>
    </row>
    <row r="492" ht="21.25" customHeight="1">
      <c r="A492" s="53">
        <f>RANK(K492,K2:K730)</f>
        <v>454</v>
      </c>
      <c r="B492" t="s" s="8">
        <v>644</v>
      </c>
      <c r="C492" t="s" s="39">
        <v>106</v>
      </c>
      <c r="D492" t="s" s="40">
        <f>VLOOKUP(B492,'Player Data'!A1:D734,4,FALSE)</f>
        <v>107</v>
      </c>
      <c r="E492" s="41">
        <f>VLOOKUP(B492,'C'!A1:C218,3,FALSE)</f>
        <v>115</v>
      </c>
      <c r="F492" t="s" s="42">
        <f>VLOOKUP(B492,'Player Data'!A1:B734,2,FALSE)</f>
        <v>141</v>
      </c>
      <c r="G492" s="9">
        <f>VLOOKUP(B492,'Player Data'!A1:D734,3,FALSE)</f>
        <v>25</v>
      </c>
      <c r="H492" s="43">
        <f>_xlfn.IFERROR(VLOOKUP(B492,'ADP'!A1:G731,7,FALSE)/1000000,VLOOKUP(B492,'ADP'!A1:G731,7,FALSE))</f>
        <v>2.75</v>
      </c>
      <c r="I492" s="44">
        <f>IF('Settings'!$E$15="POINTS",((R492*Q492)*'Settings'!$B$12)+(S492*'Settings'!$B$2)+(T492*'Settings'!$B$3)+(U492*'Settings'!$B$4)+(V492*'Settings'!$B$5)+(X492*'Settings'!$B$9)+(AA492*'Settings'!$B$6)+(W492*'Settings'!$B$8)+(AB492*'Settings'!$B$7)+(AC492*'Settings'!$B$14)+(AD492*'Settings'!$B$15)+(AE492*'Settings'!$B$16)+(AF492*'Settings'!$B$17)+(AG492*'Settings'!$B$18)+(Y492*'Settings'!$B$10)+(Z492*'Settings'!$B$11),VLOOKUP(B492,'Standard Deviations'!A1:C731,3,FALSE))</f>
        <v>227.450367277641</v>
      </c>
      <c r="J492" s="45">
        <f>IF(D492="G",I492/AJ492,I492/Q492)</f>
        <v>3.23350288833296</v>
      </c>
      <c r="K492" s="44">
        <f>IF('Settings'!$E$18="C/LW/RW",VLOOKUP(B492,'C'!A1:F218,6,FALSE),VLOOKUP(B492,'F'!A1:F432,6,FALSE))</f>
        <v>-168.323834358374</v>
      </c>
      <c r="L492" s="44">
        <f>_xlfn.IFERROR(K492/H492,"N/A")</f>
        <v>-61.2086670394087</v>
      </c>
      <c r="M492" t="s" s="61">
        <f>IF('Settings'!$E$9="YAHOO",VLOOKUP(B492,'ADP'!A1:E731,2,FALSE),IF('Settings'!$E$9="ESPN",VLOOKUP(B492,'ADP'!A1:E731,3,FALSE),IF('Settings'!$E$9="FANTRAX",VLOOKUP(B492,'ADP'!A1:E731,4,FALSE),VLOOKUP(B492,'ADP'!A1:E731,5,FALSE))))</f>
        <v>329</v>
      </c>
      <c r="N492" t="s" s="61">
        <f>_xlfn.IFERROR(M492-A492,"N/A")</f>
        <v>158</v>
      </c>
      <c r="O492" s="46"/>
      <c r="P492" t="s" s="47">
        <f>IF('Settings'!$E$27="ON",VLOOKUP(B492,'ADP'!A1:H731,8,FALSE)," ")</f>
        <v>109</v>
      </c>
      <c r="Q492" s="48">
        <f>IF('Settings'!$E$12="YES",VLOOKUP(B492,'Player Data'!A1:E734,5,FALSE),82)</f>
        <v>70.34178571428571</v>
      </c>
      <c r="R492" s="46">
        <f>VLOOKUP(B492,'Player Data'!$A1:$AE734,6,FALSE)</f>
        <v>15.359567736059</v>
      </c>
      <c r="S492" s="48">
        <f>VLOOKUP(B492,'Player Data'!$A1:$AE734,7,FALSE)*$Q492*_xlfn.IFERROR((VLOOKUP(P492,'Settings'!$E$28:$F$33,2,FALSE)+1),1)</f>
        <v>12.8880665771038</v>
      </c>
      <c r="T492" s="48">
        <f>VLOOKUP(B492,'Player Data'!$A1:$AE734,8,FALSE)*$Q492*_xlfn.IFERROR((VLOOKUP(P492,'Settings'!$E$28:$F$33,2,FALSE)+1),1)</f>
        <v>13.8232289084968</v>
      </c>
      <c r="U492" s="48">
        <f>SUM(S492:T492)</f>
        <v>26.7112954856006</v>
      </c>
      <c r="V492" s="48">
        <f>VLOOKUP(B492,'Player Data'!$A1:$AE734,10,FALSE)*$Q492*_xlfn.IFERROR(((VLOOKUP(P492,'Settings'!$E$28:$F$33,2,FALSE)/2)+1),1)</f>
        <v>128.798705088694</v>
      </c>
      <c r="W492" s="48">
        <f>VLOOKUP(B492,'Player Data'!$A1:$AE734,11,FALSE)*$Q492*_xlfn.IFERROR((VLOOKUP(P492,'Settings'!$E$28:$F$33,2,FALSE)+1),1)</f>
        <v>2.30708044168121</v>
      </c>
      <c r="X492" s="48">
        <f>VLOOKUP(B492,'Player Data'!$A1:$AE734,12,FALSE)*$Q492*_xlfn.IFERROR((VLOOKUP(P492,'Settings'!$E$28:$F$33,2,FALSE)+1),1)</f>
        <v>5.81687155134749</v>
      </c>
      <c r="Y492" s="48">
        <f>VLOOKUP(B492,'Player Data'!$A1:$AE734,13,FALSE)*$Q492</f>
        <v>0.239113527101755</v>
      </c>
      <c r="Z492" s="48">
        <f>VLOOKUP(B492,'Player Data'!$A1:$AE734,14,FALSE)*$Q492</f>
        <v>0.401561254258935</v>
      </c>
      <c r="AA492" s="48">
        <f>VLOOKUP(B492,'Player Data'!$A1:$AE734,15,FALSE)*$Q492</f>
        <v>50.9551975387146</v>
      </c>
      <c r="AB492" s="48">
        <f>VLOOKUP(B492,'Player Data'!$A1:$AE734,16,FALSE)*$Q492</f>
        <v>149.217228531847</v>
      </c>
      <c r="AC492" s="48">
        <f>VLOOKUP(B492,'Player Data'!$A1:$AE734,17,FALSE)*$Q492*_xlfn.IFERROR((VLOOKUP(P492,'Settings'!$E$28:$F$33,2,FALSE)+1),1)</f>
        <v>-0.896830481215769</v>
      </c>
      <c r="AD492" s="48">
        <f>VLOOKUP(B492,'Player Data'!$A1:$AE734,18,FALSE)*$Q492</f>
        <v>55.254961478242</v>
      </c>
      <c r="AE492" s="48">
        <f>VLOOKUP(B492,'Player Data'!$A1:$AE734,19,FALSE)*$Q492*_xlfn.IFERROR((VLOOKUP(P492,'Settings'!$E$28:$F$33,2,FALSE)+1),1)</f>
        <v>1.60012762893886</v>
      </c>
      <c r="AF492" s="48">
        <f>VLOOKUP(B492,'Player Data'!$A1:$AE734,20,FALSE)*$Q492</f>
        <v>23.8253952471832</v>
      </c>
      <c r="AG492" s="48">
        <f>VLOOKUP(B492,'Player Data'!$A1:$AE734,21,FALSE)*$Q492</f>
        <v>33.6558050866617</v>
      </c>
      <c r="AH492" s="49">
        <f>VLOOKUP(B492,'Player Data'!$A1:$AE734,22,FALSE)</f>
        <v>0.414490217824396</v>
      </c>
      <c r="AI492" s="46"/>
      <c r="AJ492" s="50"/>
      <c r="AK492" s="48"/>
      <c r="AL492" s="48"/>
      <c r="AM492" s="48"/>
      <c r="AN492" s="48"/>
      <c r="AO492" s="48"/>
      <c r="AP492" s="48"/>
      <c r="AQ492" s="51"/>
      <c r="AR492" s="52"/>
      <c r="AS492" s="46"/>
    </row>
    <row r="493" ht="21.25" customHeight="1">
      <c r="A493" s="53">
        <f>RANK(K493,K2:K730)</f>
        <v>587</v>
      </c>
      <c r="B493" t="s" s="8">
        <v>645</v>
      </c>
      <c r="C493" t="s" s="39">
        <v>106</v>
      </c>
      <c r="D493" t="s" s="40">
        <f>VLOOKUP(B493,'Player Data'!A1:D734,4,FALSE)</f>
        <v>129</v>
      </c>
      <c r="E493" s="56">
        <f>VLOOKUP(B493,'D'!A1:C228,3,FALSE)</f>
        <v>199</v>
      </c>
      <c r="F493" t="s" s="42">
        <f>VLOOKUP(B493,'Player Data'!A1:B734,2,FALSE)</f>
        <v>238</v>
      </c>
      <c r="G493" s="9">
        <f>VLOOKUP(B493,'Player Data'!A1:D734,3,FALSE)</f>
        <v>31</v>
      </c>
      <c r="H493" s="43">
        <f>_xlfn.IFERROR(VLOOKUP(B493,'ADP'!A1:G731,7,FALSE)/1000000,VLOOKUP(B493,'ADP'!A1:G731,7,FALSE))</f>
        <v>1.108</v>
      </c>
      <c r="I493" s="44">
        <f>IF('Settings'!$E$15="POINTS",((R493*Q493)*'Settings'!$B$12)+(S493*'Settings'!$B$2)+(T493*'Settings'!$B$3)+(U493*'Settings'!$B$4)+(V493*'Settings'!$B$5)+(X493*'Settings'!$B$9)+(AA493*'Settings'!$B$6)+(W493*'Settings'!$B$8)+(AB493*'Settings'!$B$7)+(AC493*'Settings'!$B$14)+(AD493*'Settings'!$B$15)+(AE493*'Settings'!$B$16)+(AF493*'Settings'!$B$17)+(AG493*'Settings'!$B$18)+(U493*'Settings'!$B$13)+(Y493*'Settings'!$B$10)+(Z493*'Settings'!$B$11),VLOOKUP(B493,'Standard Deviations'!A1:C731,3,FALSE))</f>
        <v>128.041848092584</v>
      </c>
      <c r="J493" s="45">
        <f>IF(D493="G",I493/AJ493,I493/Q493)</f>
        <v>1.83667526298411</v>
      </c>
      <c r="K493" s="44">
        <f>VLOOKUP(B493,'D'!A1:F228,6,FALSE)</f>
        <v>-212.693290553939</v>
      </c>
      <c r="L493" s="44">
        <f>_xlfn.IFERROR(K493/H493,"N/A")</f>
        <v>-191.961453568537</v>
      </c>
      <c r="M493" t="s" s="61">
        <f>IF('Settings'!$E$9="YAHOO",VLOOKUP(B493,'ADP'!A1:E731,2,FALSE),IF('Settings'!$E$9="ESPN",VLOOKUP(B493,'ADP'!A1:E731,3,FALSE),IF('Settings'!$E$9="FANTRAX",VLOOKUP(B493,'ADP'!A1:E731,4,FALSE),VLOOKUP(B493,'ADP'!A1:E731,5,FALSE))))</f>
        <v>329</v>
      </c>
      <c r="N493" t="s" s="61">
        <f>_xlfn.IFERROR(M493-A493,"N/A")</f>
        <v>158</v>
      </c>
      <c r="O493" s="46"/>
      <c r="P493" t="s" s="47">
        <f>IF('Settings'!$E$27="ON",VLOOKUP(B493,'ADP'!A1:H731,8,FALSE)," ")</f>
        <v>109</v>
      </c>
      <c r="Q493" s="48">
        <f>IF('Settings'!$E$12="YES",VLOOKUP(B493,'Player Data'!A1:E734,5,FALSE),82)</f>
        <v>69.7139285714286</v>
      </c>
      <c r="R493" s="46">
        <f>VLOOKUP(B493,'Player Data'!$A1:$AE734,6,FALSE)</f>
        <v>14.7104584833884</v>
      </c>
      <c r="S493" s="48">
        <f>VLOOKUP(B493,'Player Data'!$A1:$AE734,7,FALSE)*$Q493*_xlfn.IFERROR((VLOOKUP(P493,'Settings'!$E$28:$F$33,2,FALSE)+1),1)</f>
        <v>2.18700345790104</v>
      </c>
      <c r="T493" s="48">
        <f>VLOOKUP(B493,'Player Data'!$A1:$AE734,8,FALSE)*$Q493*_xlfn.IFERROR((VLOOKUP(P493,'Settings'!$E$28:$F$33,2,FALSE)+1),1)</f>
        <v>9.50966518942673</v>
      </c>
      <c r="U493" s="48">
        <f>SUM(S493:T493)</f>
        <v>11.6966686473278</v>
      </c>
      <c r="V493" s="48">
        <f>VLOOKUP(B493,'Player Data'!$A1:$AE734,10,FALSE)*$Q493*_xlfn.IFERROR(((VLOOKUP(P493,'Settings'!$E$28:$F$33,2,FALSE)/2)+1),1)</f>
        <v>69.9783569804185</v>
      </c>
      <c r="W493" s="48">
        <f>VLOOKUP(B493,'Player Data'!$A1:$AE734,11,FALSE)*$Q493*_xlfn.IFERROR((VLOOKUP(P493,'Settings'!$E$28:$F$33,2,FALSE)+1),1)</f>
        <v>0.008534983736997801</v>
      </c>
      <c r="X493" s="48">
        <f>VLOOKUP(B493,'Player Data'!$A1:$AE734,12,FALSE)*$Q493*_xlfn.IFERROR((VLOOKUP(P493,'Settings'!$E$28:$F$33,2,FALSE)+1),1)</f>
        <v>0.106890004824521</v>
      </c>
      <c r="Y493" s="48">
        <f>VLOOKUP(B493,'Player Data'!$A1:$AE734,13,FALSE)*$Q493</f>
        <v>0.00916811779866631</v>
      </c>
      <c r="Z493" s="48">
        <f>VLOOKUP(B493,'Player Data'!$A1:$AE734,14,FALSE)*$Q493</f>
        <v>0.0357646349016249</v>
      </c>
      <c r="AA493" s="48">
        <f>VLOOKUP(B493,'Player Data'!$A1:$AE734,15,FALSE)*$Q493</f>
        <v>77.06077760667949</v>
      </c>
      <c r="AB493" s="48">
        <f>VLOOKUP(B493,'Player Data'!$A1:$AE734,16,FALSE)*$Q493</f>
        <v>64.32096160158849</v>
      </c>
      <c r="AC493" s="48">
        <f>VLOOKUP(B493,'Player Data'!$A1:$AE734,17,FALSE)*$Q493*_xlfn.IFERROR((VLOOKUP(P493,'Settings'!$E$28:$F$33,2,FALSE)+1),1)</f>
        <v>0.305479465437355</v>
      </c>
      <c r="AD493" s="48">
        <f>VLOOKUP(B493,'Player Data'!$A1:$AE734,18,FALSE)*$Q493</f>
        <v>17.746886436525</v>
      </c>
      <c r="AE493" s="48">
        <f>VLOOKUP(B493,'Player Data'!$A1:$AE734,19,FALSE)*$Q493*_xlfn.IFERROR((VLOOKUP(P493,'Settings'!$E$28:$F$33,2,FALSE)+1),1)</f>
        <v>0.36544445069181</v>
      </c>
      <c r="AF493" s="48">
        <f>VLOOKUP(B493,'Player Data'!$A1:$AE734,20,FALSE)*$Q493</f>
        <v>0.0429397067589178</v>
      </c>
      <c r="AG493" s="48">
        <f>VLOOKUP(B493,'Player Data'!$A1:$AE734,21,FALSE)*$Q493</f>
        <v>0.141934518170215</v>
      </c>
      <c r="AH493" s="49">
        <f>VLOOKUP(B493,'Player Data'!$A1:$AE734,22,FALSE)</f>
        <v>0.232264431536509</v>
      </c>
      <c r="AI493" s="46"/>
      <c r="AJ493" s="50"/>
      <c r="AK493" s="48"/>
      <c r="AL493" s="48"/>
      <c r="AM493" s="48"/>
      <c r="AN493" s="48"/>
      <c r="AO493" s="48"/>
      <c r="AP493" s="48"/>
      <c r="AQ493" s="51"/>
      <c r="AR493" s="52"/>
      <c r="AS493" s="46"/>
    </row>
    <row r="494" ht="21.25" customHeight="1">
      <c r="A494" s="53">
        <f>RANK(K494,K2:K730)</f>
        <v>554</v>
      </c>
      <c r="B494" t="s" s="8">
        <v>646</v>
      </c>
      <c r="C494" t="s" s="39">
        <v>106</v>
      </c>
      <c r="D494" t="s" s="40">
        <f>VLOOKUP(B494,'Player Data'!A1:D734,4,FALSE)</f>
        <v>129</v>
      </c>
      <c r="E494" s="56">
        <f>VLOOKUP(B494,'D'!A1:C228,3,FALSE)</f>
        <v>189</v>
      </c>
      <c r="F494" t="s" s="42">
        <f>VLOOKUP(B494,'Player Data'!A1:B734,2,FALSE)</f>
        <v>127</v>
      </c>
      <c r="G494" s="9">
        <f>VLOOKUP(B494,'Player Data'!A1:D734,3,FALSE)</f>
        <v>23</v>
      </c>
      <c r="H494" s="43">
        <f>_xlfn.IFERROR(VLOOKUP(B494,'ADP'!A1:G731,7,FALSE)/1000000,VLOOKUP(B494,'ADP'!A1:G731,7,FALSE))</f>
        <v>0</v>
      </c>
      <c r="I494" s="44">
        <f>IF('Settings'!$E$15="POINTS",((R494*Q494)*'Settings'!$B$12)+(S494*'Settings'!$B$2)+(T494*'Settings'!$B$3)+(U494*'Settings'!$B$4)+(V494*'Settings'!$B$5)+(X494*'Settings'!$B$9)+(AA494*'Settings'!$B$6)+(W494*'Settings'!$B$8)+(AB494*'Settings'!$B$7)+(AC494*'Settings'!$B$14)+(AD494*'Settings'!$B$15)+(AE494*'Settings'!$B$16)+(AF494*'Settings'!$B$17)+(AG494*'Settings'!$B$18)+(U494*'Settings'!$B$13)+(Y494*'Settings'!$B$10)+(Z494*'Settings'!$B$11),VLOOKUP(B494,'Standard Deviations'!A1:C731,3,FALSE))</f>
        <v>139.268795368150</v>
      </c>
      <c r="J494" s="45">
        <f>IF(D494="G",I494/AJ494,I494/Q494)</f>
        <v>1.93428882455764</v>
      </c>
      <c r="K494" s="44">
        <f>VLOOKUP(B494,'D'!A1:F228,6,FALSE)</f>
        <v>-201.466343278373</v>
      </c>
      <c r="L494" t="s" s="60">
        <f>_xlfn.IFERROR(K494/H494,"N/A")</f>
        <v>158</v>
      </c>
      <c r="M494" t="s" s="61">
        <f>IF('Settings'!$E$9="YAHOO",VLOOKUP(B494,'ADP'!A1:E731,2,FALSE),IF('Settings'!$E$9="ESPN",VLOOKUP(B494,'ADP'!A1:E731,3,FALSE),IF('Settings'!$E$9="FANTRAX",VLOOKUP(B494,'ADP'!A1:E731,4,FALSE),VLOOKUP(B494,'ADP'!A1:E731,5,FALSE))))</f>
        <v>329</v>
      </c>
      <c r="N494" t="s" s="61">
        <f>_xlfn.IFERROR(M494-A494,"N/A")</f>
        <v>158</v>
      </c>
      <c r="O494" s="46"/>
      <c r="P494" t="s" s="47">
        <f>IF('Settings'!$E$27="ON",VLOOKUP(B494,'ADP'!A1:H731,8,FALSE)," ")</f>
        <v>109</v>
      </c>
      <c r="Q494" s="48">
        <f>IF('Settings'!$E$12="YES",VLOOKUP(B494,'Player Data'!A1:E734,5,FALSE),82)</f>
        <v>72</v>
      </c>
      <c r="R494" s="46">
        <f>VLOOKUP(B494,'Player Data'!$A1:$AE734,6,FALSE)</f>
        <v>14.6392454892567</v>
      </c>
      <c r="S494" s="48">
        <f>VLOOKUP(B494,'Player Data'!$A1:$AE734,7,FALSE)*$Q494*_xlfn.IFERROR((VLOOKUP(P494,'Settings'!$E$28:$F$33,2,FALSE)+1),1)</f>
        <v>3.21693788297794</v>
      </c>
      <c r="T494" s="48">
        <f>VLOOKUP(B494,'Player Data'!$A1:$AE734,8,FALSE)*$Q494*_xlfn.IFERROR((VLOOKUP(P494,'Settings'!$E$28:$F$33,2,FALSE)+1),1)</f>
        <v>10.982697712530</v>
      </c>
      <c r="U494" s="48">
        <f>SUM(S494:T494)</f>
        <v>14.1996355955079</v>
      </c>
      <c r="V494" s="48">
        <f>VLOOKUP(B494,'Player Data'!$A1:$AE734,10,FALSE)*$Q494*_xlfn.IFERROR(((VLOOKUP(P494,'Settings'!$E$28:$F$33,2,FALSE)/2)+1),1)</f>
        <v>54.4232636746782</v>
      </c>
      <c r="W494" s="48">
        <f>VLOOKUP(B494,'Player Data'!$A1:$AE734,11,FALSE)*$Q494*_xlfn.IFERROR((VLOOKUP(P494,'Settings'!$E$28:$F$33,2,FALSE)+1),1)</f>
        <v>0.0244501666528649</v>
      </c>
      <c r="X494" s="48">
        <f>VLOOKUP(B494,'Player Data'!$A1:$AE734,12,FALSE)*$Q494*_xlfn.IFERROR((VLOOKUP(P494,'Settings'!$E$28:$F$33,2,FALSE)+1),1)</f>
        <v>0.166211001107249</v>
      </c>
      <c r="Y494" s="48">
        <f>VLOOKUP(B494,'Player Data'!$A1:$AE734,13,FALSE)*$Q494</f>
        <v>0.0671607034137916</v>
      </c>
      <c r="Z494" s="48">
        <f>VLOOKUP(B494,'Player Data'!$A1:$AE734,14,FALSE)*$Q494</f>
        <v>0.249532553545407</v>
      </c>
      <c r="AA494" s="48">
        <f>VLOOKUP(B494,'Player Data'!$A1:$AE734,15,FALSE)*$Q494</f>
        <v>74.8619444073413</v>
      </c>
      <c r="AB494" s="48">
        <f>VLOOKUP(B494,'Player Data'!$A1:$AE734,16,FALSE)*$Q494</f>
        <v>106.811250436236</v>
      </c>
      <c r="AC494" s="48">
        <f>VLOOKUP(B494,'Player Data'!$A1:$AE734,17,FALSE)*$Q494*_xlfn.IFERROR((VLOOKUP(P494,'Settings'!$E$28:$F$33,2,FALSE)+1),1)</f>
        <v>0.0133491719207243</v>
      </c>
      <c r="AD494" s="48">
        <f>VLOOKUP(B494,'Player Data'!$A1:$AE734,18,FALSE)*$Q494</f>
        <v>34.645028374761</v>
      </c>
      <c r="AE494" s="48">
        <f>VLOOKUP(B494,'Player Data'!$A1:$AE734,19,FALSE)*$Q494*_xlfn.IFERROR((VLOOKUP(P494,'Settings'!$E$28:$F$33,2,FALSE)+1),1)</f>
        <v>0.472819035030224</v>
      </c>
      <c r="AF494" s="48">
        <f>VLOOKUP(B494,'Player Data'!$A1:$AE734,20,FALSE)*$Q494</f>
        <v>0</v>
      </c>
      <c r="AG494" s="48">
        <f>VLOOKUP(B494,'Player Data'!$A1:$AE734,21,FALSE)*$Q494</f>
        <v>0</v>
      </c>
      <c r="AH494" s="49">
        <f>VLOOKUP(B494,'Player Data'!$A1:$AE734,22,FALSE)</f>
        <v>0</v>
      </c>
      <c r="AI494" s="46"/>
      <c r="AJ494" s="50"/>
      <c r="AK494" s="48"/>
      <c r="AL494" s="48"/>
      <c r="AM494" s="48"/>
      <c r="AN494" s="48"/>
      <c r="AO494" s="48"/>
      <c r="AP494" s="48"/>
      <c r="AQ494" s="51"/>
      <c r="AR494" s="52"/>
      <c r="AS494" s="46"/>
    </row>
    <row r="495" ht="21.25" customHeight="1">
      <c r="A495" s="53">
        <f>RANK(K495,K2:K730)</f>
        <v>520</v>
      </c>
      <c r="B495" t="s" s="8">
        <v>647</v>
      </c>
      <c r="C495" t="s" s="39">
        <v>106</v>
      </c>
      <c r="D495" t="s" s="40">
        <f>VLOOKUP(B495,'Player Data'!A1:D734,4,FALSE)</f>
        <v>129</v>
      </c>
      <c r="E495" s="56">
        <f>VLOOKUP(B495,'D'!A1:C228,3,FALSE)</f>
        <v>179</v>
      </c>
      <c r="F495" t="s" s="42">
        <f>VLOOKUP(B495,'Player Data'!A1:B734,2,FALSE)</f>
        <v>141</v>
      </c>
      <c r="G495" s="9">
        <f>VLOOKUP(B495,'Player Data'!A1:D734,3,FALSE)</f>
        <v>30</v>
      </c>
      <c r="H495" s="43">
        <f>_xlfn.IFERROR(VLOOKUP(B495,'ADP'!A1:G731,7,FALSE)/1000000,VLOOKUP(B495,'ADP'!A1:G731,7,FALSE))</f>
        <v>2.25</v>
      </c>
      <c r="I495" s="44">
        <f>IF('Settings'!$E$15="POINTS",((R495*Q495)*'Settings'!$B$12)+(S495*'Settings'!$B$2)+(T495*'Settings'!$B$3)+(U495*'Settings'!$B$4)+(V495*'Settings'!$B$5)+(X495*'Settings'!$B$9)+(AA495*'Settings'!$B$6)+(W495*'Settings'!$B$8)+(AB495*'Settings'!$B$7)+(AC495*'Settings'!$B$14)+(AD495*'Settings'!$B$15)+(AE495*'Settings'!$B$16)+(AF495*'Settings'!$B$17)+(AG495*'Settings'!$B$18)+(U495*'Settings'!$B$13)+(Y495*'Settings'!$B$10)+(Z495*'Settings'!$B$11),VLOOKUP(B495,'Standard Deviations'!A1:C731,3,FALSE))</f>
        <v>152.857488869655</v>
      </c>
      <c r="J495" s="45">
        <f>IF(D495="G",I495/AJ495,I495/Q495)</f>
        <v>2.2945668684328</v>
      </c>
      <c r="K495" s="44">
        <f>VLOOKUP(B495,'D'!A1:F228,6,FALSE)</f>
        <v>-187.877649776868</v>
      </c>
      <c r="L495" s="44">
        <f>_xlfn.IFERROR(K495/H495,"N/A")</f>
        <v>-83.501177678608</v>
      </c>
      <c r="M495" t="s" s="61">
        <f>IF('Settings'!$E$9="YAHOO",VLOOKUP(B495,'ADP'!A1:E731,2,FALSE),IF('Settings'!$E$9="ESPN",VLOOKUP(B495,'ADP'!A1:E731,3,FALSE),IF('Settings'!$E$9="FANTRAX",VLOOKUP(B495,'ADP'!A1:E731,4,FALSE),VLOOKUP(B495,'ADP'!A1:E731,5,FALSE))))</f>
        <v>329</v>
      </c>
      <c r="N495" t="s" s="61">
        <f>_xlfn.IFERROR(M495-A495,"N/A")</f>
        <v>158</v>
      </c>
      <c r="O495" s="46"/>
      <c r="P495" t="s" s="47">
        <f>IF('Settings'!$E$27="ON",VLOOKUP(B495,'ADP'!A1:H731,8,FALSE)," ")</f>
        <v>109</v>
      </c>
      <c r="Q495" s="48">
        <f>IF('Settings'!$E$12="YES",VLOOKUP(B495,'Player Data'!A1:E734,5,FALSE),82)</f>
        <v>66.61714285714289</v>
      </c>
      <c r="R495" s="46">
        <f>VLOOKUP(B495,'Player Data'!$A1:$AE734,6,FALSE)</f>
        <v>16.6649331566183</v>
      </c>
      <c r="S495" s="48">
        <f>VLOOKUP(B495,'Player Data'!$A1:$AE734,7,FALSE)*$Q495*_xlfn.IFERROR((VLOOKUP(P495,'Settings'!$E$28:$F$33,2,FALSE)+1),1)</f>
        <v>2.66989514000566</v>
      </c>
      <c r="T495" s="48">
        <f>VLOOKUP(B495,'Player Data'!$A1:$AE734,8,FALSE)*$Q495*_xlfn.IFERROR((VLOOKUP(P495,'Settings'!$E$28:$F$33,2,FALSE)+1),1)</f>
        <v>7.03158667468476</v>
      </c>
      <c r="U495" s="48">
        <f>SUM(S495:T495)</f>
        <v>9.701481814690419</v>
      </c>
      <c r="V495" s="48">
        <f>VLOOKUP(B495,'Player Data'!$A1:$AE734,10,FALSE)*$Q495*_xlfn.IFERROR(((VLOOKUP(P495,'Settings'!$E$28:$F$33,2,FALSE)/2)+1),1)</f>
        <v>67.1285822038576</v>
      </c>
      <c r="W495" s="48">
        <f>VLOOKUP(B495,'Player Data'!$A1:$AE734,11,FALSE)*$Q495*_xlfn.IFERROR((VLOOKUP(P495,'Settings'!$E$28:$F$33,2,FALSE)+1),1)</f>
        <v>0.0951620264552557</v>
      </c>
      <c r="X495" s="48">
        <f>VLOOKUP(B495,'Player Data'!$A1:$AE734,12,FALSE)*$Q495*_xlfn.IFERROR((VLOOKUP(P495,'Settings'!$E$28:$F$33,2,FALSE)+1),1)</f>
        <v>0.662035579508591</v>
      </c>
      <c r="Y495" s="48">
        <f>VLOOKUP(B495,'Player Data'!$A1:$AE734,13,FALSE)*$Q495</f>
        <v>0.0299754126033984</v>
      </c>
      <c r="Z495" s="48">
        <f>VLOOKUP(B495,'Player Data'!$A1:$AE734,14,FALSE)*$Q495</f>
        <v>0.113976902813777</v>
      </c>
      <c r="AA495" s="48">
        <f>VLOOKUP(B495,'Player Data'!$A1:$AE734,15,FALSE)*$Q495</f>
        <v>103.522442338795</v>
      </c>
      <c r="AB495" s="48">
        <f>VLOOKUP(B495,'Player Data'!$A1:$AE734,16,FALSE)*$Q495</f>
        <v>136.778938554487</v>
      </c>
      <c r="AC495" s="48">
        <f>VLOOKUP(B495,'Player Data'!$A1:$AE734,17,FALSE)*$Q495*_xlfn.IFERROR((VLOOKUP(P495,'Settings'!$E$28:$F$33,2,FALSE)+1),1)</f>
        <v>-0.678614638920949</v>
      </c>
      <c r="AD495" s="48">
        <f>VLOOKUP(B495,'Player Data'!$A1:$AE734,18,FALSE)*$Q495</f>
        <v>34.0649834490368</v>
      </c>
      <c r="AE495" s="48">
        <f>VLOOKUP(B495,'Player Data'!$A1:$AE734,19,FALSE)*$Q495*_xlfn.IFERROR((VLOOKUP(P495,'Settings'!$E$28:$F$33,2,FALSE)+1),1)</f>
        <v>0.331482845338674</v>
      </c>
      <c r="AF495" s="48">
        <f>VLOOKUP(B495,'Player Data'!$A1:$AE734,20,FALSE)*$Q495</f>
        <v>0</v>
      </c>
      <c r="AG495" s="48">
        <f>VLOOKUP(B495,'Player Data'!$A1:$AE734,21,FALSE)*$Q495</f>
        <v>0</v>
      </c>
      <c r="AH495" s="49">
        <f>VLOOKUP(B495,'Player Data'!$A1:$AE734,22,FALSE)</f>
        <v>0</v>
      </c>
      <c r="AI495" s="46"/>
      <c r="AJ495" s="50"/>
      <c r="AK495" s="48"/>
      <c r="AL495" s="48"/>
      <c r="AM495" s="48"/>
      <c r="AN495" s="48"/>
      <c r="AO495" s="48"/>
      <c r="AP495" s="48"/>
      <c r="AQ495" s="51"/>
      <c r="AR495" s="52"/>
      <c r="AS495" s="46"/>
    </row>
    <row r="496" ht="21.25" customHeight="1">
      <c r="A496" s="53">
        <f>RANK(K496,K2:K730)</f>
        <v>460</v>
      </c>
      <c r="B496" t="s" s="8">
        <v>648</v>
      </c>
      <c r="C496" t="s" s="39">
        <v>106</v>
      </c>
      <c r="D496" t="s" s="40">
        <f>VLOOKUP(B496,'Player Data'!A1:D734,4,FALSE)</f>
        <v>133</v>
      </c>
      <c r="E496" s="57">
        <f>VLOOKUP(B496,'LW'!A1:C156,3,FALSE)</f>
        <v>101</v>
      </c>
      <c r="F496" t="s" s="42">
        <f>VLOOKUP(B496,'Player Data'!A1:B734,2,FALSE)</f>
        <v>108</v>
      </c>
      <c r="G496" s="9">
        <f>VLOOKUP(B496,'Player Data'!A1:D734,3,FALSE)</f>
        <v>27</v>
      </c>
      <c r="H496" s="43">
        <f>_xlfn.IFERROR(VLOOKUP(B496,'ADP'!A1:G731,7,FALSE)/1000000,VLOOKUP(B496,'ADP'!A1:G731,7,FALSE))</f>
        <v>2.75</v>
      </c>
      <c r="I496" s="44">
        <f>IF('Settings'!$E$15="POINTS",((R496*Q496)*'Settings'!$B$12)+(S496*'Settings'!$B$2)+(T496*'Settings'!$B$3)+(U496*'Settings'!$B$4)+(V496*'Settings'!$B$5)+(X496*'Settings'!$B$9)+(AA496*'Settings'!$B$6)+(W496*'Settings'!$B$8)+(AB496*'Settings'!$B$7)+(AC496*'Settings'!$B$14)+(AD496*'Settings'!$B$15)+(AE496*'Settings'!$B$16)+(AF496*'Settings'!$B$17)+(AG496*'Settings'!$B$18)+(Y496*'Settings'!$B$10)+(Z496*'Settings'!$B$11),VLOOKUP(B496,'Standard Deviations'!A1:C731,3,FALSE))</f>
        <v>210.984463883682</v>
      </c>
      <c r="J496" s="45">
        <f>IF(D496="G",I496/AJ496,I496/Q496)</f>
        <v>2.67311842530649</v>
      </c>
      <c r="K496" s="44">
        <f>IF('Settings'!$E$18="C/LW/RW",VLOOKUP(B496,'LW'!A1:F156,6,FALSE),VLOOKUP(B496,'F'!A1:F432,6,FALSE))</f>
        <v>-170.644099822674</v>
      </c>
      <c r="L496" s="44">
        <f>_xlfn.IFERROR(K496/H496,"N/A")</f>
        <v>-62.0523999355178</v>
      </c>
      <c r="M496" t="s" s="61">
        <f>IF('Settings'!$E$9="YAHOO",VLOOKUP(B496,'ADP'!A1:E731,2,FALSE),IF('Settings'!$E$9="ESPN",VLOOKUP(B496,'ADP'!A1:E731,3,FALSE),IF('Settings'!$E$9="FANTRAX",VLOOKUP(B496,'ADP'!A1:E731,4,FALSE),VLOOKUP(B496,'ADP'!A1:E731,5,FALSE))))</f>
        <v>329</v>
      </c>
      <c r="N496" t="s" s="61">
        <f>_xlfn.IFERROR(M496-A496,"N/A")</f>
        <v>158</v>
      </c>
      <c r="O496" s="46"/>
      <c r="P496" t="s" s="47">
        <f>IF('Settings'!$E$27="ON",VLOOKUP(B496,'ADP'!A1:H731,8,FALSE)," ")</f>
        <v>109</v>
      </c>
      <c r="Q496" s="48">
        <f>IF('Settings'!$E$12="YES",VLOOKUP(B496,'Player Data'!A1:E734,5,FALSE),82)</f>
        <v>78.9282142857143</v>
      </c>
      <c r="R496" s="46">
        <f>VLOOKUP(B496,'Player Data'!$A1:$AE734,6,FALSE)</f>
        <v>12.301779787211</v>
      </c>
      <c r="S496" s="48">
        <f>VLOOKUP(B496,'Player Data'!$A1:$AE734,7,FALSE)*$Q496*_xlfn.IFERROR((VLOOKUP(P496,'Settings'!$E$28:$F$33,2,FALSE)+1),1)</f>
        <v>12.5950642615923</v>
      </c>
      <c r="T496" s="48">
        <f>VLOOKUP(B496,'Player Data'!$A1:$AE734,8,FALSE)*$Q496*_xlfn.IFERROR((VLOOKUP(P496,'Settings'!$E$28:$F$33,2,FALSE)+1),1)</f>
        <v>15.458551026407</v>
      </c>
      <c r="U496" s="48">
        <f>SUM(S496:T496)</f>
        <v>28.0536152879993</v>
      </c>
      <c r="V496" s="48">
        <f>VLOOKUP(B496,'Player Data'!$A1:$AE734,10,FALSE)*$Q496*_xlfn.IFERROR(((VLOOKUP(P496,'Settings'!$E$28:$F$33,2,FALSE)/2)+1),1)</f>
        <v>136.254182997342</v>
      </c>
      <c r="W496" s="48">
        <f>VLOOKUP(B496,'Player Data'!$A1:$AE734,11,FALSE)*$Q496*_xlfn.IFERROR((VLOOKUP(P496,'Settings'!$E$28:$F$33,2,FALSE)+1),1)</f>
        <v>0.493267028868403</v>
      </c>
      <c r="X496" s="48">
        <f>VLOOKUP(B496,'Player Data'!$A1:$AE734,12,FALSE)*$Q496*_xlfn.IFERROR((VLOOKUP(P496,'Settings'!$E$28:$F$33,2,FALSE)+1),1)</f>
        <v>0.980151740399911</v>
      </c>
      <c r="Y496" s="48">
        <f>VLOOKUP(B496,'Player Data'!$A1:$AE734,13,FALSE)*$Q496</f>
        <v>0.269961841355557</v>
      </c>
      <c r="Z496" s="48">
        <f>VLOOKUP(B496,'Player Data'!$A1:$AE734,14,FALSE)*$Q496</f>
        <v>0.311880881575849</v>
      </c>
      <c r="AA496" s="48">
        <f>VLOOKUP(B496,'Player Data'!$A1:$AE734,15,FALSE)*$Q496</f>
        <v>22.984413723874</v>
      </c>
      <c r="AB496" s="48">
        <f>VLOOKUP(B496,'Player Data'!$A1:$AE734,16,FALSE)*$Q496</f>
        <v>110.751846014143</v>
      </c>
      <c r="AC496" s="48">
        <f>VLOOKUP(B496,'Player Data'!$A1:$AE734,17,FALSE)*$Q496*_xlfn.IFERROR((VLOOKUP(P496,'Settings'!$E$28:$F$33,2,FALSE)+1),1)</f>
        <v>5.89063550471854</v>
      </c>
      <c r="AD496" s="48">
        <f>VLOOKUP(B496,'Player Data'!$A1:$AE734,18,FALSE)*$Q496</f>
        <v>26.615937062642</v>
      </c>
      <c r="AE496" s="48">
        <f>VLOOKUP(B496,'Player Data'!$A1:$AE734,19,FALSE)*$Q496*_xlfn.IFERROR((VLOOKUP(P496,'Settings'!$E$28:$F$33,2,FALSE)+1),1)</f>
        <v>1.99366345674925</v>
      </c>
      <c r="AF496" s="48">
        <f>VLOOKUP(B496,'Player Data'!$A1:$AE734,20,FALSE)*$Q496</f>
        <v>10.4298558597354</v>
      </c>
      <c r="AG496" s="48">
        <f>VLOOKUP(B496,'Player Data'!$A1:$AE734,21,FALSE)*$Q496</f>
        <v>10.268154336689</v>
      </c>
      <c r="AH496" s="49">
        <f>VLOOKUP(B496,'Player Data'!$A1:$AE734,22,FALSE)</f>
        <v>0.503906209377423</v>
      </c>
      <c r="AI496" s="46"/>
      <c r="AJ496" s="50"/>
      <c r="AK496" s="48"/>
      <c r="AL496" s="48"/>
      <c r="AM496" s="48"/>
      <c r="AN496" s="48"/>
      <c r="AO496" s="48"/>
      <c r="AP496" s="48"/>
      <c r="AQ496" s="51"/>
      <c r="AR496" s="52"/>
      <c r="AS496" s="46"/>
    </row>
    <row r="497" ht="21.25" customHeight="1">
      <c r="A497" s="53">
        <f>RANK(K497,K2:K730)</f>
        <v>481</v>
      </c>
      <c r="B497" t="s" s="8">
        <v>649</v>
      </c>
      <c r="C497" t="s" s="39">
        <v>106</v>
      </c>
      <c r="D497" t="s" s="40">
        <f>VLOOKUP(B497,'Player Data'!A1:D734,4,FALSE)</f>
        <v>133</v>
      </c>
      <c r="E497" s="57">
        <f>VLOOKUP(B497,'LW'!A1:C156,3,FALSE)</f>
        <v>107</v>
      </c>
      <c r="F497" t="s" s="42">
        <f>VLOOKUP(B497,'Player Data'!A1:B734,2,FALSE)</f>
        <v>202</v>
      </c>
      <c r="G497" s="9">
        <f>VLOOKUP(B497,'Player Data'!A1:D734,3,FALSE)</f>
        <v>31</v>
      </c>
      <c r="H497" s="43">
        <f>_xlfn.IFERROR(VLOOKUP(B497,'ADP'!A1:G731,7,FALSE)/1000000,VLOOKUP(B497,'ADP'!A1:G731,7,FALSE))</f>
        <v>1.8</v>
      </c>
      <c r="I497" s="44">
        <f>IF('Settings'!$E$15="POINTS",((R497*Q497)*'Settings'!$B$12)+(S497*'Settings'!$B$2)+(T497*'Settings'!$B$3)+(U497*'Settings'!$B$4)+(V497*'Settings'!$B$5)+(X497*'Settings'!$B$9)+(AA497*'Settings'!$B$6)+(W497*'Settings'!$B$8)+(AB497*'Settings'!$B$7)+(AC497*'Settings'!$B$14)+(AD497*'Settings'!$B$15)+(AE497*'Settings'!$B$16)+(AF497*'Settings'!$B$17)+(AG497*'Settings'!$B$18)+(Y497*'Settings'!$B$10)+(Z497*'Settings'!$B$11),VLOOKUP(B497,'Standard Deviations'!A1:C731,3,FALSE))</f>
        <v>205.318996374199</v>
      </c>
      <c r="J497" s="45">
        <f>IF(D497="G",I497/AJ497,I497/Q497)</f>
        <v>2.66266431620617</v>
      </c>
      <c r="K497" s="44">
        <f>IF('Settings'!$E$18="C/LW/RW",VLOOKUP(B497,'LW'!A1:F156,6,FALSE),VLOOKUP(B497,'F'!A1:F432,6,FALSE))</f>
        <v>-176.309567332157</v>
      </c>
      <c r="L497" s="44">
        <f>_xlfn.IFERROR(K497/H497,"N/A")</f>
        <v>-97.9497596289761</v>
      </c>
      <c r="M497" t="s" s="61">
        <f>IF('Settings'!$E$9="YAHOO",VLOOKUP(B497,'ADP'!A1:E731,2,FALSE),IF('Settings'!$E$9="ESPN",VLOOKUP(B497,'ADP'!A1:E731,3,FALSE),IF('Settings'!$E$9="FANTRAX",VLOOKUP(B497,'ADP'!A1:E731,4,FALSE),VLOOKUP(B497,'ADP'!A1:E731,5,FALSE))))</f>
        <v>329</v>
      </c>
      <c r="N497" t="s" s="61">
        <f>_xlfn.IFERROR(M497-A497,"N/A")</f>
        <v>158</v>
      </c>
      <c r="O497" s="46"/>
      <c r="P497" t="s" s="47">
        <f>IF('Settings'!$E$27="ON",VLOOKUP(B497,'ADP'!A1:H731,8,FALSE)," ")</f>
        <v>109</v>
      </c>
      <c r="Q497" s="48">
        <f>IF('Settings'!$E$12="YES",VLOOKUP(B497,'Player Data'!A1:E734,5,FALSE),82)</f>
        <v>77.1103571428571</v>
      </c>
      <c r="R497" s="46">
        <f>VLOOKUP(B497,'Player Data'!$A1:$AE734,6,FALSE)</f>
        <v>14.9683511553716</v>
      </c>
      <c r="S497" s="48">
        <f>VLOOKUP(B497,'Player Data'!$A1:$AE734,7,FALSE)*$Q497*_xlfn.IFERROR((VLOOKUP(P497,'Settings'!$E$28:$F$33,2,FALSE)+1),1)</f>
        <v>10.2184046359533</v>
      </c>
      <c r="T497" s="48">
        <f>VLOOKUP(B497,'Player Data'!$A1:$AE734,8,FALSE)*$Q497*_xlfn.IFERROR((VLOOKUP(P497,'Settings'!$E$28:$F$33,2,FALSE)+1),1)</f>
        <v>17.1348626769551</v>
      </c>
      <c r="U497" s="48">
        <f>SUM(S497:T497)</f>
        <v>27.3532673129084</v>
      </c>
      <c r="V497" s="48">
        <f>VLOOKUP(B497,'Player Data'!$A1:$AE734,10,FALSE)*$Q497*_xlfn.IFERROR(((VLOOKUP(P497,'Settings'!$E$28:$F$33,2,FALSE)/2)+1),1)</f>
        <v>140.874031854561</v>
      </c>
      <c r="W497" s="48">
        <f>VLOOKUP(B497,'Player Data'!$A1:$AE734,11,FALSE)*$Q497*_xlfn.IFERROR((VLOOKUP(P497,'Settings'!$E$28:$F$33,2,FALSE)+1),1)</f>
        <v>0.0497091999574989</v>
      </c>
      <c r="X497" s="48">
        <f>VLOOKUP(B497,'Player Data'!$A1:$AE734,12,FALSE)*$Q497*_xlfn.IFERROR((VLOOKUP(P497,'Settings'!$E$28:$F$33,2,FALSE)+1),1)</f>
        <v>0.129947851304619</v>
      </c>
      <c r="Y497" s="48">
        <f>VLOOKUP(B497,'Player Data'!$A1:$AE734,13,FALSE)*$Q497</f>
        <v>0.145290674959907</v>
      </c>
      <c r="Z497" s="48">
        <f>VLOOKUP(B497,'Player Data'!$A1:$AE734,14,FALSE)*$Q497</f>
        <v>0.460713778839826</v>
      </c>
      <c r="AA497" s="48">
        <f>VLOOKUP(B497,'Player Data'!$A1:$AE734,15,FALSE)*$Q497</f>
        <v>29.4084251254508</v>
      </c>
      <c r="AB497" s="48">
        <f>VLOOKUP(B497,'Player Data'!$A1:$AE734,16,FALSE)*$Q497</f>
        <v>87.4757257354327</v>
      </c>
      <c r="AC497" s="48">
        <f>VLOOKUP(B497,'Player Data'!$A1:$AE734,17,FALSE)*$Q497*_xlfn.IFERROR((VLOOKUP(P497,'Settings'!$E$28:$F$33,2,FALSE)+1),1)</f>
        <v>6.08243823307814</v>
      </c>
      <c r="AD497" s="48">
        <f>VLOOKUP(B497,'Player Data'!$A1:$AE734,18,FALSE)*$Q497</f>
        <v>46.0798962240664</v>
      </c>
      <c r="AE497" s="48">
        <f>VLOOKUP(B497,'Player Data'!$A1:$AE734,19,FALSE)*$Q497*_xlfn.IFERROR((VLOOKUP(P497,'Settings'!$E$28:$F$33,2,FALSE)+1),1)</f>
        <v>1.83341059907309</v>
      </c>
      <c r="AF497" s="48">
        <f>VLOOKUP(B497,'Player Data'!$A1:$AE734,20,FALSE)*$Q497</f>
        <v>39.5022734824576</v>
      </c>
      <c r="AG497" s="48">
        <f>VLOOKUP(B497,'Player Data'!$A1:$AE734,21,FALSE)*$Q497</f>
        <v>47.5636813365103</v>
      </c>
      <c r="AH497" s="49">
        <f>VLOOKUP(B497,'Player Data'!$A1:$AE734,22,FALSE)</f>
        <v>0.45370516598127</v>
      </c>
      <c r="AI497" s="46"/>
      <c r="AJ497" s="50"/>
      <c r="AK497" s="48"/>
      <c r="AL497" s="48"/>
      <c r="AM497" s="48"/>
      <c r="AN497" s="48"/>
      <c r="AO497" s="48"/>
      <c r="AP497" s="48"/>
      <c r="AQ497" s="51"/>
      <c r="AR497" s="52"/>
      <c r="AS497" s="46"/>
    </row>
    <row r="498" ht="21.25" customHeight="1">
      <c r="A498" s="53">
        <f>RANK(K498,K2:K730)</f>
        <v>636</v>
      </c>
      <c r="B498" t="s" s="8">
        <v>650</v>
      </c>
      <c r="C498" t="s" s="39">
        <v>106</v>
      </c>
      <c r="D498" t="s" s="40">
        <f>VLOOKUP(B498,'Player Data'!A1:D734,4,FALSE)</f>
        <v>129</v>
      </c>
      <c r="E498" s="56">
        <f>VLOOKUP(B498,'D'!A1:C228,3,FALSE)</f>
        <v>212</v>
      </c>
      <c r="F498" t="s" s="42">
        <f>VLOOKUP(B498,'Player Data'!A1:B734,2,FALSE)</f>
        <v>156</v>
      </c>
      <c r="G498" s="9">
        <f>VLOOKUP(B498,'Player Data'!A1:D734,3,FALSE)</f>
        <v>28</v>
      </c>
      <c r="H498" s="43">
        <f>_xlfn.IFERROR(VLOOKUP(B498,'ADP'!A1:G731,7,FALSE)/1000000,VLOOKUP(B498,'ADP'!A1:G731,7,FALSE))</f>
        <v>0</v>
      </c>
      <c r="I498" s="44">
        <f>IF('Settings'!$E$15="POINTS",((R498*Q498)*'Settings'!$B$12)+(S498*'Settings'!$B$2)+(T498*'Settings'!$B$3)+(U498*'Settings'!$B$4)+(V498*'Settings'!$B$5)+(X498*'Settings'!$B$9)+(AA498*'Settings'!$B$6)+(W498*'Settings'!$B$8)+(AB498*'Settings'!$B$7)+(AC498*'Settings'!$B$14)+(AD498*'Settings'!$B$15)+(AE498*'Settings'!$B$16)+(AF498*'Settings'!$B$17)+(AG498*'Settings'!$B$18)+(U498*'Settings'!$B$13)+(Y498*'Settings'!$B$10)+(Z498*'Settings'!$B$11),VLOOKUP(B498,'Standard Deviations'!A1:C731,3,FALSE))</f>
        <v>114.221269781745</v>
      </c>
      <c r="J498" s="45">
        <f>IF(D498="G",I498/AJ498,I498/Q498)</f>
        <v>1.93798321116475</v>
      </c>
      <c r="K498" s="44">
        <f>VLOOKUP(B498,'D'!A1:F228,6,FALSE)</f>
        <v>-226.513868864778</v>
      </c>
      <c r="L498" t="s" s="60">
        <f>_xlfn.IFERROR(K498/H498,"N/A")</f>
        <v>158</v>
      </c>
      <c r="M498" t="s" s="61">
        <f>IF('Settings'!$E$9="YAHOO",VLOOKUP(B498,'ADP'!A1:E731,2,FALSE),IF('Settings'!$E$9="ESPN",VLOOKUP(B498,'ADP'!A1:E731,3,FALSE),IF('Settings'!$E$9="FANTRAX",VLOOKUP(B498,'ADP'!A1:E731,4,FALSE),VLOOKUP(B498,'ADP'!A1:E731,5,FALSE))))</f>
        <v>329</v>
      </c>
      <c r="N498" t="s" s="61">
        <f>_xlfn.IFERROR(M498-A498,"N/A")</f>
        <v>158</v>
      </c>
      <c r="O498" s="46"/>
      <c r="P498" t="s" s="47">
        <f>IF('Settings'!$E$27="ON",VLOOKUP(B498,'ADP'!A1:H731,8,FALSE)," ")</f>
        <v>109</v>
      </c>
      <c r="Q498" s="48">
        <f>IF('Settings'!$E$12="YES",VLOOKUP(B498,'Player Data'!A1:E734,5,FALSE),82)</f>
        <v>58.9382142857143</v>
      </c>
      <c r="R498" s="46">
        <f>VLOOKUP(B498,'Player Data'!$A1:$AE734,6,FALSE)</f>
        <v>15.3284470019055</v>
      </c>
      <c r="S498" s="48">
        <f>VLOOKUP(B498,'Player Data'!$A1:$AE734,7,FALSE)*$Q498*_xlfn.IFERROR((VLOOKUP(P498,'Settings'!$E$28:$F$33,2,FALSE)+1),1)</f>
        <v>2.3796857128817</v>
      </c>
      <c r="T498" s="48">
        <f>VLOOKUP(B498,'Player Data'!$A1:$AE734,8,FALSE)*$Q498*_xlfn.IFERROR((VLOOKUP(P498,'Settings'!$E$28:$F$33,2,FALSE)+1),1)</f>
        <v>10.5755786715176</v>
      </c>
      <c r="U498" s="48">
        <f>SUM(S498:T498)</f>
        <v>12.9552643843993</v>
      </c>
      <c r="V498" s="48">
        <f>VLOOKUP(B498,'Player Data'!$A1:$AE734,10,FALSE)*$Q498*_xlfn.IFERROR(((VLOOKUP(P498,'Settings'!$E$28:$F$33,2,FALSE)/2)+1),1)</f>
        <v>60.9866166516569</v>
      </c>
      <c r="W498" s="48">
        <f>VLOOKUP(B498,'Player Data'!$A1:$AE734,11,FALSE)*$Q498*_xlfn.IFERROR((VLOOKUP(P498,'Settings'!$E$28:$F$33,2,FALSE)+1),1)</f>
        <v>0.121917787198201</v>
      </c>
      <c r="X498" s="48">
        <f>VLOOKUP(B498,'Player Data'!$A1:$AE734,12,FALSE)*$Q498*_xlfn.IFERROR((VLOOKUP(P498,'Settings'!$E$28:$F$33,2,FALSE)+1),1)</f>
        <v>1.25983777285519</v>
      </c>
      <c r="Y498" s="48">
        <f>VLOOKUP(B498,'Player Data'!$A1:$AE734,13,FALSE)*$Q498</f>
        <v>0.00654267717836792</v>
      </c>
      <c r="Z498" s="48">
        <f>VLOOKUP(B498,'Player Data'!$A1:$AE734,14,FALSE)*$Q498</f>
        <v>0.0247638106233141</v>
      </c>
      <c r="AA498" s="48">
        <f>VLOOKUP(B498,'Player Data'!$A1:$AE734,15,FALSE)*$Q498</f>
        <v>56.6587582138914</v>
      </c>
      <c r="AB498" s="48">
        <f>VLOOKUP(B498,'Player Data'!$A1:$AE734,16,FALSE)*$Q498</f>
        <v>51.6549320208139</v>
      </c>
      <c r="AC498" s="48">
        <f>VLOOKUP(B498,'Player Data'!$A1:$AE734,17,FALSE)*$Q498*_xlfn.IFERROR((VLOOKUP(P498,'Settings'!$E$28:$F$33,2,FALSE)+1),1)</f>
        <v>0.3281908766607</v>
      </c>
      <c r="AD498" s="48">
        <f>VLOOKUP(B498,'Player Data'!$A1:$AE734,18,FALSE)*$Q498</f>
        <v>20.9196937299151</v>
      </c>
      <c r="AE498" s="48">
        <f>VLOOKUP(B498,'Player Data'!$A1:$AE734,19,FALSE)*$Q498*_xlfn.IFERROR((VLOOKUP(P498,'Settings'!$E$28:$F$33,2,FALSE)+1),1)</f>
        <v>0.336867474136361</v>
      </c>
      <c r="AF498" s="48">
        <f>VLOOKUP(B498,'Player Data'!$A1:$AE734,20,FALSE)*$Q498</f>
        <v>0</v>
      </c>
      <c r="AG498" s="48">
        <f>VLOOKUP(B498,'Player Data'!$A1:$AE734,21,FALSE)*$Q498</f>
        <v>0</v>
      </c>
      <c r="AH498" s="49">
        <f>VLOOKUP(B498,'Player Data'!$A1:$AE734,22,FALSE)</f>
        <v>0</v>
      </c>
      <c r="AI498" s="46"/>
      <c r="AJ498" s="50"/>
      <c r="AK498" s="48"/>
      <c r="AL498" s="48"/>
      <c r="AM498" s="48"/>
      <c r="AN498" s="48"/>
      <c r="AO498" s="48"/>
      <c r="AP498" s="48"/>
      <c r="AQ498" s="51"/>
      <c r="AR498" s="52"/>
      <c r="AS498" s="46"/>
    </row>
    <row r="499" ht="21.25" customHeight="1">
      <c r="A499" s="53">
        <f>RANK(K499,K2:K730)</f>
        <v>621</v>
      </c>
      <c r="B499" t="s" s="8">
        <v>651</v>
      </c>
      <c r="C499" t="s" s="39">
        <v>106</v>
      </c>
      <c r="D499" t="s" s="40">
        <f>VLOOKUP(B499,'Player Data'!A1:D734,4,FALSE)</f>
        <v>129</v>
      </c>
      <c r="E499" s="56">
        <f>VLOOKUP(B499,'D'!A1:C228,3,FALSE)</f>
        <v>208</v>
      </c>
      <c r="F499" t="s" s="42">
        <f>VLOOKUP(B499,'Player Data'!A1:B734,2,FALSE)</f>
        <v>218</v>
      </c>
      <c r="G499" s="9">
        <f>VLOOKUP(B499,'Player Data'!A1:D734,3,FALSE)</f>
        <v>30</v>
      </c>
      <c r="H499" s="43">
        <f>_xlfn.IFERROR(VLOOKUP(B499,'ADP'!A1:G731,7,FALSE)/1000000,VLOOKUP(B499,'ADP'!A1:G731,7,FALSE))</f>
        <v>0.85</v>
      </c>
      <c r="I499" s="44">
        <f>IF('Settings'!$E$15="POINTS",((R499*Q499)*'Settings'!$B$12)+(S499*'Settings'!$B$2)+(T499*'Settings'!$B$3)+(U499*'Settings'!$B$4)+(V499*'Settings'!$B$5)+(X499*'Settings'!$B$9)+(AA499*'Settings'!$B$6)+(W499*'Settings'!$B$8)+(AB499*'Settings'!$B$7)+(AC499*'Settings'!$B$14)+(AD499*'Settings'!$B$15)+(AE499*'Settings'!$B$16)+(AF499*'Settings'!$B$17)+(AG499*'Settings'!$B$18)+(U499*'Settings'!$B$13)+(Y499*'Settings'!$B$10)+(Z499*'Settings'!$B$11),VLOOKUP(B499,'Standard Deviations'!A1:C731,3,FALSE))</f>
        <v>117.425881023585</v>
      </c>
      <c r="J499" s="45">
        <f>IF(D499="G",I499/AJ499,I499/Q499)</f>
        <v>1.75153271608878</v>
      </c>
      <c r="K499" s="44">
        <f>VLOOKUP(B499,'D'!A1:F228,6,FALSE)</f>
        <v>-223.309257622938</v>
      </c>
      <c r="L499" s="44">
        <f>_xlfn.IFERROR(K499/H499,"N/A")</f>
        <v>-262.716773674045</v>
      </c>
      <c r="M499" t="s" s="61">
        <f>IF('Settings'!$E$9="YAHOO",VLOOKUP(B499,'ADP'!A1:E731,2,FALSE),IF('Settings'!$E$9="ESPN",VLOOKUP(B499,'ADP'!A1:E731,3,FALSE),IF('Settings'!$E$9="FANTRAX",VLOOKUP(B499,'ADP'!A1:E731,4,FALSE),VLOOKUP(B499,'ADP'!A1:E731,5,FALSE))))</f>
        <v>329</v>
      </c>
      <c r="N499" t="s" s="61">
        <f>_xlfn.IFERROR(M499-A499,"N/A")</f>
        <v>158</v>
      </c>
      <c r="O499" s="46"/>
      <c r="P499" t="s" s="47">
        <f>IF('Settings'!$E$27="ON",VLOOKUP(B499,'ADP'!A1:H731,8,FALSE)," ")</f>
        <v>109</v>
      </c>
      <c r="Q499" s="48">
        <f>IF('Settings'!$E$12="YES",VLOOKUP(B499,'Player Data'!A1:E734,5,FALSE),82)</f>
        <v>67.04178571428569</v>
      </c>
      <c r="R499" s="46">
        <f>VLOOKUP(B499,'Player Data'!$A1:$AE734,6,FALSE)</f>
        <v>12.422328199314</v>
      </c>
      <c r="S499" s="48">
        <f>VLOOKUP(B499,'Player Data'!$A1:$AE734,7,FALSE)*$Q499*_xlfn.IFERROR((VLOOKUP(P499,'Settings'!$E$28:$F$33,2,FALSE)+1),1)</f>
        <v>2.76330086987479</v>
      </c>
      <c r="T499" s="48">
        <f>VLOOKUP(B499,'Player Data'!$A1:$AE734,8,FALSE)*$Q499*_xlfn.IFERROR((VLOOKUP(P499,'Settings'!$E$28:$F$33,2,FALSE)+1),1)</f>
        <v>8.06503510109291</v>
      </c>
      <c r="U499" s="48">
        <f>SUM(S499:T499)</f>
        <v>10.8283359709677</v>
      </c>
      <c r="V499" s="48">
        <f>VLOOKUP(B499,'Player Data'!$A1:$AE734,10,FALSE)*$Q499*_xlfn.IFERROR(((VLOOKUP(P499,'Settings'!$E$28:$F$33,2,FALSE)/2)+1),1)</f>
        <v>74.9236406192021</v>
      </c>
      <c r="W499" s="48">
        <f>VLOOKUP(B499,'Player Data'!$A1:$AE734,11,FALSE)*$Q499*_xlfn.IFERROR((VLOOKUP(P499,'Settings'!$E$28:$F$33,2,FALSE)+1),1)</f>
        <v>0.0648799604501057</v>
      </c>
      <c r="X499" s="48">
        <f>VLOOKUP(B499,'Player Data'!$A1:$AE734,12,FALSE)*$Q499*_xlfn.IFERROR((VLOOKUP(P499,'Settings'!$E$28:$F$33,2,FALSE)+1),1)</f>
        <v>0.668161076742022</v>
      </c>
      <c r="Y499" s="48">
        <f>VLOOKUP(B499,'Player Data'!$A1:$AE734,13,FALSE)*$Q499</f>
        <v>0.00666589702956286</v>
      </c>
      <c r="Z499" s="48">
        <f>VLOOKUP(B499,'Player Data'!$A1:$AE734,14,FALSE)*$Q499</f>
        <v>0.0251445359406908</v>
      </c>
      <c r="AA499" s="48">
        <f>VLOOKUP(B499,'Player Data'!$A1:$AE734,15,FALSE)*$Q499</f>
        <v>59.3513614474841</v>
      </c>
      <c r="AB499" s="48">
        <f>VLOOKUP(B499,'Player Data'!$A1:$AE734,16,FALSE)*$Q499</f>
        <v>54.4325268025809</v>
      </c>
      <c r="AC499" s="48">
        <f>VLOOKUP(B499,'Player Data'!$A1:$AE734,17,FALSE)*$Q499*_xlfn.IFERROR((VLOOKUP(P499,'Settings'!$E$28:$F$33,2,FALSE)+1),1)</f>
        <v>3.50364800329313</v>
      </c>
      <c r="AD499" s="48">
        <f>VLOOKUP(B499,'Player Data'!$A1:$AE734,18,FALSE)*$Q499</f>
        <v>19.5750565883222</v>
      </c>
      <c r="AE499" s="48">
        <f>VLOOKUP(B499,'Player Data'!$A1:$AE734,19,FALSE)*$Q499*_xlfn.IFERROR((VLOOKUP(P499,'Settings'!$E$28:$F$33,2,FALSE)+1),1)</f>
        <v>0.451598758132822</v>
      </c>
      <c r="AF499" s="48">
        <f>VLOOKUP(B499,'Player Data'!$A1:$AE734,20,FALSE)*$Q499</f>
        <v>0</v>
      </c>
      <c r="AG499" s="48">
        <f>VLOOKUP(B499,'Player Data'!$A1:$AE734,21,FALSE)*$Q499</f>
        <v>0</v>
      </c>
      <c r="AH499" s="49">
        <f>VLOOKUP(B499,'Player Data'!$A1:$AE734,22,FALSE)</f>
        <v>0</v>
      </c>
      <c r="AI499" s="46"/>
      <c r="AJ499" s="50"/>
      <c r="AK499" s="48"/>
      <c r="AL499" s="48"/>
      <c r="AM499" s="48"/>
      <c r="AN499" s="48"/>
      <c r="AO499" s="48"/>
      <c r="AP499" s="48"/>
      <c r="AQ499" s="51"/>
      <c r="AR499" s="52"/>
      <c r="AS499" s="46"/>
    </row>
    <row r="500" ht="21.25" customHeight="1">
      <c r="A500" s="53">
        <f>RANK(K500,K2:K730)</f>
        <v>625</v>
      </c>
      <c r="B500" t="s" s="8">
        <v>652</v>
      </c>
      <c r="C500" t="s" s="39">
        <v>106</v>
      </c>
      <c r="D500" t="s" s="40">
        <f>VLOOKUP(B500,'Player Data'!A1:D734,4,FALSE)</f>
        <v>129</v>
      </c>
      <c r="E500" s="56">
        <f>VLOOKUP(B500,'D'!A1:C228,3,FALSE)</f>
        <v>209</v>
      </c>
      <c r="F500" t="s" s="42">
        <f>VLOOKUP(B500,'Player Data'!A1:B734,2,FALSE)</f>
        <v>141</v>
      </c>
      <c r="G500" s="9">
        <f>VLOOKUP(B500,'Player Data'!A1:D734,3,FALSE)</f>
        <v>30</v>
      </c>
      <c r="H500" s="43">
        <f>_xlfn.IFERROR(VLOOKUP(B500,'ADP'!A1:G731,7,FALSE)/1000000,VLOOKUP(B500,'ADP'!A1:G731,7,FALSE))</f>
        <v>0.7625</v>
      </c>
      <c r="I500" s="44">
        <f>IF('Settings'!$E$15="POINTS",((R500*Q500)*'Settings'!$B$12)+(S500*'Settings'!$B$2)+(T500*'Settings'!$B$3)+(U500*'Settings'!$B$4)+(V500*'Settings'!$B$5)+(X500*'Settings'!$B$9)+(AA500*'Settings'!$B$6)+(W500*'Settings'!$B$8)+(AB500*'Settings'!$B$7)+(AC500*'Settings'!$B$14)+(AD500*'Settings'!$B$15)+(AE500*'Settings'!$B$16)+(AF500*'Settings'!$B$17)+(AG500*'Settings'!$B$18)+(U500*'Settings'!$B$13)+(Y500*'Settings'!$B$10)+(Z500*'Settings'!$B$11),VLOOKUP(B500,'Standard Deviations'!A1:C731,3,FALSE))</f>
        <v>116.405066678067</v>
      </c>
      <c r="J500" s="45">
        <f>IF(D500="G",I500/AJ500,I500/Q500)</f>
        <v>2.08985757052185</v>
      </c>
      <c r="K500" s="44">
        <f>VLOOKUP(B500,'D'!A1:F228,6,FALSE)</f>
        <v>-224.330071968456</v>
      </c>
      <c r="L500" s="44">
        <f>_xlfn.IFERROR(K500/H500,"N/A")</f>
        <v>-294.203373073385</v>
      </c>
      <c r="M500" t="s" s="61">
        <f>IF('Settings'!$E$9="YAHOO",VLOOKUP(B500,'ADP'!A1:E731,2,FALSE),IF('Settings'!$E$9="ESPN",VLOOKUP(B500,'ADP'!A1:E731,3,FALSE),IF('Settings'!$E$9="FANTRAX",VLOOKUP(B500,'ADP'!A1:E731,4,FALSE),VLOOKUP(B500,'ADP'!A1:E731,5,FALSE))))</f>
        <v>329</v>
      </c>
      <c r="N500" t="s" s="61">
        <f>_xlfn.IFERROR(M500-A500,"N/A")</f>
        <v>158</v>
      </c>
      <c r="O500" s="46"/>
      <c r="P500" t="s" s="47">
        <f>IF('Settings'!$E$27="ON",VLOOKUP(B500,'ADP'!A1:H731,8,FALSE)," ")</f>
        <v>109</v>
      </c>
      <c r="Q500" s="48">
        <f>IF('Settings'!$E$12="YES",VLOOKUP(B500,'Player Data'!A1:E734,5,FALSE),82)</f>
        <v>55.7</v>
      </c>
      <c r="R500" s="46">
        <f>VLOOKUP(B500,'Player Data'!$A1:$AE734,6,FALSE)</f>
        <v>14.0641412164739</v>
      </c>
      <c r="S500" s="48">
        <f>VLOOKUP(B500,'Player Data'!$A1:$AE734,7,FALSE)*$Q500*_xlfn.IFERROR((VLOOKUP(P500,'Settings'!$E$28:$F$33,2,FALSE)+1),1)</f>
        <v>1.49054748180755</v>
      </c>
      <c r="T500" s="48">
        <f>VLOOKUP(B500,'Player Data'!$A1:$AE734,8,FALSE)*$Q500*_xlfn.IFERROR((VLOOKUP(P500,'Settings'!$E$28:$F$33,2,FALSE)+1),1)</f>
        <v>8.749485555815429</v>
      </c>
      <c r="U500" s="48">
        <f>SUM(S500:T500)</f>
        <v>10.240033037623</v>
      </c>
      <c r="V500" s="48">
        <f>VLOOKUP(B500,'Player Data'!$A1:$AE734,10,FALSE)*$Q500*_xlfn.IFERROR(((VLOOKUP(P500,'Settings'!$E$28:$F$33,2,FALSE)/2)+1),1)</f>
        <v>78.847053526122</v>
      </c>
      <c r="W500" s="48">
        <f>VLOOKUP(B500,'Player Data'!$A1:$AE734,11,FALSE)*$Q500*_xlfn.IFERROR((VLOOKUP(P500,'Settings'!$E$28:$F$33,2,FALSE)+1),1)</f>
        <v>0.133968425771709</v>
      </c>
      <c r="X500" s="48">
        <f>VLOOKUP(B500,'Player Data'!$A1:$AE734,12,FALSE)*$Q500*_xlfn.IFERROR((VLOOKUP(P500,'Settings'!$E$28:$F$33,2,FALSE)+1),1)</f>
        <v>1.43152879389318</v>
      </c>
      <c r="Y500" s="48">
        <f>VLOOKUP(B500,'Player Data'!$A1:$AE734,13,FALSE)*$Q500</f>
        <v>0.00250666758129907</v>
      </c>
      <c r="Z500" s="48">
        <f>VLOOKUP(B500,'Player Data'!$A1:$AE734,14,FALSE)*$Q500</f>
        <v>0.00981089903133554</v>
      </c>
      <c r="AA500" s="48">
        <f>VLOOKUP(B500,'Player Data'!$A1:$AE734,15,FALSE)*$Q500</f>
        <v>50.6394517771938</v>
      </c>
      <c r="AB500" s="48">
        <f>VLOOKUP(B500,'Player Data'!$A1:$AE734,16,FALSE)*$Q500</f>
        <v>74.74508757106619</v>
      </c>
      <c r="AC500" s="48">
        <f>VLOOKUP(B500,'Player Data'!$A1:$AE734,17,FALSE)*$Q500*_xlfn.IFERROR((VLOOKUP(P500,'Settings'!$E$28:$F$33,2,FALSE)+1),1)</f>
        <v>-0.0825551856474194</v>
      </c>
      <c r="AD500" s="48">
        <f>VLOOKUP(B500,'Player Data'!$A1:$AE734,18,FALSE)*$Q500</f>
        <v>22.0990859644373</v>
      </c>
      <c r="AE500" s="48">
        <f>VLOOKUP(B500,'Player Data'!$A1:$AE734,19,FALSE)*$Q500*_xlfn.IFERROR((VLOOKUP(P500,'Settings'!$E$28:$F$33,2,FALSE)+1),1)</f>
        <v>0.185060047107661</v>
      </c>
      <c r="AF500" s="48">
        <f>VLOOKUP(B500,'Player Data'!$A1:$AE734,20,FALSE)*$Q500</f>
        <v>0</v>
      </c>
      <c r="AG500" s="48">
        <f>VLOOKUP(B500,'Player Data'!$A1:$AE734,21,FALSE)*$Q500</f>
        <v>0</v>
      </c>
      <c r="AH500" s="49">
        <f>VLOOKUP(B500,'Player Data'!$A1:$AE734,22,FALSE)</f>
        <v>0</v>
      </c>
      <c r="AI500" s="46"/>
      <c r="AJ500" s="48"/>
      <c r="AK500" s="48"/>
      <c r="AL500" s="48"/>
      <c r="AM500" s="48"/>
      <c r="AN500" s="48"/>
      <c r="AO500" s="48"/>
      <c r="AP500" s="48"/>
      <c r="AQ500" s="51"/>
      <c r="AR500" s="52"/>
      <c r="AS500" s="46"/>
    </row>
    <row r="501" ht="21.25" customHeight="1">
      <c r="A501" s="53">
        <f>RANK(K501,K2:K730)</f>
        <v>480</v>
      </c>
      <c r="B501" t="s" s="8">
        <v>653</v>
      </c>
      <c r="C501" t="s" s="39">
        <v>106</v>
      </c>
      <c r="D501" t="s" s="40">
        <f>VLOOKUP(B501,'Player Data'!A1:D734,4,FALSE)</f>
        <v>133</v>
      </c>
      <c r="E501" s="57">
        <f>VLOOKUP(B501,'LW'!A1:C156,3,FALSE)</f>
        <v>106</v>
      </c>
      <c r="F501" t="s" s="42">
        <f>VLOOKUP(B501,'Player Data'!A1:B734,2,FALSE)</f>
        <v>113</v>
      </c>
      <c r="G501" s="9">
        <f>VLOOKUP(B501,'Player Data'!A1:D734,3,FALSE)</f>
        <v>27</v>
      </c>
      <c r="H501" s="43">
        <f>_xlfn.IFERROR(VLOOKUP(B501,'ADP'!A1:G731,7,FALSE)/1000000,VLOOKUP(B501,'ADP'!A1:G731,7,FALSE))</f>
        <v>2.5</v>
      </c>
      <c r="I501" s="44">
        <f>IF('Settings'!$E$15="POINTS",((R501*Q501)*'Settings'!$B$12)+(S501*'Settings'!$B$2)+(T501*'Settings'!$B$3)+(U501*'Settings'!$B$4)+(V501*'Settings'!$B$5)+(X501*'Settings'!$B$9)+(AA501*'Settings'!$B$6)+(W501*'Settings'!$B$8)+(AB501*'Settings'!$B$7)+(AC501*'Settings'!$B$14)+(AD501*'Settings'!$B$15)+(AE501*'Settings'!$B$16)+(AF501*'Settings'!$B$17)+(AG501*'Settings'!$B$18)+(Y501*'Settings'!$B$10)+(Z501*'Settings'!$B$11),VLOOKUP(B501,'Standard Deviations'!A1:C731,3,FALSE))</f>
        <v>205.401397898170</v>
      </c>
      <c r="J501" s="45">
        <f>IF(D501="G",I501/AJ501,I501/Q501)</f>
        <v>2.84121248735254</v>
      </c>
      <c r="K501" s="44">
        <f>IF('Settings'!$E$18="C/LW/RW",VLOOKUP(B501,'LW'!A1:F156,6,FALSE),VLOOKUP(B501,'F'!A1:F432,6,FALSE))</f>
        <v>-176.227165808186</v>
      </c>
      <c r="L501" s="44">
        <f>_xlfn.IFERROR(K501/H501,"N/A")</f>
        <v>-70.4908663232744</v>
      </c>
      <c r="M501" t="s" s="61">
        <f>IF('Settings'!$E$9="YAHOO",VLOOKUP(B501,'ADP'!A1:E731,2,FALSE),IF('Settings'!$E$9="ESPN",VLOOKUP(B501,'ADP'!A1:E731,3,FALSE),IF('Settings'!$E$9="FANTRAX",VLOOKUP(B501,'ADP'!A1:E731,4,FALSE),VLOOKUP(B501,'ADP'!A1:E731,5,FALSE))))</f>
        <v>329</v>
      </c>
      <c r="N501" t="s" s="61">
        <f>_xlfn.IFERROR(M501-A501,"N/A")</f>
        <v>158</v>
      </c>
      <c r="O501" s="46"/>
      <c r="P501" t="s" s="47">
        <f>IF('Settings'!$E$27="ON",VLOOKUP(B501,'ADP'!A1:H731,8,FALSE)," ")</f>
        <v>109</v>
      </c>
      <c r="Q501" s="48">
        <f>IF('Settings'!$E$12="YES",VLOOKUP(B501,'Player Data'!A1:E734,5,FALSE),82)</f>
        <v>72.2935714285714</v>
      </c>
      <c r="R501" s="46">
        <f>VLOOKUP(B501,'Player Data'!$A1:$AE734,6,FALSE)</f>
        <v>12.3440379801475</v>
      </c>
      <c r="S501" s="48">
        <f>VLOOKUP(B501,'Player Data'!$A1:$AE734,7,FALSE)*$Q501*_xlfn.IFERROR((VLOOKUP(P501,'Settings'!$E$28:$F$33,2,FALSE)+1),1)</f>
        <v>12.2582594024079</v>
      </c>
      <c r="T501" s="48">
        <f>VLOOKUP(B501,'Player Data'!$A1:$AE734,8,FALSE)*$Q501*_xlfn.IFERROR((VLOOKUP(P501,'Settings'!$E$28:$F$33,2,FALSE)+1),1)</f>
        <v>13.5165894285201</v>
      </c>
      <c r="U501" s="48">
        <f>SUM(S501:T501)</f>
        <v>25.774848830928</v>
      </c>
      <c r="V501" s="48">
        <f>VLOOKUP(B501,'Player Data'!$A1:$AE734,10,FALSE)*$Q501*_xlfn.IFERROR(((VLOOKUP(P501,'Settings'!$E$28:$F$33,2,FALSE)/2)+1),1)</f>
        <v>147.404117476037</v>
      </c>
      <c r="W501" s="48">
        <f>VLOOKUP(B501,'Player Data'!$A1:$AE734,11,FALSE)*$Q501*_xlfn.IFERROR((VLOOKUP(P501,'Settings'!$E$28:$F$33,2,FALSE)+1),1)</f>
        <v>0.408846127934286</v>
      </c>
      <c r="X501" s="48">
        <f>VLOOKUP(B501,'Player Data'!$A1:$AE734,12,FALSE)*$Q501*_xlfn.IFERROR((VLOOKUP(P501,'Settings'!$E$28:$F$33,2,FALSE)+1),1)</f>
        <v>0.667264180958688</v>
      </c>
      <c r="Y501" s="48">
        <f>VLOOKUP(B501,'Player Data'!$A1:$AE734,13,FALSE)*$Q501</f>
        <v>0.0122061058864506</v>
      </c>
      <c r="Z501" s="48">
        <f>VLOOKUP(B501,'Player Data'!$A1:$AE734,14,FALSE)*$Q501</f>
        <v>0.0223761288061032</v>
      </c>
      <c r="AA501" s="48">
        <f>VLOOKUP(B501,'Player Data'!$A1:$AE734,15,FALSE)*$Q501</f>
        <v>22.7650906762942</v>
      </c>
      <c r="AB501" s="48">
        <f>VLOOKUP(B501,'Player Data'!$A1:$AE734,16,FALSE)*$Q501</f>
        <v>98.24042387198649</v>
      </c>
      <c r="AC501" s="48">
        <f>VLOOKUP(B501,'Player Data'!$A1:$AE734,17,FALSE)*$Q501*_xlfn.IFERROR((VLOOKUP(P501,'Settings'!$E$28:$F$33,2,FALSE)+1),1)</f>
        <v>2.5655666498305</v>
      </c>
      <c r="AD501" s="48">
        <f>VLOOKUP(B501,'Player Data'!$A1:$AE734,18,FALSE)*$Q501</f>
        <v>40.3135480210984</v>
      </c>
      <c r="AE501" s="48">
        <f>VLOOKUP(B501,'Player Data'!$A1:$AE734,19,FALSE)*$Q501*_xlfn.IFERROR((VLOOKUP(P501,'Settings'!$E$28:$F$33,2,FALSE)+1),1)</f>
        <v>1.93944132946679</v>
      </c>
      <c r="AF501" s="48">
        <f>VLOOKUP(B501,'Player Data'!$A1:$AE734,20,FALSE)*$Q501</f>
        <v>1.84106217710958</v>
      </c>
      <c r="AG501" s="48">
        <f>VLOOKUP(B501,'Player Data'!$A1:$AE734,21,FALSE)*$Q501</f>
        <v>6.37625283175477</v>
      </c>
      <c r="AH501" s="49">
        <f>VLOOKUP(B501,'Player Data'!$A1:$AE734,22,FALSE)</f>
        <v>0.224046683755406</v>
      </c>
      <c r="AI501" s="46"/>
      <c r="AJ501" s="50"/>
      <c r="AK501" s="48"/>
      <c r="AL501" s="48"/>
      <c r="AM501" s="48"/>
      <c r="AN501" s="48"/>
      <c r="AO501" s="48"/>
      <c r="AP501" s="48"/>
      <c r="AQ501" s="51"/>
      <c r="AR501" s="52"/>
      <c r="AS501" s="46"/>
    </row>
    <row r="502" ht="21.25" customHeight="1">
      <c r="A502" s="53">
        <f>RANK(K502,K2:K730)</f>
        <v>602</v>
      </c>
      <c r="B502" t="s" s="8">
        <v>654</v>
      </c>
      <c r="C502" t="s" s="39">
        <v>106</v>
      </c>
      <c r="D502" t="s" s="40">
        <f>VLOOKUP(B502,'Player Data'!A1:D734,4,FALSE)</f>
        <v>129</v>
      </c>
      <c r="E502" s="56">
        <f>VLOOKUP(B502,'D'!A1:C228,3,FALSE)</f>
        <v>201</v>
      </c>
      <c r="F502" t="s" s="42">
        <f>VLOOKUP(B502,'Player Data'!A1:B734,2,FALSE)</f>
        <v>202</v>
      </c>
      <c r="G502" s="9">
        <f>VLOOKUP(B502,'Player Data'!A1:D734,3,FALSE)</f>
        <v>27</v>
      </c>
      <c r="H502" s="43">
        <f>_xlfn.IFERROR(VLOOKUP(B502,'ADP'!A1:G731,7,FALSE)/1000000,VLOOKUP(B502,'ADP'!A1:G731,7,FALSE))</f>
        <v>0.762</v>
      </c>
      <c r="I502" s="44">
        <f>IF('Settings'!$E$15="POINTS",((R502*Q502)*'Settings'!$B$12)+(S502*'Settings'!$B$2)+(T502*'Settings'!$B$3)+(U502*'Settings'!$B$4)+(V502*'Settings'!$B$5)+(X502*'Settings'!$B$9)+(AA502*'Settings'!$B$6)+(W502*'Settings'!$B$8)+(AB502*'Settings'!$B$7)+(AC502*'Settings'!$B$14)+(AD502*'Settings'!$B$15)+(AE502*'Settings'!$B$16)+(AF502*'Settings'!$B$17)+(AG502*'Settings'!$B$18)+(U502*'Settings'!$B$13)+(Y502*'Settings'!$B$10)+(Z502*'Settings'!$B$11),VLOOKUP(B502,'Standard Deviations'!A1:C731,3,FALSE))</f>
        <v>123.137905686396</v>
      </c>
      <c r="J502" s="45">
        <f>IF(D502="G",I502/AJ502,I502/Q502)</f>
        <v>1.81085155421171</v>
      </c>
      <c r="K502" s="44">
        <f>VLOOKUP(B502,'D'!A1:F228,6,FALSE)</f>
        <v>-217.597232960127</v>
      </c>
      <c r="L502" s="44">
        <f>_xlfn.IFERROR(K502/H502,"N/A")</f>
        <v>-285.560673176020</v>
      </c>
      <c r="M502" t="s" s="61">
        <f>IF('Settings'!$E$9="YAHOO",VLOOKUP(B502,'ADP'!A1:E731,2,FALSE),IF('Settings'!$E$9="ESPN",VLOOKUP(B502,'ADP'!A1:E731,3,FALSE),IF('Settings'!$E$9="FANTRAX",VLOOKUP(B502,'ADP'!A1:E731,4,FALSE),VLOOKUP(B502,'ADP'!A1:E731,5,FALSE))))</f>
        <v>329</v>
      </c>
      <c r="N502" t="s" s="61">
        <f>_xlfn.IFERROR(M502-A502,"N/A")</f>
        <v>158</v>
      </c>
      <c r="O502" s="46"/>
      <c r="P502" t="s" s="47">
        <f>IF('Settings'!$E$27="ON",VLOOKUP(B502,'ADP'!A1:H731,8,FALSE)," ")</f>
        <v>109</v>
      </c>
      <c r="Q502" s="48">
        <f>IF('Settings'!$E$12="YES",VLOOKUP(B502,'Player Data'!A1:E734,5,FALSE),82)</f>
        <v>68</v>
      </c>
      <c r="R502" s="46">
        <f>VLOOKUP(B502,'Player Data'!$A1:$AE734,6,FALSE)</f>
        <v>13.6291566398354</v>
      </c>
      <c r="S502" s="48">
        <f>VLOOKUP(B502,'Player Data'!$A1:$AE734,7,FALSE)*$Q502*_xlfn.IFERROR((VLOOKUP(P502,'Settings'!$E$28:$F$33,2,FALSE)+1),1)</f>
        <v>3.15284821270858</v>
      </c>
      <c r="T502" s="48">
        <f>VLOOKUP(B502,'Player Data'!$A1:$AE734,8,FALSE)*$Q502*_xlfn.IFERROR((VLOOKUP(P502,'Settings'!$E$28:$F$33,2,FALSE)+1),1)</f>
        <v>7.64968365083275</v>
      </c>
      <c r="U502" s="48">
        <f>SUM(S502:T502)</f>
        <v>10.8025318635413</v>
      </c>
      <c r="V502" s="48">
        <f>VLOOKUP(B502,'Player Data'!$A1:$AE734,10,FALSE)*$Q502*_xlfn.IFERROR(((VLOOKUP(P502,'Settings'!$E$28:$F$33,2,FALSE)/2)+1),1)</f>
        <v>75.8408350890349</v>
      </c>
      <c r="W502" s="48">
        <f>VLOOKUP(B502,'Player Data'!$A1:$AE734,11,FALSE)*$Q502*_xlfn.IFERROR((VLOOKUP(P502,'Settings'!$E$28:$F$33,2,FALSE)+1),1)</f>
        <v>0.009276511526650429</v>
      </c>
      <c r="X502" s="48">
        <f>VLOOKUP(B502,'Player Data'!$A1:$AE734,12,FALSE)*$Q502*_xlfn.IFERROR((VLOOKUP(P502,'Settings'!$E$28:$F$33,2,FALSE)+1),1)</f>
        <v>0.0637773360736327</v>
      </c>
      <c r="Y502" s="48">
        <f>VLOOKUP(B502,'Player Data'!$A1:$AE734,13,FALSE)*$Q502</f>
        <v>0.209207067013012</v>
      </c>
      <c r="Z502" s="48">
        <f>VLOOKUP(B502,'Player Data'!$A1:$AE734,14,FALSE)*$Q502</f>
        <v>0.449573139461181</v>
      </c>
      <c r="AA502" s="48">
        <f>VLOOKUP(B502,'Player Data'!$A1:$AE734,15,FALSE)*$Q502</f>
        <v>56.3588472381036</v>
      </c>
      <c r="AB502" s="48">
        <f>VLOOKUP(B502,'Player Data'!$A1:$AE734,16,FALSE)*$Q502</f>
        <v>76.0082013368682</v>
      </c>
      <c r="AC502" s="48">
        <f>VLOOKUP(B502,'Player Data'!$A1:$AE734,17,FALSE)*$Q502*_xlfn.IFERROR((VLOOKUP(P502,'Settings'!$E$28:$F$33,2,FALSE)+1),1)</f>
        <v>6.07076800876191</v>
      </c>
      <c r="AD502" s="48">
        <f>VLOOKUP(B502,'Player Data'!$A1:$AE734,18,FALSE)*$Q502</f>
        <v>29.0834100733124</v>
      </c>
      <c r="AE502" s="48">
        <f>VLOOKUP(B502,'Player Data'!$A1:$AE734,19,FALSE)*$Q502*_xlfn.IFERROR((VLOOKUP(P502,'Settings'!$E$28:$F$33,2,FALSE)+1),1)</f>
        <v>0.565691566970255</v>
      </c>
      <c r="AF502" s="48">
        <f>VLOOKUP(B502,'Player Data'!$A1:$AE734,20,FALSE)*$Q502</f>
        <v>0</v>
      </c>
      <c r="AG502" s="48">
        <f>VLOOKUP(B502,'Player Data'!$A1:$AE734,21,FALSE)*$Q502</f>
        <v>0</v>
      </c>
      <c r="AH502" s="49">
        <f>VLOOKUP(B502,'Player Data'!$A1:$AE734,22,FALSE)</f>
        <v>0</v>
      </c>
      <c r="AI502" s="46"/>
      <c r="AJ502" s="50"/>
      <c r="AK502" s="48"/>
      <c r="AL502" s="48"/>
      <c r="AM502" s="48"/>
      <c r="AN502" s="48"/>
      <c r="AO502" s="48"/>
      <c r="AP502" s="48"/>
      <c r="AQ502" s="51"/>
      <c r="AR502" s="52"/>
      <c r="AS502" s="46"/>
    </row>
    <row r="503" ht="21.25" customHeight="1">
      <c r="A503" s="53">
        <f>RANK(K503,K2:K730)</f>
        <v>581</v>
      </c>
      <c r="B503" t="s" s="8">
        <v>655</v>
      </c>
      <c r="C503" t="s" s="39">
        <v>106</v>
      </c>
      <c r="D503" t="s" s="40">
        <f>VLOOKUP(B503,'Player Data'!A1:D734,4,FALSE)</f>
        <v>129</v>
      </c>
      <c r="E503" s="56">
        <f>VLOOKUP(B503,'D'!A1:C228,3,FALSE)</f>
        <v>196</v>
      </c>
      <c r="F503" t="s" s="42">
        <f>VLOOKUP(B503,'Player Data'!A1:B734,2,FALSE)</f>
        <v>248</v>
      </c>
      <c r="G503" s="9">
        <f>VLOOKUP(B503,'Player Data'!A1:D734,3,FALSE)</f>
        <v>30</v>
      </c>
      <c r="H503" s="43">
        <f>_xlfn.IFERROR(VLOOKUP(B503,'ADP'!A1:G731,7,FALSE)/1000000,VLOOKUP(B503,'ADP'!A1:G731,7,FALSE))</f>
        <v>0.7625</v>
      </c>
      <c r="I503" s="44">
        <f>IF('Settings'!$E$15="POINTS",((R503*Q503)*'Settings'!$B$12)+(S503*'Settings'!$B$2)+(T503*'Settings'!$B$3)+(U503*'Settings'!$B$4)+(V503*'Settings'!$B$5)+(X503*'Settings'!$B$9)+(AA503*'Settings'!$B$6)+(W503*'Settings'!$B$8)+(AB503*'Settings'!$B$7)+(AC503*'Settings'!$B$14)+(AD503*'Settings'!$B$15)+(AE503*'Settings'!$B$16)+(AF503*'Settings'!$B$17)+(AG503*'Settings'!$B$18)+(U503*'Settings'!$B$13)+(Y503*'Settings'!$B$10)+(Z503*'Settings'!$B$11),VLOOKUP(B503,'Standard Deviations'!A1:C731,3,FALSE))</f>
        <v>129.843095387677</v>
      </c>
      <c r="J503" s="45">
        <f>IF(D503="G",I503/AJ503,I503/Q503)</f>
        <v>2.04043522256112</v>
      </c>
      <c r="K503" s="44">
        <f>VLOOKUP(B503,'D'!A1:F228,6,FALSE)</f>
        <v>-210.892043258846</v>
      </c>
      <c r="L503" s="44">
        <f>_xlfn.IFERROR(K503/H503,"N/A")</f>
        <v>-276.579728864060</v>
      </c>
      <c r="M503" t="s" s="61">
        <f>IF('Settings'!$E$9="YAHOO",VLOOKUP(B503,'ADP'!A1:E731,2,FALSE),IF('Settings'!$E$9="ESPN",VLOOKUP(B503,'ADP'!A1:E731,3,FALSE),IF('Settings'!$E$9="FANTRAX",VLOOKUP(B503,'ADP'!A1:E731,4,FALSE),VLOOKUP(B503,'ADP'!A1:E731,5,FALSE))))</f>
        <v>329</v>
      </c>
      <c r="N503" t="s" s="61">
        <f>_xlfn.IFERROR(M503-A503,"N/A")</f>
        <v>158</v>
      </c>
      <c r="O503" s="46"/>
      <c r="P503" t="s" s="47">
        <f>IF('Settings'!$E$27="ON",VLOOKUP(B503,'ADP'!A1:H731,8,FALSE)," ")</f>
        <v>109</v>
      </c>
      <c r="Q503" s="48">
        <f>IF('Settings'!$E$12="YES",VLOOKUP(B503,'Player Data'!A1:E734,5,FALSE),82)</f>
        <v>63.635</v>
      </c>
      <c r="R503" s="46">
        <f>VLOOKUP(B503,'Player Data'!$A1:$AE734,6,FALSE)</f>
        <v>16.2887891196872</v>
      </c>
      <c r="S503" s="48">
        <f>VLOOKUP(B503,'Player Data'!$A1:$AE734,7,FALSE)*$Q503*_xlfn.IFERROR((VLOOKUP(P503,'Settings'!$E$28:$F$33,2,FALSE)+1),1)</f>
        <v>1.96424011196416</v>
      </c>
      <c r="T503" s="48">
        <f>VLOOKUP(B503,'Player Data'!$A1:$AE734,8,FALSE)*$Q503*_xlfn.IFERROR((VLOOKUP(P503,'Settings'!$E$28:$F$33,2,FALSE)+1),1)</f>
        <v>10.0392041737055</v>
      </c>
      <c r="U503" s="48">
        <f>SUM(S503:T503)</f>
        <v>12.0034442856697</v>
      </c>
      <c r="V503" s="48">
        <f>VLOOKUP(B503,'Player Data'!$A1:$AE734,10,FALSE)*$Q503*_xlfn.IFERROR(((VLOOKUP(P503,'Settings'!$E$28:$F$33,2,FALSE)/2)+1),1)</f>
        <v>59.5493538810943</v>
      </c>
      <c r="W503" s="48">
        <f>VLOOKUP(B503,'Player Data'!$A1:$AE734,11,FALSE)*$Q503*_xlfn.IFERROR((VLOOKUP(P503,'Settings'!$E$28:$F$33,2,FALSE)+1),1)</f>
        <v>0.018331390040792</v>
      </c>
      <c r="X503" s="48">
        <f>VLOOKUP(B503,'Player Data'!$A1:$AE734,12,FALSE)*$Q503*_xlfn.IFERROR((VLOOKUP(P503,'Settings'!$E$28:$F$33,2,FALSE)+1),1)</f>
        <v>0.131163990261032</v>
      </c>
      <c r="Y503" s="48">
        <f>VLOOKUP(B503,'Player Data'!$A1:$AE734,13,FALSE)*$Q503</f>
        <v>0.019370319120123</v>
      </c>
      <c r="Z503" s="48">
        <f>VLOOKUP(B503,'Player Data'!$A1:$AE734,14,FALSE)*$Q503</f>
        <v>0.382780274533752</v>
      </c>
      <c r="AA503" s="48">
        <f>VLOOKUP(B503,'Player Data'!$A1:$AE734,15,FALSE)*$Q503</f>
        <v>77.41251611220549</v>
      </c>
      <c r="AB503" s="48">
        <f>VLOOKUP(B503,'Player Data'!$A1:$AE734,16,FALSE)*$Q503</f>
        <v>86.5596272680182</v>
      </c>
      <c r="AC503" s="48">
        <f>VLOOKUP(B503,'Player Data'!$A1:$AE734,17,FALSE)*$Q503*_xlfn.IFERROR((VLOOKUP(P503,'Settings'!$E$28:$F$33,2,FALSE)+1),1)</f>
        <v>0.256709703853753</v>
      </c>
      <c r="AD503" s="48">
        <f>VLOOKUP(B503,'Player Data'!$A1:$AE734,18,FALSE)*$Q503</f>
        <v>22.1310425277841</v>
      </c>
      <c r="AE503" s="48">
        <f>VLOOKUP(B503,'Player Data'!$A1:$AE734,19,FALSE)*$Q503*_xlfn.IFERROR((VLOOKUP(P503,'Settings'!$E$28:$F$33,2,FALSE)+1),1)</f>
        <v>0.276095507564336</v>
      </c>
      <c r="AF503" s="48">
        <f>VLOOKUP(B503,'Player Data'!$A1:$AE734,20,FALSE)*$Q503</f>
        <v>0</v>
      </c>
      <c r="AG503" s="48">
        <f>VLOOKUP(B503,'Player Data'!$A1:$AE734,21,FALSE)*$Q503</f>
        <v>0</v>
      </c>
      <c r="AH503" s="49">
        <f>VLOOKUP(B503,'Player Data'!$A1:$AE734,22,FALSE)</f>
        <v>0</v>
      </c>
      <c r="AI503" s="46"/>
      <c r="AJ503" s="50"/>
      <c r="AK503" s="48"/>
      <c r="AL503" s="48"/>
      <c r="AM503" s="48"/>
      <c r="AN503" s="48"/>
      <c r="AO503" s="48"/>
      <c r="AP503" s="48"/>
      <c r="AQ503" s="51"/>
      <c r="AR503" s="52"/>
      <c r="AS503" s="46"/>
    </row>
    <row r="504" ht="21.25" customHeight="1">
      <c r="A504" s="53">
        <f>RANK(K504,K2:K730)</f>
        <v>543</v>
      </c>
      <c r="B504" t="s" s="8">
        <v>656</v>
      </c>
      <c r="C504" t="s" s="39">
        <v>106</v>
      </c>
      <c r="D504" t="s" s="40">
        <f>VLOOKUP(B504,'Player Data'!A1:D734,4,FALSE)</f>
        <v>129</v>
      </c>
      <c r="E504" s="56">
        <f>VLOOKUP(B504,'D'!A1:C228,3,FALSE)</f>
        <v>186</v>
      </c>
      <c r="F504" t="s" s="42">
        <f>VLOOKUP(B504,'Player Data'!A1:B734,2,FALSE)</f>
        <v>119</v>
      </c>
      <c r="G504" s="9">
        <f>VLOOKUP(B504,'Player Data'!A1:D734,3,FALSE)</f>
        <v>27</v>
      </c>
      <c r="H504" s="43">
        <f>_xlfn.IFERROR(VLOOKUP(B504,'ADP'!A1:G731,7,FALSE)/1000000,VLOOKUP(B504,'ADP'!A1:G731,7,FALSE))</f>
        <v>2.5</v>
      </c>
      <c r="I504" s="44">
        <f>IF('Settings'!$E$15="POINTS",((R504*Q504)*'Settings'!$B$12)+(S504*'Settings'!$B$2)+(T504*'Settings'!$B$3)+(U504*'Settings'!$B$4)+(V504*'Settings'!$B$5)+(X504*'Settings'!$B$9)+(AA504*'Settings'!$B$6)+(W504*'Settings'!$B$8)+(AB504*'Settings'!$B$7)+(AC504*'Settings'!$B$14)+(AD504*'Settings'!$B$15)+(AE504*'Settings'!$B$16)+(AF504*'Settings'!$B$17)+(AG504*'Settings'!$B$18)+(U504*'Settings'!$B$13)+(Y504*'Settings'!$B$10)+(Z504*'Settings'!$B$11),VLOOKUP(B504,'Standard Deviations'!A1:C731,3,FALSE))</f>
        <v>142.650218455877</v>
      </c>
      <c r="J504" s="45">
        <f>IF(D504="G",I504/AJ504,I504/Q504)</f>
        <v>2.12910773814742</v>
      </c>
      <c r="K504" s="44">
        <f>VLOOKUP(B504,'D'!A1:F228,6,FALSE)</f>
        <v>-198.084920190646</v>
      </c>
      <c r="L504" s="44">
        <f>_xlfn.IFERROR(K504/H504,"N/A")</f>
        <v>-79.23396807625841</v>
      </c>
      <c r="M504" t="s" s="61">
        <f>IF('Settings'!$E$9="YAHOO",VLOOKUP(B504,'ADP'!A1:E731,2,FALSE),IF('Settings'!$E$9="ESPN",VLOOKUP(B504,'ADP'!A1:E731,3,FALSE),IF('Settings'!$E$9="FANTRAX",VLOOKUP(B504,'ADP'!A1:E731,4,FALSE),VLOOKUP(B504,'ADP'!A1:E731,5,FALSE))))</f>
        <v>329</v>
      </c>
      <c r="N504" t="s" s="61">
        <f>_xlfn.IFERROR(M504-A504,"N/A")</f>
        <v>158</v>
      </c>
      <c r="O504" s="46"/>
      <c r="P504" t="s" s="47">
        <f>IF('Settings'!$E$27="ON",VLOOKUP(B504,'ADP'!A1:H731,8,FALSE)," ")</f>
        <v>109</v>
      </c>
      <c r="Q504" s="48">
        <f>IF('Settings'!$E$12="YES",VLOOKUP(B504,'Player Data'!A1:E734,5,FALSE),82)</f>
        <v>67</v>
      </c>
      <c r="R504" s="46">
        <f>VLOOKUP(B504,'Player Data'!$A1:$AE734,6,FALSE)</f>
        <v>17.4989933523267</v>
      </c>
      <c r="S504" s="48">
        <f>VLOOKUP(B504,'Player Data'!$A1:$AE734,7,FALSE)*$Q504*_xlfn.IFERROR((VLOOKUP(P504,'Settings'!$E$28:$F$33,2,FALSE)+1),1)</f>
        <v>2.29508618993474</v>
      </c>
      <c r="T504" s="48">
        <f>VLOOKUP(B504,'Player Data'!$A1:$AE734,8,FALSE)*$Q504*_xlfn.IFERROR((VLOOKUP(P504,'Settings'!$E$28:$F$33,2,FALSE)+1),1)</f>
        <v>8.607310727594751</v>
      </c>
      <c r="U504" s="48">
        <f>SUM(S504:T504)</f>
        <v>10.9023969175295</v>
      </c>
      <c r="V504" s="48">
        <f>VLOOKUP(B504,'Player Data'!$A1:$AE734,10,FALSE)*$Q504*_xlfn.IFERROR(((VLOOKUP(P504,'Settings'!$E$28:$F$33,2,FALSE)/2)+1),1)</f>
        <v>60.0191691846412</v>
      </c>
      <c r="W504" s="48">
        <f>VLOOKUP(B504,'Player Data'!$A1:$AE734,11,FALSE)*$Q504*_xlfn.IFERROR((VLOOKUP(P504,'Settings'!$E$28:$F$33,2,FALSE)+1),1)</f>
        <v>0.0145030757686632</v>
      </c>
      <c r="X504" s="48">
        <f>VLOOKUP(B504,'Player Data'!$A1:$AE734,12,FALSE)*$Q504*_xlfn.IFERROR((VLOOKUP(P504,'Settings'!$E$28:$F$33,2,FALSE)+1),1)</f>
        <v>0.100474496466695</v>
      </c>
      <c r="Y504" s="48">
        <f>VLOOKUP(B504,'Player Data'!$A1:$AE734,13,FALSE)*$Q504</f>
        <v>0.288161304265054</v>
      </c>
      <c r="Z504" s="48">
        <f>VLOOKUP(B504,'Player Data'!$A1:$AE734,14,FALSE)*$Q504</f>
        <v>0.382129060587391</v>
      </c>
      <c r="AA504" s="48">
        <f>VLOOKUP(B504,'Player Data'!$A1:$AE734,15,FALSE)*$Q504</f>
        <v>91.50190907416111</v>
      </c>
      <c r="AB504" s="48">
        <f>VLOOKUP(B504,'Player Data'!$A1:$AE734,16,FALSE)*$Q504</f>
        <v>119.902404671243</v>
      </c>
      <c r="AC504" s="48">
        <f>VLOOKUP(B504,'Player Data'!$A1:$AE734,17,FALSE)*$Q504*_xlfn.IFERROR((VLOOKUP(P504,'Settings'!$E$28:$F$33,2,FALSE)+1),1)</f>
        <v>-0.657854518583696</v>
      </c>
      <c r="AD504" s="48">
        <f>VLOOKUP(B504,'Player Data'!$A1:$AE734,18,FALSE)*$Q504</f>
        <v>48.0361081570108</v>
      </c>
      <c r="AE504" s="48">
        <f>VLOOKUP(B504,'Player Data'!$A1:$AE734,19,FALSE)*$Q504*_xlfn.IFERROR((VLOOKUP(P504,'Settings'!$E$28:$F$33,2,FALSE)+1),1)</f>
        <v>0.329235348998172</v>
      </c>
      <c r="AF504" s="48">
        <f>VLOOKUP(B504,'Player Data'!$A1:$AE734,20,FALSE)*$Q504</f>
        <v>0</v>
      </c>
      <c r="AG504" s="48">
        <f>VLOOKUP(B504,'Player Data'!$A1:$AE734,21,FALSE)*$Q504</f>
        <v>0</v>
      </c>
      <c r="AH504" s="49">
        <f>VLOOKUP(B504,'Player Data'!$A1:$AE734,22,FALSE)</f>
        <v>0</v>
      </c>
      <c r="AI504" s="46"/>
      <c r="AJ504" s="50"/>
      <c r="AK504" s="48"/>
      <c r="AL504" s="48"/>
      <c r="AM504" s="48"/>
      <c r="AN504" s="48"/>
      <c r="AO504" s="48"/>
      <c r="AP504" s="48"/>
      <c r="AQ504" s="51"/>
      <c r="AR504" s="52"/>
      <c r="AS504" s="46"/>
    </row>
    <row r="505" ht="21.25" customHeight="1">
      <c r="A505" s="53">
        <f>RANK(K505,K2:K730)</f>
        <v>632</v>
      </c>
      <c r="B505" t="s" s="8">
        <v>657</v>
      </c>
      <c r="C505" t="s" s="39">
        <v>106</v>
      </c>
      <c r="D505" t="s" s="40">
        <f>VLOOKUP(B505,'Player Data'!A1:D734,4,FALSE)</f>
        <v>129</v>
      </c>
      <c r="E505" s="56">
        <f>VLOOKUP(B505,'D'!A1:C228,3,FALSE)</f>
        <v>210</v>
      </c>
      <c r="F505" t="s" s="42">
        <f>VLOOKUP(B505,'Player Data'!A1:B734,2,FALSE)</f>
        <v>225</v>
      </c>
      <c r="G505" s="9">
        <f>VLOOKUP(B505,'Player Data'!A1:D734,3,FALSE)</f>
        <v>24</v>
      </c>
      <c r="H505" s="43">
        <f>_xlfn.IFERROR(VLOOKUP(B505,'ADP'!A1:G731,7,FALSE)/1000000,VLOOKUP(B505,'ADP'!A1:G731,7,FALSE))</f>
        <v>0</v>
      </c>
      <c r="I505" s="44">
        <f>IF('Settings'!$E$15="POINTS",((R505*Q505)*'Settings'!$B$12)+(S505*'Settings'!$B$2)+(T505*'Settings'!$B$3)+(U505*'Settings'!$B$4)+(V505*'Settings'!$B$5)+(X505*'Settings'!$B$9)+(AA505*'Settings'!$B$6)+(W505*'Settings'!$B$8)+(AB505*'Settings'!$B$7)+(AC505*'Settings'!$B$14)+(AD505*'Settings'!$B$15)+(AE505*'Settings'!$B$16)+(AF505*'Settings'!$B$17)+(AG505*'Settings'!$B$18)+(U505*'Settings'!$B$13)+(Y505*'Settings'!$B$10)+(Z505*'Settings'!$B$11),VLOOKUP(B505,'Standard Deviations'!A1:C731,3,FALSE))</f>
        <v>114.866348079240</v>
      </c>
      <c r="J505" s="45">
        <f>IF(D505="G",I505/AJ505,I505/Q505)</f>
        <v>2.25150875835233</v>
      </c>
      <c r="K505" s="44">
        <f>VLOOKUP(B505,'D'!A1:F228,6,FALSE)</f>
        <v>-225.868790567283</v>
      </c>
      <c r="L505" t="s" s="60">
        <f>_xlfn.IFERROR(K505/H505,"N/A")</f>
        <v>158</v>
      </c>
      <c r="M505" t="s" s="61">
        <f>IF('Settings'!$E$9="YAHOO",VLOOKUP(B505,'ADP'!A1:E731,2,FALSE),IF('Settings'!$E$9="ESPN",VLOOKUP(B505,'ADP'!A1:E731,3,FALSE),IF('Settings'!$E$9="FANTRAX",VLOOKUP(B505,'ADP'!A1:E731,4,FALSE),VLOOKUP(B505,'ADP'!A1:E731,5,FALSE))))</f>
        <v>329</v>
      </c>
      <c r="N505" t="s" s="61">
        <f>_xlfn.IFERROR(M505-A505,"N/A")</f>
        <v>158</v>
      </c>
      <c r="O505" s="46"/>
      <c r="P505" t="s" s="47">
        <f>IF('Settings'!$E$27="ON",VLOOKUP(B505,'ADP'!A1:H731,8,FALSE)," ")</f>
        <v>109</v>
      </c>
      <c r="Q505" s="48">
        <f>IF('Settings'!$E$12="YES",VLOOKUP(B505,'Player Data'!A1:E734,5,FALSE),82)</f>
        <v>51.0175</v>
      </c>
      <c r="R505" s="46">
        <f>VLOOKUP(B505,'Player Data'!$A1:$AE734,6,FALSE)</f>
        <v>16.1951733321377</v>
      </c>
      <c r="S505" s="48">
        <f>VLOOKUP(B505,'Player Data'!$A1:$AE734,7,FALSE)*$Q505*_xlfn.IFERROR((VLOOKUP(P505,'Settings'!$E$28:$F$33,2,FALSE)+1),1)</f>
        <v>2.97079236639579</v>
      </c>
      <c r="T505" s="48">
        <f>VLOOKUP(B505,'Player Data'!$A1:$AE734,8,FALSE)*$Q505*_xlfn.IFERROR((VLOOKUP(P505,'Settings'!$E$28:$F$33,2,FALSE)+1),1)</f>
        <v>9.409808393888049</v>
      </c>
      <c r="U505" s="48">
        <f>SUM(S505:T505)</f>
        <v>12.3806007602838</v>
      </c>
      <c r="V505" s="48">
        <f>VLOOKUP(B505,'Player Data'!$A1:$AE734,10,FALSE)*$Q505*_xlfn.IFERROR(((VLOOKUP(P505,'Settings'!$E$28:$F$33,2,FALSE)/2)+1),1)</f>
        <v>58.6557453093268</v>
      </c>
      <c r="W505" s="48">
        <f>VLOOKUP(B505,'Player Data'!$A1:$AE734,11,FALSE)*$Q505*_xlfn.IFERROR((VLOOKUP(P505,'Settings'!$E$28:$F$33,2,FALSE)+1),1)</f>
        <v>0.205218522415987</v>
      </c>
      <c r="X505" s="48">
        <f>VLOOKUP(B505,'Player Data'!$A1:$AE734,12,FALSE)*$Q505*_xlfn.IFERROR((VLOOKUP(P505,'Settings'!$E$28:$F$33,2,FALSE)+1),1)</f>
        <v>1.40301480668941</v>
      </c>
      <c r="Y505" s="48">
        <f>VLOOKUP(B505,'Player Data'!$A1:$AE734,13,FALSE)*$Q505</f>
        <v>0.0245326231383246</v>
      </c>
      <c r="Z505" s="48">
        <f>VLOOKUP(B505,'Player Data'!$A1:$AE734,14,FALSE)*$Q505</f>
        <v>0.0916692585255096</v>
      </c>
      <c r="AA505" s="48">
        <f>VLOOKUP(B505,'Player Data'!$A1:$AE734,15,FALSE)*$Q505</f>
        <v>58.6384388840667</v>
      </c>
      <c r="AB505" s="48">
        <f>VLOOKUP(B505,'Player Data'!$A1:$AE734,16,FALSE)*$Q505</f>
        <v>57.7517065401873</v>
      </c>
      <c r="AC505" s="48">
        <f>VLOOKUP(B505,'Player Data'!$A1:$AE734,17,FALSE)*$Q505*_xlfn.IFERROR((VLOOKUP(P505,'Settings'!$E$28:$F$33,2,FALSE)+1),1)</f>
        <v>-3.69929511319995</v>
      </c>
      <c r="AD505" s="48">
        <f>VLOOKUP(B505,'Player Data'!$A1:$AE734,18,FALSE)*$Q505</f>
        <v>17.9204147112075</v>
      </c>
      <c r="AE505" s="48">
        <f>VLOOKUP(B505,'Player Data'!$A1:$AE734,19,FALSE)*$Q505*_xlfn.IFERROR((VLOOKUP(P505,'Settings'!$E$28:$F$33,2,FALSE)+1),1)</f>
        <v>0.34812206002138</v>
      </c>
      <c r="AF505" s="48">
        <f>VLOOKUP(B505,'Player Data'!$A1:$AE734,20,FALSE)*$Q505</f>
        <v>0</v>
      </c>
      <c r="AG505" s="48">
        <f>VLOOKUP(B505,'Player Data'!$A1:$AE734,21,FALSE)*$Q505</f>
        <v>0</v>
      </c>
      <c r="AH505" s="49">
        <f>VLOOKUP(B505,'Player Data'!$A1:$AE734,22,FALSE)</f>
        <v>0</v>
      </c>
      <c r="AI505" s="46"/>
      <c r="AJ505" s="50"/>
      <c r="AK505" s="48"/>
      <c r="AL505" s="48"/>
      <c r="AM505" s="48"/>
      <c r="AN505" s="48"/>
      <c r="AO505" s="48"/>
      <c r="AP505" s="48"/>
      <c r="AQ505" s="51"/>
      <c r="AR505" s="52"/>
      <c r="AS505" s="46"/>
    </row>
    <row r="506" ht="21.25" customHeight="1">
      <c r="A506" s="53">
        <f>RANK(K506,K2:K730)</f>
        <v>542</v>
      </c>
      <c r="B506" t="s" s="8">
        <v>658</v>
      </c>
      <c r="C506" t="s" s="39">
        <v>106</v>
      </c>
      <c r="D506" t="s" s="40">
        <f>VLOOKUP(B506,'Player Data'!A1:D734,4,FALSE)</f>
        <v>129</v>
      </c>
      <c r="E506" s="56">
        <f>VLOOKUP(B506,'D'!A1:C228,3,FALSE)</f>
        <v>185</v>
      </c>
      <c r="F506" t="s" s="42">
        <f>VLOOKUP(B506,'Player Data'!A1:B734,2,FALSE)</f>
        <v>139</v>
      </c>
      <c r="G506" s="9">
        <f>VLOOKUP(B506,'Player Data'!A1:D734,3,FALSE)</f>
        <v>29</v>
      </c>
      <c r="H506" s="43">
        <f>_xlfn.IFERROR(VLOOKUP(B506,'ADP'!A1:G731,7,FALSE)/1000000,VLOOKUP(B506,'ADP'!A1:G731,7,FALSE))</f>
        <v>2.75</v>
      </c>
      <c r="I506" s="44">
        <f>IF('Settings'!$E$15="POINTS",((R506*Q506)*'Settings'!$B$12)+(S506*'Settings'!$B$2)+(T506*'Settings'!$B$3)+(U506*'Settings'!$B$4)+(V506*'Settings'!$B$5)+(X506*'Settings'!$B$9)+(AA506*'Settings'!$B$6)+(W506*'Settings'!$B$8)+(AB506*'Settings'!$B$7)+(AC506*'Settings'!$B$14)+(AD506*'Settings'!$B$15)+(AE506*'Settings'!$B$16)+(AF506*'Settings'!$B$17)+(AG506*'Settings'!$B$18)+(U506*'Settings'!$B$13)+(Y506*'Settings'!$B$10)+(Z506*'Settings'!$B$11),VLOOKUP(B506,'Standard Deviations'!A1:C731,3,FALSE))</f>
        <v>143.670983592713</v>
      </c>
      <c r="J506" s="45">
        <f>IF(D506="G",I506/AJ506,I506/Q506)</f>
        <v>1.79588729490891</v>
      </c>
      <c r="K506" s="44">
        <f>VLOOKUP(B506,'D'!A1:F228,6,FALSE)</f>
        <v>-197.064155053810</v>
      </c>
      <c r="L506" s="44">
        <f>_xlfn.IFERROR(K506/H506,"N/A")</f>
        <v>-71.65969274683999</v>
      </c>
      <c r="M506" t="s" s="61">
        <f>IF('Settings'!$E$9="YAHOO",VLOOKUP(B506,'ADP'!A1:E731,2,FALSE),IF('Settings'!$E$9="ESPN",VLOOKUP(B506,'ADP'!A1:E731,3,FALSE),IF('Settings'!$E$9="FANTRAX",VLOOKUP(B506,'ADP'!A1:E731,4,FALSE),VLOOKUP(B506,'ADP'!A1:E731,5,FALSE))))</f>
        <v>329</v>
      </c>
      <c r="N506" t="s" s="61">
        <f>_xlfn.IFERROR(M506-A506,"N/A")</f>
        <v>158</v>
      </c>
      <c r="O506" s="46"/>
      <c r="P506" t="s" s="47">
        <f>IF('Settings'!$E$27="ON",VLOOKUP(B506,'ADP'!A1:H731,8,FALSE)," ")</f>
        <v>109</v>
      </c>
      <c r="Q506" s="48">
        <f>IF('Settings'!$E$12="YES",VLOOKUP(B506,'Player Data'!A1:E734,5,FALSE),82)</f>
        <v>80</v>
      </c>
      <c r="R506" s="46">
        <f>VLOOKUP(B506,'Player Data'!$A1:$AE734,6,FALSE)</f>
        <v>13.9163198204672</v>
      </c>
      <c r="S506" s="48">
        <f>VLOOKUP(B506,'Player Data'!$A1:$AE734,7,FALSE)*$Q506*_xlfn.IFERROR((VLOOKUP(P506,'Settings'!$E$28:$F$33,2,FALSE)+1),1)</f>
        <v>1.9240196338647</v>
      </c>
      <c r="T506" s="48">
        <f>VLOOKUP(B506,'Player Data'!$A1:$AE734,8,FALSE)*$Q506*_xlfn.IFERROR((VLOOKUP(P506,'Settings'!$E$28:$F$33,2,FALSE)+1),1)</f>
        <v>10.1291632529992</v>
      </c>
      <c r="U506" s="48">
        <f>SUM(S506:T506)</f>
        <v>12.0531828868639</v>
      </c>
      <c r="V506" s="48">
        <f>VLOOKUP(B506,'Player Data'!$A1:$AE734,10,FALSE)*$Q506*_xlfn.IFERROR(((VLOOKUP(P506,'Settings'!$E$28:$F$33,2,FALSE)/2)+1),1)</f>
        <v>51.5859649980005</v>
      </c>
      <c r="W506" s="48">
        <f>VLOOKUP(B506,'Player Data'!$A1:$AE734,11,FALSE)*$Q506*_xlfn.IFERROR((VLOOKUP(P506,'Settings'!$E$28:$F$33,2,FALSE)+1),1)</f>
        <v>0.0128797582928516</v>
      </c>
      <c r="X506" s="48">
        <f>VLOOKUP(B506,'Player Data'!$A1:$AE734,12,FALSE)*$Q506*_xlfn.IFERROR((VLOOKUP(P506,'Settings'!$E$28:$F$33,2,FALSE)+1),1)</f>
        <v>0.0912200522988096</v>
      </c>
      <c r="Y506" s="48">
        <f>VLOOKUP(B506,'Player Data'!$A1:$AE734,13,FALSE)*$Q506</f>
        <v>0.263862526869219</v>
      </c>
      <c r="Z506" s="48">
        <f>VLOOKUP(B506,'Player Data'!$A1:$AE734,14,FALSE)*$Q506</f>
        <v>0.732685206254546</v>
      </c>
      <c r="AA506" s="48">
        <f>VLOOKUP(B506,'Player Data'!$A1:$AE734,15,FALSE)*$Q506</f>
        <v>94.319286417188</v>
      </c>
      <c r="AB506" s="48">
        <f>VLOOKUP(B506,'Player Data'!$A1:$AE734,16,FALSE)*$Q506</f>
        <v>120.829637444885</v>
      </c>
      <c r="AC506" s="48">
        <f>VLOOKUP(B506,'Player Data'!$A1:$AE734,17,FALSE)*$Q506*_xlfn.IFERROR((VLOOKUP(P506,'Settings'!$E$28:$F$33,2,FALSE)+1),1)</f>
        <v>-2.63703362480048</v>
      </c>
      <c r="AD506" s="48">
        <f>VLOOKUP(B506,'Player Data'!$A1:$AE734,18,FALSE)*$Q506</f>
        <v>35.959864705409</v>
      </c>
      <c r="AE506" s="48">
        <f>VLOOKUP(B506,'Player Data'!$A1:$AE734,19,FALSE)*$Q506*_xlfn.IFERROR((VLOOKUP(P506,'Settings'!$E$28:$F$33,2,FALSE)+1),1)</f>
        <v>0.24631117822891</v>
      </c>
      <c r="AF506" s="48">
        <f>VLOOKUP(B506,'Player Data'!$A1:$AE734,20,FALSE)*$Q506</f>
        <v>0</v>
      </c>
      <c r="AG506" s="48">
        <f>VLOOKUP(B506,'Player Data'!$A1:$AE734,21,FALSE)*$Q506</f>
        <v>0</v>
      </c>
      <c r="AH506" s="49">
        <f>VLOOKUP(B506,'Player Data'!$A1:$AE734,22,FALSE)</f>
        <v>0</v>
      </c>
      <c r="AI506" s="46"/>
      <c r="AJ506" s="50"/>
      <c r="AK506" s="48"/>
      <c r="AL506" s="48"/>
      <c r="AM506" s="48"/>
      <c r="AN506" s="48"/>
      <c r="AO506" s="48"/>
      <c r="AP506" s="48"/>
      <c r="AQ506" s="51"/>
      <c r="AR506" s="52"/>
      <c r="AS506" s="46"/>
    </row>
    <row r="507" ht="21.25" customHeight="1">
      <c r="A507" s="53">
        <f>RANK(K507,K2:K730)</f>
        <v>563</v>
      </c>
      <c r="B507" t="s" s="8">
        <v>659</v>
      </c>
      <c r="C507" t="s" s="39">
        <v>106</v>
      </c>
      <c r="D507" t="s" s="40">
        <f>VLOOKUP(B507,'Player Data'!A1:D734,4,FALSE)</f>
        <v>129</v>
      </c>
      <c r="E507" s="56">
        <f>VLOOKUP(B507,'D'!A1:C228,3,FALSE)</f>
        <v>192</v>
      </c>
      <c r="F507" t="s" s="42">
        <f>VLOOKUP(B507,'Player Data'!A1:B734,2,FALSE)</f>
        <v>164</v>
      </c>
      <c r="G507" s="9">
        <f>VLOOKUP(B507,'Player Data'!A1:D734,3,FALSE)</f>
        <v>25</v>
      </c>
      <c r="H507" s="43">
        <f>_xlfn.IFERROR(VLOOKUP(B507,'ADP'!A1:G731,7,FALSE)/1000000,VLOOKUP(B507,'ADP'!A1:G731,7,FALSE))</f>
        <v>0</v>
      </c>
      <c r="I507" s="44">
        <f>IF('Settings'!$E$15="POINTS",((R507*Q507)*'Settings'!$B$12)+(S507*'Settings'!$B$2)+(T507*'Settings'!$B$3)+(U507*'Settings'!$B$4)+(V507*'Settings'!$B$5)+(X507*'Settings'!$B$9)+(AA507*'Settings'!$B$6)+(W507*'Settings'!$B$8)+(AB507*'Settings'!$B$7)+(AC507*'Settings'!$B$14)+(AD507*'Settings'!$B$15)+(AE507*'Settings'!$B$16)+(AF507*'Settings'!$B$17)+(AG507*'Settings'!$B$18)+(U507*'Settings'!$B$13)+(Y507*'Settings'!$B$10)+(Z507*'Settings'!$B$11),VLOOKUP(B507,'Standard Deviations'!A1:C731,3,FALSE))</f>
        <v>134.628525703409</v>
      </c>
      <c r="J507" s="45">
        <f>IF(D507="G",I507/AJ507,I507/Q507)</f>
        <v>2.07871200966977</v>
      </c>
      <c r="K507" s="44">
        <f>VLOOKUP(B507,'D'!A1:F228,6,FALSE)</f>
        <v>-206.106612943114</v>
      </c>
      <c r="L507" t="s" s="60">
        <f>_xlfn.IFERROR(K507/H507,"N/A")</f>
        <v>158</v>
      </c>
      <c r="M507" t="s" s="61">
        <f>IF('Settings'!$E$9="YAHOO",VLOOKUP(B507,'ADP'!A1:E731,2,FALSE),IF('Settings'!$E$9="ESPN",VLOOKUP(B507,'ADP'!A1:E731,3,FALSE),IF('Settings'!$E$9="FANTRAX",VLOOKUP(B507,'ADP'!A1:E731,4,FALSE),VLOOKUP(B507,'ADP'!A1:E731,5,FALSE))))</f>
        <v>329</v>
      </c>
      <c r="N507" t="s" s="61">
        <f>_xlfn.IFERROR(M507-A507,"N/A")</f>
        <v>158</v>
      </c>
      <c r="O507" s="46"/>
      <c r="P507" t="s" s="47">
        <f>IF('Settings'!$E$27="ON",VLOOKUP(B507,'ADP'!A1:H731,8,FALSE)," ")</f>
        <v>109</v>
      </c>
      <c r="Q507" s="48">
        <f>IF('Settings'!$E$12="YES",VLOOKUP(B507,'Player Data'!A1:E734,5,FALSE),82)</f>
        <v>64.7653571428571</v>
      </c>
      <c r="R507" s="46">
        <f>VLOOKUP(B507,'Player Data'!$A1:$AE734,6,FALSE)</f>
        <v>13.5837294257462</v>
      </c>
      <c r="S507" s="48">
        <f>VLOOKUP(B507,'Player Data'!$A1:$AE734,7,FALSE)*$Q507*_xlfn.IFERROR((VLOOKUP(P507,'Settings'!$E$28:$F$33,2,FALSE)+1),1)</f>
        <v>1.98569198919692</v>
      </c>
      <c r="T507" s="48">
        <f>VLOOKUP(B507,'Player Data'!$A1:$AE734,8,FALSE)*$Q507*_xlfn.IFERROR((VLOOKUP(P507,'Settings'!$E$28:$F$33,2,FALSE)+1),1)</f>
        <v>9.06881697080235</v>
      </c>
      <c r="U507" s="48">
        <f>SUM(S507:T507)</f>
        <v>11.0545089599993</v>
      </c>
      <c r="V507" s="48">
        <f>VLOOKUP(B507,'Player Data'!$A1:$AE734,10,FALSE)*$Q507*_xlfn.IFERROR(((VLOOKUP(P507,'Settings'!$E$28:$F$33,2,FALSE)/2)+1),1)</f>
        <v>65.4094698856555</v>
      </c>
      <c r="W507" s="48">
        <f>VLOOKUP(B507,'Player Data'!$A1:$AE734,11,FALSE)*$Q507*_xlfn.IFERROR((VLOOKUP(P507,'Settings'!$E$28:$F$33,2,FALSE)+1),1)</f>
        <v>0</v>
      </c>
      <c r="X507" s="48">
        <f>VLOOKUP(B507,'Player Data'!$A1:$AE734,12,FALSE)*$Q507*_xlfn.IFERROR((VLOOKUP(P507,'Settings'!$E$28:$F$33,2,FALSE)+1),1)</f>
        <v>0</v>
      </c>
      <c r="Y507" s="48">
        <f>VLOOKUP(B507,'Player Data'!$A1:$AE734,13,FALSE)*$Q507</f>
        <v>0.0323182436957392</v>
      </c>
      <c r="Z507" s="48">
        <f>VLOOKUP(B507,'Player Data'!$A1:$AE734,14,FALSE)*$Q507</f>
        <v>0.396652082203476</v>
      </c>
      <c r="AA507" s="48">
        <f>VLOOKUP(B507,'Player Data'!$A1:$AE734,15,FALSE)*$Q507</f>
        <v>75.21324623032351</v>
      </c>
      <c r="AB507" s="48">
        <f>VLOOKUP(B507,'Player Data'!$A1:$AE734,16,FALSE)*$Q507</f>
        <v>109.527194468877</v>
      </c>
      <c r="AC507" s="48">
        <f>VLOOKUP(B507,'Player Data'!$A1:$AE734,17,FALSE)*$Q507*_xlfn.IFERROR((VLOOKUP(P507,'Settings'!$E$28:$F$33,2,FALSE)+1),1)</f>
        <v>0.530370133146478</v>
      </c>
      <c r="AD507" s="48">
        <f>VLOOKUP(B507,'Player Data'!$A1:$AE734,18,FALSE)*$Q507</f>
        <v>41.0352579326038</v>
      </c>
      <c r="AE507" s="48">
        <f>VLOOKUP(B507,'Player Data'!$A1:$AE734,19,FALSE)*$Q507*_xlfn.IFERROR((VLOOKUP(P507,'Settings'!$E$28:$F$33,2,FALSE)+1),1)</f>
        <v>0.309774596787241</v>
      </c>
      <c r="AF507" s="48">
        <f>VLOOKUP(B507,'Player Data'!$A1:$AE734,20,FALSE)*$Q507</f>
        <v>0</v>
      </c>
      <c r="AG507" s="48">
        <f>VLOOKUP(B507,'Player Data'!$A1:$AE734,21,FALSE)*$Q507</f>
        <v>0</v>
      </c>
      <c r="AH507" s="49">
        <f>VLOOKUP(B507,'Player Data'!$A1:$AE734,22,FALSE)</f>
        <v>0</v>
      </c>
      <c r="AI507" s="46"/>
      <c r="AJ507" s="50"/>
      <c r="AK507" s="48"/>
      <c r="AL507" s="48"/>
      <c r="AM507" s="48"/>
      <c r="AN507" s="48"/>
      <c r="AO507" s="48"/>
      <c r="AP507" s="48"/>
      <c r="AQ507" s="51"/>
      <c r="AR507" s="52"/>
      <c r="AS507" s="46"/>
    </row>
    <row r="508" ht="21.25" customHeight="1">
      <c r="A508" s="53">
        <f>RANK(K508,K2:K730)</f>
        <v>571</v>
      </c>
      <c r="B508" t="s" s="8">
        <v>660</v>
      </c>
      <c r="C508" t="s" s="39">
        <v>106</v>
      </c>
      <c r="D508" t="s" s="40">
        <f>VLOOKUP(B508,'Player Data'!A1:D734,4,FALSE)</f>
        <v>133</v>
      </c>
      <c r="E508" s="57">
        <f>VLOOKUP(B508,'LW'!A1:C156,3,FALSE)</f>
        <v>120</v>
      </c>
      <c r="F508" t="s" s="42">
        <f>VLOOKUP(B508,'Player Data'!A1:B734,2,FALSE)</f>
        <v>113</v>
      </c>
      <c r="G508" s="9">
        <f>VLOOKUP(B508,'Player Data'!A1:D734,3,FALSE)</f>
        <v>28</v>
      </c>
      <c r="H508" s="43">
        <f>_xlfn.IFERROR(VLOOKUP(B508,'ADP'!A1:G731,7,FALSE)/1000000,VLOOKUP(B508,'ADP'!A1:G731,7,FALSE))</f>
        <v>0.825</v>
      </c>
      <c r="I508" s="44">
        <f>IF('Settings'!$E$15="POINTS",((R508*Q508)*'Settings'!$B$12)+(S508*'Settings'!$B$2)+(T508*'Settings'!$B$3)+(U508*'Settings'!$B$4)+(V508*'Settings'!$B$5)+(X508*'Settings'!$B$9)+(AA508*'Settings'!$B$6)+(W508*'Settings'!$B$8)+(AB508*'Settings'!$B$7)+(AC508*'Settings'!$B$14)+(AD508*'Settings'!$B$15)+(AE508*'Settings'!$B$16)+(AF508*'Settings'!$B$17)+(AG508*'Settings'!$B$18)+(Y508*'Settings'!$B$10)+(Z508*'Settings'!$B$11),VLOOKUP(B508,'Standard Deviations'!A1:C731,3,FALSE))</f>
        <v>172.996117502267</v>
      </c>
      <c r="J508" s="45">
        <f>IF(D508="G",I508/AJ508,I508/Q508)</f>
        <v>2.49227772235664</v>
      </c>
      <c r="K508" s="44">
        <f>IF('Settings'!$E$18="C/LW/RW",VLOOKUP(B508,'LW'!A1:F156,6,FALSE),VLOOKUP(B508,'F'!A1:F432,6,FALSE))</f>
        <v>-208.632446204089</v>
      </c>
      <c r="L508" s="44">
        <f>_xlfn.IFERROR(K508/H508,"N/A")</f>
        <v>-252.887813580714</v>
      </c>
      <c r="M508" s="46">
        <f>IF('Settings'!$E$9="YAHOO",VLOOKUP(B508,'ADP'!A1:E731,2,FALSE),IF('Settings'!$E$9="ESPN",VLOOKUP(B508,'ADP'!A1:E731,3,FALSE),IF('Settings'!$E$9="FANTRAX",VLOOKUP(B508,'ADP'!A1:E731,4,FALSE),VLOOKUP(B508,'ADP'!A1:E731,5,FALSE))))</f>
        <v>243.07</v>
      </c>
      <c r="N508" s="46">
        <f>_xlfn.IFERROR(M508-A508,"N/A")</f>
        <v>-327.93</v>
      </c>
      <c r="O508" s="46"/>
      <c r="P508" t="s" s="47">
        <f>IF('Settings'!$E$27="ON",VLOOKUP(B508,'ADP'!A1:H731,8,FALSE)," ")</f>
        <v>109</v>
      </c>
      <c r="Q508" s="48">
        <f>IF('Settings'!$E$12="YES",VLOOKUP(B508,'Player Data'!A1:E734,5,FALSE),82)</f>
        <v>69.41285714285711</v>
      </c>
      <c r="R508" s="46">
        <f>VLOOKUP(B508,'Player Data'!$A1:$AE734,6,FALSE)</f>
        <v>14.1667130705162</v>
      </c>
      <c r="S508" s="48">
        <f>VLOOKUP(B508,'Player Data'!$A1:$AE734,7,FALSE)*$Q508*_xlfn.IFERROR((VLOOKUP(P508,'Settings'!$E$28:$F$33,2,FALSE)+1),1)</f>
        <v>6.13520938073776</v>
      </c>
      <c r="T508" s="48">
        <f>VLOOKUP(B508,'Player Data'!$A1:$AE734,8,FALSE)*$Q508*_xlfn.IFERROR((VLOOKUP(P508,'Settings'!$E$28:$F$33,2,FALSE)+1),1)</f>
        <v>25.103694367736</v>
      </c>
      <c r="U508" s="48">
        <f>SUM(S508:T508)</f>
        <v>31.2389037484738</v>
      </c>
      <c r="V508" s="48">
        <f>VLOOKUP(B508,'Player Data'!$A1:$AE734,10,FALSE)*$Q508*_xlfn.IFERROR(((VLOOKUP(P508,'Settings'!$E$28:$F$33,2,FALSE)/2)+1),1)</f>
        <v>91.46668159338461</v>
      </c>
      <c r="W508" s="48">
        <f>VLOOKUP(B508,'Player Data'!$A1:$AE734,11,FALSE)*$Q508*_xlfn.IFERROR((VLOOKUP(P508,'Settings'!$E$28:$F$33,2,FALSE)+1),1)</f>
        <v>0.464905379597536</v>
      </c>
      <c r="X508" s="48">
        <f>VLOOKUP(B508,'Player Data'!$A1:$AE734,12,FALSE)*$Q508*_xlfn.IFERROR((VLOOKUP(P508,'Settings'!$E$28:$F$33,2,FALSE)+1),1)</f>
        <v>5.67758124234526</v>
      </c>
      <c r="Y508" s="48">
        <f>VLOOKUP(B508,'Player Data'!$A1:$AE734,13,FALSE)*$Q508</f>
        <v>0.00515503479249863</v>
      </c>
      <c r="Z508" s="48">
        <f>VLOOKUP(B508,'Player Data'!$A1:$AE734,14,FALSE)*$Q508</f>
        <v>0.00982901606978219</v>
      </c>
      <c r="AA508" s="48">
        <f>VLOOKUP(B508,'Player Data'!$A1:$AE734,15,FALSE)*$Q508</f>
        <v>25.7350119129569</v>
      </c>
      <c r="AB508" s="48">
        <f>VLOOKUP(B508,'Player Data'!$A1:$AE734,16,FALSE)*$Q508</f>
        <v>45.8243496017138</v>
      </c>
      <c r="AC508" s="48">
        <f>VLOOKUP(B508,'Player Data'!$A1:$AE734,17,FALSE)*$Q508*_xlfn.IFERROR((VLOOKUP(P508,'Settings'!$E$28:$F$33,2,FALSE)+1),1)</f>
        <v>2.57172512872919</v>
      </c>
      <c r="AD508" s="48">
        <f>VLOOKUP(B508,'Player Data'!$A1:$AE734,18,FALSE)*$Q508</f>
        <v>23.1696716830752</v>
      </c>
      <c r="AE508" s="48">
        <f>VLOOKUP(B508,'Player Data'!$A1:$AE734,19,FALSE)*$Q508*_xlfn.IFERROR((VLOOKUP(P508,'Settings'!$E$28:$F$33,2,FALSE)+1),1)</f>
        <v>0.9706825616365931</v>
      </c>
      <c r="AF508" s="48">
        <f>VLOOKUP(B508,'Player Data'!$A1:$AE734,20,FALSE)*$Q508</f>
        <v>159.909450860075</v>
      </c>
      <c r="AG508" s="48">
        <f>VLOOKUP(B508,'Player Data'!$A1:$AE734,21,FALSE)*$Q508</f>
        <v>189.759804095390</v>
      </c>
      <c r="AH508" s="49">
        <f>VLOOKUP(B508,'Player Data'!$A1:$AE734,22,FALSE)</f>
        <v>0.457316302745694</v>
      </c>
      <c r="AI508" s="46"/>
      <c r="AJ508" s="50"/>
      <c r="AK508" s="48"/>
      <c r="AL508" s="48"/>
      <c r="AM508" s="48"/>
      <c r="AN508" s="48"/>
      <c r="AO508" s="48"/>
      <c r="AP508" s="48"/>
      <c r="AQ508" s="51"/>
      <c r="AR508" s="52"/>
      <c r="AS508" s="46"/>
    </row>
    <row r="509" ht="21.25" customHeight="1">
      <c r="A509" s="53">
        <f>RANK(K509,K2:K730)</f>
        <v>574</v>
      </c>
      <c r="B509" t="s" s="8">
        <v>661</v>
      </c>
      <c r="C509" t="s" s="39">
        <v>106</v>
      </c>
      <c r="D509" t="s" s="40">
        <f>VLOOKUP(B509,'Player Data'!A1:D734,4,FALSE)</f>
        <v>121</v>
      </c>
      <c r="E509" s="55">
        <f>VLOOKUP(B509,'RW'!A1:F132,3,FALSE)</f>
        <v>109</v>
      </c>
      <c r="F509" t="s" s="42">
        <f>VLOOKUP(B509,'Player Data'!A1:B734,2,FALSE)</f>
        <v>234</v>
      </c>
      <c r="G509" s="9">
        <f>VLOOKUP(B509,'Player Data'!A1:D734,3,FALSE)</f>
        <v>32</v>
      </c>
      <c r="H509" s="43">
        <f>_xlfn.IFERROR(VLOOKUP(B509,'ADP'!A1:G731,7,FALSE)/1000000,VLOOKUP(B509,'ADP'!A1:G731,7,FALSE))</f>
        <v>5.25</v>
      </c>
      <c r="I509" s="44">
        <f>IF('Settings'!$E$15="POINTS",((R509*Q509)*'Settings'!$B$12)+(S509*'Settings'!$B$2)+(T509*'Settings'!$B$3)+(U509*'Settings'!$B$4)+(V509*'Settings'!$B$5)+(X509*'Settings'!$B$9)+(AA509*'Settings'!$B$6)+(W509*'Settings'!$B$8)+(AB509*'Settings'!$B$7)+(AC509*'Settings'!$B$14)+(AD509*'Settings'!$B$15)+(AE509*'Settings'!$B$16)+(AF509*'Settings'!$B$17)+(AG509*'Settings'!$B$18)+(Y509*'Settings'!$B$10)+(Z509*'Settings'!$B$11),VLOOKUP(B509,'Standard Deviations'!A1:C731,3,FALSE))</f>
        <v>171.844184785250</v>
      </c>
      <c r="J509" s="45">
        <f>IF(D509="G",I509/AJ509,I509/Q509)</f>
        <v>2.27307122731812</v>
      </c>
      <c r="K509" s="44">
        <f>IF('Settings'!$E$18="C/LW/RW",VLOOKUP(B509,'RW'!A1:F132,6,FALSE),VLOOKUP(B509,'F'!A1:F432,6,FALSE))</f>
        <v>-209.784378921106</v>
      </c>
      <c r="L509" s="44">
        <f>_xlfn.IFERROR(K509/H509,"N/A")</f>
        <v>-39.9589293183059</v>
      </c>
      <c r="M509" t="s" s="61">
        <f>IF('Settings'!$E$9="YAHOO",VLOOKUP(B509,'ADP'!A1:E731,2,FALSE),IF('Settings'!$E$9="ESPN",VLOOKUP(B509,'ADP'!A1:E731,3,FALSE),IF('Settings'!$E$9="FANTRAX",VLOOKUP(B509,'ADP'!A1:E731,4,FALSE),VLOOKUP(B509,'ADP'!A1:E731,5,FALSE))))</f>
        <v>329</v>
      </c>
      <c r="N509" t="s" s="61">
        <f>_xlfn.IFERROR(M509-A509,"N/A")</f>
        <v>158</v>
      </c>
      <c r="O509" s="46"/>
      <c r="P509" t="s" s="47">
        <f>IF('Settings'!$E$27="ON",VLOOKUP(B509,'ADP'!A1:H731,8,FALSE)," ")</f>
        <v>109</v>
      </c>
      <c r="Q509" s="48">
        <f>IF('Settings'!$E$12="YES",VLOOKUP(B509,'Player Data'!A1:E734,5,FALSE),82)</f>
        <v>75.59999999999999</v>
      </c>
      <c r="R509" s="46">
        <f>VLOOKUP(B509,'Player Data'!$A1:$AE734,6,FALSE)</f>
        <v>14.8617858682673</v>
      </c>
      <c r="S509" s="48">
        <f>VLOOKUP(B509,'Player Data'!$A1:$AE734,7,FALSE)*$Q509*_xlfn.IFERROR((VLOOKUP(P509,'Settings'!$E$28:$F$33,2,FALSE)+1),1)</f>
        <v>7.49368328859415</v>
      </c>
      <c r="T509" s="48">
        <f>VLOOKUP(B509,'Player Data'!$A1:$AE734,8,FALSE)*$Q509*_xlfn.IFERROR((VLOOKUP(P509,'Settings'!$E$28:$F$33,2,FALSE)+1),1)</f>
        <v>14.1233231977353</v>
      </c>
      <c r="U509" s="48">
        <f>SUM(S509:T509)</f>
        <v>21.6170064863295</v>
      </c>
      <c r="V509" s="48">
        <f>VLOOKUP(B509,'Player Data'!$A1:$AE734,10,FALSE)*$Q509*_xlfn.IFERROR(((VLOOKUP(P509,'Settings'!$E$28:$F$33,2,FALSE)/2)+1),1)</f>
        <v>128.740982603689</v>
      </c>
      <c r="W509" s="48">
        <f>VLOOKUP(B509,'Player Data'!$A1:$AE734,11,FALSE)*$Q509*_xlfn.IFERROR((VLOOKUP(P509,'Settings'!$E$28:$F$33,2,FALSE)+1),1)</f>
        <v>1.90790875680555</v>
      </c>
      <c r="X509" s="48">
        <f>VLOOKUP(B509,'Player Data'!$A1:$AE734,12,FALSE)*$Q509*_xlfn.IFERROR((VLOOKUP(P509,'Settings'!$E$28:$F$33,2,FALSE)+1),1)</f>
        <v>4.65578781516239</v>
      </c>
      <c r="Y509" s="48">
        <f>VLOOKUP(B509,'Player Data'!$A1:$AE734,13,FALSE)*$Q509</f>
        <v>0.241157803375057</v>
      </c>
      <c r="Z509" s="48">
        <f>VLOOKUP(B509,'Player Data'!$A1:$AE734,14,FALSE)*$Q509</f>
        <v>0.336928272243813</v>
      </c>
      <c r="AA509" s="48">
        <f>VLOOKUP(B509,'Player Data'!$A1:$AE734,15,FALSE)*$Q509</f>
        <v>46.5594200314116</v>
      </c>
      <c r="AB509" s="48">
        <f>VLOOKUP(B509,'Player Data'!$A1:$AE734,16,FALSE)*$Q509</f>
        <v>29.714330125331</v>
      </c>
      <c r="AC509" s="48">
        <f>VLOOKUP(B509,'Player Data'!$A1:$AE734,17,FALSE)*$Q509*_xlfn.IFERROR((VLOOKUP(P509,'Settings'!$E$28:$F$33,2,FALSE)+1),1)</f>
        <v>-9.0682289232539</v>
      </c>
      <c r="AD509" s="48">
        <f>VLOOKUP(B509,'Player Data'!$A1:$AE734,18,FALSE)*$Q509</f>
        <v>30.7286305984425</v>
      </c>
      <c r="AE509" s="48">
        <f>VLOOKUP(B509,'Player Data'!$A1:$AE734,19,FALSE)*$Q509*_xlfn.IFERROR((VLOOKUP(P509,'Settings'!$E$28:$F$33,2,FALSE)+1),1)</f>
        <v>0.718367153442697</v>
      </c>
      <c r="AF509" s="48">
        <f>VLOOKUP(B509,'Player Data'!$A1:$AE734,20,FALSE)*$Q509</f>
        <v>15.4942178047701</v>
      </c>
      <c r="AG509" s="48">
        <f>VLOOKUP(B509,'Player Data'!$A1:$AE734,21,FALSE)*$Q509</f>
        <v>28.240355246235</v>
      </c>
      <c r="AH509" s="49">
        <f>VLOOKUP(B509,'Player Data'!$A1:$AE734,22,FALSE)</f>
        <v>0.354278474073592</v>
      </c>
      <c r="AI509" s="46"/>
      <c r="AJ509" s="50"/>
      <c r="AK509" s="48"/>
      <c r="AL509" s="48"/>
      <c r="AM509" s="48"/>
      <c r="AN509" s="48"/>
      <c r="AO509" s="48"/>
      <c r="AP509" s="48"/>
      <c r="AQ509" s="51"/>
      <c r="AR509" s="52"/>
      <c r="AS509" s="46"/>
    </row>
    <row r="510" ht="21.25" customHeight="1">
      <c r="A510" s="53">
        <f>RANK(K510,K2:K730)</f>
        <v>523</v>
      </c>
      <c r="B510" t="s" s="8">
        <v>662</v>
      </c>
      <c r="C510" t="s" s="39">
        <v>106</v>
      </c>
      <c r="D510" t="s" s="40">
        <f>VLOOKUP(B510,'Player Data'!A1:D734,4,FALSE)</f>
        <v>129</v>
      </c>
      <c r="E510" s="56">
        <f>VLOOKUP(B510,'D'!A1:C228,3,FALSE)</f>
        <v>180</v>
      </c>
      <c r="F510" t="s" s="42">
        <f>VLOOKUP(B510,'Player Data'!A1:B734,2,FALSE)</f>
        <v>196</v>
      </c>
      <c r="G510" s="9">
        <f>VLOOKUP(B510,'Player Data'!A1:D734,3,FALSE)</f>
        <v>29</v>
      </c>
      <c r="H510" s="43">
        <f>_xlfn.IFERROR(VLOOKUP(B510,'ADP'!A1:G731,7,FALSE)/1000000,VLOOKUP(B510,'ADP'!A1:G731,7,FALSE))</f>
        <v>1.275</v>
      </c>
      <c r="I510" s="44">
        <f>IF('Settings'!$E$15="POINTS",((R510*Q510)*'Settings'!$B$12)+(S510*'Settings'!$B$2)+(T510*'Settings'!$B$3)+(U510*'Settings'!$B$4)+(V510*'Settings'!$B$5)+(X510*'Settings'!$B$9)+(AA510*'Settings'!$B$6)+(W510*'Settings'!$B$8)+(AB510*'Settings'!$B$7)+(AC510*'Settings'!$B$14)+(AD510*'Settings'!$B$15)+(AE510*'Settings'!$B$16)+(AF510*'Settings'!$B$17)+(AG510*'Settings'!$B$18)+(U510*'Settings'!$B$13)+(Y510*'Settings'!$B$10)+(Z510*'Settings'!$B$11),VLOOKUP(B510,'Standard Deviations'!A1:C731,3,FALSE))</f>
        <v>151.277883639377</v>
      </c>
      <c r="J510" s="45">
        <f>IF(D510="G",I510/AJ510,I510/Q510)</f>
        <v>2.12986018519206</v>
      </c>
      <c r="K510" s="44">
        <f>VLOOKUP(B510,'D'!A1:F228,6,FALSE)</f>
        <v>-189.457255007146</v>
      </c>
      <c r="L510" s="44">
        <f>_xlfn.IFERROR(K510/H510,"N/A")</f>
        <v>-148.593925495801</v>
      </c>
      <c r="M510" t="s" s="61">
        <f>IF('Settings'!$E$9="YAHOO",VLOOKUP(B510,'ADP'!A1:E731,2,FALSE),IF('Settings'!$E$9="ESPN",VLOOKUP(B510,'ADP'!A1:E731,3,FALSE),IF('Settings'!$E$9="FANTRAX",VLOOKUP(B510,'ADP'!A1:E731,4,FALSE),VLOOKUP(B510,'ADP'!A1:E731,5,FALSE))))</f>
        <v>329</v>
      </c>
      <c r="N510" t="s" s="61">
        <f>_xlfn.IFERROR(M510-A510,"N/A")</f>
        <v>158</v>
      </c>
      <c r="O510" s="46"/>
      <c r="P510" t="s" s="47">
        <f>IF('Settings'!$E$27="ON",VLOOKUP(B510,'ADP'!A1:H731,8,FALSE)," ")</f>
        <v>109</v>
      </c>
      <c r="Q510" s="48">
        <f>IF('Settings'!$E$12="YES",VLOOKUP(B510,'Player Data'!A1:E734,5,FALSE),82)</f>
        <v>71.02714285714291</v>
      </c>
      <c r="R510" s="46">
        <f>VLOOKUP(B510,'Player Data'!$A1:$AE734,6,FALSE)</f>
        <v>15.4397341795776</v>
      </c>
      <c r="S510" s="48">
        <f>VLOOKUP(B510,'Player Data'!$A1:$AE734,7,FALSE)*$Q510*_xlfn.IFERROR((VLOOKUP(P510,'Settings'!$E$28:$F$33,2,FALSE)+1),1)</f>
        <v>2.14586457913655</v>
      </c>
      <c r="T510" s="48">
        <f>VLOOKUP(B510,'Player Data'!$A1:$AE734,8,FALSE)*$Q510*_xlfn.IFERROR((VLOOKUP(P510,'Settings'!$E$28:$F$33,2,FALSE)+1),1)</f>
        <v>6.07390515458652</v>
      </c>
      <c r="U510" s="48">
        <f>SUM(S510:T510)</f>
        <v>8.219769733723069</v>
      </c>
      <c r="V510" s="48">
        <f>VLOOKUP(B510,'Player Data'!$A1:$AE734,10,FALSE)*$Q510*_xlfn.IFERROR(((VLOOKUP(P510,'Settings'!$E$28:$F$33,2,FALSE)/2)+1),1)</f>
        <v>66.529267321539</v>
      </c>
      <c r="W510" s="48">
        <f>VLOOKUP(B510,'Player Data'!$A1:$AE734,11,FALSE)*$Q510*_xlfn.IFERROR((VLOOKUP(P510,'Settings'!$E$28:$F$33,2,FALSE)+1),1)</f>
        <v>0.0110069900485604</v>
      </c>
      <c r="X510" s="48">
        <f>VLOOKUP(B510,'Player Data'!$A1:$AE734,12,FALSE)*$Q510*_xlfn.IFERROR((VLOOKUP(P510,'Settings'!$E$28:$F$33,2,FALSE)+1),1)</f>
        <v>0.076874163561235</v>
      </c>
      <c r="Y510" s="48">
        <f>VLOOKUP(B510,'Player Data'!$A1:$AE734,13,FALSE)*$Q510</f>
        <v>0.0257216740756064</v>
      </c>
      <c r="Z510" s="48">
        <f>VLOOKUP(B510,'Player Data'!$A1:$AE734,14,FALSE)*$Q510</f>
        <v>0.139994682815871</v>
      </c>
      <c r="AA510" s="48">
        <f>VLOOKUP(B510,'Player Data'!$A1:$AE734,15,FALSE)*$Q510</f>
        <v>108.488748081680</v>
      </c>
      <c r="AB510" s="48">
        <f>VLOOKUP(B510,'Player Data'!$A1:$AE734,16,FALSE)*$Q510</f>
        <v>142.443122009047</v>
      </c>
      <c r="AC510" s="48">
        <f>VLOOKUP(B510,'Player Data'!$A1:$AE734,17,FALSE)*$Q510*_xlfn.IFERROR((VLOOKUP(P510,'Settings'!$E$28:$F$33,2,FALSE)+1),1)</f>
        <v>-4.77732623277877</v>
      </c>
      <c r="AD510" s="48">
        <f>VLOOKUP(B510,'Player Data'!$A1:$AE734,18,FALSE)*$Q510</f>
        <v>57.7985793108067</v>
      </c>
      <c r="AE510" s="48">
        <f>VLOOKUP(B510,'Player Data'!$A1:$AE734,19,FALSE)*$Q510*_xlfn.IFERROR((VLOOKUP(P510,'Settings'!$E$28:$F$33,2,FALSE)+1),1)</f>
        <v>0.270800809429979</v>
      </c>
      <c r="AF510" s="48">
        <f>VLOOKUP(B510,'Player Data'!$A1:$AE734,20,FALSE)*$Q510</f>
        <v>0</v>
      </c>
      <c r="AG510" s="48">
        <f>VLOOKUP(B510,'Player Data'!$A1:$AE734,21,FALSE)*$Q510</f>
        <v>0</v>
      </c>
      <c r="AH510" s="49">
        <f>VLOOKUP(B510,'Player Data'!$A1:$AE734,22,FALSE)</f>
        <v>0</v>
      </c>
      <c r="AI510" s="46"/>
      <c r="AJ510" s="50"/>
      <c r="AK510" s="48"/>
      <c r="AL510" s="48"/>
      <c r="AM510" s="48"/>
      <c r="AN510" s="48"/>
      <c r="AO510" s="48"/>
      <c r="AP510" s="48"/>
      <c r="AQ510" s="51"/>
      <c r="AR510" s="52"/>
      <c r="AS510" s="46"/>
    </row>
    <row r="511" ht="21.25" customHeight="1">
      <c r="A511" s="53">
        <f>RANK(K511,K2:K730)</f>
        <v>518</v>
      </c>
      <c r="B511" t="s" s="8">
        <v>663</v>
      </c>
      <c r="C511" t="s" s="39">
        <v>106</v>
      </c>
      <c r="D511" t="s" s="40">
        <f>VLOOKUP(B511,'Player Data'!A1:D734,4,FALSE)</f>
        <v>121</v>
      </c>
      <c r="E511" s="55">
        <f>VLOOKUP(B511,'RW'!A1:F132,3,FALSE)</f>
        <v>96</v>
      </c>
      <c r="F511" t="s" s="42">
        <f>VLOOKUP(B511,'Player Data'!A1:B734,2,FALSE)</f>
        <v>248</v>
      </c>
      <c r="G511" s="9">
        <f>VLOOKUP(B511,'Player Data'!A1:D734,3,FALSE)</f>
        <v>24</v>
      </c>
      <c r="H511" s="43">
        <f>_xlfn.IFERROR(VLOOKUP(B511,'ADP'!A1:G731,7,FALSE)/1000000,VLOOKUP(B511,'ADP'!A1:G731,7,FALSE))</f>
        <v>1.5</v>
      </c>
      <c r="I511" s="44">
        <f>IF('Settings'!$E$15="POINTS",((R511*Q511)*'Settings'!$B$12)+(S511*'Settings'!$B$2)+(T511*'Settings'!$B$3)+(U511*'Settings'!$B$4)+(V511*'Settings'!$B$5)+(X511*'Settings'!$B$9)+(AA511*'Settings'!$B$6)+(W511*'Settings'!$B$8)+(AB511*'Settings'!$B$7)+(AC511*'Settings'!$B$14)+(AD511*'Settings'!$B$15)+(AE511*'Settings'!$B$16)+(AF511*'Settings'!$B$17)+(AG511*'Settings'!$B$18)+(Y511*'Settings'!$B$10)+(Z511*'Settings'!$B$11),VLOOKUP(B511,'Standard Deviations'!A1:C731,3,FALSE))</f>
        <v>194.360082321347</v>
      </c>
      <c r="J511" s="45">
        <f>IF(D511="G",I511/AJ511,I511/Q511)</f>
        <v>2.55065724831164</v>
      </c>
      <c r="K511" s="44">
        <f>IF('Settings'!$E$18="C/LW/RW",VLOOKUP(B511,'RW'!A1:F132,6,FALSE),VLOOKUP(B511,'F'!A1:F432,6,FALSE))</f>
        <v>-187.268481385009</v>
      </c>
      <c r="L511" s="44">
        <f>_xlfn.IFERROR(K511/H511,"N/A")</f>
        <v>-124.845654256673</v>
      </c>
      <c r="M511" s="46">
        <f>IF('Settings'!$E$9="YAHOO",VLOOKUP(B511,'ADP'!A1:E731,2,FALSE),IF('Settings'!$E$9="ESPN",VLOOKUP(B511,'ADP'!A1:E731,3,FALSE),IF('Settings'!$E$9="FANTRAX",VLOOKUP(B511,'ADP'!A1:E731,4,FALSE),VLOOKUP(B511,'ADP'!A1:E731,5,FALSE))))</f>
        <v>498.6</v>
      </c>
      <c r="N511" s="46">
        <f>_xlfn.IFERROR(M511-A511,"N/A")</f>
        <v>-19.4</v>
      </c>
      <c r="O511" s="46"/>
      <c r="P511" t="s" s="47">
        <f>IF('Settings'!$E$27="ON",VLOOKUP(B511,'ADP'!A1:H731,8,FALSE)," ")</f>
        <v>109</v>
      </c>
      <c r="Q511" s="48">
        <f>IF('Settings'!$E$12="YES",VLOOKUP(B511,'Player Data'!A1:E734,5,FALSE),82)</f>
        <v>76.2</v>
      </c>
      <c r="R511" s="46">
        <f>VLOOKUP(B511,'Player Data'!$A1:$AE734,6,FALSE)</f>
        <v>13.4132314240788</v>
      </c>
      <c r="S511" s="48">
        <f>VLOOKUP(B511,'Player Data'!$A1:$AE734,7,FALSE)*$Q511*_xlfn.IFERROR((VLOOKUP(P511,'Settings'!$E$28:$F$33,2,FALSE)+1),1)</f>
        <v>12.864135804785</v>
      </c>
      <c r="T511" s="48">
        <f>VLOOKUP(B511,'Player Data'!$A1:$AE734,8,FALSE)*$Q511*_xlfn.IFERROR((VLOOKUP(P511,'Settings'!$E$28:$F$33,2,FALSE)+1),1)</f>
        <v>16.8624551893517</v>
      </c>
      <c r="U511" s="48">
        <f>SUM(S511:T511)</f>
        <v>29.7265909941367</v>
      </c>
      <c r="V511" s="48">
        <f>VLOOKUP(B511,'Player Data'!$A1:$AE734,10,FALSE)*$Q511*_xlfn.IFERROR(((VLOOKUP(P511,'Settings'!$E$28:$F$33,2,FALSE)/2)+1),1)</f>
        <v>97.9563704631362</v>
      </c>
      <c r="W511" s="48">
        <f>VLOOKUP(B511,'Player Data'!$A1:$AE734,11,FALSE)*$Q511*_xlfn.IFERROR((VLOOKUP(P511,'Settings'!$E$28:$F$33,2,FALSE)+1),1)</f>
        <v>0.822493081625408</v>
      </c>
      <c r="X511" s="48">
        <f>VLOOKUP(B511,'Player Data'!$A1:$AE734,12,FALSE)*$Q511*_xlfn.IFERROR((VLOOKUP(P511,'Settings'!$E$28:$F$33,2,FALSE)+1),1)</f>
        <v>1.79455037916484</v>
      </c>
      <c r="Y511" s="48">
        <f>VLOOKUP(B511,'Player Data'!$A1:$AE734,13,FALSE)*$Q511</f>
        <v>0.397994595747327</v>
      </c>
      <c r="Z511" s="48">
        <f>VLOOKUP(B511,'Player Data'!$A1:$AE734,14,FALSE)*$Q511</f>
        <v>0.871641646686751</v>
      </c>
      <c r="AA511" s="48">
        <f>VLOOKUP(B511,'Player Data'!$A1:$AE734,15,FALSE)*$Q511</f>
        <v>28.1702798803776</v>
      </c>
      <c r="AB511" s="48">
        <f>VLOOKUP(B511,'Player Data'!$A1:$AE734,16,FALSE)*$Q511</f>
        <v>84.3099886665152</v>
      </c>
      <c r="AC511" s="48">
        <f>VLOOKUP(B511,'Player Data'!$A1:$AE734,17,FALSE)*$Q511*_xlfn.IFERROR((VLOOKUP(P511,'Settings'!$E$28:$F$33,2,FALSE)+1),1)</f>
        <v>0.0683757905052348</v>
      </c>
      <c r="AD511" s="48">
        <f>VLOOKUP(B511,'Player Data'!$A1:$AE734,18,FALSE)*$Q511</f>
        <v>25.502631845347</v>
      </c>
      <c r="AE511" s="48">
        <f>VLOOKUP(B511,'Player Data'!$A1:$AE734,19,FALSE)*$Q511*_xlfn.IFERROR((VLOOKUP(P511,'Settings'!$E$28:$F$33,2,FALSE)+1),1)</f>
        <v>1.80819548626723</v>
      </c>
      <c r="AF511" s="48">
        <f>VLOOKUP(B511,'Player Data'!$A1:$AE734,20,FALSE)*$Q511</f>
        <v>3.29508144101438</v>
      </c>
      <c r="AG511" s="48">
        <f>VLOOKUP(B511,'Player Data'!$A1:$AE734,21,FALSE)*$Q511</f>
        <v>7.1137435652114</v>
      </c>
      <c r="AH511" s="49">
        <f>VLOOKUP(B511,'Player Data'!$A1:$AE734,22,FALSE)</f>
        <v>0.316566129130186</v>
      </c>
      <c r="AI511" s="46"/>
      <c r="AJ511" s="50"/>
      <c r="AK511" s="48"/>
      <c r="AL511" s="48"/>
      <c r="AM511" s="48"/>
      <c r="AN511" s="48"/>
      <c r="AO511" s="48"/>
      <c r="AP511" s="48"/>
      <c r="AQ511" s="51"/>
      <c r="AR511" s="52"/>
      <c r="AS511" s="46"/>
    </row>
    <row r="512" ht="21.25" customHeight="1">
      <c r="A512" s="53">
        <f>RANK(K512,K2:K730)</f>
        <v>590</v>
      </c>
      <c r="B512" t="s" s="8">
        <v>664</v>
      </c>
      <c r="C512" t="s" s="39">
        <v>106</v>
      </c>
      <c r="D512" t="s" s="40">
        <f>VLOOKUP(B512,'Player Data'!A1:D734,4,FALSE)</f>
        <v>107</v>
      </c>
      <c r="E512" s="41">
        <f>VLOOKUP(B512,'C'!A1:C218,3,FALSE)</f>
        <v>154</v>
      </c>
      <c r="F512" t="s" s="42">
        <f>VLOOKUP(B512,'Player Data'!A1:B734,2,FALSE)</f>
        <v>248</v>
      </c>
      <c r="G512" s="9">
        <f>VLOOKUP(B512,'Player Data'!A1:D734,3,FALSE)</f>
        <v>19</v>
      </c>
      <c r="H512" s="43">
        <f>_xlfn.IFERROR(VLOOKUP(B512,'ADP'!A1:G731,7,FALSE)/1000000,VLOOKUP(B512,'ADP'!A1:G731,7,FALSE))</f>
        <v>0</v>
      </c>
      <c r="I512" s="44">
        <f>IF('Settings'!$E$15="POINTS",((R512*Q512)*'Settings'!$B$12)+(S512*'Settings'!$B$2)+(T512*'Settings'!$B$3)+(U512*'Settings'!$B$4)+(V512*'Settings'!$B$5)+(X512*'Settings'!$B$9)+(AA512*'Settings'!$B$6)+(W512*'Settings'!$B$8)+(AB512*'Settings'!$B$7)+(AC512*'Settings'!$B$14)+(AD512*'Settings'!$B$15)+(AE512*'Settings'!$B$16)+(AF512*'Settings'!$B$17)+(AG512*'Settings'!$B$18)+(Y512*'Settings'!$B$10)+(Z512*'Settings'!$B$11),VLOOKUP(B512,'Standard Deviations'!A1:C731,3,FALSE))</f>
        <v>182.867581278919</v>
      </c>
      <c r="J512" s="45">
        <f>IF(D512="G",I512/AJ512,I512/Q512)</f>
        <v>3.04779302131532</v>
      </c>
      <c r="K512" s="44">
        <f>IF('Settings'!$E$18="C/LW/RW",VLOOKUP(B512,'C'!A1:F218,6,FALSE),VLOOKUP(B512,'F'!A1:F432,6,FALSE))</f>
        <v>-212.906620357096</v>
      </c>
      <c r="L512" t="s" s="60">
        <f>_xlfn.IFERROR(K512/H512,"N/A")</f>
        <v>158</v>
      </c>
      <c r="M512" t="s" s="61">
        <f>IF('Settings'!$E$9="YAHOO",VLOOKUP(B512,'ADP'!A1:E731,2,FALSE),IF('Settings'!$E$9="ESPN",VLOOKUP(B512,'ADP'!A1:E731,3,FALSE),IF('Settings'!$E$9="FANTRAX",VLOOKUP(B512,'ADP'!A1:E731,4,FALSE),VLOOKUP(B512,'ADP'!A1:E731,5,FALSE))))</f>
        <v>329</v>
      </c>
      <c r="N512" t="s" s="61">
        <f>_xlfn.IFERROR(M512-A512,"N/A")</f>
        <v>158</v>
      </c>
      <c r="O512" s="46"/>
      <c r="P512" t="s" s="47">
        <f>IF('Settings'!$E$27="ON",VLOOKUP(B512,'ADP'!A1:H731,8,FALSE)," ")</f>
        <v>109</v>
      </c>
      <c r="Q512" s="48">
        <f>IF('Settings'!$E$12="YES",VLOOKUP(B512,'Player Data'!A1:E734,5,FALSE),82)</f>
        <v>60</v>
      </c>
      <c r="R512" s="46">
        <f>VLOOKUP(B512,'Player Data'!$A1:$AE734,6,FALSE)</f>
        <v>13.5</v>
      </c>
      <c r="S512" s="48">
        <f>VLOOKUP(B512,'Player Data'!$A1:$AE734,7,FALSE)*$Q512*_xlfn.IFERROR((VLOOKUP(P512,'Settings'!$E$28:$F$33,2,FALSE)+1),1)</f>
        <v>13.2034345100809</v>
      </c>
      <c r="T512" s="48">
        <f>VLOOKUP(B512,'Player Data'!$A1:$AE734,8,FALSE)*$Q512*_xlfn.IFERROR((VLOOKUP(P512,'Settings'!$E$28:$F$33,2,FALSE)+1),1)</f>
        <v>15.9177743925158</v>
      </c>
      <c r="U512" s="48">
        <f>SUM(S512:T512)</f>
        <v>29.1212089025967</v>
      </c>
      <c r="V512" s="48">
        <f>VLOOKUP(B512,'Player Data'!$A1:$AE734,10,FALSE)*$Q512*_xlfn.IFERROR(((VLOOKUP(P512,'Settings'!$E$28:$F$33,2,FALSE)/2)+1),1)</f>
        <v>108.153703172990</v>
      </c>
      <c r="W512" s="48">
        <f>VLOOKUP(B512,'Player Data'!$A1:$AE734,11,FALSE)*$Q512*_xlfn.IFERROR((VLOOKUP(P512,'Settings'!$E$28:$F$33,2,FALSE)+1),1)</f>
        <v>2.95910250970337</v>
      </c>
      <c r="X512" s="48">
        <f>VLOOKUP(B512,'Player Data'!$A1:$AE734,12,FALSE)*$Q512*_xlfn.IFERROR((VLOOKUP(P512,'Settings'!$E$28:$F$33,2,FALSE)+1),1)</f>
        <v>6.52653234152646</v>
      </c>
      <c r="Y512" s="48">
        <f>VLOOKUP(B512,'Player Data'!$A1:$AE734,13,FALSE)*$Q512</f>
        <v>0</v>
      </c>
      <c r="Z512" s="48">
        <f>VLOOKUP(B512,'Player Data'!$A1:$AE734,14,FALSE)*$Q512</f>
        <v>0</v>
      </c>
      <c r="AA512" s="48">
        <f>VLOOKUP(B512,'Player Data'!$A1:$AE734,15,FALSE)*$Q512</f>
        <v>24.9512195121951</v>
      </c>
      <c r="AB512" s="48">
        <f>VLOOKUP(B512,'Player Data'!$A1:$AE734,16,FALSE)*$Q512</f>
        <v>36.5853658536586</v>
      </c>
      <c r="AC512" s="48">
        <f>VLOOKUP(B512,'Player Data'!$A1:$AE734,17,FALSE)*$Q512*_xlfn.IFERROR((VLOOKUP(P512,'Settings'!$E$28:$F$33,2,FALSE)+1),1)</f>
        <v>-0.168292682926829</v>
      </c>
      <c r="AD512" s="48">
        <f>VLOOKUP(B512,'Player Data'!$A1:$AE734,18,FALSE)*$Q512</f>
        <v>20.8225146829957</v>
      </c>
      <c r="AE512" s="48">
        <f>VLOOKUP(B512,'Player Data'!$A1:$AE734,19,FALSE)*$Q512*_xlfn.IFERROR((VLOOKUP(P512,'Settings'!$E$28:$F$33,2,FALSE)+1),1)</f>
        <v>1.85588764349588</v>
      </c>
      <c r="AF512" s="48">
        <f>VLOOKUP(B512,'Player Data'!$A1:$AE734,20,FALSE)*$Q512</f>
        <v>39.0377416385393</v>
      </c>
      <c r="AG512" s="48">
        <f>VLOOKUP(B512,'Player Data'!$A1:$AE734,21,FALSE)*$Q512</f>
        <v>63.6931574102484</v>
      </c>
      <c r="AH512" s="49">
        <f>VLOOKUP(B512,'Player Data'!$A1:$AE734,22,FALSE)</f>
        <v>0.38</v>
      </c>
      <c r="AI512" s="46"/>
      <c r="AJ512" s="50"/>
      <c r="AK512" s="48"/>
      <c r="AL512" s="48"/>
      <c r="AM512" s="48"/>
      <c r="AN512" s="48"/>
      <c r="AO512" s="48"/>
      <c r="AP512" s="48"/>
      <c r="AQ512" s="51"/>
      <c r="AR512" s="52"/>
      <c r="AS512" s="50"/>
    </row>
    <row r="513" ht="21.25" customHeight="1">
      <c r="A513" s="53">
        <f>RANK(K513,K2:K730)</f>
        <v>536</v>
      </c>
      <c r="B513" t="s" s="8">
        <v>665</v>
      </c>
      <c r="C513" t="s" s="39">
        <v>106</v>
      </c>
      <c r="D513" t="s" s="40">
        <f>VLOOKUP(B513,'Player Data'!A1:D734,4,FALSE)</f>
        <v>107</v>
      </c>
      <c r="E513" s="41">
        <f>VLOOKUP(B513,'C'!A1:C218,3,FALSE)</f>
        <v>143</v>
      </c>
      <c r="F513" t="s" s="42">
        <f>VLOOKUP(B513,'Player Data'!A1:B734,2,FALSE)</f>
        <v>173</v>
      </c>
      <c r="G513" s="9">
        <f>VLOOKUP(B513,'Player Data'!A1:D734,3,FALSE)</f>
        <v>22</v>
      </c>
      <c r="H513" s="43">
        <f>_xlfn.IFERROR(VLOOKUP(B513,'ADP'!A1:G731,7,FALSE)/1000000,VLOOKUP(B513,'ADP'!A1:G731,7,FALSE))</f>
        <v>0</v>
      </c>
      <c r="I513" s="44">
        <f>IF('Settings'!$E$15="POINTS",((R513*Q513)*'Settings'!$B$12)+(S513*'Settings'!$B$2)+(T513*'Settings'!$B$3)+(U513*'Settings'!$B$4)+(V513*'Settings'!$B$5)+(X513*'Settings'!$B$9)+(AA513*'Settings'!$B$6)+(W513*'Settings'!$B$8)+(AB513*'Settings'!$B$7)+(AC513*'Settings'!$B$14)+(AD513*'Settings'!$B$15)+(AE513*'Settings'!$B$16)+(AF513*'Settings'!$B$17)+(AG513*'Settings'!$B$18)+(Y513*'Settings'!$B$10)+(Z513*'Settings'!$B$11),VLOOKUP(B513,'Standard Deviations'!A1:C731,3,FALSE))</f>
        <v>201.230997711096</v>
      </c>
      <c r="J513" s="45">
        <f>IF(D513="G",I513/AJ513,I513/Q513)</f>
        <v>2.83953854321228</v>
      </c>
      <c r="K513" s="44">
        <f>IF('Settings'!$E$18="C/LW/RW",VLOOKUP(B513,'C'!A1:F218,6,FALSE),VLOOKUP(B513,'F'!A1:F432,6,FALSE))</f>
        <v>-194.543203924919</v>
      </c>
      <c r="L513" t="s" s="60">
        <f>_xlfn.IFERROR(K513/H513,"N/A")</f>
        <v>158</v>
      </c>
      <c r="M513" t="s" s="61">
        <f>IF('Settings'!$E$9="YAHOO",VLOOKUP(B513,'ADP'!A1:E731,2,FALSE),IF('Settings'!$E$9="ESPN",VLOOKUP(B513,'ADP'!A1:E731,3,FALSE),IF('Settings'!$E$9="FANTRAX",VLOOKUP(B513,'ADP'!A1:E731,4,FALSE),VLOOKUP(B513,'ADP'!A1:E731,5,FALSE))))</f>
        <v>329</v>
      </c>
      <c r="N513" t="s" s="61">
        <f>_xlfn.IFERROR(M513-A513,"N/A")</f>
        <v>158</v>
      </c>
      <c r="O513" s="46"/>
      <c r="P513" t="s" s="47">
        <f>IF('Settings'!$E$27="ON",VLOOKUP(B513,'ADP'!A1:H731,8,FALSE)," ")</f>
        <v>109</v>
      </c>
      <c r="Q513" s="48">
        <f>IF('Settings'!$E$12="YES",VLOOKUP(B513,'Player Data'!A1:E734,5,FALSE),82)</f>
        <v>70.86750000000001</v>
      </c>
      <c r="R513" s="46">
        <f>VLOOKUP(B513,'Player Data'!$A1:$AE734,6,FALSE)</f>
        <v>14.4655959686337</v>
      </c>
      <c r="S513" s="48">
        <f>VLOOKUP(B513,'Player Data'!$A1:$AE734,7,FALSE)*$Q513*_xlfn.IFERROR((VLOOKUP(P513,'Settings'!$E$28:$F$33,2,FALSE)+1),1)</f>
        <v>14.5498714316786</v>
      </c>
      <c r="T513" s="48">
        <f>VLOOKUP(B513,'Player Data'!$A1:$AE734,8,FALSE)*$Q513*_xlfn.IFERROR((VLOOKUP(P513,'Settings'!$E$28:$F$33,2,FALSE)+1),1)</f>
        <v>14.2278829939802</v>
      </c>
      <c r="U513" s="48">
        <f>SUM(S513:T513)</f>
        <v>28.7777544256588</v>
      </c>
      <c r="V513" s="48">
        <f>VLOOKUP(B513,'Player Data'!$A1:$AE734,10,FALSE)*$Q513*_xlfn.IFERROR(((VLOOKUP(P513,'Settings'!$E$28:$F$33,2,FALSE)/2)+1),1)</f>
        <v>114.605825164714</v>
      </c>
      <c r="W513" s="48">
        <f>VLOOKUP(B513,'Player Data'!$A1:$AE734,11,FALSE)*$Q513*_xlfn.IFERROR((VLOOKUP(P513,'Settings'!$E$28:$F$33,2,FALSE)+1),1)</f>
        <v>1.81737307310824</v>
      </c>
      <c r="X513" s="48">
        <f>VLOOKUP(B513,'Player Data'!$A1:$AE734,12,FALSE)*$Q513*_xlfn.IFERROR((VLOOKUP(P513,'Settings'!$E$28:$F$33,2,FALSE)+1),1)</f>
        <v>3.7189587694937</v>
      </c>
      <c r="Y513" s="48">
        <f>VLOOKUP(B513,'Player Data'!$A1:$AE734,13,FALSE)*$Q513</f>
        <v>0.121403431366817</v>
      </c>
      <c r="Z513" s="48">
        <f>VLOOKUP(B513,'Player Data'!$A1:$AE734,14,FALSE)*$Q513</f>
        <v>0.224120943548481</v>
      </c>
      <c r="AA513" s="48">
        <f>VLOOKUP(B513,'Player Data'!$A1:$AE734,15,FALSE)*$Q513</f>
        <v>39.7363761947372</v>
      </c>
      <c r="AB513" s="48">
        <f>VLOOKUP(B513,'Player Data'!$A1:$AE734,16,FALSE)*$Q513</f>
        <v>61.8143388791169</v>
      </c>
      <c r="AC513" s="48">
        <f>VLOOKUP(B513,'Player Data'!$A1:$AE734,17,FALSE)*$Q513*_xlfn.IFERROR((VLOOKUP(P513,'Settings'!$E$28:$F$33,2,FALSE)+1),1)</f>
        <v>-0.5294941124959111</v>
      </c>
      <c r="AD513" s="48">
        <f>VLOOKUP(B513,'Player Data'!$A1:$AE734,18,FALSE)*$Q513</f>
        <v>20.1470495754316</v>
      </c>
      <c r="AE513" s="48">
        <f>VLOOKUP(B513,'Player Data'!$A1:$AE734,19,FALSE)*$Q513*_xlfn.IFERROR((VLOOKUP(P513,'Settings'!$E$28:$F$33,2,FALSE)+1),1)</f>
        <v>2.18809562853712</v>
      </c>
      <c r="AF513" s="48">
        <f>VLOOKUP(B513,'Player Data'!$A1:$AE734,20,FALSE)*$Q513</f>
        <v>343.488698473395</v>
      </c>
      <c r="AG513" s="48">
        <f>VLOOKUP(B513,'Player Data'!$A1:$AE734,21,FALSE)*$Q513</f>
        <v>334.131662679188</v>
      </c>
      <c r="AH513" s="49">
        <f>VLOOKUP(B513,'Player Data'!$A1:$AE734,22,FALSE)</f>
        <v>0.506904334883246</v>
      </c>
      <c r="AI513" s="46"/>
      <c r="AJ513" s="50"/>
      <c r="AK513" s="48"/>
      <c r="AL513" s="48"/>
      <c r="AM513" s="48"/>
      <c r="AN513" s="48"/>
      <c r="AO513" s="48"/>
      <c r="AP513" s="48"/>
      <c r="AQ513" s="51"/>
      <c r="AR513" s="52"/>
      <c r="AS513" s="46"/>
    </row>
    <row r="514" ht="21.25" customHeight="1">
      <c r="A514" s="53">
        <f>RANK(K514,K2:K730)</f>
        <v>559</v>
      </c>
      <c r="B514" t="s" s="8">
        <v>666</v>
      </c>
      <c r="C514" t="s" s="39">
        <v>106</v>
      </c>
      <c r="D514" t="s" s="40">
        <f>VLOOKUP(B514,'Player Data'!A1:D734,4,FALSE)</f>
        <v>129</v>
      </c>
      <c r="E514" s="56">
        <f>VLOOKUP(B514,'D'!A1:C228,3,FALSE)</f>
        <v>191</v>
      </c>
      <c r="F514" t="s" s="42">
        <f>VLOOKUP(B514,'Player Data'!A1:B734,2,FALSE)</f>
        <v>124</v>
      </c>
      <c r="G514" s="9">
        <f>VLOOKUP(B514,'Player Data'!A1:D734,3,FALSE)</f>
        <v>33</v>
      </c>
      <c r="H514" s="43">
        <f>_xlfn.IFERROR(VLOOKUP(B514,'ADP'!A1:G731,7,FALSE)/1000000,VLOOKUP(B514,'ADP'!A1:G731,7,FALSE))</f>
        <v>0.85</v>
      </c>
      <c r="I514" s="44">
        <f>IF('Settings'!$E$15="POINTS",((R514*Q514)*'Settings'!$B$12)+(S514*'Settings'!$B$2)+(T514*'Settings'!$B$3)+(U514*'Settings'!$B$4)+(V514*'Settings'!$B$5)+(X514*'Settings'!$B$9)+(AA514*'Settings'!$B$6)+(W514*'Settings'!$B$8)+(AB514*'Settings'!$B$7)+(AC514*'Settings'!$B$14)+(AD514*'Settings'!$B$15)+(AE514*'Settings'!$B$16)+(AF514*'Settings'!$B$17)+(AG514*'Settings'!$B$18)+(U514*'Settings'!$B$13)+(Y514*'Settings'!$B$10)+(Z514*'Settings'!$B$11),VLOOKUP(B514,'Standard Deviations'!A1:C731,3,FALSE))</f>
        <v>136.957021821763</v>
      </c>
      <c r="J514" s="45">
        <f>IF(D514="G",I514/AJ514,I514/Q514)</f>
        <v>1.97474489732294</v>
      </c>
      <c r="K514" s="44">
        <f>VLOOKUP(B514,'D'!A1:F228,6,FALSE)</f>
        <v>-203.778116824760</v>
      </c>
      <c r="L514" s="44">
        <f>_xlfn.IFERROR(K514/H514,"N/A")</f>
        <v>-239.738960970306</v>
      </c>
      <c r="M514" t="s" s="61">
        <f>IF('Settings'!$E$9="YAHOO",VLOOKUP(B514,'ADP'!A1:E731,2,FALSE),IF('Settings'!$E$9="ESPN",VLOOKUP(B514,'ADP'!A1:E731,3,FALSE),IF('Settings'!$E$9="FANTRAX",VLOOKUP(B514,'ADP'!A1:E731,4,FALSE),VLOOKUP(B514,'ADP'!A1:E731,5,FALSE))))</f>
        <v>329</v>
      </c>
      <c r="N514" t="s" s="61">
        <f>_xlfn.IFERROR(M514-A514,"N/A")</f>
        <v>158</v>
      </c>
      <c r="O514" s="46"/>
      <c r="P514" t="s" s="47">
        <f>IF('Settings'!$E$27="ON",VLOOKUP(B514,'ADP'!A1:H731,8,FALSE)," ")</f>
        <v>109</v>
      </c>
      <c r="Q514" s="48">
        <f>IF('Settings'!$E$12="YES",VLOOKUP(B514,'Player Data'!A1:E734,5,FALSE),82)</f>
        <v>69.35428571428569</v>
      </c>
      <c r="R514" s="46">
        <f>VLOOKUP(B514,'Player Data'!$A1:$AE734,6,FALSE)</f>
        <v>14.8542998791191</v>
      </c>
      <c r="S514" s="48">
        <f>VLOOKUP(B514,'Player Data'!$A1:$AE734,7,FALSE)*$Q514*_xlfn.IFERROR((VLOOKUP(P514,'Settings'!$E$28:$F$33,2,FALSE)+1),1)</f>
        <v>1.99835310764283</v>
      </c>
      <c r="T514" s="48">
        <f>VLOOKUP(B514,'Player Data'!$A1:$AE734,8,FALSE)*$Q514*_xlfn.IFERROR((VLOOKUP(P514,'Settings'!$E$28:$F$33,2,FALSE)+1),1)</f>
        <v>6.68148324306108</v>
      </c>
      <c r="U514" s="48">
        <f>SUM(S514:T514)</f>
        <v>8.67983635070391</v>
      </c>
      <c r="V514" s="48">
        <f>VLOOKUP(B514,'Player Data'!$A1:$AE734,10,FALSE)*$Q514*_xlfn.IFERROR(((VLOOKUP(P514,'Settings'!$E$28:$F$33,2,FALSE)/2)+1),1)</f>
        <v>76.3417802265332</v>
      </c>
      <c r="W514" s="48">
        <f>VLOOKUP(B514,'Player Data'!$A1:$AE734,11,FALSE)*$Q514*_xlfn.IFERROR((VLOOKUP(P514,'Settings'!$E$28:$F$33,2,FALSE)+1),1)</f>
        <v>0.00467044785665492</v>
      </c>
      <c r="X514" s="48">
        <f>VLOOKUP(B514,'Player Data'!$A1:$AE734,12,FALSE)*$Q514*_xlfn.IFERROR((VLOOKUP(P514,'Settings'!$E$28:$F$33,2,FALSE)+1),1)</f>
        <v>0.0335692727736324</v>
      </c>
      <c r="Y514" s="48">
        <f>VLOOKUP(B514,'Player Data'!$A1:$AE734,13,FALSE)*$Q514</f>
        <v>0.0157406933913798</v>
      </c>
      <c r="Z514" s="48">
        <f>VLOOKUP(B514,'Player Data'!$A1:$AE734,14,FALSE)*$Q514</f>
        <v>0.0618359870962461</v>
      </c>
      <c r="AA514" s="48">
        <f>VLOOKUP(B514,'Player Data'!$A1:$AE734,15,FALSE)*$Q514</f>
        <v>68.4689062527905</v>
      </c>
      <c r="AB514" s="48">
        <f>VLOOKUP(B514,'Player Data'!$A1:$AE734,16,FALSE)*$Q514</f>
        <v>141.563871577329</v>
      </c>
      <c r="AC514" s="48">
        <f>VLOOKUP(B514,'Player Data'!$A1:$AE734,17,FALSE)*$Q514*_xlfn.IFERROR((VLOOKUP(P514,'Settings'!$E$28:$F$33,2,FALSE)+1),1)</f>
        <v>-0.549946653161254</v>
      </c>
      <c r="AD514" s="48">
        <f>VLOOKUP(B514,'Player Data'!$A1:$AE734,18,FALSE)*$Q514</f>
        <v>40.084863322829</v>
      </c>
      <c r="AE514" s="48">
        <f>VLOOKUP(B514,'Player Data'!$A1:$AE734,19,FALSE)*$Q514*_xlfn.IFERROR((VLOOKUP(P514,'Settings'!$E$28:$F$33,2,FALSE)+1),1)</f>
        <v>0.312742987249119</v>
      </c>
      <c r="AF514" s="48">
        <f>VLOOKUP(B514,'Player Data'!$A1:$AE734,20,FALSE)*$Q514</f>
        <v>0.431729162880632</v>
      </c>
      <c r="AG514" s="48">
        <f>VLOOKUP(B514,'Player Data'!$A1:$AE734,21,FALSE)*$Q514</f>
        <v>0.624622535184942</v>
      </c>
      <c r="AH514" s="49">
        <f>VLOOKUP(B514,'Player Data'!$A1:$AE734,22,FALSE)</f>
        <v>0.408698318629325</v>
      </c>
      <c r="AI514" s="46"/>
      <c r="AJ514" s="50"/>
      <c r="AK514" s="48"/>
      <c r="AL514" s="48"/>
      <c r="AM514" s="48"/>
      <c r="AN514" s="48"/>
      <c r="AO514" s="48"/>
      <c r="AP514" s="48"/>
      <c r="AQ514" s="51"/>
      <c r="AR514" s="52"/>
      <c r="AS514" s="46"/>
    </row>
    <row r="515" ht="21.25" customHeight="1">
      <c r="A515" s="53">
        <f>RANK(K515,K2:K730)</f>
        <v>451</v>
      </c>
      <c r="B515" t="s" s="8">
        <v>667</v>
      </c>
      <c r="C515" t="s" s="39">
        <v>106</v>
      </c>
      <c r="D515" t="s" s="40">
        <f>VLOOKUP(B515,'Player Data'!A1:D734,4,FALSE)</f>
        <v>107</v>
      </c>
      <c r="E515" s="41">
        <f>VLOOKUP(B515,'C'!A1:C218,3,FALSE)</f>
        <v>114</v>
      </c>
      <c r="F515" t="s" s="42">
        <f>VLOOKUP(B515,'Player Data'!A1:B734,2,FALSE)</f>
        <v>202</v>
      </c>
      <c r="G515" s="9">
        <f>VLOOKUP(B515,'Player Data'!A1:D734,3,FALSE)</f>
        <v>34</v>
      </c>
      <c r="H515" s="43">
        <f>_xlfn.IFERROR(VLOOKUP(B515,'ADP'!A1:G731,7,FALSE)/1000000,VLOOKUP(B515,'ADP'!A1:G731,7,FALSE))</f>
        <v>2.9</v>
      </c>
      <c r="I515" s="44">
        <f>IF('Settings'!$E$15="POINTS",((R515*Q515)*'Settings'!$B$12)+(S515*'Settings'!$B$2)+(T515*'Settings'!$B$3)+(U515*'Settings'!$B$4)+(V515*'Settings'!$B$5)+(X515*'Settings'!$B$9)+(AA515*'Settings'!$B$6)+(W515*'Settings'!$B$8)+(AB515*'Settings'!$B$7)+(AC515*'Settings'!$B$14)+(AD515*'Settings'!$B$15)+(AE515*'Settings'!$B$16)+(AF515*'Settings'!$B$17)+(AG515*'Settings'!$B$18)+(Y515*'Settings'!$B$10)+(Z515*'Settings'!$B$11),VLOOKUP(B515,'Standard Deviations'!A1:C731,3,FALSE))</f>
        <v>227.878113430681</v>
      </c>
      <c r="J515" s="45">
        <f>IF(D515="G",I515/AJ515,I515/Q515)</f>
        <v>2.81806895067909</v>
      </c>
      <c r="K515" s="44">
        <f>IF('Settings'!$E$18="C/LW/RW",VLOOKUP(B515,'C'!A1:F218,6,FALSE),VLOOKUP(B515,'F'!A1:F432,6,FALSE))</f>
        <v>-167.896088205334</v>
      </c>
      <c r="L515" s="44">
        <f>_xlfn.IFERROR(K515/H515,"N/A")</f>
        <v>-57.8952028294255</v>
      </c>
      <c r="M515" s="46">
        <f>IF('Settings'!$E$9="YAHOO",VLOOKUP(B515,'ADP'!A1:E731,2,FALSE),IF('Settings'!$E$9="ESPN",VLOOKUP(B515,'ADP'!A1:E731,3,FALSE),IF('Settings'!$E$9="FANTRAX",VLOOKUP(B515,'ADP'!A1:E731,4,FALSE),VLOOKUP(B515,'ADP'!A1:E731,5,FALSE))))</f>
        <v>400.5</v>
      </c>
      <c r="N515" s="46">
        <f>_xlfn.IFERROR(M515-A515,"N/A")</f>
        <v>-50.5</v>
      </c>
      <c r="O515" s="46"/>
      <c r="P515" t="s" s="47">
        <f>IF('Settings'!$E$27="ON",VLOOKUP(B515,'ADP'!A1:H731,8,FALSE)," ")</f>
        <v>109</v>
      </c>
      <c r="Q515" s="48">
        <f>IF('Settings'!$E$12="YES",VLOOKUP(B515,'Player Data'!A1:E734,5,FALSE),82)</f>
        <v>80.86321428571431</v>
      </c>
      <c r="R515" s="46">
        <f>VLOOKUP(B515,'Player Data'!$A1:$AE734,6,FALSE)</f>
        <v>15.2558396813642</v>
      </c>
      <c r="S515" s="48">
        <f>VLOOKUP(B515,'Player Data'!$A1:$AE734,7,FALSE)*$Q515*_xlfn.IFERROR((VLOOKUP(P515,'Settings'!$E$28:$F$33,2,FALSE)+1),1)</f>
        <v>13.675315064970</v>
      </c>
      <c r="T515" s="48">
        <f>VLOOKUP(B515,'Player Data'!$A1:$AE734,8,FALSE)*$Q515*_xlfn.IFERROR((VLOOKUP(P515,'Settings'!$E$28:$F$33,2,FALSE)+1),1)</f>
        <v>16.0347748787316</v>
      </c>
      <c r="U515" s="48">
        <f>SUM(S515:T515)</f>
        <v>29.7100899437016</v>
      </c>
      <c r="V515" s="48">
        <f>VLOOKUP(B515,'Player Data'!$A1:$AE734,10,FALSE)*$Q515*_xlfn.IFERROR(((VLOOKUP(P515,'Settings'!$E$28:$F$33,2,FALSE)/2)+1),1)</f>
        <v>122.288022181120</v>
      </c>
      <c r="W515" s="48">
        <f>VLOOKUP(B515,'Player Data'!$A1:$AE734,11,FALSE)*$Q515*_xlfn.IFERROR((VLOOKUP(P515,'Settings'!$E$28:$F$33,2,FALSE)+1),1)</f>
        <v>0.272275664775198</v>
      </c>
      <c r="X515" s="48">
        <f>VLOOKUP(B515,'Player Data'!$A1:$AE734,12,FALSE)*$Q515*_xlfn.IFERROR((VLOOKUP(P515,'Settings'!$E$28:$F$33,2,FALSE)+1),1)</f>
        <v>0.566233596182669</v>
      </c>
      <c r="Y515" s="48">
        <f>VLOOKUP(B515,'Player Data'!$A1:$AE734,13,FALSE)*$Q515</f>
        <v>0.069711217820897</v>
      </c>
      <c r="Z515" s="48">
        <f>VLOOKUP(B515,'Player Data'!$A1:$AE734,14,FALSE)*$Q515</f>
        <v>0.308239538889826</v>
      </c>
      <c r="AA515" s="48">
        <f>VLOOKUP(B515,'Player Data'!$A1:$AE734,15,FALSE)*$Q515</f>
        <v>35.7471424014081</v>
      </c>
      <c r="AB515" s="48">
        <f>VLOOKUP(B515,'Player Data'!$A1:$AE734,16,FALSE)*$Q515</f>
        <v>154.403238532311</v>
      </c>
      <c r="AC515" s="48">
        <f>VLOOKUP(B515,'Player Data'!$A1:$AE734,17,FALSE)*$Q515*_xlfn.IFERROR((VLOOKUP(P515,'Settings'!$E$28:$F$33,2,FALSE)+1),1)</f>
        <v>6.86016909888568</v>
      </c>
      <c r="AD515" s="48">
        <f>VLOOKUP(B515,'Player Data'!$A1:$AE734,18,FALSE)*$Q515</f>
        <v>27.917586065680</v>
      </c>
      <c r="AE515" s="48">
        <f>VLOOKUP(B515,'Player Data'!$A1:$AE734,19,FALSE)*$Q515*_xlfn.IFERROR((VLOOKUP(P515,'Settings'!$E$28:$F$33,2,FALSE)+1),1)</f>
        <v>2.45365773611693</v>
      </c>
      <c r="AF515" s="48">
        <f>VLOOKUP(B515,'Player Data'!$A1:$AE734,20,FALSE)*$Q515</f>
        <v>768.179709407184</v>
      </c>
      <c r="AG515" s="48">
        <f>VLOOKUP(B515,'Player Data'!$A1:$AE734,21,FALSE)*$Q515</f>
        <v>586.292799444009</v>
      </c>
      <c r="AH515" s="49">
        <f>VLOOKUP(B515,'Player Data'!$A1:$AE734,22,FALSE)</f>
        <v>0.567143079233643</v>
      </c>
      <c r="AI515" s="46"/>
      <c r="AJ515" s="50"/>
      <c r="AK515" s="48"/>
      <c r="AL515" s="48"/>
      <c r="AM515" s="48"/>
      <c r="AN515" s="48"/>
      <c r="AO515" s="48"/>
      <c r="AP515" s="48"/>
      <c r="AQ515" s="51"/>
      <c r="AR515" s="52"/>
      <c r="AS515" s="46"/>
    </row>
    <row r="516" ht="21.25" customHeight="1">
      <c r="A516" s="53">
        <f>RANK(K516,K2:K730)</f>
        <v>498</v>
      </c>
      <c r="B516" t="s" s="8">
        <v>668</v>
      </c>
      <c r="C516" t="s" s="39">
        <v>106</v>
      </c>
      <c r="D516" t="s" s="40">
        <f>VLOOKUP(B516,'Player Data'!A1:D734,4,FALSE)</f>
        <v>107</v>
      </c>
      <c r="E516" s="41">
        <f>VLOOKUP(B516,'C'!A1:C218,3,FALSE)</f>
        <v>128</v>
      </c>
      <c r="F516" t="s" s="42">
        <f>VLOOKUP(B516,'Player Data'!A1:B734,2,FALSE)</f>
        <v>189</v>
      </c>
      <c r="G516" s="9">
        <f>VLOOKUP(B516,'Player Data'!A1:D734,3,FALSE)</f>
        <v>20</v>
      </c>
      <c r="H516" s="43">
        <f>_xlfn.IFERROR(VLOOKUP(B516,'ADP'!A1:G731,7,FALSE)/1000000,VLOOKUP(B516,'ADP'!A1:G731,7,FALSE))</f>
        <v>0.925</v>
      </c>
      <c r="I516" s="44">
        <f>IF('Settings'!$E$15="POINTS",((R516*Q516)*'Settings'!$B$12)+(S516*'Settings'!$B$2)+(T516*'Settings'!$B$3)+(U516*'Settings'!$B$4)+(V516*'Settings'!$B$5)+(X516*'Settings'!$B$9)+(AA516*'Settings'!$B$6)+(W516*'Settings'!$B$8)+(AB516*'Settings'!$B$7)+(AC516*'Settings'!$B$14)+(AD516*'Settings'!$B$15)+(AE516*'Settings'!$B$16)+(AF516*'Settings'!$B$17)+(AG516*'Settings'!$B$18)+(Y516*'Settings'!$B$10)+(Z516*'Settings'!$B$11),VLOOKUP(B516,'Standard Deviations'!A1:C731,3,FALSE))</f>
        <v>213.484816795985</v>
      </c>
      <c r="J516" s="45">
        <f>IF(D516="G",I516/AJ516,I516/Q516)</f>
        <v>2.75740019756511</v>
      </c>
      <c r="K516" s="44">
        <f>IF('Settings'!$E$18="C/LW/RW",VLOOKUP(B516,'C'!A1:F218,6,FALSE),VLOOKUP(B516,'F'!A1:F432,6,FALSE))</f>
        <v>-182.289384840030</v>
      </c>
      <c r="L516" s="44">
        <f>_xlfn.IFERROR(K516/H516,"N/A")</f>
        <v>-197.069605232465</v>
      </c>
      <c r="M516" t="s" s="61">
        <f>IF('Settings'!$E$9="YAHOO",VLOOKUP(B516,'ADP'!A1:E731,2,FALSE),IF('Settings'!$E$9="ESPN",VLOOKUP(B516,'ADP'!A1:E731,3,FALSE),IF('Settings'!$E$9="FANTRAX",VLOOKUP(B516,'ADP'!A1:E731,4,FALSE),VLOOKUP(B516,'ADP'!A1:E731,5,FALSE))))</f>
        <v>329</v>
      </c>
      <c r="N516" t="s" s="61">
        <f>_xlfn.IFERROR(M516-A516,"N/A")</f>
        <v>158</v>
      </c>
      <c r="O516" s="46"/>
      <c r="P516" t="s" s="47">
        <f>IF('Settings'!$E$27="ON",VLOOKUP(B516,'ADP'!A1:H731,8,FALSE)," ")</f>
        <v>109</v>
      </c>
      <c r="Q516" s="48">
        <f>IF('Settings'!$E$12="YES",VLOOKUP(B516,'Player Data'!A1:E734,5,FALSE),82)</f>
        <v>77.4225</v>
      </c>
      <c r="R516" s="46">
        <f>VLOOKUP(B516,'Player Data'!$A1:$AE734,6,FALSE)</f>
        <v>14.0638927704063</v>
      </c>
      <c r="S516" s="48">
        <f>VLOOKUP(B516,'Player Data'!$A1:$AE734,7,FALSE)*$Q516*_xlfn.IFERROR((VLOOKUP(P516,'Settings'!$E$28:$F$33,2,FALSE)+1),1)</f>
        <v>11.7006532465691</v>
      </c>
      <c r="T516" s="48">
        <f>VLOOKUP(B516,'Player Data'!$A1:$AE734,8,FALSE)*$Q516*_xlfn.IFERROR((VLOOKUP(P516,'Settings'!$E$28:$F$33,2,FALSE)+1),1)</f>
        <v>15.2879934770527</v>
      </c>
      <c r="U516" s="48">
        <f>SUM(S516:T516)</f>
        <v>26.9886467236218</v>
      </c>
      <c r="V516" s="48">
        <f>VLOOKUP(B516,'Player Data'!$A1:$AE734,10,FALSE)*$Q516*_xlfn.IFERROR(((VLOOKUP(P516,'Settings'!$E$28:$F$33,2,FALSE)/2)+1),1)</f>
        <v>126.124590847629</v>
      </c>
      <c r="W516" s="48">
        <f>VLOOKUP(B516,'Player Data'!$A1:$AE734,11,FALSE)*$Q516*_xlfn.IFERROR((VLOOKUP(P516,'Settings'!$E$28:$F$33,2,FALSE)+1),1)</f>
        <v>1.21833876048963</v>
      </c>
      <c r="X516" s="48">
        <f>VLOOKUP(B516,'Player Data'!$A1:$AE734,12,FALSE)*$Q516*_xlfn.IFERROR((VLOOKUP(P516,'Settings'!$E$28:$F$33,2,FALSE)+1),1)</f>
        <v>2.71829580205464</v>
      </c>
      <c r="Y516" s="48">
        <f>VLOOKUP(B516,'Player Data'!$A1:$AE734,13,FALSE)*$Q516</f>
        <v>0.140116685350041</v>
      </c>
      <c r="Z516" s="48">
        <f>VLOOKUP(B516,'Player Data'!$A1:$AE734,14,FALSE)*$Q516</f>
        <v>0.256060359246853</v>
      </c>
      <c r="AA516" s="48">
        <f>VLOOKUP(B516,'Player Data'!$A1:$AE734,15,FALSE)*$Q516</f>
        <v>44.2710356167398</v>
      </c>
      <c r="AB516" s="48">
        <f>VLOOKUP(B516,'Player Data'!$A1:$AE734,16,FALSE)*$Q516</f>
        <v>117.031851218352</v>
      </c>
      <c r="AC516" s="48">
        <f>VLOOKUP(B516,'Player Data'!$A1:$AE734,17,FALSE)*$Q516*_xlfn.IFERROR((VLOOKUP(P516,'Settings'!$E$28:$F$33,2,FALSE)+1),1)</f>
        <v>-7.43830726107179</v>
      </c>
      <c r="AD516" s="48">
        <f>VLOOKUP(B516,'Player Data'!$A1:$AE734,18,FALSE)*$Q516</f>
        <v>31.2105161914793</v>
      </c>
      <c r="AE516" s="48">
        <f>VLOOKUP(B516,'Player Data'!$A1:$AE734,19,FALSE)*$Q516*_xlfn.IFERROR((VLOOKUP(P516,'Settings'!$E$28:$F$33,2,FALSE)+1),1)</f>
        <v>1.25380555655862</v>
      </c>
      <c r="AF516" s="48">
        <f>VLOOKUP(B516,'Player Data'!$A1:$AE734,20,FALSE)*$Q516</f>
        <v>394.058458750966</v>
      </c>
      <c r="AG516" s="48">
        <f>VLOOKUP(B516,'Player Data'!$A1:$AE734,21,FALSE)*$Q516</f>
        <v>474.685458229568</v>
      </c>
      <c r="AH516" s="49">
        <f>VLOOKUP(B516,'Player Data'!$A1:$AE734,22,FALSE)</f>
        <v>0.453595646598117</v>
      </c>
      <c r="AI516" s="46"/>
      <c r="AJ516" s="48"/>
      <c r="AK516" s="48"/>
      <c r="AL516" s="48"/>
      <c r="AM516" s="48"/>
      <c r="AN516" s="48"/>
      <c r="AO516" s="48"/>
      <c r="AP516" s="48"/>
      <c r="AQ516" s="51"/>
      <c r="AR516" s="52"/>
      <c r="AS516" s="46"/>
    </row>
    <row r="517" ht="21.25" customHeight="1">
      <c r="A517" s="53">
        <f>RANK(K517,K2:K730)</f>
        <v>275</v>
      </c>
      <c r="B517" t="s" s="8">
        <v>669</v>
      </c>
      <c r="C517" t="s" s="39">
        <v>106</v>
      </c>
      <c r="D517" t="s" s="40">
        <f>VLOOKUP(B517,'Player Data'!A1:D734,4,FALSE)</f>
        <v>146</v>
      </c>
      <c r="E517" s="58">
        <f>VLOOKUP(B517,'G'!A1:D75,3,FALSE)</f>
        <v>42</v>
      </c>
      <c r="F517" t="s" s="42">
        <f>VLOOKUP(B517,'Player Data'!A1:B734,2,FALSE)</f>
        <v>134</v>
      </c>
      <c r="G517" s="9">
        <f>VLOOKUP(B517,'Player Data'!A1:D734,3,FALSE)</f>
        <v>38</v>
      </c>
      <c r="H517" s="43">
        <f>_xlfn.IFERROR(VLOOKUP(B517,'ADP'!A1:G731,7,FALSE)/1000000,VLOOKUP(B517,'ADP'!A1:G731,7,FALSE))</f>
        <v>3.5</v>
      </c>
      <c r="I517" s="44">
        <f>IF('Settings'!$E$15="POINTS",(AJ517*'Settings'!$B$29)+(AK517*'Settings'!$B$21)+(AL517*'Settings'!$B$22)+(AN517*'Settings'!$B$24)+(AO517*'Settings'!$B$25)+(AP517*'Settings'!$B$27)+(AM517*'Settings'!$B$23),VLOOKUP(B517,'Standard Deviations'!A1:C731,3,FALSE))</f>
        <v>161.292061082318</v>
      </c>
      <c r="J517" s="45">
        <f>IF(D517="G",I517/AJ517,I517/Q517)</f>
        <v>5.76043075293993</v>
      </c>
      <c r="K517" s="44">
        <f>VLOOKUP(B517,'G'!A1:F75,6,FALSE)</f>
        <v>-104.011160417370</v>
      </c>
      <c r="L517" s="44">
        <f>_xlfn.IFERROR(K517/H517,"N/A")</f>
        <v>-29.7174744049629</v>
      </c>
      <c r="M517" s="46">
        <f>IF('Settings'!$E$9="YAHOO",VLOOKUP(B517,'ADP'!A1:E731,2,FALSE),IF('Settings'!$E$9="ESPN",VLOOKUP(B517,'ADP'!A1:E731,3,FALSE),IF('Settings'!$E$9="FANTRAX",VLOOKUP(B517,'ADP'!A1:E731,4,FALSE),VLOOKUP(B517,'ADP'!A1:E731,5,FALSE))))</f>
        <v>222.5</v>
      </c>
      <c r="N517" s="46">
        <f>_xlfn.IFERROR(M517-A517,"N/A")</f>
        <v>-52.5</v>
      </c>
      <c r="O517" s="46"/>
      <c r="P517" t="s" s="47">
        <f>IF('Settings'!$E$27="ON",VLOOKUP(B517,'ADP'!A1:H731,8,FALSE)," ")</f>
        <v>109</v>
      </c>
      <c r="Q517" s="48"/>
      <c r="R517" s="59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9"/>
      <c r="AI517" s="46"/>
      <c r="AJ517" s="50">
        <f>VLOOKUP(B517,'Player Data'!$A1:$AE734,24,FALSE)</f>
        <v>28</v>
      </c>
      <c r="AK517" s="48">
        <f>VLOOKUP(B517,'Player Data'!$A1:$AE734,25,FALSE)*$AJ517*_xlfn.IFERROR((VLOOKUP(P517,'Settings'!$E$28:$F$33,2,FALSE)+1),1)</f>
        <v>14.3806422791671</v>
      </c>
      <c r="AL517" s="48">
        <f>AJ517-AK517-AM517</f>
        <v>10.1193577208329</v>
      </c>
      <c r="AM517" s="48">
        <f>VLOOKUP(B517,'Player Data'!$A1:$AE734,27,FALSE)*$AJ517</f>
        <v>3.5</v>
      </c>
      <c r="AN517" s="48">
        <f>VLOOKUP(B517,'Player Data'!$A1:$AE734,28,FALSE)*AJ517</f>
        <v>1.04082949867191</v>
      </c>
      <c r="AO517" s="48">
        <f>VLOOKUP(B517,'Player Data'!$A1:$AE734,29,FALSE)*$AJ517*_xlfn.IFERROR((VLOOKUP(P517,'Settings'!$E$28:$F$33,2,FALSE)/4)+1,1)</f>
        <v>811.5387385340561</v>
      </c>
      <c r="AP517" s="48">
        <f>VLOOKUP(B517,'Player Data'!$A1:$AE734,31,FALSE)*$AJ517*(_xlfn.IFERROR(1-(VLOOKUP(P517,'Settings'!$E$28:$F$33,2,FALSE)/4),1))</f>
        <v>85.6226505409436</v>
      </c>
      <c r="AQ517" s="51">
        <f>1-(AP517/(AO517+AP517))</f>
        <v>0.904562711253966</v>
      </c>
      <c r="AR517" s="52">
        <f>AP517/AJ517</f>
        <v>3.0579518050337</v>
      </c>
      <c r="AS517" s="46"/>
    </row>
    <row r="518" ht="21.25" customHeight="1">
      <c r="A518" s="53">
        <f>RANK(K518,K2:K730)</f>
        <v>641</v>
      </c>
      <c r="B518" t="s" s="8">
        <v>670</v>
      </c>
      <c r="C518" t="s" s="39">
        <v>106</v>
      </c>
      <c r="D518" t="s" s="40">
        <f>VLOOKUP(B518,'Player Data'!A1:D734,4,FALSE)</f>
        <v>129</v>
      </c>
      <c r="E518" s="56">
        <f>VLOOKUP(B518,'D'!A1:C228,3,FALSE)</f>
        <v>214</v>
      </c>
      <c r="F518" t="s" s="42">
        <f>VLOOKUP(B518,'Player Data'!A1:B734,2,FALSE)</f>
        <v>234</v>
      </c>
      <c r="G518" s="9">
        <f>VLOOKUP(B518,'Player Data'!A1:D734,3,FALSE)</f>
        <v>24</v>
      </c>
      <c r="H518" s="43">
        <f>_xlfn.IFERROR(VLOOKUP(B518,'ADP'!A1:G731,7,FALSE)/1000000,VLOOKUP(B518,'ADP'!A1:G731,7,FALSE))</f>
        <v>0.85</v>
      </c>
      <c r="I518" s="44">
        <f>IF('Settings'!$E$15="POINTS",((R518*Q518)*'Settings'!$B$12)+(S518*'Settings'!$B$2)+(T518*'Settings'!$B$3)+(U518*'Settings'!$B$4)+(V518*'Settings'!$B$5)+(X518*'Settings'!$B$9)+(AA518*'Settings'!$B$6)+(W518*'Settings'!$B$8)+(AB518*'Settings'!$B$7)+(AC518*'Settings'!$B$14)+(AD518*'Settings'!$B$15)+(AE518*'Settings'!$B$16)+(AF518*'Settings'!$B$17)+(AG518*'Settings'!$B$18)+(U518*'Settings'!$B$13)+(Y518*'Settings'!$B$10)+(Z518*'Settings'!$B$11),VLOOKUP(B518,'Standard Deviations'!A1:C731,3,FALSE))</f>
        <v>112.469217680578</v>
      </c>
      <c r="J518" s="45">
        <f>IF(D518="G",I518/AJ518,I518/Q518)</f>
        <v>1.95980862990938</v>
      </c>
      <c r="K518" s="44">
        <f>VLOOKUP(B518,'D'!A1:F228,6,FALSE)</f>
        <v>-228.265920965945</v>
      </c>
      <c r="L518" s="44">
        <f>_xlfn.IFERROR(K518/H518,"N/A")</f>
        <v>-268.548142312876</v>
      </c>
      <c r="M518" t="s" s="61">
        <f>IF('Settings'!$E$9="YAHOO",VLOOKUP(B518,'ADP'!A1:E731,2,FALSE),IF('Settings'!$E$9="ESPN",VLOOKUP(B518,'ADP'!A1:E731,3,FALSE),IF('Settings'!$E$9="FANTRAX",VLOOKUP(B518,'ADP'!A1:E731,4,FALSE),VLOOKUP(B518,'ADP'!A1:E731,5,FALSE))))</f>
        <v>329</v>
      </c>
      <c r="N518" t="s" s="61">
        <f>_xlfn.IFERROR(M518-A518,"N/A")</f>
        <v>158</v>
      </c>
      <c r="O518" s="46"/>
      <c r="P518" t="s" s="47">
        <f>IF('Settings'!$E$27="ON",VLOOKUP(B518,'ADP'!A1:H731,8,FALSE)," ")</f>
        <v>109</v>
      </c>
      <c r="Q518" s="48">
        <f>IF('Settings'!$E$12="YES",VLOOKUP(B518,'Player Data'!A1:E734,5,FALSE),82)</f>
        <v>57.3878571428571</v>
      </c>
      <c r="R518" s="46">
        <f>VLOOKUP(B518,'Player Data'!$A1:$AE734,6,FALSE)</f>
        <v>16.499399728062</v>
      </c>
      <c r="S518" s="48">
        <f>VLOOKUP(B518,'Player Data'!$A1:$AE734,7,FALSE)*$Q518*_xlfn.IFERROR((VLOOKUP(P518,'Settings'!$E$28:$F$33,2,FALSE)+1),1)</f>
        <v>1.29726316695012</v>
      </c>
      <c r="T518" s="48">
        <f>VLOOKUP(B518,'Player Data'!$A1:$AE734,8,FALSE)*$Q518*_xlfn.IFERROR((VLOOKUP(P518,'Settings'!$E$28:$F$33,2,FALSE)+1),1)</f>
        <v>9.25395968712248</v>
      </c>
      <c r="U518" s="48">
        <f>SUM(S518:T518)</f>
        <v>10.5512228540726</v>
      </c>
      <c r="V518" s="48">
        <f>VLOOKUP(B518,'Player Data'!$A1:$AE734,10,FALSE)*$Q518*_xlfn.IFERROR(((VLOOKUP(P518,'Settings'!$E$28:$F$33,2,FALSE)/2)+1),1)</f>
        <v>63.3487371548865</v>
      </c>
      <c r="W518" s="48">
        <f>VLOOKUP(B518,'Player Data'!$A1:$AE734,11,FALSE)*$Q518*_xlfn.IFERROR((VLOOKUP(P518,'Settings'!$E$28:$F$33,2,FALSE)+1),1)</f>
        <v>0.0183015036167095</v>
      </c>
      <c r="X518" s="48">
        <f>VLOOKUP(B518,'Player Data'!$A1:$AE734,12,FALSE)*$Q518*_xlfn.IFERROR((VLOOKUP(P518,'Settings'!$E$28:$F$33,2,FALSE)+1),1)</f>
        <v>0.160728726916312</v>
      </c>
      <c r="Y518" s="48">
        <f>VLOOKUP(B518,'Player Data'!$A1:$AE734,13,FALSE)*$Q518</f>
        <v>0.0183297078703562</v>
      </c>
      <c r="Z518" s="48">
        <f>VLOOKUP(B518,'Player Data'!$A1:$AE734,14,FALSE)*$Q518</f>
        <v>0.0657049926014016</v>
      </c>
      <c r="AA518" s="48">
        <f>VLOOKUP(B518,'Player Data'!$A1:$AE734,15,FALSE)*$Q518</f>
        <v>64.17315042072021</v>
      </c>
      <c r="AB518" s="48">
        <f>VLOOKUP(B518,'Player Data'!$A1:$AE734,16,FALSE)*$Q518</f>
        <v>59.9092023797173</v>
      </c>
      <c r="AC518" s="48">
        <f>VLOOKUP(B518,'Player Data'!$A1:$AE734,17,FALSE)*$Q518*_xlfn.IFERROR((VLOOKUP(P518,'Settings'!$E$28:$F$33,2,FALSE)+1),1)</f>
        <v>-7.62842219818536</v>
      </c>
      <c r="AD518" s="48">
        <f>VLOOKUP(B518,'Player Data'!$A1:$AE734,18,FALSE)*$Q518</f>
        <v>14.7667742239046</v>
      </c>
      <c r="AE518" s="48">
        <f>VLOOKUP(B518,'Player Data'!$A1:$AE734,19,FALSE)*$Q518*_xlfn.IFERROR((VLOOKUP(P518,'Settings'!$E$28:$F$33,2,FALSE)+1),1)</f>
        <v>0.124359572271548</v>
      </c>
      <c r="AF518" s="48">
        <f>VLOOKUP(B518,'Player Data'!$A1:$AE734,20,FALSE)*$Q518</f>
        <v>0</v>
      </c>
      <c r="AG518" s="48">
        <f>VLOOKUP(B518,'Player Data'!$A1:$AE734,21,FALSE)*$Q518</f>
        <v>0</v>
      </c>
      <c r="AH518" s="49">
        <f>VLOOKUP(B518,'Player Data'!$A1:$AE734,22,FALSE)</f>
        <v>0</v>
      </c>
      <c r="AI518" s="46"/>
      <c r="AJ518" s="50"/>
      <c r="AK518" s="48"/>
      <c r="AL518" s="48"/>
      <c r="AM518" s="48"/>
      <c r="AN518" s="48"/>
      <c r="AO518" s="48"/>
      <c r="AP518" s="48"/>
      <c r="AQ518" s="51"/>
      <c r="AR518" s="52"/>
      <c r="AS518" s="46"/>
    </row>
    <row r="519" ht="21.25" customHeight="1">
      <c r="A519" s="53">
        <f>RANK(K519,K2:K730)</f>
        <v>558</v>
      </c>
      <c r="B519" t="s" s="8">
        <v>671</v>
      </c>
      <c r="C519" t="s" s="39">
        <v>106</v>
      </c>
      <c r="D519" t="s" s="40">
        <f>VLOOKUP(B519,'Player Data'!A1:D734,4,FALSE)</f>
        <v>121</v>
      </c>
      <c r="E519" s="55">
        <f>VLOOKUP(B519,'RW'!A1:F132,3,FALSE)</f>
        <v>102</v>
      </c>
      <c r="F519" t="s" s="42">
        <f>VLOOKUP(B519,'Player Data'!A1:B734,2,FALSE)</f>
        <v>189</v>
      </c>
      <c r="G519" s="9">
        <f>VLOOKUP(B519,'Player Data'!A1:D734,3,FALSE)</f>
        <v>22</v>
      </c>
      <c r="H519" s="43">
        <f>_xlfn.IFERROR(VLOOKUP(B519,'ADP'!A1:G731,7,FALSE)/1000000,VLOOKUP(B519,'ADP'!A1:G731,7,FALSE))</f>
        <v>0.8</v>
      </c>
      <c r="I519" s="44">
        <f>IF('Settings'!$E$15="POINTS",((R519*Q519)*'Settings'!$B$12)+(S519*'Settings'!$B$2)+(T519*'Settings'!$B$3)+(U519*'Settings'!$B$4)+(V519*'Settings'!$B$5)+(X519*'Settings'!$B$9)+(AA519*'Settings'!$B$6)+(W519*'Settings'!$B$8)+(AB519*'Settings'!$B$7)+(AC519*'Settings'!$B$14)+(AD519*'Settings'!$B$15)+(AE519*'Settings'!$B$16)+(AF519*'Settings'!$B$17)+(AG519*'Settings'!$B$18)+(Y519*'Settings'!$B$10)+(Z519*'Settings'!$B$11),VLOOKUP(B519,'Standard Deviations'!A1:C731,3,FALSE))</f>
        <v>178.252901601030</v>
      </c>
      <c r="J519" s="45">
        <f>IF(D519="G",I519/AJ519,I519/Q519)</f>
        <v>2.54647002287186</v>
      </c>
      <c r="K519" s="44">
        <f>IF('Settings'!$E$18="C/LW/RW",VLOOKUP(B519,'RW'!A1:F132,6,FALSE),VLOOKUP(B519,'F'!A1:F432,6,FALSE))</f>
        <v>-203.375662105326</v>
      </c>
      <c r="L519" s="44">
        <f>_xlfn.IFERROR(K519/H519,"N/A")</f>
        <v>-254.219577631658</v>
      </c>
      <c r="M519" t="s" s="61">
        <f>IF('Settings'!$E$9="YAHOO",VLOOKUP(B519,'ADP'!A1:E731,2,FALSE),IF('Settings'!$E$9="ESPN",VLOOKUP(B519,'ADP'!A1:E731,3,FALSE),IF('Settings'!$E$9="FANTRAX",VLOOKUP(B519,'ADP'!A1:E731,4,FALSE),VLOOKUP(B519,'ADP'!A1:E731,5,FALSE))))</f>
        <v>329</v>
      </c>
      <c r="N519" t="s" s="61">
        <f>_xlfn.IFERROR(M519-A519,"N/A")</f>
        <v>158</v>
      </c>
      <c r="O519" s="46"/>
      <c r="P519" t="s" s="47">
        <f>IF('Settings'!$E$27="ON",VLOOKUP(B519,'ADP'!A1:H731,8,FALSE)," ")</f>
        <v>109</v>
      </c>
      <c r="Q519" s="48">
        <f>IF('Settings'!$E$12="YES",VLOOKUP(B519,'Player Data'!A1:E734,5,FALSE),82)</f>
        <v>70</v>
      </c>
      <c r="R519" s="46">
        <f>VLOOKUP(B519,'Player Data'!$A1:$AE734,6,FALSE)</f>
        <v>13.2523333333333</v>
      </c>
      <c r="S519" s="48">
        <f>VLOOKUP(B519,'Player Data'!$A1:$AE734,7,FALSE)*$Q519*_xlfn.IFERROR((VLOOKUP(P519,'Settings'!$E$28:$F$33,2,FALSE)+1),1)</f>
        <v>10.1984292156468</v>
      </c>
      <c r="T519" s="48">
        <f>VLOOKUP(B519,'Player Data'!$A1:$AE734,8,FALSE)*$Q519*_xlfn.IFERROR((VLOOKUP(P519,'Settings'!$E$28:$F$33,2,FALSE)+1),1)</f>
        <v>15.2568041583291</v>
      </c>
      <c r="U519" s="48">
        <f>SUM(S519:T519)</f>
        <v>25.4552333739759</v>
      </c>
      <c r="V519" s="48">
        <f>VLOOKUP(B519,'Player Data'!$A1:$AE734,10,FALSE)*$Q519*_xlfn.IFERROR(((VLOOKUP(P519,'Settings'!$E$28:$F$33,2,FALSE)/2)+1),1)</f>
        <v>107.364398211534</v>
      </c>
      <c r="W519" s="48">
        <f>VLOOKUP(B519,'Player Data'!$A1:$AE734,11,FALSE)*$Q519*_xlfn.IFERROR((VLOOKUP(P519,'Settings'!$E$28:$F$33,2,FALSE)+1),1)</f>
        <v>1.69285517469471</v>
      </c>
      <c r="X519" s="48">
        <f>VLOOKUP(B519,'Player Data'!$A1:$AE734,12,FALSE)*$Q519*_xlfn.IFERROR((VLOOKUP(P519,'Settings'!$E$28:$F$33,2,FALSE)+1),1)</f>
        <v>3.98594106843006</v>
      </c>
      <c r="Y519" s="48">
        <f>VLOOKUP(B519,'Player Data'!$A1:$AE734,13,FALSE)*$Q519</f>
        <v>0</v>
      </c>
      <c r="Z519" s="48">
        <f>VLOOKUP(B519,'Player Data'!$A1:$AE734,14,FALSE)*$Q519</f>
        <v>0</v>
      </c>
      <c r="AA519" s="48">
        <f>VLOOKUP(B519,'Player Data'!$A1:$AE734,15,FALSE)*$Q519</f>
        <v>30.7753210905144</v>
      </c>
      <c r="AB519" s="48">
        <f>VLOOKUP(B519,'Player Data'!$A1:$AE734,16,FALSE)*$Q519</f>
        <v>70.0787920184324</v>
      </c>
      <c r="AC519" s="48">
        <f>VLOOKUP(B519,'Player Data'!$A1:$AE734,17,FALSE)*$Q519*_xlfn.IFERROR((VLOOKUP(P519,'Settings'!$E$28:$F$33,2,FALSE)+1),1)</f>
        <v>-1.84483360588357</v>
      </c>
      <c r="AD519" s="48">
        <f>VLOOKUP(B519,'Player Data'!$A1:$AE734,18,FALSE)*$Q519</f>
        <v>21.8180570146495</v>
      </c>
      <c r="AE519" s="48">
        <f>VLOOKUP(B519,'Player Data'!$A1:$AE734,19,FALSE)*$Q519*_xlfn.IFERROR((VLOOKUP(P519,'Settings'!$E$28:$F$33,2,FALSE)+1),1)</f>
        <v>1.09283190855153</v>
      </c>
      <c r="AF519" s="48">
        <f>VLOOKUP(B519,'Player Data'!$A1:$AE734,20,FALSE)*$Q519</f>
        <v>0.898101601191193</v>
      </c>
      <c r="AG519" s="48">
        <f>VLOOKUP(B519,'Player Data'!$A1:$AE734,21,FALSE)*$Q519</f>
        <v>6.15353522986355</v>
      </c>
      <c r="AH519" s="49">
        <f>VLOOKUP(B519,'Player Data'!$A1:$AE734,22,FALSE)</f>
        <v>0.127360728112945</v>
      </c>
      <c r="AI519" s="46"/>
      <c r="AJ519" s="50"/>
      <c r="AK519" s="48"/>
      <c r="AL519" s="48"/>
      <c r="AM519" s="48"/>
      <c r="AN519" s="48"/>
      <c r="AO519" s="48"/>
      <c r="AP519" s="48"/>
      <c r="AQ519" s="51"/>
      <c r="AR519" s="52"/>
      <c r="AS519" s="46"/>
    </row>
    <row r="520" ht="21.25" customHeight="1">
      <c r="A520" s="53">
        <f>RANK(K520,K2:K730)</f>
        <v>596</v>
      </c>
      <c r="B520" t="s" s="8">
        <v>672</v>
      </c>
      <c r="C520" t="s" s="39">
        <v>106</v>
      </c>
      <c r="D520" t="s" s="40">
        <f>VLOOKUP(B520,'Player Data'!A1:D734,4,FALSE)</f>
        <v>121</v>
      </c>
      <c r="E520" s="55">
        <f>VLOOKUP(B520,'RW'!A1:F132,3,FALSE)</f>
        <v>113</v>
      </c>
      <c r="F520" t="s" s="42">
        <f>VLOOKUP(B520,'Player Data'!A1:B734,2,FALSE)</f>
        <v>292</v>
      </c>
      <c r="G520" s="9">
        <f>VLOOKUP(B520,'Player Data'!A1:D734,3,FALSE)</f>
        <v>33</v>
      </c>
      <c r="H520" s="43">
        <f>_xlfn.IFERROR(VLOOKUP(B520,'ADP'!A1:G731,7,FALSE)/1000000,VLOOKUP(B520,'ADP'!A1:G731,7,FALSE))</f>
        <v>5</v>
      </c>
      <c r="I520" s="44">
        <f>IF('Settings'!$E$15="POINTS",((R520*Q520)*'Settings'!$B$12)+(S520*'Settings'!$B$2)+(T520*'Settings'!$B$3)+(U520*'Settings'!$B$4)+(V520*'Settings'!$B$5)+(X520*'Settings'!$B$9)+(AA520*'Settings'!$B$6)+(W520*'Settings'!$B$8)+(AB520*'Settings'!$B$7)+(AC520*'Settings'!$B$14)+(AD520*'Settings'!$B$15)+(AE520*'Settings'!$B$16)+(AF520*'Settings'!$B$17)+(AG520*'Settings'!$B$18)+(Y520*'Settings'!$B$10)+(Z520*'Settings'!$B$11),VLOOKUP(B520,'Standard Deviations'!A1:C731,3,FALSE))</f>
        <v>164.656516620562</v>
      </c>
      <c r="J520" s="45">
        <f>IF(D520="G",I520/AJ520,I520/Q520)</f>
        <v>2.12618750651442</v>
      </c>
      <c r="K520" s="44">
        <f>IF('Settings'!$E$18="C/LW/RW",VLOOKUP(B520,'RW'!A1:F132,6,FALSE),VLOOKUP(B520,'F'!A1:F432,6,FALSE))</f>
        <v>-216.972047085794</v>
      </c>
      <c r="L520" s="44">
        <f>_xlfn.IFERROR(K520/H520,"N/A")</f>
        <v>-43.3944094171588</v>
      </c>
      <c r="M520" t="s" s="61">
        <f>IF('Settings'!$E$9="YAHOO",VLOOKUP(B520,'ADP'!A1:E731,2,FALSE),IF('Settings'!$E$9="ESPN",VLOOKUP(B520,'ADP'!A1:E731,3,FALSE),IF('Settings'!$E$9="FANTRAX",VLOOKUP(B520,'ADP'!A1:E731,4,FALSE),VLOOKUP(B520,'ADP'!A1:E731,5,FALSE))))</f>
        <v>329</v>
      </c>
      <c r="N520" t="s" s="61">
        <f>_xlfn.IFERROR(M520-A520,"N/A")</f>
        <v>158</v>
      </c>
      <c r="O520" s="46"/>
      <c r="P520" t="s" s="47">
        <f>IF('Settings'!$E$27="ON",VLOOKUP(B520,'ADP'!A1:H731,8,FALSE)," ")</f>
        <v>109</v>
      </c>
      <c r="Q520" s="48">
        <f>IF('Settings'!$E$12="YES",VLOOKUP(B520,'Player Data'!A1:E734,5,FALSE),82)</f>
        <v>77.4421428571429</v>
      </c>
      <c r="R520" s="46">
        <f>VLOOKUP(B520,'Player Data'!$A1:$AE734,6,FALSE)</f>
        <v>13.1155186302065</v>
      </c>
      <c r="S520" s="48">
        <f>VLOOKUP(B520,'Player Data'!$A1:$AE734,7,FALSE)*$Q520*_xlfn.IFERROR((VLOOKUP(P520,'Settings'!$E$28:$F$33,2,FALSE)+1),1)</f>
        <v>9.34994236256456</v>
      </c>
      <c r="T520" s="48">
        <f>VLOOKUP(B520,'Player Data'!$A1:$AE734,8,FALSE)*$Q520*_xlfn.IFERROR((VLOOKUP(P520,'Settings'!$E$28:$F$33,2,FALSE)+1),1)</f>
        <v>20.1414367906271</v>
      </c>
      <c r="U520" s="48">
        <f>SUM(S520:T520)</f>
        <v>29.4913791531917</v>
      </c>
      <c r="V520" s="48">
        <f>VLOOKUP(B520,'Player Data'!$A1:$AE734,10,FALSE)*$Q520*_xlfn.IFERROR(((VLOOKUP(P520,'Settings'!$E$28:$F$33,2,FALSE)/2)+1),1)</f>
        <v>83.31352283752599</v>
      </c>
      <c r="W520" s="48">
        <f>VLOOKUP(B520,'Player Data'!$A1:$AE734,11,FALSE)*$Q520*_xlfn.IFERROR((VLOOKUP(P520,'Settings'!$E$28:$F$33,2,FALSE)+1),1)</f>
        <v>0.576751216982583</v>
      </c>
      <c r="X520" s="48">
        <f>VLOOKUP(B520,'Player Data'!$A1:$AE734,12,FALSE)*$Q520*_xlfn.IFERROR((VLOOKUP(P520,'Settings'!$E$28:$F$33,2,FALSE)+1),1)</f>
        <v>4.27924362443127</v>
      </c>
      <c r="Y520" s="48">
        <f>VLOOKUP(B520,'Player Data'!$A1:$AE734,13,FALSE)*$Q520</f>
        <v>0</v>
      </c>
      <c r="Z520" s="48">
        <f>VLOOKUP(B520,'Player Data'!$A1:$AE734,14,FALSE)*$Q520</f>
        <v>0</v>
      </c>
      <c r="AA520" s="48">
        <f>VLOOKUP(B520,'Player Data'!$A1:$AE734,15,FALSE)*$Q520</f>
        <v>27.4077477422895</v>
      </c>
      <c r="AB520" s="48">
        <f>VLOOKUP(B520,'Player Data'!$A1:$AE734,16,FALSE)*$Q520</f>
        <v>27.1873213089287</v>
      </c>
      <c r="AC520" s="48">
        <f>VLOOKUP(B520,'Player Data'!$A1:$AE734,17,FALSE)*$Q520*_xlfn.IFERROR((VLOOKUP(P520,'Settings'!$E$28:$F$33,2,FALSE)+1),1)</f>
        <v>-0.5594355375741999</v>
      </c>
      <c r="AD520" s="48">
        <f>VLOOKUP(B520,'Player Data'!$A1:$AE734,18,FALSE)*$Q520</f>
        <v>7.74687117220502</v>
      </c>
      <c r="AE520" s="48">
        <f>VLOOKUP(B520,'Player Data'!$A1:$AE734,19,FALSE)*$Q520*_xlfn.IFERROR((VLOOKUP(P520,'Settings'!$E$28:$F$33,2,FALSE)+1),1)</f>
        <v>0</v>
      </c>
      <c r="AF520" s="48">
        <f>VLOOKUP(B520,'Player Data'!$A1:$AE734,20,FALSE)*$Q520</f>
        <v>36.786114069498</v>
      </c>
      <c r="AG520" s="48">
        <f>VLOOKUP(B520,'Player Data'!$A1:$AE734,21,FALSE)*$Q520</f>
        <v>52.7696110674206</v>
      </c>
      <c r="AH520" s="49">
        <f>VLOOKUP(B520,'Player Data'!$A1:$AE734,22,FALSE)</f>
        <v>0.41076228251468</v>
      </c>
      <c r="AI520" s="46"/>
      <c r="AJ520" s="50"/>
      <c r="AK520" s="48"/>
      <c r="AL520" s="48"/>
      <c r="AM520" s="48"/>
      <c r="AN520" s="48"/>
      <c r="AO520" s="48"/>
      <c r="AP520" s="48"/>
      <c r="AQ520" s="51"/>
      <c r="AR520" s="52"/>
      <c r="AS520" s="46"/>
    </row>
    <row r="521" ht="21.25" customHeight="1">
      <c r="A521" s="53">
        <f>RANK(K521,K2:K730)</f>
        <v>594</v>
      </c>
      <c r="B521" t="s" s="8">
        <v>673</v>
      </c>
      <c r="C521" t="s" s="39">
        <v>106</v>
      </c>
      <c r="D521" t="s" s="40">
        <f>VLOOKUP(B521,'Player Data'!A1:D734,4,FALSE)</f>
        <v>129</v>
      </c>
      <c r="E521" s="56">
        <f>VLOOKUP(B521,'D'!A1:C228,3,FALSE)</f>
        <v>200</v>
      </c>
      <c r="F521" t="s" s="42">
        <f>VLOOKUP(B521,'Player Data'!A1:B734,2,FALSE)</f>
        <v>124</v>
      </c>
      <c r="G521" s="9">
        <f>VLOOKUP(B521,'Player Data'!A1:D734,3,FALSE)</f>
        <v>27</v>
      </c>
      <c r="H521" s="43">
        <f>_xlfn.IFERROR(VLOOKUP(B521,'ADP'!A1:G731,7,FALSE)/1000000,VLOOKUP(B521,'ADP'!A1:G731,7,FALSE))</f>
        <v>0.7625</v>
      </c>
      <c r="I521" s="44">
        <f>IF('Settings'!$E$15="POINTS",((R521*Q521)*'Settings'!$B$12)+(S521*'Settings'!$B$2)+(T521*'Settings'!$B$3)+(U521*'Settings'!$B$4)+(V521*'Settings'!$B$5)+(X521*'Settings'!$B$9)+(AA521*'Settings'!$B$6)+(W521*'Settings'!$B$8)+(AB521*'Settings'!$B$7)+(AC521*'Settings'!$B$14)+(AD521*'Settings'!$B$15)+(AE521*'Settings'!$B$16)+(AF521*'Settings'!$B$17)+(AG521*'Settings'!$B$18)+(U521*'Settings'!$B$13)+(Y521*'Settings'!$B$10)+(Z521*'Settings'!$B$11),VLOOKUP(B521,'Standard Deviations'!A1:C731,3,FALSE))</f>
        <v>124.117249378097</v>
      </c>
      <c r="J521" s="45">
        <f>IF(D521="G",I521/AJ521,I521/Q521)</f>
        <v>1.91009436064411</v>
      </c>
      <c r="K521" s="44">
        <f>VLOOKUP(B521,'D'!A1:F228,6,FALSE)</f>
        <v>-216.617889268426</v>
      </c>
      <c r="L521" s="44">
        <f>_xlfn.IFERROR(K521/H521,"N/A")</f>
        <v>-284.089035106132</v>
      </c>
      <c r="M521" t="s" s="61">
        <f>IF('Settings'!$E$9="YAHOO",VLOOKUP(B521,'ADP'!A1:E731,2,FALSE),IF('Settings'!$E$9="ESPN",VLOOKUP(B521,'ADP'!A1:E731,3,FALSE),IF('Settings'!$E$9="FANTRAX",VLOOKUP(B521,'ADP'!A1:E731,4,FALSE),VLOOKUP(B521,'ADP'!A1:E731,5,FALSE))))</f>
        <v>329</v>
      </c>
      <c r="N521" t="s" s="61">
        <f>_xlfn.IFERROR(M521-A521,"N/A")</f>
        <v>158</v>
      </c>
      <c r="O521" s="46"/>
      <c r="P521" t="s" s="47">
        <f>IF('Settings'!$E$27="ON",VLOOKUP(B521,'ADP'!A1:H731,8,FALSE)," ")</f>
        <v>109</v>
      </c>
      <c r="Q521" s="48">
        <f>IF('Settings'!$E$12="YES",VLOOKUP(B521,'Player Data'!A1:E734,5,FALSE),82)</f>
        <v>64.97964285714291</v>
      </c>
      <c r="R521" s="46">
        <f>VLOOKUP(B521,'Player Data'!$A1:$AE734,6,FALSE)</f>
        <v>14.3609225337666</v>
      </c>
      <c r="S521" s="48">
        <f>VLOOKUP(B521,'Player Data'!$A1:$AE734,7,FALSE)*$Q521*_xlfn.IFERROR((VLOOKUP(P521,'Settings'!$E$28:$F$33,2,FALSE)+1),1)</f>
        <v>2.60991153320443</v>
      </c>
      <c r="T521" s="48">
        <f>VLOOKUP(B521,'Player Data'!$A1:$AE734,8,FALSE)*$Q521*_xlfn.IFERROR((VLOOKUP(P521,'Settings'!$E$28:$F$33,2,FALSE)+1),1)</f>
        <v>4.62053138969539</v>
      </c>
      <c r="U521" s="48">
        <f>SUM(S521:T521)</f>
        <v>7.23044292289982</v>
      </c>
      <c r="V521" s="48">
        <f>VLOOKUP(B521,'Player Data'!$A1:$AE734,10,FALSE)*$Q521*_xlfn.IFERROR(((VLOOKUP(P521,'Settings'!$E$28:$F$33,2,FALSE)/2)+1),1)</f>
        <v>78.21255485104651</v>
      </c>
      <c r="W521" s="48">
        <f>VLOOKUP(B521,'Player Data'!$A1:$AE734,11,FALSE)*$Q521*_xlfn.IFERROR((VLOOKUP(P521,'Settings'!$E$28:$F$33,2,FALSE)+1),1)</f>
        <v>0.00976329728745522</v>
      </c>
      <c r="X521" s="48">
        <f>VLOOKUP(B521,'Player Data'!$A1:$AE734,12,FALSE)*$Q521*_xlfn.IFERROR((VLOOKUP(P521,'Settings'!$E$28:$F$33,2,FALSE)+1),1)</f>
        <v>0.0677973128474168</v>
      </c>
      <c r="Y521" s="48">
        <f>VLOOKUP(B521,'Player Data'!$A1:$AE734,13,FALSE)*$Q521</f>
        <v>0.0168118595911807</v>
      </c>
      <c r="Z521" s="48">
        <f>VLOOKUP(B521,'Player Data'!$A1:$AE734,14,FALSE)*$Q521</f>
        <v>0.06380662222265381</v>
      </c>
      <c r="AA521" s="48">
        <f>VLOOKUP(B521,'Player Data'!$A1:$AE734,15,FALSE)*$Q521</f>
        <v>75.6991282217251</v>
      </c>
      <c r="AB521" s="48">
        <f>VLOOKUP(B521,'Player Data'!$A1:$AE734,16,FALSE)*$Q521</f>
        <v>85.71039411503909</v>
      </c>
      <c r="AC521" s="48">
        <f>VLOOKUP(B521,'Player Data'!$A1:$AE734,17,FALSE)*$Q521*_xlfn.IFERROR((VLOOKUP(P521,'Settings'!$E$28:$F$33,2,FALSE)+1),1)</f>
        <v>-0.6503292203537721</v>
      </c>
      <c r="AD521" s="48">
        <f>VLOOKUP(B521,'Player Data'!$A1:$AE734,18,FALSE)*$Q521</f>
        <v>16.8990984714007</v>
      </c>
      <c r="AE521" s="48">
        <f>VLOOKUP(B521,'Player Data'!$A1:$AE734,19,FALSE)*$Q521*_xlfn.IFERROR((VLOOKUP(P521,'Settings'!$E$28:$F$33,2,FALSE)+1),1)</f>
        <v>0.408452102998489</v>
      </c>
      <c r="AF521" s="48">
        <f>VLOOKUP(B521,'Player Data'!$A1:$AE734,20,FALSE)*$Q521</f>
        <v>0</v>
      </c>
      <c r="AG521" s="48">
        <f>VLOOKUP(B521,'Player Data'!$A1:$AE734,21,FALSE)*$Q521</f>
        <v>0</v>
      </c>
      <c r="AH521" s="49">
        <f>VLOOKUP(B521,'Player Data'!$A1:$AE734,22,FALSE)</f>
        <v>0</v>
      </c>
      <c r="AI521" s="46"/>
      <c r="AJ521" s="50"/>
      <c r="AK521" s="48"/>
      <c r="AL521" s="48"/>
      <c r="AM521" s="48"/>
      <c r="AN521" s="48"/>
      <c r="AO521" s="48"/>
      <c r="AP521" s="48"/>
      <c r="AQ521" s="51"/>
      <c r="AR521" s="52"/>
      <c r="AS521" s="46"/>
    </row>
    <row r="522" ht="21.25" customHeight="1">
      <c r="A522" s="53">
        <f>RANK(K522,K2:K730)</f>
        <v>547</v>
      </c>
      <c r="B522" t="s" s="8">
        <v>674</v>
      </c>
      <c r="C522" t="s" s="39">
        <v>106</v>
      </c>
      <c r="D522" t="s" s="40">
        <f>VLOOKUP(B522,'Player Data'!A1:D734,4,FALSE)</f>
        <v>129</v>
      </c>
      <c r="E522" s="56">
        <f>VLOOKUP(B522,'D'!A1:C228,3,FALSE)</f>
        <v>187</v>
      </c>
      <c r="F522" t="s" s="42">
        <f>VLOOKUP(B522,'Player Data'!A1:B734,2,FALSE)</f>
        <v>225</v>
      </c>
      <c r="G522" s="9">
        <f>VLOOKUP(B522,'Player Data'!A1:D734,3,FALSE)</f>
        <v>31</v>
      </c>
      <c r="H522" s="43">
        <f>_xlfn.IFERROR(VLOOKUP(B522,'ADP'!A1:G731,7,FALSE)/1000000,VLOOKUP(B522,'ADP'!A1:G731,7,FALSE))</f>
        <v>1.25</v>
      </c>
      <c r="I522" s="44">
        <f>IF('Settings'!$E$15="POINTS",((R522*Q522)*'Settings'!$B$12)+(S522*'Settings'!$B$2)+(T522*'Settings'!$B$3)+(U522*'Settings'!$B$4)+(V522*'Settings'!$B$5)+(X522*'Settings'!$B$9)+(AA522*'Settings'!$B$6)+(W522*'Settings'!$B$8)+(AB522*'Settings'!$B$7)+(AC522*'Settings'!$B$14)+(AD522*'Settings'!$B$15)+(AE522*'Settings'!$B$16)+(AF522*'Settings'!$B$17)+(AG522*'Settings'!$B$18)+(U522*'Settings'!$B$13)+(Y522*'Settings'!$B$10)+(Z522*'Settings'!$B$11),VLOOKUP(B522,'Standard Deviations'!A1:C731,3,FALSE))</f>
        <v>142.200719611373</v>
      </c>
      <c r="J522" s="45">
        <f>IF(D522="G",I522/AJ522,I522/Q522)</f>
        <v>2.37605112346168</v>
      </c>
      <c r="K522" s="44">
        <f>VLOOKUP(B522,'D'!A1:F228,6,FALSE)</f>
        <v>-198.534419035150</v>
      </c>
      <c r="L522" s="44">
        <f>_xlfn.IFERROR(K522/H522,"N/A")</f>
        <v>-158.827535228120</v>
      </c>
      <c r="M522" t="s" s="61">
        <f>IF('Settings'!$E$9="YAHOO",VLOOKUP(B522,'ADP'!A1:E731,2,FALSE),IF('Settings'!$E$9="ESPN",VLOOKUP(B522,'ADP'!A1:E731,3,FALSE),IF('Settings'!$E$9="FANTRAX",VLOOKUP(B522,'ADP'!A1:E731,4,FALSE),VLOOKUP(B522,'ADP'!A1:E731,5,FALSE))))</f>
        <v>329</v>
      </c>
      <c r="N522" t="s" s="61">
        <f>_xlfn.IFERROR(M522-A522,"N/A")</f>
        <v>158</v>
      </c>
      <c r="O522" s="46"/>
      <c r="P522" t="s" s="47">
        <f>IF('Settings'!$E$27="ON",VLOOKUP(B522,'ADP'!A1:H731,8,FALSE)," ")</f>
        <v>109</v>
      </c>
      <c r="Q522" s="48">
        <f>IF('Settings'!$E$12="YES",VLOOKUP(B522,'Player Data'!A1:E734,5,FALSE),82)</f>
        <v>59.8475</v>
      </c>
      <c r="R522" s="46">
        <f>VLOOKUP(B522,'Player Data'!$A1:$AE734,6,FALSE)</f>
        <v>16.7671081221037</v>
      </c>
      <c r="S522" s="48">
        <f>VLOOKUP(B522,'Player Data'!$A1:$AE734,7,FALSE)*$Q522*_xlfn.IFERROR((VLOOKUP(P522,'Settings'!$E$28:$F$33,2,FALSE)+1),1)</f>
        <v>2.63040874535982</v>
      </c>
      <c r="T522" s="48">
        <f>VLOOKUP(B522,'Player Data'!$A1:$AE734,8,FALSE)*$Q522*_xlfn.IFERROR((VLOOKUP(P522,'Settings'!$E$28:$F$33,2,FALSE)+1),1)</f>
        <v>7.68924706078729</v>
      </c>
      <c r="U522" s="48">
        <f>SUM(S522:T522)</f>
        <v>10.3196558061471</v>
      </c>
      <c r="V522" s="48">
        <f>VLOOKUP(B522,'Player Data'!$A1:$AE734,10,FALSE)*$Q522*_xlfn.IFERROR(((VLOOKUP(P522,'Settings'!$E$28:$F$33,2,FALSE)/2)+1),1)</f>
        <v>53.7996897363588</v>
      </c>
      <c r="W522" s="48">
        <f>VLOOKUP(B522,'Player Data'!$A1:$AE734,11,FALSE)*$Q522*_xlfn.IFERROR((VLOOKUP(P522,'Settings'!$E$28:$F$33,2,FALSE)+1),1)</f>
        <v>0.0135420173267059</v>
      </c>
      <c r="X522" s="48">
        <f>VLOOKUP(B522,'Player Data'!$A1:$AE734,12,FALSE)*$Q522*_xlfn.IFERROR((VLOOKUP(P522,'Settings'!$E$28:$F$33,2,FALSE)+1),1)</f>
        <v>0.09455661503568751</v>
      </c>
      <c r="Y522" s="48">
        <f>VLOOKUP(B522,'Player Data'!$A1:$AE734,13,FALSE)*$Q522</f>
        <v>0.0454367314430353</v>
      </c>
      <c r="Z522" s="48">
        <f>VLOOKUP(B522,'Player Data'!$A1:$AE734,14,FALSE)*$Q522</f>
        <v>0.178982659169454</v>
      </c>
      <c r="AA522" s="48">
        <f>VLOOKUP(B522,'Player Data'!$A1:$AE734,15,FALSE)*$Q522</f>
        <v>88.3953750135101</v>
      </c>
      <c r="AB522" s="48">
        <f>VLOOKUP(B522,'Player Data'!$A1:$AE734,16,FALSE)*$Q522</f>
        <v>143.362565526476</v>
      </c>
      <c r="AC522" s="48">
        <f>VLOOKUP(B522,'Player Data'!$A1:$AE734,17,FALSE)*$Q522*_xlfn.IFERROR((VLOOKUP(P522,'Settings'!$E$28:$F$33,2,FALSE)+1),1)</f>
        <v>-6.16200528694102</v>
      </c>
      <c r="AD522" s="48">
        <f>VLOOKUP(B522,'Player Data'!$A1:$AE734,18,FALSE)*$Q522</f>
        <v>43.5707567586634</v>
      </c>
      <c r="AE522" s="48">
        <f>VLOOKUP(B522,'Player Data'!$A1:$AE734,19,FALSE)*$Q522*_xlfn.IFERROR((VLOOKUP(P522,'Settings'!$E$28:$F$33,2,FALSE)+1),1)</f>
        <v>0.308235379049348</v>
      </c>
      <c r="AF522" s="48">
        <f>VLOOKUP(B522,'Player Data'!$A1:$AE734,20,FALSE)*$Q522</f>
        <v>0</v>
      </c>
      <c r="AG522" s="48">
        <f>VLOOKUP(B522,'Player Data'!$A1:$AE734,21,FALSE)*$Q522</f>
        <v>0</v>
      </c>
      <c r="AH522" s="49">
        <f>VLOOKUP(B522,'Player Data'!$A1:$AE734,22,FALSE)</f>
        <v>0</v>
      </c>
      <c r="AI522" s="46"/>
      <c r="AJ522" s="50"/>
      <c r="AK522" s="48"/>
      <c r="AL522" s="48"/>
      <c r="AM522" s="48"/>
      <c r="AN522" s="48"/>
      <c r="AO522" s="48"/>
      <c r="AP522" s="48"/>
      <c r="AQ522" s="51"/>
      <c r="AR522" s="52"/>
      <c r="AS522" s="46"/>
    </row>
    <row r="523" ht="21.25" customHeight="1">
      <c r="A523" s="53">
        <f>RANK(K523,K2:K730)</f>
        <v>531</v>
      </c>
      <c r="B523" t="s" s="8">
        <v>675</v>
      </c>
      <c r="C523" t="s" s="39">
        <v>106</v>
      </c>
      <c r="D523" t="s" s="40">
        <f>VLOOKUP(B523,'Player Data'!A1:D734,4,FALSE)</f>
        <v>107</v>
      </c>
      <c r="E523" s="41">
        <f>VLOOKUP(B523,'C'!A1:C218,3,FALSE)</f>
        <v>139</v>
      </c>
      <c r="F523" t="s" s="42">
        <f>VLOOKUP(B523,'Player Data'!A1:B734,2,FALSE)</f>
        <v>292</v>
      </c>
      <c r="G523" s="9">
        <f>VLOOKUP(B523,'Player Data'!A1:D734,3,FALSE)</f>
        <v>27</v>
      </c>
      <c r="H523" s="43">
        <f>_xlfn.IFERROR(VLOOKUP(B523,'ADP'!A1:G731,7,FALSE)/1000000,VLOOKUP(B523,'ADP'!A1:G731,7,FALSE))</f>
        <v>1.6</v>
      </c>
      <c r="I523" s="44">
        <f>IF('Settings'!$E$15="POINTS",((R523*Q523)*'Settings'!$B$12)+(S523*'Settings'!$B$2)+(T523*'Settings'!$B$3)+(U523*'Settings'!$B$4)+(V523*'Settings'!$B$5)+(X523*'Settings'!$B$9)+(AA523*'Settings'!$B$6)+(W523*'Settings'!$B$8)+(AB523*'Settings'!$B$7)+(AC523*'Settings'!$B$14)+(AD523*'Settings'!$B$15)+(AE523*'Settings'!$B$16)+(AF523*'Settings'!$B$17)+(AG523*'Settings'!$B$18)+(Y523*'Settings'!$B$10)+(Z523*'Settings'!$B$11),VLOOKUP(B523,'Standard Deviations'!A1:C731,3,FALSE))</f>
        <v>203.522412656033</v>
      </c>
      <c r="J523" s="45">
        <f>IF(D523="G",I523/AJ523,I523/Q523)</f>
        <v>2.50177912942095</v>
      </c>
      <c r="K523" s="44">
        <f>IF('Settings'!$E$18="C/LW/RW",VLOOKUP(B523,'C'!A1:F218,6,FALSE),VLOOKUP(B523,'F'!A1:F432,6,FALSE))</f>
        <v>-192.251788979982</v>
      </c>
      <c r="L523" s="44">
        <f>_xlfn.IFERROR(K523/H523,"N/A")</f>
        <v>-120.157368112489</v>
      </c>
      <c r="M523" t="s" s="61">
        <f>IF('Settings'!$E$9="YAHOO",VLOOKUP(B523,'ADP'!A1:E731,2,FALSE),IF('Settings'!$E$9="ESPN",VLOOKUP(B523,'ADP'!A1:E731,3,FALSE),IF('Settings'!$E$9="FANTRAX",VLOOKUP(B523,'ADP'!A1:E731,4,FALSE),VLOOKUP(B523,'ADP'!A1:E731,5,FALSE))))</f>
        <v>329</v>
      </c>
      <c r="N523" t="s" s="61">
        <f>_xlfn.IFERROR(M523-A523,"N/A")</f>
        <v>158</v>
      </c>
      <c r="O523" s="46"/>
      <c r="P523" t="s" s="47">
        <f>IF('Settings'!$E$27="ON",VLOOKUP(B523,'ADP'!A1:H731,8,FALSE)," ")</f>
        <v>109</v>
      </c>
      <c r="Q523" s="48">
        <f>IF('Settings'!$E$12="YES",VLOOKUP(B523,'Player Data'!A1:E734,5,FALSE),82)</f>
        <v>81.3510714285714</v>
      </c>
      <c r="R523" s="46">
        <f>VLOOKUP(B523,'Player Data'!$A1:$AE734,6,FALSE)</f>
        <v>14.3398719128334</v>
      </c>
      <c r="S523" s="48">
        <f>VLOOKUP(B523,'Player Data'!$A1:$AE734,7,FALSE)*$Q523*_xlfn.IFERROR((VLOOKUP(P523,'Settings'!$E$28:$F$33,2,FALSE)+1),1)</f>
        <v>14.6520199394343</v>
      </c>
      <c r="T523" s="48">
        <f>VLOOKUP(B523,'Player Data'!$A1:$AE734,8,FALSE)*$Q523*_xlfn.IFERROR((VLOOKUP(P523,'Settings'!$E$28:$F$33,2,FALSE)+1),1)</f>
        <v>14.2493538255535</v>
      </c>
      <c r="U523" s="48">
        <f>SUM(S523:T523)</f>
        <v>28.9013737649878</v>
      </c>
      <c r="V523" s="48">
        <f>VLOOKUP(B523,'Player Data'!$A1:$AE734,10,FALSE)*$Q523*_xlfn.IFERROR(((VLOOKUP(P523,'Settings'!$E$28:$F$33,2,FALSE)/2)+1),1)</f>
        <v>122.669979052262</v>
      </c>
      <c r="W523" s="48">
        <f>VLOOKUP(B523,'Player Data'!$A1:$AE734,11,FALSE)*$Q523*_xlfn.IFERROR((VLOOKUP(P523,'Settings'!$E$28:$F$33,2,FALSE)+1),1)</f>
        <v>0.035809125224545</v>
      </c>
      <c r="X523" s="48">
        <f>VLOOKUP(B523,'Player Data'!$A1:$AE734,12,FALSE)*$Q523*_xlfn.IFERROR((VLOOKUP(P523,'Settings'!$E$28:$F$33,2,FALSE)+1),1)</f>
        <v>0.142983885596232</v>
      </c>
      <c r="Y523" s="48">
        <f>VLOOKUP(B523,'Player Data'!$A1:$AE734,13,FALSE)*$Q523</f>
        <v>1.773681154872</v>
      </c>
      <c r="Z523" s="48">
        <f>VLOOKUP(B523,'Player Data'!$A1:$AE734,14,FALSE)*$Q523</f>
        <v>1.88992498556042</v>
      </c>
      <c r="AA523" s="48">
        <f>VLOOKUP(B523,'Player Data'!$A1:$AE734,15,FALSE)*$Q523</f>
        <v>38.4546293937107</v>
      </c>
      <c r="AB523" s="48">
        <f>VLOOKUP(B523,'Player Data'!$A1:$AE734,16,FALSE)*$Q523</f>
        <v>41.992429031244</v>
      </c>
      <c r="AC523" s="48">
        <f>VLOOKUP(B523,'Player Data'!$A1:$AE734,17,FALSE)*$Q523*_xlfn.IFERROR((VLOOKUP(P523,'Settings'!$E$28:$F$33,2,FALSE)+1),1)</f>
        <v>0.6026928302382299</v>
      </c>
      <c r="AD523" s="48">
        <f>VLOOKUP(B523,'Player Data'!$A1:$AE734,18,FALSE)*$Q523</f>
        <v>16.1144663387337</v>
      </c>
      <c r="AE523" s="48">
        <f>VLOOKUP(B523,'Player Data'!$A1:$AE734,19,FALSE)*$Q523*_xlfn.IFERROR((VLOOKUP(P523,'Settings'!$E$28:$F$33,2,FALSE)+1),1)</f>
        <v>0</v>
      </c>
      <c r="AF523" s="48">
        <f>VLOOKUP(B523,'Player Data'!$A1:$AE734,20,FALSE)*$Q523</f>
        <v>274.982083425522</v>
      </c>
      <c r="AG523" s="48">
        <f>VLOOKUP(B523,'Player Data'!$A1:$AE734,21,FALSE)*$Q523</f>
        <v>309.573254053582</v>
      </c>
      <c r="AH523" s="49">
        <f>VLOOKUP(B523,'Player Data'!$A1:$AE734,22,FALSE)</f>
        <v>0.470412407166416</v>
      </c>
      <c r="AI523" s="46"/>
      <c r="AJ523" s="50"/>
      <c r="AK523" s="48"/>
      <c r="AL523" s="48"/>
      <c r="AM523" s="48"/>
      <c r="AN523" s="48"/>
      <c r="AO523" s="48"/>
      <c r="AP523" s="48"/>
      <c r="AQ523" s="51"/>
      <c r="AR523" s="52"/>
      <c r="AS523" s="46"/>
    </row>
    <row r="524" ht="21.25" customHeight="1">
      <c r="A524" s="53">
        <f>RANK(K524,K2:K730)</f>
        <v>551</v>
      </c>
      <c r="B524" t="s" s="8">
        <v>676</v>
      </c>
      <c r="C524" t="s" s="39">
        <v>106</v>
      </c>
      <c r="D524" t="s" s="40">
        <f>VLOOKUP(B524,'Player Data'!A1:D734,4,FALSE)</f>
        <v>133</v>
      </c>
      <c r="E524" s="57">
        <f>VLOOKUP(B524,'LW'!A1:C156,3,FALSE)</f>
        <v>114</v>
      </c>
      <c r="F524" t="s" s="42">
        <f>VLOOKUP(B524,'Player Data'!A1:B734,2,FALSE)</f>
        <v>184</v>
      </c>
      <c r="G524" s="9">
        <f>VLOOKUP(B524,'Player Data'!A1:D734,3,FALSE)</f>
        <v>23</v>
      </c>
      <c r="H524" s="43">
        <f>_xlfn.IFERROR(VLOOKUP(B524,'ADP'!A1:G731,7,FALSE)/1000000,VLOOKUP(B524,'ADP'!A1:G731,7,FALSE))</f>
        <v>0.925</v>
      </c>
      <c r="I524" s="44">
        <f>IF('Settings'!$E$15="POINTS",((R524*Q524)*'Settings'!$B$12)+(S524*'Settings'!$B$2)+(T524*'Settings'!$B$3)+(U524*'Settings'!$B$4)+(V524*'Settings'!$B$5)+(X524*'Settings'!$B$9)+(AA524*'Settings'!$B$6)+(W524*'Settings'!$B$8)+(AB524*'Settings'!$B$7)+(AC524*'Settings'!$B$14)+(AD524*'Settings'!$B$15)+(AE524*'Settings'!$B$16)+(AF524*'Settings'!$B$17)+(AG524*'Settings'!$B$18)+(Y524*'Settings'!$B$10)+(Z524*'Settings'!$B$11),VLOOKUP(B524,'Standard Deviations'!A1:C731,3,FALSE))</f>
        <v>181.005986997970</v>
      </c>
      <c r="J524" s="45">
        <f>IF(D524="G",I524/AJ524,I524/Q524)</f>
        <v>2.38778427541679</v>
      </c>
      <c r="K524" s="44">
        <f>IF('Settings'!$E$18="C/LW/RW",VLOOKUP(B524,'LW'!A1:F156,6,FALSE),VLOOKUP(B524,'F'!A1:F432,6,FALSE))</f>
        <v>-200.622576708386</v>
      </c>
      <c r="L524" s="44">
        <f>_xlfn.IFERROR(K524/H524,"N/A")</f>
        <v>-216.889272117174</v>
      </c>
      <c r="M524" t="s" s="61">
        <f>IF('Settings'!$E$9="YAHOO",VLOOKUP(B524,'ADP'!A1:E731,2,FALSE),IF('Settings'!$E$9="ESPN",VLOOKUP(B524,'ADP'!A1:E731,3,FALSE),IF('Settings'!$E$9="FANTRAX",VLOOKUP(B524,'ADP'!A1:E731,4,FALSE),VLOOKUP(B524,'ADP'!A1:E731,5,FALSE))))</f>
        <v>329</v>
      </c>
      <c r="N524" t="s" s="61">
        <f>_xlfn.IFERROR(M524-A524,"N/A")</f>
        <v>158</v>
      </c>
      <c r="O524" s="46"/>
      <c r="P524" t="s" s="47">
        <f>IF('Settings'!$E$27="ON",VLOOKUP(B524,'ADP'!A1:H731,8,FALSE)," ")</f>
        <v>109</v>
      </c>
      <c r="Q524" s="48">
        <f>IF('Settings'!$E$12="YES",VLOOKUP(B524,'Player Data'!A1:E734,5,FALSE),82)</f>
        <v>75.80500000000001</v>
      </c>
      <c r="R524" s="46">
        <f>VLOOKUP(B524,'Player Data'!$A1:$AE734,6,FALSE)</f>
        <v>12.5984188545316</v>
      </c>
      <c r="S524" s="48">
        <f>VLOOKUP(B524,'Player Data'!$A1:$AE734,7,FALSE)*$Q524*_xlfn.IFERROR((VLOOKUP(P524,'Settings'!$E$28:$F$33,2,FALSE)+1),1)</f>
        <v>13.7456582060605</v>
      </c>
      <c r="T524" s="48">
        <f>VLOOKUP(B524,'Player Data'!$A1:$AE734,8,FALSE)*$Q524*_xlfn.IFERROR((VLOOKUP(P524,'Settings'!$E$28:$F$33,2,FALSE)+1),1)</f>
        <v>14.0557767518215</v>
      </c>
      <c r="U524" s="48">
        <f>SUM(S524:T524)</f>
        <v>27.801434957882</v>
      </c>
      <c r="V524" s="48">
        <f>VLOOKUP(B524,'Player Data'!$A1:$AE734,10,FALSE)*$Q524*_xlfn.IFERROR(((VLOOKUP(P524,'Settings'!$E$28:$F$33,2,FALSE)/2)+1),1)</f>
        <v>103.506784508257</v>
      </c>
      <c r="W524" s="48">
        <f>VLOOKUP(B524,'Player Data'!$A1:$AE734,11,FALSE)*$Q524*_xlfn.IFERROR((VLOOKUP(P524,'Settings'!$E$28:$F$33,2,FALSE)+1),1)</f>
        <v>2.20949210801063</v>
      </c>
      <c r="X524" s="48">
        <f>VLOOKUP(B524,'Player Data'!$A1:$AE734,12,FALSE)*$Q524*_xlfn.IFERROR((VLOOKUP(P524,'Settings'!$E$28:$F$33,2,FALSE)+1),1)</f>
        <v>4.27999996409048</v>
      </c>
      <c r="Y524" s="48">
        <f>VLOOKUP(B524,'Player Data'!$A1:$AE734,13,FALSE)*$Q524</f>
        <v>0.00424355212409918</v>
      </c>
      <c r="Z524" s="48">
        <f>VLOOKUP(B524,'Player Data'!$A1:$AE734,14,FALSE)*$Q524</f>
        <v>0.00778602885554721</v>
      </c>
      <c r="AA524" s="48">
        <f>VLOOKUP(B524,'Player Data'!$A1:$AE734,15,FALSE)*$Q524</f>
        <v>30.8409095405664</v>
      </c>
      <c r="AB524" s="48">
        <f>VLOOKUP(B524,'Player Data'!$A1:$AE734,16,FALSE)*$Q524</f>
        <v>39.175102932442</v>
      </c>
      <c r="AC524" s="48">
        <f>VLOOKUP(B524,'Player Data'!$A1:$AE734,17,FALSE)*$Q524*_xlfn.IFERROR((VLOOKUP(P524,'Settings'!$E$28:$F$33,2,FALSE)+1),1)</f>
        <v>-2.53344173422172</v>
      </c>
      <c r="AD524" s="48">
        <f>VLOOKUP(B524,'Player Data'!$A1:$AE734,18,FALSE)*$Q524</f>
        <v>19.6800626018646</v>
      </c>
      <c r="AE524" s="48">
        <f>VLOOKUP(B524,'Player Data'!$A1:$AE734,19,FALSE)*$Q524*_xlfn.IFERROR((VLOOKUP(P524,'Settings'!$E$28:$F$33,2,FALSE)+1),1)</f>
        <v>1.8190434970452</v>
      </c>
      <c r="AF524" s="48">
        <f>VLOOKUP(B524,'Player Data'!$A1:$AE734,20,FALSE)*$Q524</f>
        <v>3.17698589940709</v>
      </c>
      <c r="AG524" s="48">
        <f>VLOOKUP(B524,'Player Data'!$A1:$AE734,21,FALSE)*$Q524</f>
        <v>3.17698589940709</v>
      </c>
      <c r="AH524" s="49">
        <f>VLOOKUP(B524,'Player Data'!$A1:$AE734,22,FALSE)</f>
        <v>0.5</v>
      </c>
      <c r="AI524" s="46"/>
      <c r="AJ524" s="50"/>
      <c r="AK524" s="48"/>
      <c r="AL524" s="48"/>
      <c r="AM524" s="48"/>
      <c r="AN524" s="48"/>
      <c r="AO524" s="48"/>
      <c r="AP524" s="48"/>
      <c r="AQ524" s="51"/>
      <c r="AR524" s="52"/>
      <c r="AS524" s="46"/>
    </row>
    <row r="525" ht="21.25" customHeight="1">
      <c r="A525" s="53">
        <f>RANK(K525,K2:K730)</f>
        <v>633</v>
      </c>
      <c r="B525" t="s" s="8">
        <v>677</v>
      </c>
      <c r="C525" t="s" s="39">
        <v>106</v>
      </c>
      <c r="D525" t="s" s="40">
        <f>VLOOKUP(B525,'Player Data'!A1:D734,4,FALSE)</f>
        <v>129</v>
      </c>
      <c r="E525" s="56">
        <f>VLOOKUP(B525,'D'!A1:C228,3,FALSE)</f>
        <v>211</v>
      </c>
      <c r="F525" t="s" s="42">
        <f>VLOOKUP(B525,'Player Data'!A1:B734,2,FALSE)</f>
        <v>166</v>
      </c>
      <c r="G525" s="9">
        <f>VLOOKUP(B525,'Player Data'!A1:D734,3,FALSE)</f>
        <v>23</v>
      </c>
      <c r="H525" s="43">
        <f>_xlfn.IFERROR(VLOOKUP(B525,'ADP'!A1:G731,7,FALSE)/1000000,VLOOKUP(B525,'ADP'!A1:G731,7,FALSE))</f>
        <v>0</v>
      </c>
      <c r="I525" s="44">
        <f>IF('Settings'!$E$15="POINTS",((R525*Q525)*'Settings'!$B$12)+(S525*'Settings'!$B$2)+(T525*'Settings'!$B$3)+(U525*'Settings'!$B$4)+(V525*'Settings'!$B$5)+(X525*'Settings'!$B$9)+(AA525*'Settings'!$B$6)+(W525*'Settings'!$B$8)+(AB525*'Settings'!$B$7)+(AC525*'Settings'!$B$14)+(AD525*'Settings'!$B$15)+(AE525*'Settings'!$B$16)+(AF525*'Settings'!$B$17)+(AG525*'Settings'!$B$18)+(U525*'Settings'!$B$13)+(Y525*'Settings'!$B$10)+(Z525*'Settings'!$B$11),VLOOKUP(B525,'Standard Deviations'!A1:C731,3,FALSE))</f>
        <v>114.614004925558</v>
      </c>
      <c r="J525" s="45">
        <f>IF(D525="G",I525/AJ525,I525/Q525)</f>
        <v>2.12967909928105</v>
      </c>
      <c r="K525" s="44">
        <f>VLOOKUP(B525,'D'!A1:F228,6,FALSE)</f>
        <v>-226.121133720965</v>
      </c>
      <c r="L525" t="s" s="60">
        <f>_xlfn.IFERROR(K525/H525,"N/A")</f>
        <v>158</v>
      </c>
      <c r="M525" t="s" s="61">
        <f>IF('Settings'!$E$9="YAHOO",VLOOKUP(B525,'ADP'!A1:E731,2,FALSE),IF('Settings'!$E$9="ESPN",VLOOKUP(B525,'ADP'!A1:E731,3,FALSE),IF('Settings'!$E$9="FANTRAX",VLOOKUP(B525,'ADP'!A1:E731,4,FALSE),VLOOKUP(B525,'ADP'!A1:E731,5,FALSE))))</f>
        <v>329</v>
      </c>
      <c r="N525" t="s" s="61">
        <f>_xlfn.IFERROR(M525-A525,"N/A")</f>
        <v>158</v>
      </c>
      <c r="O525" s="46"/>
      <c r="P525" t="s" s="47">
        <f>IF('Settings'!$E$27="ON",VLOOKUP(B525,'ADP'!A1:H731,8,FALSE)," ")</f>
        <v>109</v>
      </c>
      <c r="Q525" s="48">
        <f>IF('Settings'!$E$12="YES",VLOOKUP(B525,'Player Data'!A1:E734,5,FALSE),82)</f>
        <v>53.8175</v>
      </c>
      <c r="R525" s="46">
        <f>VLOOKUP(B525,'Player Data'!$A1:$AE734,6,FALSE)</f>
        <v>16.5323771585366</v>
      </c>
      <c r="S525" s="48">
        <f>VLOOKUP(B525,'Player Data'!$A1:$AE734,7,FALSE)*$Q525*_xlfn.IFERROR((VLOOKUP(P525,'Settings'!$E$28:$F$33,2,FALSE)+1),1)</f>
        <v>1.51266566348301</v>
      </c>
      <c r="T525" s="48">
        <f>VLOOKUP(B525,'Player Data'!$A1:$AE734,8,FALSE)*$Q525*_xlfn.IFERROR((VLOOKUP(P525,'Settings'!$E$28:$F$33,2,FALSE)+1),1)</f>
        <v>9.55810942359669</v>
      </c>
      <c r="U525" s="48">
        <f>SUM(S525:T525)</f>
        <v>11.0707750870797</v>
      </c>
      <c r="V525" s="48">
        <f>VLOOKUP(B525,'Player Data'!$A1:$AE734,10,FALSE)*$Q525*_xlfn.IFERROR(((VLOOKUP(P525,'Settings'!$E$28:$F$33,2,FALSE)/2)+1),1)</f>
        <v>52.4601718041135</v>
      </c>
      <c r="W525" s="48">
        <f>VLOOKUP(B525,'Player Data'!$A1:$AE734,11,FALSE)*$Q525*_xlfn.IFERROR((VLOOKUP(P525,'Settings'!$E$28:$F$33,2,FALSE)+1),1)</f>
        <v>0.0142287798297631</v>
      </c>
      <c r="X525" s="48">
        <f>VLOOKUP(B525,'Player Data'!$A1:$AE734,12,FALSE)*$Q525*_xlfn.IFERROR((VLOOKUP(P525,'Settings'!$E$28:$F$33,2,FALSE)+1),1)</f>
        <v>0.09360595654602211</v>
      </c>
      <c r="Y525" s="48">
        <f>VLOOKUP(B525,'Player Data'!$A1:$AE734,13,FALSE)*$Q525</f>
        <v>0.0477523297269339</v>
      </c>
      <c r="Z525" s="48">
        <f>VLOOKUP(B525,'Player Data'!$A1:$AE734,14,FALSE)*$Q525</f>
        <v>0.171697678856463</v>
      </c>
      <c r="AA525" s="48">
        <f>VLOOKUP(B525,'Player Data'!$A1:$AE734,15,FALSE)*$Q525</f>
        <v>73.0520729746346</v>
      </c>
      <c r="AB525" s="48">
        <f>VLOOKUP(B525,'Player Data'!$A1:$AE734,16,FALSE)*$Q525</f>
        <v>64.1326536880277</v>
      </c>
      <c r="AC525" s="48">
        <f>VLOOKUP(B525,'Player Data'!$A1:$AE734,17,FALSE)*$Q525*_xlfn.IFERROR((VLOOKUP(P525,'Settings'!$E$28:$F$33,2,FALSE)+1),1)</f>
        <v>-2.3994174313563</v>
      </c>
      <c r="AD525" s="48">
        <f>VLOOKUP(B525,'Player Data'!$A1:$AE734,18,FALSE)*$Q525</f>
        <v>15.9041619575682</v>
      </c>
      <c r="AE525" s="48">
        <f>VLOOKUP(B525,'Player Data'!$A1:$AE734,19,FALSE)*$Q525*_xlfn.IFERROR((VLOOKUP(P525,'Settings'!$E$28:$F$33,2,FALSE)+1),1)</f>
        <v>0.186066781205893</v>
      </c>
      <c r="AF525" s="48">
        <f>VLOOKUP(B525,'Player Data'!$A1:$AE734,20,FALSE)*$Q525</f>
        <v>0</v>
      </c>
      <c r="AG525" s="48">
        <f>VLOOKUP(B525,'Player Data'!$A1:$AE734,21,FALSE)*$Q525</f>
        <v>0</v>
      </c>
      <c r="AH525" s="49">
        <f>VLOOKUP(B525,'Player Data'!$A1:$AE734,22,FALSE)</f>
        <v>0</v>
      </c>
      <c r="AI525" s="46"/>
      <c r="AJ525" s="50"/>
      <c r="AK525" s="48"/>
      <c r="AL525" s="48"/>
      <c r="AM525" s="48"/>
      <c r="AN525" s="48"/>
      <c r="AO525" s="48"/>
      <c r="AP525" s="48"/>
      <c r="AQ525" s="51"/>
      <c r="AR525" s="52"/>
      <c r="AS525" s="46"/>
    </row>
    <row r="526" ht="21.25" customHeight="1">
      <c r="A526" s="53">
        <f>RANK(K526,K2:K730)</f>
        <v>429</v>
      </c>
      <c r="B526" t="s" s="8">
        <v>678</v>
      </c>
      <c r="C526" t="s" s="39">
        <v>106</v>
      </c>
      <c r="D526" t="s" s="40">
        <f>VLOOKUP(B526,'Player Data'!A1:D734,4,FALSE)</f>
        <v>107</v>
      </c>
      <c r="E526" s="41">
        <f>VLOOKUP(B526,'C'!A1:C218,3,FALSE)</f>
        <v>107</v>
      </c>
      <c r="F526" t="s" s="42">
        <f>VLOOKUP(B526,'Player Data'!A1:B734,2,FALSE)</f>
        <v>164</v>
      </c>
      <c r="G526" s="9">
        <f>VLOOKUP(B526,'Player Data'!A1:D734,3,FALSE)</f>
        <v>30</v>
      </c>
      <c r="H526" s="43">
        <f>_xlfn.IFERROR(VLOOKUP(B526,'ADP'!A1:G731,7,FALSE)/1000000,VLOOKUP(B526,'ADP'!A1:G731,7,FALSE))</f>
        <v>3.25</v>
      </c>
      <c r="I526" s="44">
        <f>IF('Settings'!$E$15="POINTS",((R526*Q526)*'Settings'!$B$12)+(S526*'Settings'!$B$2)+(T526*'Settings'!$B$3)+(U526*'Settings'!$B$4)+(V526*'Settings'!$B$5)+(X526*'Settings'!$B$9)+(AA526*'Settings'!$B$6)+(W526*'Settings'!$B$8)+(AB526*'Settings'!$B$7)+(AC526*'Settings'!$B$14)+(AD526*'Settings'!$B$15)+(AE526*'Settings'!$B$16)+(AF526*'Settings'!$B$17)+(AG526*'Settings'!$B$18)+(Y526*'Settings'!$B$10)+(Z526*'Settings'!$B$11),VLOOKUP(B526,'Standard Deviations'!A1:C731,3,FALSE))</f>
        <v>234.120928077219</v>
      </c>
      <c r="J526" s="45">
        <f>IF(D526="G",I526/AJ526,I526/Q526)</f>
        <v>2.88924804030259</v>
      </c>
      <c r="K526" s="44">
        <f>IF('Settings'!$E$18="C/LW/RW",VLOOKUP(B526,'C'!A1:F218,6,FALSE),VLOOKUP(B526,'F'!A1:F432,6,FALSE))</f>
        <v>-161.653273558796</v>
      </c>
      <c r="L526" s="44">
        <f>_xlfn.IFERROR(K526/H526,"N/A")</f>
        <v>-49.7394687873218</v>
      </c>
      <c r="M526" s="46">
        <f>IF('Settings'!$E$9="YAHOO",VLOOKUP(B526,'ADP'!A1:E731,2,FALSE),IF('Settings'!$E$9="ESPN",VLOOKUP(B526,'ADP'!A1:E731,3,FALSE),IF('Settings'!$E$9="FANTRAX",VLOOKUP(B526,'ADP'!A1:E731,4,FALSE),VLOOKUP(B526,'ADP'!A1:E731,5,FALSE))))</f>
        <v>459.5</v>
      </c>
      <c r="N526" s="46">
        <f>_xlfn.IFERROR(M526-A526,"N/A")</f>
        <v>30.5</v>
      </c>
      <c r="O526" s="46"/>
      <c r="P526" t="s" s="47">
        <f>IF('Settings'!$E$27="ON",VLOOKUP(B526,'ADP'!A1:H731,8,FALSE)," ")</f>
        <v>109</v>
      </c>
      <c r="Q526" s="48">
        <f>IF('Settings'!$E$12="YES",VLOOKUP(B526,'Player Data'!A1:E734,5,FALSE),82)</f>
        <v>81.0317857142857</v>
      </c>
      <c r="R526" s="46">
        <f>VLOOKUP(B526,'Player Data'!$A1:$AE734,6,FALSE)</f>
        <v>14.8754127210366</v>
      </c>
      <c r="S526" s="48">
        <f>VLOOKUP(B526,'Player Data'!$A1:$AE734,7,FALSE)*$Q526*_xlfn.IFERROR((VLOOKUP(P526,'Settings'!$E$28:$F$33,2,FALSE)+1),1)</f>
        <v>12.3544278854983</v>
      </c>
      <c r="T526" s="48">
        <f>VLOOKUP(B526,'Player Data'!$A1:$AE734,8,FALSE)*$Q526*_xlfn.IFERROR((VLOOKUP(P526,'Settings'!$E$28:$F$33,2,FALSE)+1),1)</f>
        <v>15.9218748474295</v>
      </c>
      <c r="U526" s="48">
        <f>SUM(S526:T526)</f>
        <v>28.2763027329278</v>
      </c>
      <c r="V526" s="48">
        <f>VLOOKUP(B526,'Player Data'!$A1:$AE734,10,FALSE)*$Q526*_xlfn.IFERROR(((VLOOKUP(P526,'Settings'!$E$28:$F$33,2,FALSE)/2)+1),1)</f>
        <v>117.190044490942</v>
      </c>
      <c r="W526" s="48">
        <f>VLOOKUP(B526,'Player Data'!$A1:$AE734,11,FALSE)*$Q526*_xlfn.IFERROR((VLOOKUP(P526,'Settings'!$E$28:$F$33,2,FALSE)+1),1)</f>
        <v>0.222465296332331</v>
      </c>
      <c r="X526" s="48">
        <f>VLOOKUP(B526,'Player Data'!$A1:$AE734,12,FALSE)*$Q526*_xlfn.IFERROR((VLOOKUP(P526,'Settings'!$E$28:$F$33,2,FALSE)+1),1)</f>
        <v>1.23243660473636</v>
      </c>
      <c r="Y526" s="48">
        <f>VLOOKUP(B526,'Player Data'!$A1:$AE734,13,FALSE)*$Q526</f>
        <v>2.34760390360379</v>
      </c>
      <c r="Z526" s="48">
        <f>VLOOKUP(B526,'Player Data'!$A1:$AE734,14,FALSE)*$Q526</f>
        <v>3.45308286188779</v>
      </c>
      <c r="AA526" s="48">
        <f>VLOOKUP(B526,'Player Data'!$A1:$AE734,15,FALSE)*$Q526</f>
        <v>44.5578458671325</v>
      </c>
      <c r="AB526" s="48">
        <f>VLOOKUP(B526,'Player Data'!$A1:$AE734,16,FALSE)*$Q526</f>
        <v>171.921068589502</v>
      </c>
      <c r="AC526" s="48">
        <f>VLOOKUP(B526,'Player Data'!$A1:$AE734,17,FALSE)*$Q526*_xlfn.IFERROR((VLOOKUP(P526,'Settings'!$E$28:$F$33,2,FALSE)+1),1)</f>
        <v>1.19661808714624</v>
      </c>
      <c r="AD526" s="48">
        <f>VLOOKUP(B526,'Player Data'!$A1:$AE734,18,FALSE)*$Q526</f>
        <v>39.6278454008581</v>
      </c>
      <c r="AE526" s="48">
        <f>VLOOKUP(B526,'Player Data'!$A1:$AE734,19,FALSE)*$Q526*_xlfn.IFERROR((VLOOKUP(P526,'Settings'!$E$28:$F$33,2,FALSE)+1),1)</f>
        <v>1.92733210265662</v>
      </c>
      <c r="AF526" s="48">
        <f>VLOOKUP(B526,'Player Data'!$A1:$AE734,20,FALSE)*$Q526</f>
        <v>562.721529214596</v>
      </c>
      <c r="AG526" s="48">
        <f>VLOOKUP(B526,'Player Data'!$A1:$AE734,21,FALSE)*$Q526</f>
        <v>532.491047689643</v>
      </c>
      <c r="AH526" s="49">
        <f>VLOOKUP(B526,'Player Data'!$A1:$AE734,22,FALSE)</f>
        <v>0.513801193559337</v>
      </c>
      <c r="AI526" s="46"/>
      <c r="AJ526" s="50"/>
      <c r="AK526" s="48"/>
      <c r="AL526" s="48"/>
      <c r="AM526" s="48"/>
      <c r="AN526" s="48"/>
      <c r="AO526" s="48"/>
      <c r="AP526" s="48"/>
      <c r="AQ526" s="51"/>
      <c r="AR526" s="52"/>
      <c r="AS526" s="46"/>
    </row>
    <row r="527" ht="21.25" customHeight="1">
      <c r="A527" s="53">
        <f>RANK(K527,K2:K730)</f>
        <v>284</v>
      </c>
      <c r="B527" t="s" s="8">
        <v>679</v>
      </c>
      <c r="C527" t="s" s="39">
        <v>106</v>
      </c>
      <c r="D527" t="s" s="40">
        <f>VLOOKUP(B527,'Player Data'!A1:D734,4,FALSE)</f>
        <v>146</v>
      </c>
      <c r="E527" s="58">
        <f>VLOOKUP(B527,'G'!A1:D75,3,FALSE)</f>
        <v>43</v>
      </c>
      <c r="F527" t="s" s="42">
        <f>VLOOKUP(B527,'Player Data'!A1:B734,2,FALSE)</f>
        <v>141</v>
      </c>
      <c r="G527" s="9">
        <f>VLOOKUP(B527,'Player Data'!A1:D734,3,FALSE)</f>
        <v>26</v>
      </c>
      <c r="H527" s="43">
        <f>_xlfn.IFERROR(VLOOKUP(B527,'ADP'!A1:G731,7,FALSE)/1000000,VLOOKUP(B527,'ADP'!A1:G731,7,FALSE))</f>
        <v>2.35</v>
      </c>
      <c r="I527" s="44">
        <f>IF('Settings'!$E$15="POINTS",(AJ527*'Settings'!$B$29)+(AK527*'Settings'!$B$21)+(AL527*'Settings'!$B$22)+(AN527*'Settings'!$B$24)+(AO527*'Settings'!$B$25)+(AP527*'Settings'!$B$27)+(AM527*'Settings'!$B$23),VLOOKUP(B527,'Standard Deviations'!A1:C731,3,FALSE))</f>
        <v>157.033884120751</v>
      </c>
      <c r="J527" s="45">
        <f>IF(D527="G",I527/AJ527,I527/Q527)</f>
        <v>5.23446280402503</v>
      </c>
      <c r="K527" s="44">
        <f>VLOOKUP(B527,'G'!A1:F75,6,FALSE)</f>
        <v>-108.269337378937</v>
      </c>
      <c r="L527" s="44">
        <f>_xlfn.IFERROR(K527/H527,"N/A")</f>
        <v>-46.0720584591221</v>
      </c>
      <c r="M527" t="s" s="61">
        <f>IF('Settings'!$E$9="YAHOO",VLOOKUP(B527,'ADP'!A1:E731,2,FALSE),IF('Settings'!$E$9="ESPN",VLOOKUP(B527,'ADP'!A1:E731,3,FALSE),IF('Settings'!$E$9="FANTRAX",VLOOKUP(B527,'ADP'!A1:E731,4,FALSE),VLOOKUP(B527,'ADP'!A1:E731,5,FALSE))))</f>
        <v>329</v>
      </c>
      <c r="N527" t="s" s="61">
        <f>_xlfn.IFERROR(M527-A527,"N/A")</f>
        <v>158</v>
      </c>
      <c r="O527" s="46"/>
      <c r="P527" t="s" s="47">
        <f>IF('Settings'!$E$27="ON",VLOOKUP(B527,'ADP'!A1:H731,8,FALSE)," ")</f>
        <v>109</v>
      </c>
      <c r="Q527" s="48"/>
      <c r="R527" s="59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9"/>
      <c r="AI527" s="46"/>
      <c r="AJ527" s="50">
        <f>VLOOKUP(B527,'Player Data'!$A1:$AE734,24,FALSE)</f>
        <v>30</v>
      </c>
      <c r="AK527" s="48">
        <f>VLOOKUP(B527,'Player Data'!$A1:$AE734,25,FALSE)*$AJ527*_xlfn.IFERROR((VLOOKUP(P527,'Settings'!$E$28:$F$33,2,FALSE)+1),1)</f>
        <v>10.188758390953</v>
      </c>
      <c r="AL527" s="48">
        <f>AJ527-AK527-AM527</f>
        <v>16.061241609047</v>
      </c>
      <c r="AM527" s="48">
        <f>VLOOKUP(B527,'Player Data'!$A1:$AE734,27,FALSE)*$AJ527</f>
        <v>3.75</v>
      </c>
      <c r="AN527" s="48">
        <f>VLOOKUP(B527,'Player Data'!$A1:$AE734,28,FALSE)*AJ527</f>
        <v>0.919723545393009</v>
      </c>
      <c r="AO527" s="48">
        <f>VLOOKUP(B527,'Player Data'!$A1:$AE734,29,FALSE)*$AJ527*_xlfn.IFERROR((VLOOKUP(P527,'Settings'!$E$28:$F$33,2,FALSE)/4)+1,1)</f>
        <v>883.845522204423</v>
      </c>
      <c r="AP527" s="48">
        <f>VLOOKUP(B527,'Player Data'!$A1:$AE734,31,FALSE)*$AJ527*(_xlfn.IFERROR(1-(VLOOKUP(P527,'Settings'!$E$28:$F$33,2,FALSE)/4),1))</f>
        <v>94.2968122330758</v>
      </c>
      <c r="AQ527" s="51">
        <f>1-(AP527/(AO527+AP527))</f>
        <v>0.903596021853708</v>
      </c>
      <c r="AR527" s="52">
        <f>AP527/AJ527</f>
        <v>3.14322707443586</v>
      </c>
      <c r="AS527" s="46"/>
    </row>
    <row r="528" ht="21.25" customHeight="1">
      <c r="A528" s="53">
        <f>RANK(K528,K2:K730)</f>
        <v>646</v>
      </c>
      <c r="B528" t="s" s="8">
        <v>680</v>
      </c>
      <c r="C528" t="s" s="39">
        <v>106</v>
      </c>
      <c r="D528" t="s" s="40">
        <f>VLOOKUP(B528,'Player Data'!A1:D734,4,FALSE)</f>
        <v>129</v>
      </c>
      <c r="E528" s="56">
        <f>VLOOKUP(B528,'D'!A1:C228,3,FALSE)</f>
        <v>215</v>
      </c>
      <c r="F528" t="s" s="42">
        <f>VLOOKUP(B528,'Player Data'!A1:B734,2,FALSE)</f>
        <v>234</v>
      </c>
      <c r="G528" s="9">
        <f>VLOOKUP(B528,'Player Data'!A1:D734,3,FALSE)</f>
        <v>26</v>
      </c>
      <c r="H528" s="43">
        <f>_xlfn.IFERROR(VLOOKUP(B528,'ADP'!A1:G731,7,FALSE)/1000000,VLOOKUP(B528,'ADP'!A1:G731,7,FALSE))</f>
        <v>0</v>
      </c>
      <c r="I528" s="44">
        <f>IF('Settings'!$E$15="POINTS",((R528*Q528)*'Settings'!$B$12)+(S528*'Settings'!$B$2)+(T528*'Settings'!$B$3)+(U528*'Settings'!$B$4)+(V528*'Settings'!$B$5)+(X528*'Settings'!$B$9)+(AA528*'Settings'!$B$6)+(W528*'Settings'!$B$8)+(AB528*'Settings'!$B$7)+(AC528*'Settings'!$B$14)+(AD528*'Settings'!$B$15)+(AE528*'Settings'!$B$16)+(AF528*'Settings'!$B$17)+(AG528*'Settings'!$B$18)+(U528*'Settings'!$B$13)+(Y528*'Settings'!$B$10)+(Z528*'Settings'!$B$11),VLOOKUP(B528,'Standard Deviations'!A1:C731,3,FALSE))</f>
        <v>109.686134416247</v>
      </c>
      <c r="J528" s="45">
        <f>IF(D528="G",I528/AJ528,I528/Q528)</f>
        <v>1.82292643129621</v>
      </c>
      <c r="K528" s="44">
        <f>VLOOKUP(B528,'D'!A1:F228,6,FALSE)</f>
        <v>-231.049004230276</v>
      </c>
      <c r="L528" t="s" s="60">
        <f>_xlfn.IFERROR(K528/H528,"N/A")</f>
        <v>158</v>
      </c>
      <c r="M528" t="s" s="61">
        <f>IF('Settings'!$E$9="YAHOO",VLOOKUP(B528,'ADP'!A1:E731,2,FALSE),IF('Settings'!$E$9="ESPN",VLOOKUP(B528,'ADP'!A1:E731,3,FALSE),IF('Settings'!$E$9="FANTRAX",VLOOKUP(B528,'ADP'!A1:E731,4,FALSE),VLOOKUP(B528,'ADP'!A1:E731,5,FALSE))))</f>
        <v>329</v>
      </c>
      <c r="N528" t="s" s="61">
        <f>_xlfn.IFERROR(M528-A528,"N/A")</f>
        <v>158</v>
      </c>
      <c r="O528" s="46"/>
      <c r="P528" t="s" s="47">
        <f>IF('Settings'!$E$27="ON",VLOOKUP(B528,'ADP'!A1:H731,8,FALSE)," ")</f>
        <v>109</v>
      </c>
      <c r="Q528" s="48">
        <f>IF('Settings'!$E$12="YES",VLOOKUP(B528,'Player Data'!A1:E734,5,FALSE),82)</f>
        <v>60.1703571428571</v>
      </c>
      <c r="R528" s="46">
        <f>VLOOKUP(B528,'Player Data'!$A1:$AE734,6,FALSE)</f>
        <v>16.5139484230831</v>
      </c>
      <c r="S528" s="48">
        <f>VLOOKUP(B528,'Player Data'!$A1:$AE734,7,FALSE)*$Q528*_xlfn.IFERROR((VLOOKUP(P528,'Settings'!$E$28:$F$33,2,FALSE)+1),1)</f>
        <v>1.29210557329166</v>
      </c>
      <c r="T528" s="48">
        <f>VLOOKUP(B528,'Player Data'!$A1:$AE734,8,FALSE)*$Q528*_xlfn.IFERROR((VLOOKUP(P528,'Settings'!$E$28:$F$33,2,FALSE)+1),1)</f>
        <v>10.4434054556645</v>
      </c>
      <c r="U528" s="48">
        <f>SUM(S528:T528)</f>
        <v>11.7355110289562</v>
      </c>
      <c r="V528" s="48">
        <f>VLOOKUP(B528,'Player Data'!$A1:$AE734,10,FALSE)*$Q528*_xlfn.IFERROR(((VLOOKUP(P528,'Settings'!$E$28:$F$33,2,FALSE)/2)+1),1)</f>
        <v>52.8665444439008</v>
      </c>
      <c r="W528" s="48">
        <f>VLOOKUP(B528,'Player Data'!$A1:$AE734,11,FALSE)*$Q528*_xlfn.IFERROR((VLOOKUP(P528,'Settings'!$E$28:$F$33,2,FALSE)+1),1)</f>
        <v>0.0199047541613343</v>
      </c>
      <c r="X528" s="48">
        <f>VLOOKUP(B528,'Player Data'!$A1:$AE734,12,FALSE)*$Q528*_xlfn.IFERROR((VLOOKUP(P528,'Settings'!$E$28:$F$33,2,FALSE)+1),1)</f>
        <v>0.134630728512692</v>
      </c>
      <c r="Y528" s="48">
        <f>VLOOKUP(B528,'Player Data'!$A1:$AE734,13,FALSE)*$Q528</f>
        <v>0.0325121491757916</v>
      </c>
      <c r="Z528" s="48">
        <f>VLOOKUP(B528,'Player Data'!$A1:$AE734,14,FALSE)*$Q528</f>
        <v>0.120189655348638</v>
      </c>
      <c r="AA528" s="48">
        <f>VLOOKUP(B528,'Player Data'!$A1:$AE734,15,FALSE)*$Q528</f>
        <v>59.3725876571337</v>
      </c>
      <c r="AB528" s="48">
        <f>VLOOKUP(B528,'Player Data'!$A1:$AE734,16,FALSE)*$Q528</f>
        <v>64.72599043290531</v>
      </c>
      <c r="AC528" s="48">
        <f>VLOOKUP(B528,'Player Data'!$A1:$AE734,17,FALSE)*$Q528*_xlfn.IFERROR((VLOOKUP(P528,'Settings'!$E$28:$F$33,2,FALSE)+1),1)</f>
        <v>-6.64107274034155</v>
      </c>
      <c r="AD528" s="48">
        <f>VLOOKUP(B528,'Player Data'!$A1:$AE734,18,FALSE)*$Q528</f>
        <v>18.4357971688891</v>
      </c>
      <c r="AE528" s="48">
        <f>VLOOKUP(B528,'Player Data'!$A1:$AE734,19,FALSE)*$Q528*_xlfn.IFERROR((VLOOKUP(P528,'Settings'!$E$28:$F$33,2,FALSE)+1),1)</f>
        <v>0.123865149738282</v>
      </c>
      <c r="AF528" s="48">
        <f>VLOOKUP(B528,'Player Data'!$A1:$AE734,20,FALSE)*$Q528</f>
        <v>0</v>
      </c>
      <c r="AG528" s="48">
        <f>VLOOKUP(B528,'Player Data'!$A1:$AE734,21,FALSE)*$Q528</f>
        <v>0</v>
      </c>
      <c r="AH528" s="49">
        <f>VLOOKUP(B528,'Player Data'!$A1:$AE734,22,FALSE)</f>
        <v>0</v>
      </c>
      <c r="AI528" s="46"/>
      <c r="AJ528" s="48"/>
      <c r="AK528" s="48"/>
      <c r="AL528" s="48"/>
      <c r="AM528" s="48"/>
      <c r="AN528" s="48"/>
      <c r="AO528" s="48"/>
      <c r="AP528" s="48"/>
      <c r="AQ528" s="51"/>
      <c r="AR528" s="52"/>
      <c r="AS528" s="46"/>
    </row>
    <row r="529" ht="21.25" customHeight="1">
      <c r="A529" s="53">
        <f>RANK(K529,K2:K730)</f>
        <v>529</v>
      </c>
      <c r="B529" t="s" s="8">
        <v>681</v>
      </c>
      <c r="C529" t="s" s="39">
        <v>106</v>
      </c>
      <c r="D529" t="s" s="40">
        <f>VLOOKUP(B529,'Player Data'!A1:D734,4,FALSE)</f>
        <v>107</v>
      </c>
      <c r="E529" s="41">
        <f>VLOOKUP(B529,'C'!A1:C218,3,FALSE)</f>
        <v>138</v>
      </c>
      <c r="F529" t="s" s="42">
        <f>VLOOKUP(B529,'Player Data'!A1:B734,2,FALSE)</f>
        <v>124</v>
      </c>
      <c r="G529" s="9">
        <f>VLOOKUP(B529,'Player Data'!A1:D734,3,FALSE)</f>
        <v>26</v>
      </c>
      <c r="H529" s="43">
        <f>_xlfn.IFERROR(VLOOKUP(B529,'ADP'!A1:G731,7,FALSE)/1000000,VLOOKUP(B529,'ADP'!A1:G731,7,FALSE))</f>
        <v>0.8</v>
      </c>
      <c r="I529" s="44">
        <f>IF('Settings'!$E$15="POINTS",((R529*Q529)*'Settings'!$B$12)+(S529*'Settings'!$B$2)+(T529*'Settings'!$B$3)+(U529*'Settings'!$B$4)+(V529*'Settings'!$B$5)+(X529*'Settings'!$B$9)+(AA529*'Settings'!$B$6)+(W529*'Settings'!$B$8)+(AB529*'Settings'!$B$7)+(AC529*'Settings'!$B$14)+(AD529*'Settings'!$B$15)+(AE529*'Settings'!$B$16)+(AF529*'Settings'!$B$17)+(AG529*'Settings'!$B$18)+(Y529*'Settings'!$B$10)+(Z529*'Settings'!$B$11),VLOOKUP(B529,'Standard Deviations'!A1:C731,3,FALSE))</f>
        <v>204.993468251160</v>
      </c>
      <c r="J529" s="45">
        <f>IF(D529="G",I529/AJ529,I529/Q529)</f>
        <v>3.00576932919589</v>
      </c>
      <c r="K529" s="44">
        <f>IF('Settings'!$E$18="C/LW/RW",VLOOKUP(B529,'C'!A1:F218,6,FALSE),VLOOKUP(B529,'F'!A1:F432,6,FALSE))</f>
        <v>-190.780733384855</v>
      </c>
      <c r="L529" s="44">
        <f>_xlfn.IFERROR(K529/H529,"N/A")</f>
        <v>-238.475916731069</v>
      </c>
      <c r="M529" t="s" s="61">
        <f>IF('Settings'!$E$9="YAHOO",VLOOKUP(B529,'ADP'!A1:E731,2,FALSE),IF('Settings'!$E$9="ESPN",VLOOKUP(B529,'ADP'!A1:E731,3,FALSE),IF('Settings'!$E$9="FANTRAX",VLOOKUP(B529,'ADP'!A1:E731,4,FALSE),VLOOKUP(B529,'ADP'!A1:E731,5,FALSE))))</f>
        <v>329</v>
      </c>
      <c r="N529" t="s" s="61">
        <f>_xlfn.IFERROR(M529-A529,"N/A")</f>
        <v>158</v>
      </c>
      <c r="O529" s="46"/>
      <c r="P529" t="s" s="47">
        <f>IF('Settings'!$E$27="ON",VLOOKUP(B529,'ADP'!A1:H731,8,FALSE)," ")</f>
        <v>109</v>
      </c>
      <c r="Q529" s="48">
        <f>IF('Settings'!$E$12="YES",VLOOKUP(B529,'Player Data'!A1:E734,5,FALSE),82)</f>
        <v>68.2</v>
      </c>
      <c r="R529" s="46">
        <f>VLOOKUP(B529,'Player Data'!$A1:$AE734,6,FALSE)</f>
        <v>13.026067839193</v>
      </c>
      <c r="S529" s="48">
        <f>VLOOKUP(B529,'Player Data'!$A1:$AE734,7,FALSE)*$Q529*_xlfn.IFERROR((VLOOKUP(P529,'Settings'!$E$28:$F$33,2,FALSE)+1),1)</f>
        <v>8.645609289730301</v>
      </c>
      <c r="T529" s="48">
        <f>VLOOKUP(B529,'Player Data'!$A1:$AE734,8,FALSE)*$Q529*_xlfn.IFERROR((VLOOKUP(P529,'Settings'!$E$28:$F$33,2,FALSE)+1),1)</f>
        <v>14.8299112342048</v>
      </c>
      <c r="U529" s="48">
        <f>SUM(S529:T529)</f>
        <v>23.4755205239351</v>
      </c>
      <c r="V529" s="48">
        <f>VLOOKUP(B529,'Player Data'!$A1:$AE734,10,FALSE)*$Q529*_xlfn.IFERROR(((VLOOKUP(P529,'Settings'!$E$28:$F$33,2,FALSE)/2)+1),1)</f>
        <v>153.600181972174</v>
      </c>
      <c r="W529" s="48">
        <f>VLOOKUP(B529,'Player Data'!$A1:$AE734,11,FALSE)*$Q529*_xlfn.IFERROR((VLOOKUP(P529,'Settings'!$E$28:$F$33,2,FALSE)+1),1)</f>
        <v>0.369403664736489</v>
      </c>
      <c r="X529" s="48">
        <f>VLOOKUP(B529,'Player Data'!$A1:$AE734,12,FALSE)*$Q529*_xlfn.IFERROR((VLOOKUP(P529,'Settings'!$E$28:$F$33,2,FALSE)+1),1)</f>
        <v>0.942517133443447</v>
      </c>
      <c r="Y529" s="48">
        <f>VLOOKUP(B529,'Player Data'!$A1:$AE734,13,FALSE)*$Q529</f>
        <v>0.0268075642067099</v>
      </c>
      <c r="Z529" s="48">
        <f>VLOOKUP(B529,'Player Data'!$A1:$AE734,14,FALSE)*$Q529</f>
        <v>0.0494094935283766</v>
      </c>
      <c r="AA529" s="48">
        <f>VLOOKUP(B529,'Player Data'!$A1:$AE734,15,FALSE)*$Q529</f>
        <v>26.2348062248964</v>
      </c>
      <c r="AB529" s="48">
        <f>VLOOKUP(B529,'Player Data'!$A1:$AE734,16,FALSE)*$Q529</f>
        <v>126.328718636668</v>
      </c>
      <c r="AC529" s="48">
        <f>VLOOKUP(B529,'Player Data'!$A1:$AE734,17,FALSE)*$Q529*_xlfn.IFERROR((VLOOKUP(P529,'Settings'!$E$28:$F$33,2,FALSE)+1),1)</f>
        <v>0.9833522406583181</v>
      </c>
      <c r="AD529" s="48">
        <f>VLOOKUP(B529,'Player Data'!$A1:$AE734,18,FALSE)*$Q529</f>
        <v>48.7254939730479</v>
      </c>
      <c r="AE529" s="48">
        <f>VLOOKUP(B529,'Player Data'!$A1:$AE734,19,FALSE)*$Q529*_xlfn.IFERROR((VLOOKUP(P529,'Settings'!$E$28:$F$33,2,FALSE)+1),1)</f>
        <v>1.35304099436577</v>
      </c>
      <c r="AF529" s="48">
        <f>VLOOKUP(B529,'Player Data'!$A1:$AE734,20,FALSE)*$Q529</f>
        <v>15.9654658462456</v>
      </c>
      <c r="AG529" s="48">
        <f>VLOOKUP(B529,'Player Data'!$A1:$AE734,21,FALSE)*$Q529</f>
        <v>29.6000349391268</v>
      </c>
      <c r="AH529" s="49">
        <f>VLOOKUP(B529,'Player Data'!$A1:$AE734,22,FALSE)</f>
        <v>0.350384952893372</v>
      </c>
      <c r="AI529" s="46"/>
      <c r="AJ529" s="48"/>
      <c r="AK529" s="48"/>
      <c r="AL529" s="48"/>
      <c r="AM529" s="48"/>
      <c r="AN529" s="48"/>
      <c r="AO529" s="48"/>
      <c r="AP529" s="48"/>
      <c r="AQ529" s="51"/>
      <c r="AR529" s="52"/>
      <c r="AS529" s="46"/>
    </row>
    <row r="530" ht="21.25" customHeight="1">
      <c r="A530" s="53">
        <f>RANK(K530,K2:K730)</f>
        <v>655</v>
      </c>
      <c r="B530" t="s" s="8">
        <v>682</v>
      </c>
      <c r="C530" t="s" s="39">
        <v>106</v>
      </c>
      <c r="D530" t="s" s="40">
        <f>VLOOKUP(B530,'Player Data'!A1:D734,4,FALSE)</f>
        <v>129</v>
      </c>
      <c r="E530" s="56">
        <f>VLOOKUP(B530,'D'!A1:C228,3,FALSE)</f>
        <v>218</v>
      </c>
      <c r="F530" t="s" s="42">
        <f>VLOOKUP(B530,'Player Data'!A1:B734,2,FALSE)</f>
        <v>258</v>
      </c>
      <c r="G530" s="9">
        <f>VLOOKUP(B530,'Player Data'!A1:D734,3,FALSE)</f>
        <v>33</v>
      </c>
      <c r="H530" s="43">
        <f>_xlfn.IFERROR(VLOOKUP(B530,'ADP'!A1:G731,7,FALSE)/1000000,VLOOKUP(B530,'ADP'!A1:G731,7,FALSE))</f>
        <v>0.762</v>
      </c>
      <c r="I530" s="44">
        <f>IF('Settings'!$E$15="POINTS",((R530*Q530)*'Settings'!$B$12)+(S530*'Settings'!$B$2)+(T530*'Settings'!$B$3)+(U530*'Settings'!$B$4)+(V530*'Settings'!$B$5)+(X530*'Settings'!$B$9)+(AA530*'Settings'!$B$6)+(W530*'Settings'!$B$8)+(AB530*'Settings'!$B$7)+(AC530*'Settings'!$B$14)+(AD530*'Settings'!$B$15)+(AE530*'Settings'!$B$16)+(AF530*'Settings'!$B$17)+(AG530*'Settings'!$B$18)+(U530*'Settings'!$B$13)+(Y530*'Settings'!$B$10)+(Z530*'Settings'!$B$11),VLOOKUP(B530,'Standard Deviations'!A1:C731,3,FALSE))</f>
        <v>106.100777060494</v>
      </c>
      <c r="J530" s="45">
        <f>IF(D530="G",I530/AJ530,I530/Q530)</f>
        <v>1.63319906196404</v>
      </c>
      <c r="K530" s="44">
        <f>VLOOKUP(B530,'D'!A1:F228,6,FALSE)</f>
        <v>-234.634361586029</v>
      </c>
      <c r="L530" s="44">
        <f>_xlfn.IFERROR(K530/H530,"N/A")</f>
        <v>-307.919109692951</v>
      </c>
      <c r="M530" t="s" s="61">
        <f>IF('Settings'!$E$9="YAHOO",VLOOKUP(B530,'ADP'!A1:E731,2,FALSE),IF('Settings'!$E$9="ESPN",VLOOKUP(B530,'ADP'!A1:E731,3,FALSE),IF('Settings'!$E$9="FANTRAX",VLOOKUP(B530,'ADP'!A1:E731,4,FALSE),VLOOKUP(B530,'ADP'!A1:E731,5,FALSE))))</f>
        <v>329</v>
      </c>
      <c r="N530" t="s" s="61">
        <f>_xlfn.IFERROR(M530-A530,"N/A")</f>
        <v>158</v>
      </c>
      <c r="O530" s="46"/>
      <c r="P530" t="s" s="47">
        <f>IF('Settings'!$E$27="ON",VLOOKUP(B530,'ADP'!A1:H731,8,FALSE)," ")</f>
        <v>109</v>
      </c>
      <c r="Q530" s="48">
        <f>IF('Settings'!$E$12="YES",VLOOKUP(B530,'Player Data'!A1:E734,5,FALSE),82)</f>
        <v>64.965</v>
      </c>
      <c r="R530" s="46">
        <f>VLOOKUP(B530,'Player Data'!$A1:$AE734,6,FALSE)</f>
        <v>12.7621440400715</v>
      </c>
      <c r="S530" s="48">
        <f>VLOOKUP(B530,'Player Data'!$A1:$AE734,7,FALSE)*$Q530*_xlfn.IFERROR((VLOOKUP(P530,'Settings'!$E$28:$F$33,2,FALSE)+1),1)</f>
        <v>1.98090796143541</v>
      </c>
      <c r="T530" s="48">
        <f>VLOOKUP(B530,'Player Data'!$A1:$AE734,8,FALSE)*$Q530*_xlfn.IFERROR((VLOOKUP(P530,'Settings'!$E$28:$F$33,2,FALSE)+1),1)</f>
        <v>9.5792174384746</v>
      </c>
      <c r="U530" s="48">
        <f>SUM(S530:T530)</f>
        <v>11.560125399910</v>
      </c>
      <c r="V530" s="48">
        <f>VLOOKUP(B530,'Player Data'!$A1:$AE734,10,FALSE)*$Q530*_xlfn.IFERROR(((VLOOKUP(P530,'Settings'!$E$28:$F$33,2,FALSE)/2)+1),1)</f>
        <v>49.8718859822835</v>
      </c>
      <c r="W530" s="48">
        <f>VLOOKUP(B530,'Player Data'!$A1:$AE734,11,FALSE)*$Q530*_xlfn.IFERROR((VLOOKUP(P530,'Settings'!$E$28:$F$33,2,FALSE)+1),1)</f>
        <v>0.0205135159822173</v>
      </c>
      <c r="X530" s="48">
        <f>VLOOKUP(B530,'Player Data'!$A1:$AE734,12,FALSE)*$Q530*_xlfn.IFERROR((VLOOKUP(P530,'Settings'!$E$28:$F$33,2,FALSE)+1),1)</f>
        <v>0.968476351022157</v>
      </c>
      <c r="Y530" s="48">
        <f>VLOOKUP(B530,'Player Data'!$A1:$AE734,13,FALSE)*$Q530</f>
        <v>0.00392359572928999</v>
      </c>
      <c r="Z530" s="48">
        <f>VLOOKUP(B530,'Player Data'!$A1:$AE734,14,FALSE)*$Q530</f>
        <v>0.0167261949015699</v>
      </c>
      <c r="AA530" s="48">
        <f>VLOOKUP(B530,'Player Data'!$A1:$AE734,15,FALSE)*$Q530</f>
        <v>60.5771565383979</v>
      </c>
      <c r="AB530" s="48">
        <f>VLOOKUP(B530,'Player Data'!$A1:$AE734,16,FALSE)*$Q530</f>
        <v>52.7642610738697</v>
      </c>
      <c r="AC530" s="48">
        <f>VLOOKUP(B530,'Player Data'!$A1:$AE734,17,FALSE)*$Q530*_xlfn.IFERROR((VLOOKUP(P530,'Settings'!$E$28:$F$33,2,FALSE)+1),1)</f>
        <v>-6.69720495189924</v>
      </c>
      <c r="AD530" s="48">
        <f>VLOOKUP(B530,'Player Data'!$A1:$AE734,18,FALSE)*$Q530</f>
        <v>39.5423924728419</v>
      </c>
      <c r="AE530" s="48">
        <f>VLOOKUP(B530,'Player Data'!$A1:$AE734,19,FALSE)*$Q530*_xlfn.IFERROR((VLOOKUP(P530,'Settings'!$E$28:$F$33,2,FALSE)+1),1)</f>
        <v>0.202928400364443</v>
      </c>
      <c r="AF530" s="48">
        <f>VLOOKUP(B530,'Player Data'!$A1:$AE734,20,FALSE)*$Q530</f>
        <v>0</v>
      </c>
      <c r="AG530" s="48">
        <f>VLOOKUP(B530,'Player Data'!$A1:$AE734,21,FALSE)*$Q530</f>
        <v>0</v>
      </c>
      <c r="AH530" s="49">
        <f>VLOOKUP(B530,'Player Data'!$A1:$AE734,22,FALSE)</f>
        <v>0</v>
      </c>
      <c r="AI530" s="46"/>
      <c r="AJ530" s="50"/>
      <c r="AK530" s="48"/>
      <c r="AL530" s="48"/>
      <c r="AM530" s="48"/>
      <c r="AN530" s="48"/>
      <c r="AO530" s="48"/>
      <c r="AP530" s="48"/>
      <c r="AQ530" s="51"/>
      <c r="AR530" s="52"/>
      <c r="AS530" s="46"/>
    </row>
    <row r="531" ht="21.25" customHeight="1">
      <c r="A531" s="53">
        <f>RANK(K531,K2:K730)</f>
        <v>455</v>
      </c>
      <c r="B531" t="s" s="8">
        <v>683</v>
      </c>
      <c r="C531" t="s" s="39">
        <v>106</v>
      </c>
      <c r="D531" t="s" s="40">
        <f>VLOOKUP(B531,'Player Data'!A1:D734,4,FALSE)</f>
        <v>107</v>
      </c>
      <c r="E531" s="41">
        <f>VLOOKUP(B531,'C'!A1:C218,3,FALSE)</f>
        <v>116</v>
      </c>
      <c r="F531" t="s" s="42">
        <f>VLOOKUP(B531,'Player Data'!A1:B734,2,FALSE)</f>
        <v>131</v>
      </c>
      <c r="G531" s="9">
        <f>VLOOKUP(B531,'Player Data'!A1:D734,3,FALSE)</f>
        <v>26</v>
      </c>
      <c r="H531" s="43">
        <f>_xlfn.IFERROR(VLOOKUP(B531,'ADP'!A1:G731,7,FALSE)/1000000,VLOOKUP(B531,'ADP'!A1:G731,7,FALSE))</f>
        <v>1.7</v>
      </c>
      <c r="I531" s="44">
        <f>IF('Settings'!$E$15="POINTS",((R531*Q531)*'Settings'!$B$12)+(S531*'Settings'!$B$2)+(T531*'Settings'!$B$3)+(U531*'Settings'!$B$4)+(V531*'Settings'!$B$5)+(X531*'Settings'!$B$9)+(AA531*'Settings'!$B$6)+(W531*'Settings'!$B$8)+(AB531*'Settings'!$B$7)+(AC531*'Settings'!$B$14)+(AD531*'Settings'!$B$15)+(AE531*'Settings'!$B$16)+(AF531*'Settings'!$B$17)+(AG531*'Settings'!$B$18)+(Y531*'Settings'!$B$10)+(Z531*'Settings'!$B$11),VLOOKUP(B531,'Standard Deviations'!A1:C731,3,FALSE))</f>
        <v>227.367888768021</v>
      </c>
      <c r="J531" s="45">
        <f>IF(D531="G",I531/AJ531,I531/Q531)</f>
        <v>2.86874980758952</v>
      </c>
      <c r="K531" s="44">
        <f>IF('Settings'!$E$18="C/LW/RW",VLOOKUP(B531,'C'!A1:F218,6,FALSE),VLOOKUP(B531,'F'!A1:F432,6,FALSE))</f>
        <v>-168.406312867994</v>
      </c>
      <c r="L531" s="44">
        <f>_xlfn.IFERROR(K531/H531,"N/A")</f>
        <v>-99.0625369811729</v>
      </c>
      <c r="M531" t="s" s="61">
        <f>IF('Settings'!$E$9="YAHOO",VLOOKUP(B531,'ADP'!A1:E731,2,FALSE),IF('Settings'!$E$9="ESPN",VLOOKUP(B531,'ADP'!A1:E731,3,FALSE),IF('Settings'!$E$9="FANTRAX",VLOOKUP(B531,'ADP'!A1:E731,4,FALSE),VLOOKUP(B531,'ADP'!A1:E731,5,FALSE))))</f>
        <v>329</v>
      </c>
      <c r="N531" t="s" s="61">
        <f>_xlfn.IFERROR(M531-A531,"N/A")</f>
        <v>158</v>
      </c>
      <c r="O531" s="46"/>
      <c r="P531" t="s" s="47">
        <f>IF('Settings'!$E$27="ON",VLOOKUP(B531,'ADP'!A1:H731,8,FALSE)," ")</f>
        <v>109</v>
      </c>
      <c r="Q531" s="48">
        <f>IF('Settings'!$E$12="YES",VLOOKUP(B531,'Player Data'!A1:E734,5,FALSE),82)</f>
        <v>79.2567857142857</v>
      </c>
      <c r="R531" s="46">
        <f>VLOOKUP(B531,'Player Data'!$A1:$AE734,6,FALSE)</f>
        <v>14.7728215239943</v>
      </c>
      <c r="S531" s="48">
        <f>VLOOKUP(B531,'Player Data'!$A1:$AE734,7,FALSE)*$Q531*_xlfn.IFERROR((VLOOKUP(P531,'Settings'!$E$28:$F$33,2,FALSE)+1),1)</f>
        <v>14.0492101857717</v>
      </c>
      <c r="T531" s="48">
        <f>VLOOKUP(B531,'Player Data'!$A1:$AE734,8,FALSE)*$Q531*_xlfn.IFERROR((VLOOKUP(P531,'Settings'!$E$28:$F$33,2,FALSE)+1),1)</f>
        <v>11.6586617132244</v>
      </c>
      <c r="U531" s="48">
        <f>SUM(S531:T531)</f>
        <v>25.7078718989961</v>
      </c>
      <c r="V531" s="48">
        <f>VLOOKUP(B531,'Player Data'!$A1:$AE734,10,FALSE)*$Q531*_xlfn.IFERROR(((VLOOKUP(P531,'Settings'!$E$28:$F$33,2,FALSE)/2)+1),1)</f>
        <v>137.345326680265</v>
      </c>
      <c r="W531" s="48">
        <f>VLOOKUP(B531,'Player Data'!$A1:$AE734,11,FALSE)*$Q531*_xlfn.IFERROR((VLOOKUP(P531,'Settings'!$E$28:$F$33,2,FALSE)+1),1)</f>
        <v>0.18731172524809</v>
      </c>
      <c r="X531" s="48">
        <f>VLOOKUP(B531,'Player Data'!$A1:$AE734,12,FALSE)*$Q531*_xlfn.IFERROR((VLOOKUP(P531,'Settings'!$E$28:$F$33,2,FALSE)+1),1)</f>
        <v>0.869710191880779</v>
      </c>
      <c r="Y531" s="48">
        <f>VLOOKUP(B531,'Player Data'!$A1:$AE734,13,FALSE)*$Q531</f>
        <v>1.3056237643156</v>
      </c>
      <c r="Z531" s="48">
        <f>VLOOKUP(B531,'Player Data'!$A1:$AE734,14,FALSE)*$Q531</f>
        <v>1.42956007971287</v>
      </c>
      <c r="AA531" s="48">
        <f>VLOOKUP(B531,'Player Data'!$A1:$AE734,15,FALSE)*$Q531</f>
        <v>33.0689150339322</v>
      </c>
      <c r="AB531" s="48">
        <f>VLOOKUP(B531,'Player Data'!$A1:$AE734,16,FALSE)*$Q531</f>
        <v>164.416867103404</v>
      </c>
      <c r="AC531" s="48">
        <f>VLOOKUP(B531,'Player Data'!$A1:$AE734,17,FALSE)*$Q531*_xlfn.IFERROR((VLOOKUP(P531,'Settings'!$E$28:$F$33,2,FALSE)+1),1)</f>
        <v>-2.07443034136549</v>
      </c>
      <c r="AD531" s="48">
        <f>VLOOKUP(B531,'Player Data'!$A1:$AE734,18,FALSE)*$Q531</f>
        <v>39.5672692295643</v>
      </c>
      <c r="AE531" s="48">
        <f>VLOOKUP(B531,'Player Data'!$A1:$AE734,19,FALSE)*$Q531*_xlfn.IFERROR((VLOOKUP(P531,'Settings'!$E$28:$F$33,2,FALSE)+1),1)</f>
        <v>2.05155213125203</v>
      </c>
      <c r="AF531" s="48">
        <f>VLOOKUP(B531,'Player Data'!$A1:$AE734,20,FALSE)*$Q531</f>
        <v>12.8367769391481</v>
      </c>
      <c r="AG531" s="48">
        <f>VLOOKUP(B531,'Player Data'!$A1:$AE734,21,FALSE)*$Q531</f>
        <v>22.4657772531703</v>
      </c>
      <c r="AH531" s="49">
        <f>VLOOKUP(B531,'Player Data'!$A1:$AE734,22,FALSE)</f>
        <v>0.363621761451508</v>
      </c>
      <c r="AI531" s="46"/>
      <c r="AJ531" s="48"/>
      <c r="AK531" s="48"/>
      <c r="AL531" s="48"/>
      <c r="AM531" s="48"/>
      <c r="AN531" s="48"/>
      <c r="AO531" s="48"/>
      <c r="AP531" s="48"/>
      <c r="AQ531" s="51"/>
      <c r="AR531" s="52"/>
      <c r="AS531" s="46"/>
    </row>
    <row r="532" ht="21.25" customHeight="1">
      <c r="A532" s="53">
        <f>RANK(K532,K2:K730)</f>
        <v>575</v>
      </c>
      <c r="B532" t="s" s="8">
        <v>684</v>
      </c>
      <c r="C532" t="s" s="39">
        <v>106</v>
      </c>
      <c r="D532" t="s" s="40">
        <f>VLOOKUP(B532,'Player Data'!A1:D734,4,FALSE)</f>
        <v>129</v>
      </c>
      <c r="E532" s="56">
        <f>VLOOKUP(B532,'D'!A1:C228,3,FALSE)</f>
        <v>195</v>
      </c>
      <c r="F532" t="s" s="42">
        <f>VLOOKUP(B532,'Player Data'!A1:B734,2,FALSE)</f>
        <v>170</v>
      </c>
      <c r="G532" s="9">
        <f>VLOOKUP(B532,'Player Data'!A1:D734,3,FALSE)</f>
        <v>33</v>
      </c>
      <c r="H532" s="43">
        <f>_xlfn.IFERROR(VLOOKUP(B532,'ADP'!A1:G731,7,FALSE)/1000000,VLOOKUP(B532,'ADP'!A1:G731,7,FALSE))</f>
        <v>0.8</v>
      </c>
      <c r="I532" s="44">
        <f>IF('Settings'!$E$15="POINTS",((R532*Q532)*'Settings'!$B$12)+(S532*'Settings'!$B$2)+(T532*'Settings'!$B$3)+(U532*'Settings'!$B$4)+(V532*'Settings'!$B$5)+(X532*'Settings'!$B$9)+(AA532*'Settings'!$B$6)+(W532*'Settings'!$B$8)+(AB532*'Settings'!$B$7)+(AC532*'Settings'!$B$14)+(AD532*'Settings'!$B$15)+(AE532*'Settings'!$B$16)+(AF532*'Settings'!$B$17)+(AG532*'Settings'!$B$18)+(U532*'Settings'!$B$13)+(Y532*'Settings'!$B$10)+(Z532*'Settings'!$B$11),VLOOKUP(B532,'Standard Deviations'!A1:C731,3,FALSE))</f>
        <v>130.829732983107</v>
      </c>
      <c r="J532" s="45">
        <f>IF(D532="G",I532/AJ532,I532/Q532)</f>
        <v>1.8809053874414</v>
      </c>
      <c r="K532" s="44">
        <f>VLOOKUP(B532,'D'!A1:F228,6,FALSE)</f>
        <v>-209.905405663416</v>
      </c>
      <c r="L532" s="44">
        <f>_xlfn.IFERROR(K532/H532,"N/A")</f>
        <v>-262.381757079270</v>
      </c>
      <c r="M532" t="s" s="61">
        <f>IF('Settings'!$E$9="YAHOO",VLOOKUP(B532,'ADP'!A1:E731,2,FALSE),IF('Settings'!$E$9="ESPN",VLOOKUP(B532,'ADP'!A1:E731,3,FALSE),IF('Settings'!$E$9="FANTRAX",VLOOKUP(B532,'ADP'!A1:E731,4,FALSE),VLOOKUP(B532,'ADP'!A1:E731,5,FALSE))))</f>
        <v>329</v>
      </c>
      <c r="N532" t="s" s="61">
        <f>_xlfn.IFERROR(M532-A532,"N/A")</f>
        <v>158</v>
      </c>
      <c r="O532" s="46"/>
      <c r="P532" t="s" s="47">
        <f>IF('Settings'!$E$27="ON",VLOOKUP(B532,'ADP'!A1:H731,8,FALSE)," ")</f>
        <v>109</v>
      </c>
      <c r="Q532" s="48">
        <f>IF('Settings'!$E$12="YES",VLOOKUP(B532,'Player Data'!A1:E734,5,FALSE),82)</f>
        <v>69.5567857142857</v>
      </c>
      <c r="R532" s="46">
        <f>VLOOKUP(B532,'Player Data'!$A1:$AE734,6,FALSE)</f>
        <v>14.8011747938944</v>
      </c>
      <c r="S532" s="48">
        <f>VLOOKUP(B532,'Player Data'!$A1:$AE734,7,FALSE)*$Q532*_xlfn.IFERROR((VLOOKUP(P532,'Settings'!$E$28:$F$33,2,FALSE)+1),1)</f>
        <v>2.07060557095572</v>
      </c>
      <c r="T532" s="48">
        <f>VLOOKUP(B532,'Player Data'!$A1:$AE734,8,FALSE)*$Q532*_xlfn.IFERROR((VLOOKUP(P532,'Settings'!$E$28:$F$33,2,FALSE)+1),1)</f>
        <v>6.80549534932591</v>
      </c>
      <c r="U532" s="48">
        <f>SUM(S532:T532)</f>
        <v>8.87610092028163</v>
      </c>
      <c r="V532" s="48">
        <f>VLOOKUP(B532,'Player Data'!$A1:$AE734,10,FALSE)*$Q532*_xlfn.IFERROR(((VLOOKUP(P532,'Settings'!$E$28:$F$33,2,FALSE)/2)+1),1)</f>
        <v>61.6450296614093</v>
      </c>
      <c r="W532" s="48">
        <f>VLOOKUP(B532,'Player Data'!$A1:$AE734,11,FALSE)*$Q532*_xlfn.IFERROR((VLOOKUP(P532,'Settings'!$E$28:$F$33,2,FALSE)+1),1)</f>
        <v>0.000658228520213355</v>
      </c>
      <c r="X532" s="48">
        <f>VLOOKUP(B532,'Player Data'!$A1:$AE734,12,FALSE)*$Q532*_xlfn.IFERROR((VLOOKUP(P532,'Settings'!$E$28:$F$33,2,FALSE)+1),1)</f>
        <v>0.00471526093478116</v>
      </c>
      <c r="Y532" s="48">
        <f>VLOOKUP(B532,'Player Data'!$A1:$AE734,13,FALSE)*$Q532</f>
        <v>0.0257309459149191</v>
      </c>
      <c r="Z532" s="48">
        <f>VLOOKUP(B532,'Player Data'!$A1:$AE734,14,FALSE)*$Q532</f>
        <v>0.143643264800268</v>
      </c>
      <c r="AA532" s="48">
        <f>VLOOKUP(B532,'Player Data'!$A1:$AE734,15,FALSE)*$Q532</f>
        <v>79.6070627798442</v>
      </c>
      <c r="AB532" s="48">
        <f>VLOOKUP(B532,'Player Data'!$A1:$AE734,16,FALSE)*$Q532</f>
        <v>120.728756462405</v>
      </c>
      <c r="AC532" s="48">
        <f>VLOOKUP(B532,'Player Data'!$A1:$AE734,17,FALSE)*$Q532*_xlfn.IFERROR((VLOOKUP(P532,'Settings'!$E$28:$F$33,2,FALSE)+1),1)</f>
        <v>1.61398151648215</v>
      </c>
      <c r="AD532" s="48">
        <f>VLOOKUP(B532,'Player Data'!$A1:$AE734,18,FALSE)*$Q532</f>
        <v>23.023207079071</v>
      </c>
      <c r="AE532" s="48">
        <f>VLOOKUP(B532,'Player Data'!$A1:$AE734,19,FALSE)*$Q532*_xlfn.IFERROR((VLOOKUP(P532,'Settings'!$E$28:$F$33,2,FALSE)+1),1)</f>
        <v>0.332373654762697</v>
      </c>
      <c r="AF532" s="48">
        <f>VLOOKUP(B532,'Player Data'!$A1:$AE734,20,FALSE)*$Q532</f>
        <v>0</v>
      </c>
      <c r="AG532" s="48">
        <f>VLOOKUP(B532,'Player Data'!$A1:$AE734,21,FALSE)*$Q532</f>
        <v>0</v>
      </c>
      <c r="AH532" s="49">
        <f>VLOOKUP(B532,'Player Data'!$A1:$AE734,22,FALSE)</f>
        <v>0</v>
      </c>
      <c r="AI532" s="46"/>
      <c r="AJ532" s="50"/>
      <c r="AK532" s="48"/>
      <c r="AL532" s="48"/>
      <c r="AM532" s="48"/>
      <c r="AN532" s="48"/>
      <c r="AO532" s="48"/>
      <c r="AP532" s="48"/>
      <c r="AQ532" s="51"/>
      <c r="AR532" s="52"/>
      <c r="AS532" s="46"/>
    </row>
    <row r="533" ht="21.25" customHeight="1">
      <c r="A533" s="53">
        <f>RANK(K533,K2:K730)</f>
        <v>573</v>
      </c>
      <c r="B533" t="s" s="8">
        <v>685</v>
      </c>
      <c r="C533" t="s" s="39">
        <v>106</v>
      </c>
      <c r="D533" t="s" s="40">
        <f>VLOOKUP(B533,'Player Data'!A1:D734,4,FALSE)</f>
        <v>121</v>
      </c>
      <c r="E533" s="55">
        <f>VLOOKUP(B533,'RW'!A1:F132,3,FALSE)</f>
        <v>108</v>
      </c>
      <c r="F533" t="s" s="42">
        <f>VLOOKUP(B533,'Player Data'!A1:B734,2,FALSE)</f>
        <v>225</v>
      </c>
      <c r="G533" s="9">
        <f>VLOOKUP(B533,'Player Data'!A1:D734,3,FALSE)</f>
        <v>38</v>
      </c>
      <c r="H533" s="43">
        <f>_xlfn.IFERROR(VLOOKUP(B533,'ADP'!A1:G731,7,FALSE)/1000000,VLOOKUP(B533,'ADP'!A1:G731,7,FALSE))</f>
        <v>4</v>
      </c>
      <c r="I533" s="44">
        <f>IF('Settings'!$E$15="POINTS",((R533*Q533)*'Settings'!$B$12)+(S533*'Settings'!$B$2)+(T533*'Settings'!$B$3)+(U533*'Settings'!$B$4)+(V533*'Settings'!$B$5)+(X533*'Settings'!$B$9)+(AA533*'Settings'!$B$6)+(W533*'Settings'!$B$8)+(AB533*'Settings'!$B$7)+(AC533*'Settings'!$B$14)+(AD533*'Settings'!$B$15)+(AE533*'Settings'!$B$16)+(AF533*'Settings'!$B$17)+(AG533*'Settings'!$B$18)+(Y533*'Settings'!$B$10)+(Z533*'Settings'!$B$11),VLOOKUP(B533,'Standard Deviations'!A1:C731,3,FALSE))</f>
        <v>172.547901429438</v>
      </c>
      <c r="J533" s="45">
        <f>IF(D533="G",I533/AJ533,I533/Q533)</f>
        <v>2.13476726892998</v>
      </c>
      <c r="K533" s="44">
        <f>IF('Settings'!$E$18="C/LW/RW",VLOOKUP(B533,'RW'!A1:F132,6,FALSE),VLOOKUP(B533,'F'!A1:F432,6,FALSE))</f>
        <v>-209.080662276918</v>
      </c>
      <c r="L533" s="44">
        <f>_xlfn.IFERROR(K533/H533,"N/A")</f>
        <v>-52.2701655692295</v>
      </c>
      <c r="M533" t="s" s="61">
        <f>IF('Settings'!$E$9="YAHOO",VLOOKUP(B533,'ADP'!A1:E731,2,FALSE),IF('Settings'!$E$9="ESPN",VLOOKUP(B533,'ADP'!A1:E731,3,FALSE),IF('Settings'!$E$9="FANTRAX",VLOOKUP(B533,'ADP'!A1:E731,4,FALSE),VLOOKUP(B533,'ADP'!A1:E731,5,FALSE))))</f>
        <v>329</v>
      </c>
      <c r="N533" t="s" s="61">
        <f>_xlfn.IFERROR(M533-A533,"N/A")</f>
        <v>158</v>
      </c>
      <c r="O533" s="46"/>
      <c r="P533" t="s" s="47">
        <f>IF('Settings'!$E$27="ON",VLOOKUP(B533,'ADP'!A1:H731,8,FALSE)," ")</f>
        <v>109</v>
      </c>
      <c r="Q533" s="48">
        <f>IF('Settings'!$E$12="YES",VLOOKUP(B533,'Player Data'!A1:E734,5,FALSE),82)</f>
        <v>80.8275</v>
      </c>
      <c r="R533" s="46">
        <f>VLOOKUP(B533,'Player Data'!$A1:$AE734,6,FALSE)</f>
        <v>11.9615654222525</v>
      </c>
      <c r="S533" s="48">
        <f>VLOOKUP(B533,'Player Data'!$A1:$AE734,7,FALSE)*$Q533*_xlfn.IFERROR((VLOOKUP(P533,'Settings'!$E$28:$F$33,2,FALSE)+1),1)</f>
        <v>10.2511595913251</v>
      </c>
      <c r="T533" s="48">
        <f>VLOOKUP(B533,'Player Data'!$A1:$AE734,8,FALSE)*$Q533*_xlfn.IFERROR((VLOOKUP(P533,'Settings'!$E$28:$F$33,2,FALSE)+1),1)</f>
        <v>12.6691575204942</v>
      </c>
      <c r="U533" s="48">
        <f>SUM(S533:T533)</f>
        <v>22.9203171118193</v>
      </c>
      <c r="V533" s="48">
        <f>VLOOKUP(B533,'Player Data'!$A1:$AE734,10,FALSE)*$Q533*_xlfn.IFERROR(((VLOOKUP(P533,'Settings'!$E$28:$F$33,2,FALSE)/2)+1),1)</f>
        <v>113.717477178950</v>
      </c>
      <c r="W533" s="48">
        <f>VLOOKUP(B533,'Player Data'!$A1:$AE734,11,FALSE)*$Q533*_xlfn.IFERROR((VLOOKUP(P533,'Settings'!$E$28:$F$33,2,FALSE)+1),1)</f>
        <v>2.17108875200659</v>
      </c>
      <c r="X533" s="48">
        <f>VLOOKUP(B533,'Player Data'!$A1:$AE734,12,FALSE)*$Q533*_xlfn.IFERROR((VLOOKUP(P533,'Settings'!$E$28:$F$33,2,FALSE)+1),1)</f>
        <v>4.53573166825607</v>
      </c>
      <c r="Y533" s="48">
        <f>VLOOKUP(B533,'Player Data'!$A1:$AE734,13,FALSE)*$Q533</f>
        <v>0.00137108108624201</v>
      </c>
      <c r="Z533" s="48">
        <f>VLOOKUP(B533,'Player Data'!$A1:$AE734,14,FALSE)*$Q533</f>
        <v>0.00253458938744946</v>
      </c>
      <c r="AA533" s="48">
        <f>VLOOKUP(B533,'Player Data'!$A1:$AE734,15,FALSE)*$Q533</f>
        <v>28.0755150829561</v>
      </c>
      <c r="AB533" s="48">
        <f>VLOOKUP(B533,'Player Data'!$A1:$AE734,16,FALSE)*$Q533</f>
        <v>70.0345815890599</v>
      </c>
      <c r="AC533" s="48">
        <f>VLOOKUP(B533,'Player Data'!$A1:$AE734,17,FALSE)*$Q533*_xlfn.IFERROR((VLOOKUP(P533,'Settings'!$E$28:$F$33,2,FALSE)+1),1)</f>
        <v>-5.67760239736571</v>
      </c>
      <c r="AD533" s="48">
        <f>VLOOKUP(B533,'Player Data'!$A1:$AE734,18,FALSE)*$Q533</f>
        <v>52.6988415361811</v>
      </c>
      <c r="AE533" s="48">
        <f>VLOOKUP(B533,'Player Data'!$A1:$AE734,19,FALSE)*$Q533*_xlfn.IFERROR((VLOOKUP(P533,'Settings'!$E$28:$F$33,2,FALSE)+1),1)</f>
        <v>1.20124679021899</v>
      </c>
      <c r="AF533" s="48">
        <f>VLOOKUP(B533,'Player Data'!$A1:$AE734,20,FALSE)*$Q533</f>
        <v>0.311719695463374</v>
      </c>
      <c r="AG533" s="48">
        <f>VLOOKUP(B533,'Player Data'!$A1:$AE734,21,FALSE)*$Q533</f>
        <v>1.21567113444584</v>
      </c>
      <c r="AH533" s="49">
        <f>VLOOKUP(B533,'Player Data'!$A1:$AE734,22,FALSE)</f>
        <v>0.204086399734311</v>
      </c>
      <c r="AI533" s="46"/>
      <c r="AJ533" s="50"/>
      <c r="AK533" s="48"/>
      <c r="AL533" s="48"/>
      <c r="AM533" s="48"/>
      <c r="AN533" s="48"/>
      <c r="AO533" s="48"/>
      <c r="AP533" s="48"/>
      <c r="AQ533" s="51"/>
      <c r="AR533" s="52"/>
      <c r="AS533" s="46"/>
    </row>
    <row r="534" ht="21.25" customHeight="1">
      <c r="A534" s="53">
        <f>RANK(K534,K2:K730)</f>
        <v>610</v>
      </c>
      <c r="B534" t="s" s="8">
        <v>686</v>
      </c>
      <c r="C534" t="s" s="39">
        <v>106</v>
      </c>
      <c r="D534" t="s" s="40">
        <f>VLOOKUP(B534,'Player Data'!A1:D734,4,FALSE)</f>
        <v>129</v>
      </c>
      <c r="E534" s="56">
        <f>VLOOKUP(B534,'D'!A1:C228,3,FALSE)</f>
        <v>206</v>
      </c>
      <c r="F534" t="s" s="42">
        <f>VLOOKUP(B534,'Player Data'!A1:B734,2,FALSE)</f>
        <v>156</v>
      </c>
      <c r="G534" s="9">
        <f>VLOOKUP(B534,'Player Data'!A1:D734,3,FALSE)</f>
        <v>35</v>
      </c>
      <c r="H534" s="43">
        <f>_xlfn.IFERROR(VLOOKUP(B534,'ADP'!A1:G731,7,FALSE)/1000000,VLOOKUP(B534,'ADP'!A1:G731,7,FALSE))</f>
        <v>0.775</v>
      </c>
      <c r="I534" s="44">
        <f>IF('Settings'!$E$15="POINTS",((R534*Q534)*'Settings'!$B$12)+(S534*'Settings'!$B$2)+(T534*'Settings'!$B$3)+(U534*'Settings'!$B$4)+(V534*'Settings'!$B$5)+(X534*'Settings'!$B$9)+(AA534*'Settings'!$B$6)+(W534*'Settings'!$B$8)+(AB534*'Settings'!$B$7)+(AC534*'Settings'!$B$14)+(AD534*'Settings'!$B$15)+(AE534*'Settings'!$B$16)+(AF534*'Settings'!$B$17)+(AG534*'Settings'!$B$18)+(U534*'Settings'!$B$13)+(Y534*'Settings'!$B$10)+(Z534*'Settings'!$B$11),VLOOKUP(B534,'Standard Deviations'!A1:C731,3,FALSE))</f>
        <v>121.188926004857</v>
      </c>
      <c r="J534" s="45">
        <f>IF(D534="G",I534/AJ534,I534/Q534)</f>
        <v>1.87368992508973</v>
      </c>
      <c r="K534" s="44">
        <f>VLOOKUP(B534,'D'!A1:F228,6,FALSE)</f>
        <v>-219.546212641666</v>
      </c>
      <c r="L534" s="44">
        <f>_xlfn.IFERROR(K534/H534,"N/A")</f>
        <v>-283.285435666666</v>
      </c>
      <c r="M534" t="s" s="61">
        <f>IF('Settings'!$E$9="YAHOO",VLOOKUP(B534,'ADP'!A1:E731,2,FALSE),IF('Settings'!$E$9="ESPN",VLOOKUP(B534,'ADP'!A1:E731,3,FALSE),IF('Settings'!$E$9="FANTRAX",VLOOKUP(B534,'ADP'!A1:E731,4,FALSE),VLOOKUP(B534,'ADP'!A1:E731,5,FALSE))))</f>
        <v>329</v>
      </c>
      <c r="N534" t="s" s="61">
        <f>_xlfn.IFERROR(M534-A534,"N/A")</f>
        <v>158</v>
      </c>
      <c r="O534" s="46"/>
      <c r="P534" t="s" s="47">
        <f>IF('Settings'!$E$27="ON",VLOOKUP(B534,'ADP'!A1:H731,8,FALSE)," ")</f>
        <v>109</v>
      </c>
      <c r="Q534" s="48">
        <f>IF('Settings'!$E$12="YES",VLOOKUP(B534,'Player Data'!A1:E734,5,FALSE),82)</f>
        <v>64.6792857142857</v>
      </c>
      <c r="R534" s="46">
        <f>VLOOKUP(B534,'Player Data'!$A1:$AE734,6,FALSE)</f>
        <v>12.3715106346037</v>
      </c>
      <c r="S534" s="48">
        <f>VLOOKUP(B534,'Player Data'!$A1:$AE734,7,FALSE)*$Q534*_xlfn.IFERROR((VLOOKUP(P534,'Settings'!$E$28:$F$33,2,FALSE)+1),1)</f>
        <v>1.64101772058572</v>
      </c>
      <c r="T534" s="48">
        <f>VLOOKUP(B534,'Player Data'!$A1:$AE734,8,FALSE)*$Q534*_xlfn.IFERROR((VLOOKUP(P534,'Settings'!$E$28:$F$33,2,FALSE)+1),1)</f>
        <v>5.01923027256683</v>
      </c>
      <c r="U534" s="48">
        <f>SUM(S534:T534)</f>
        <v>6.66024799315255</v>
      </c>
      <c r="V534" s="48">
        <f>VLOOKUP(B534,'Player Data'!$A1:$AE734,10,FALSE)*$Q534*_xlfn.IFERROR(((VLOOKUP(P534,'Settings'!$E$28:$F$33,2,FALSE)/2)+1),1)</f>
        <v>77.11825652304729</v>
      </c>
      <c r="W534" s="48">
        <f>VLOOKUP(B534,'Player Data'!$A1:$AE734,11,FALSE)*$Q534*_xlfn.IFERROR((VLOOKUP(P534,'Settings'!$E$28:$F$33,2,FALSE)+1),1)</f>
        <v>0.00151119248176449</v>
      </c>
      <c r="X534" s="48">
        <f>VLOOKUP(B534,'Player Data'!$A1:$AE734,12,FALSE)*$Q534*_xlfn.IFERROR((VLOOKUP(P534,'Settings'!$E$28:$F$33,2,FALSE)+1),1)</f>
        <v>0.0108880612738792</v>
      </c>
      <c r="Y534" s="48">
        <f>VLOOKUP(B534,'Player Data'!$A1:$AE734,13,FALSE)*$Q534</f>
        <v>0.00594598456342883</v>
      </c>
      <c r="Z534" s="48">
        <f>VLOOKUP(B534,'Player Data'!$A1:$AE734,14,FALSE)*$Q534</f>
        <v>0.0234146991735878</v>
      </c>
      <c r="AA534" s="48">
        <f>VLOOKUP(B534,'Player Data'!$A1:$AE734,15,FALSE)*$Q534</f>
        <v>67.4522717145221</v>
      </c>
      <c r="AB534" s="48">
        <f>VLOOKUP(B534,'Player Data'!$A1:$AE734,16,FALSE)*$Q534</f>
        <v>105.658247709555</v>
      </c>
      <c r="AC534" s="48">
        <f>VLOOKUP(B534,'Player Data'!$A1:$AE734,17,FALSE)*$Q534*_xlfn.IFERROR((VLOOKUP(P534,'Settings'!$E$28:$F$33,2,FALSE)+1),1)</f>
        <v>-0.564456406151016</v>
      </c>
      <c r="AD534" s="48">
        <f>VLOOKUP(B534,'Player Data'!$A1:$AE734,18,FALSE)*$Q534</f>
        <v>30.2000896853815</v>
      </c>
      <c r="AE534" s="48">
        <f>VLOOKUP(B534,'Player Data'!$A1:$AE734,19,FALSE)*$Q534*_xlfn.IFERROR((VLOOKUP(P534,'Settings'!$E$28:$F$33,2,FALSE)+1),1)</f>
        <v>0.232301892453393</v>
      </c>
      <c r="AF534" s="48">
        <f>VLOOKUP(B534,'Player Data'!$A1:$AE734,20,FALSE)*$Q534</f>
        <v>0</v>
      </c>
      <c r="AG534" s="48">
        <f>VLOOKUP(B534,'Player Data'!$A1:$AE734,21,FALSE)*$Q534</f>
        <v>0</v>
      </c>
      <c r="AH534" s="49">
        <f>VLOOKUP(B534,'Player Data'!$A1:$AE734,22,FALSE)</f>
        <v>0</v>
      </c>
      <c r="AI534" s="46"/>
      <c r="AJ534" s="50"/>
      <c r="AK534" s="48"/>
      <c r="AL534" s="48"/>
      <c r="AM534" s="48"/>
      <c r="AN534" s="48"/>
      <c r="AO534" s="48"/>
      <c r="AP534" s="48"/>
      <c r="AQ534" s="51"/>
      <c r="AR534" s="52"/>
      <c r="AS534" s="46"/>
    </row>
    <row r="535" ht="21.25" customHeight="1">
      <c r="A535" s="53">
        <f>RANK(K535,K2:K730)</f>
        <v>668</v>
      </c>
      <c r="B535" t="s" s="8">
        <v>687</v>
      </c>
      <c r="C535" t="s" s="39">
        <v>106</v>
      </c>
      <c r="D535" t="s" s="40">
        <f>VLOOKUP(B535,'Player Data'!A1:D734,4,FALSE)</f>
        <v>129</v>
      </c>
      <c r="E535" s="56">
        <f>VLOOKUP(B535,'D'!A1:C228,3,FALSE)</f>
        <v>221</v>
      </c>
      <c r="F535" t="s" s="42">
        <f>VLOOKUP(B535,'Player Data'!A1:B734,2,FALSE)</f>
        <v>113</v>
      </c>
      <c r="G535" s="9">
        <f>VLOOKUP(B535,'Player Data'!A1:D734,3,FALSE)</f>
        <v>34</v>
      </c>
      <c r="H535" s="43">
        <f>_xlfn.IFERROR(VLOOKUP(B535,'ADP'!A1:G731,7,FALSE)/1000000,VLOOKUP(B535,'ADP'!A1:G731,7,FALSE))</f>
        <v>0</v>
      </c>
      <c r="I535" s="44">
        <f>IF('Settings'!$E$15="POINTS",((R535*Q535)*'Settings'!$B$12)+(S535*'Settings'!$B$2)+(T535*'Settings'!$B$3)+(U535*'Settings'!$B$4)+(V535*'Settings'!$B$5)+(X535*'Settings'!$B$9)+(AA535*'Settings'!$B$6)+(W535*'Settings'!$B$8)+(AB535*'Settings'!$B$7)+(AC535*'Settings'!$B$14)+(AD535*'Settings'!$B$15)+(AE535*'Settings'!$B$16)+(AF535*'Settings'!$B$17)+(AG535*'Settings'!$B$18)+(U535*'Settings'!$B$13)+(Y535*'Settings'!$B$10)+(Z535*'Settings'!$B$11),VLOOKUP(B535,'Standard Deviations'!A1:C731,3,FALSE))</f>
        <v>97.47256073867131</v>
      </c>
      <c r="J535" s="45">
        <f>IF(D535="G",I535/AJ535,I535/Q535)</f>
        <v>1.50016308597464</v>
      </c>
      <c r="K535" s="44">
        <f>VLOOKUP(B535,'D'!A1:F228,6,FALSE)</f>
        <v>-243.262577907852</v>
      </c>
      <c r="L535" t="s" s="60">
        <f>_xlfn.IFERROR(K535/H535,"N/A")</f>
        <v>158</v>
      </c>
      <c r="M535" t="s" s="61">
        <f>IF('Settings'!$E$9="YAHOO",VLOOKUP(B535,'ADP'!A1:E731,2,FALSE),IF('Settings'!$E$9="ESPN",VLOOKUP(B535,'ADP'!A1:E731,3,FALSE),IF('Settings'!$E$9="FANTRAX",VLOOKUP(B535,'ADP'!A1:E731,4,FALSE),VLOOKUP(B535,'ADP'!A1:E731,5,FALSE))))</f>
        <v>329</v>
      </c>
      <c r="N535" t="s" s="61">
        <f>_xlfn.IFERROR(M535-A535,"N/A")</f>
        <v>158</v>
      </c>
      <c r="O535" s="46"/>
      <c r="P535" t="s" s="47">
        <f>IF('Settings'!$E$27="ON",VLOOKUP(B535,'ADP'!A1:H731,8,FALSE)," ")</f>
        <v>109</v>
      </c>
      <c r="Q535" s="48">
        <f>IF('Settings'!$E$12="YES",VLOOKUP(B535,'Player Data'!A1:E734,5,FALSE),82)</f>
        <v>64.9746428571429</v>
      </c>
      <c r="R535" s="46">
        <f>VLOOKUP(B535,'Player Data'!$A1:$AE734,6,FALSE)</f>
        <v>11.2119842054359</v>
      </c>
      <c r="S535" s="48">
        <f>VLOOKUP(B535,'Player Data'!$A1:$AE734,7,FALSE)*$Q535*_xlfn.IFERROR((VLOOKUP(P535,'Settings'!$E$28:$F$33,2,FALSE)+1),1)</f>
        <v>3.12458511819203</v>
      </c>
      <c r="T535" s="48">
        <f>VLOOKUP(B535,'Player Data'!$A1:$AE734,8,FALSE)*$Q535*_xlfn.IFERROR((VLOOKUP(P535,'Settings'!$E$28:$F$33,2,FALSE)+1),1)</f>
        <v>8.316955109019849</v>
      </c>
      <c r="U535" s="48">
        <f>SUM(S535:T535)</f>
        <v>11.4415402272119</v>
      </c>
      <c r="V535" s="48">
        <f>VLOOKUP(B535,'Player Data'!$A1:$AE734,10,FALSE)*$Q535*_xlfn.IFERROR(((VLOOKUP(P535,'Settings'!$E$28:$F$33,2,FALSE)/2)+1),1)</f>
        <v>59.5523569819303</v>
      </c>
      <c r="W535" s="48">
        <f>VLOOKUP(B535,'Player Data'!$A1:$AE734,11,FALSE)*$Q535*_xlfn.IFERROR((VLOOKUP(P535,'Settings'!$E$28:$F$33,2,FALSE)+1),1)</f>
        <v>0.00992812286535868</v>
      </c>
      <c r="X535" s="48">
        <f>VLOOKUP(B535,'Player Data'!$A1:$AE734,12,FALSE)*$Q535*_xlfn.IFERROR((VLOOKUP(P535,'Settings'!$E$28:$F$33,2,FALSE)+1),1)</f>
        <v>0.115035446599389</v>
      </c>
      <c r="Y535" s="48">
        <f>VLOOKUP(B535,'Player Data'!$A1:$AE734,13,FALSE)*$Q535</f>
        <v>0.00214253715327345</v>
      </c>
      <c r="Z535" s="48">
        <f>VLOOKUP(B535,'Player Data'!$A1:$AE734,14,FALSE)*$Q535</f>
        <v>0.00808550723636472</v>
      </c>
      <c r="AA535" s="48">
        <f>VLOOKUP(B535,'Player Data'!$A1:$AE734,15,FALSE)*$Q535</f>
        <v>36.6752843059898</v>
      </c>
      <c r="AB535" s="48">
        <f>VLOOKUP(B535,'Player Data'!$A1:$AE734,16,FALSE)*$Q535</f>
        <v>41.3242828852595</v>
      </c>
      <c r="AC535" s="48">
        <f>VLOOKUP(B535,'Player Data'!$A1:$AE734,17,FALSE)*$Q535*_xlfn.IFERROR((VLOOKUP(P535,'Settings'!$E$28:$F$33,2,FALSE)+1),1)</f>
        <v>3.0972477586586</v>
      </c>
      <c r="AD535" s="48">
        <f>VLOOKUP(B535,'Player Data'!$A1:$AE734,18,FALSE)*$Q535</f>
        <v>15.6863889422032</v>
      </c>
      <c r="AE535" s="48">
        <f>VLOOKUP(B535,'Player Data'!$A1:$AE734,19,FALSE)*$Q535*_xlfn.IFERROR((VLOOKUP(P535,'Settings'!$E$28:$F$33,2,FALSE)+1),1)</f>
        <v>0.494356443009204</v>
      </c>
      <c r="AF535" s="48">
        <f>VLOOKUP(B535,'Player Data'!$A1:$AE734,20,FALSE)*$Q535</f>
        <v>0</v>
      </c>
      <c r="AG535" s="48">
        <f>VLOOKUP(B535,'Player Data'!$A1:$AE734,21,FALSE)*$Q535</f>
        <v>0</v>
      </c>
      <c r="AH535" s="49">
        <f>VLOOKUP(B535,'Player Data'!$A1:$AE734,22,FALSE)</f>
        <v>0</v>
      </c>
      <c r="AI535" s="46"/>
      <c r="AJ535" s="50"/>
      <c r="AK535" s="48"/>
      <c r="AL535" s="48"/>
      <c r="AM535" s="48"/>
      <c r="AN535" s="48"/>
      <c r="AO535" s="48"/>
      <c r="AP535" s="48"/>
      <c r="AQ535" s="51"/>
      <c r="AR535" s="52"/>
      <c r="AS535" s="46"/>
    </row>
    <row r="536" ht="21.25" customHeight="1">
      <c r="A536" s="53">
        <f>RANK(K536,K2:K730)</f>
        <v>605</v>
      </c>
      <c r="B536" t="s" s="8">
        <v>688</v>
      </c>
      <c r="C536" t="s" s="39">
        <v>106</v>
      </c>
      <c r="D536" t="s" s="40">
        <f>VLOOKUP(B536,'Player Data'!A1:D734,4,FALSE)</f>
        <v>129</v>
      </c>
      <c r="E536" s="56">
        <f>VLOOKUP(B536,'D'!A1:C228,3,FALSE)</f>
        <v>203</v>
      </c>
      <c r="F536" t="s" s="42">
        <f>VLOOKUP(B536,'Player Data'!A1:B734,2,FALSE)</f>
        <v>127</v>
      </c>
      <c r="G536" s="9">
        <f>VLOOKUP(B536,'Player Data'!A1:D734,3,FALSE)</f>
        <v>34</v>
      </c>
      <c r="H536" s="43">
        <f>_xlfn.IFERROR(VLOOKUP(B536,'ADP'!A1:G731,7,FALSE)/1000000,VLOOKUP(B536,'ADP'!A1:G731,7,FALSE))</f>
        <v>1.1</v>
      </c>
      <c r="I536" s="44">
        <f>IF('Settings'!$E$15="POINTS",((R536*Q536)*'Settings'!$B$12)+(S536*'Settings'!$B$2)+(T536*'Settings'!$B$3)+(U536*'Settings'!$B$4)+(V536*'Settings'!$B$5)+(X536*'Settings'!$B$9)+(AA536*'Settings'!$B$6)+(W536*'Settings'!$B$8)+(AB536*'Settings'!$B$7)+(AC536*'Settings'!$B$14)+(AD536*'Settings'!$B$15)+(AE536*'Settings'!$B$16)+(AF536*'Settings'!$B$17)+(AG536*'Settings'!$B$18)+(U536*'Settings'!$B$13)+(Y536*'Settings'!$B$10)+(Z536*'Settings'!$B$11),VLOOKUP(B536,'Standard Deviations'!A1:C731,3,FALSE))</f>
        <v>122.211501654392</v>
      </c>
      <c r="J536" s="45">
        <f>IF(D536="G",I536/AJ536,I536/Q536)</f>
        <v>2.03685836090653</v>
      </c>
      <c r="K536" s="44">
        <f>VLOOKUP(B536,'D'!A1:F228,6,FALSE)</f>
        <v>-218.523636992131</v>
      </c>
      <c r="L536" s="44">
        <f>_xlfn.IFERROR(K536/H536,"N/A")</f>
        <v>-198.657851811028</v>
      </c>
      <c r="M536" t="s" s="61">
        <f>IF('Settings'!$E$9="YAHOO",VLOOKUP(B536,'ADP'!A1:E731,2,FALSE),IF('Settings'!$E$9="ESPN",VLOOKUP(B536,'ADP'!A1:E731,3,FALSE),IF('Settings'!$E$9="FANTRAX",VLOOKUP(B536,'ADP'!A1:E731,4,FALSE),VLOOKUP(B536,'ADP'!A1:E731,5,FALSE))))</f>
        <v>329</v>
      </c>
      <c r="N536" t="s" s="61">
        <f>_xlfn.IFERROR(M536-A536,"N/A")</f>
        <v>158</v>
      </c>
      <c r="O536" s="46"/>
      <c r="P536" t="s" s="47">
        <f>IF('Settings'!$E$27="ON",VLOOKUP(B536,'ADP'!A1:H731,8,FALSE)," ")</f>
        <v>109</v>
      </c>
      <c r="Q536" s="48">
        <f>IF('Settings'!$E$12="YES",VLOOKUP(B536,'Player Data'!A1:E734,5,FALSE),82)</f>
        <v>60</v>
      </c>
      <c r="R536" s="46">
        <f>VLOOKUP(B536,'Player Data'!$A1:$AE734,6,FALSE)</f>
        <v>15.5169240590447</v>
      </c>
      <c r="S536" s="48">
        <f>VLOOKUP(B536,'Player Data'!$A1:$AE734,7,FALSE)*$Q536*_xlfn.IFERROR((VLOOKUP(P536,'Settings'!$E$28:$F$33,2,FALSE)+1),1)</f>
        <v>2.554404556234</v>
      </c>
      <c r="T536" s="48">
        <f>VLOOKUP(B536,'Player Data'!$A1:$AE734,8,FALSE)*$Q536*_xlfn.IFERROR((VLOOKUP(P536,'Settings'!$E$28:$F$33,2,FALSE)+1),1)</f>
        <v>5.60458370181176</v>
      </c>
      <c r="U536" s="48">
        <f>SUM(S536:T536)</f>
        <v>8.15898825804576</v>
      </c>
      <c r="V536" s="48">
        <f>VLOOKUP(B536,'Player Data'!$A1:$AE734,10,FALSE)*$Q536*_xlfn.IFERROR(((VLOOKUP(P536,'Settings'!$E$28:$F$33,2,FALSE)/2)+1),1)</f>
        <v>64.92418944567299</v>
      </c>
      <c r="W536" s="48">
        <f>VLOOKUP(B536,'Player Data'!$A1:$AE734,11,FALSE)*$Q536*_xlfn.IFERROR((VLOOKUP(P536,'Settings'!$E$28:$F$33,2,FALSE)+1),1)</f>
        <v>0.0151080137111063</v>
      </c>
      <c r="X536" s="48">
        <f>VLOOKUP(B536,'Player Data'!$A1:$AE734,12,FALSE)*$Q536*_xlfn.IFERROR((VLOOKUP(P536,'Settings'!$E$28:$F$33,2,FALSE)+1),1)</f>
        <v>0.10399302822356</v>
      </c>
      <c r="Y536" s="48">
        <f>VLOOKUP(B536,'Player Data'!$A1:$AE734,13,FALSE)*$Q536</f>
        <v>0.0254169960792422</v>
      </c>
      <c r="Z536" s="48">
        <f>VLOOKUP(B536,'Player Data'!$A1:$AE734,14,FALSE)*$Q536</f>
        <v>0.492909248340968</v>
      </c>
      <c r="AA536" s="48">
        <f>VLOOKUP(B536,'Player Data'!$A1:$AE734,15,FALSE)*$Q536</f>
        <v>71.90439205478761</v>
      </c>
      <c r="AB536" s="48">
        <f>VLOOKUP(B536,'Player Data'!$A1:$AE734,16,FALSE)*$Q536</f>
        <v>98.011283195964</v>
      </c>
      <c r="AC536" s="48">
        <f>VLOOKUP(B536,'Player Data'!$A1:$AE734,17,FALSE)*$Q536*_xlfn.IFERROR((VLOOKUP(P536,'Settings'!$E$28:$F$33,2,FALSE)+1),1)</f>
        <v>-0.120201484022753</v>
      </c>
      <c r="AD536" s="48">
        <f>VLOOKUP(B536,'Player Data'!$A1:$AE734,18,FALSE)*$Q536</f>
        <v>54.9552437137359</v>
      </c>
      <c r="AE536" s="48">
        <f>VLOOKUP(B536,'Player Data'!$A1:$AE734,19,FALSE)*$Q536*_xlfn.IFERROR((VLOOKUP(P536,'Settings'!$E$28:$F$33,2,FALSE)+1),1)</f>
        <v>0.375441224322718</v>
      </c>
      <c r="AF536" s="48">
        <f>VLOOKUP(B536,'Player Data'!$A1:$AE734,20,FALSE)*$Q536</f>
        <v>0</v>
      </c>
      <c r="AG536" s="48">
        <f>VLOOKUP(B536,'Player Data'!$A1:$AE734,21,FALSE)*$Q536</f>
        <v>0</v>
      </c>
      <c r="AH536" s="49">
        <f>VLOOKUP(B536,'Player Data'!$A1:$AE734,22,FALSE)</f>
        <v>0</v>
      </c>
      <c r="AI536" s="46"/>
      <c r="AJ536" s="50"/>
      <c r="AK536" s="48"/>
      <c r="AL536" s="48"/>
      <c r="AM536" s="48"/>
      <c r="AN536" s="48"/>
      <c r="AO536" s="48"/>
      <c r="AP536" s="48"/>
      <c r="AQ536" s="51"/>
      <c r="AR536" s="52"/>
      <c r="AS536" s="46"/>
    </row>
    <row r="537" ht="21.25" customHeight="1">
      <c r="A537" s="53">
        <f>RANK(K537,K2:K730)</f>
        <v>637</v>
      </c>
      <c r="B537" t="s" s="8">
        <v>689</v>
      </c>
      <c r="C537" t="s" s="39">
        <v>106</v>
      </c>
      <c r="D537" t="s" s="40">
        <f>VLOOKUP(B537,'Player Data'!A1:D734,4,FALSE)</f>
        <v>107</v>
      </c>
      <c r="E537" s="41">
        <f>VLOOKUP(B537,'C'!A1:C218,3,FALSE)</f>
        <v>169</v>
      </c>
      <c r="F537" t="s" s="42">
        <f>VLOOKUP(B537,'Player Data'!A1:B734,2,FALSE)</f>
        <v>292</v>
      </c>
      <c r="G537" s="9">
        <f>VLOOKUP(B537,'Player Data'!A1:D734,3,FALSE)</f>
        <v>35</v>
      </c>
      <c r="H537" s="43">
        <f>_xlfn.IFERROR(VLOOKUP(B537,'ADP'!A1:G731,7,FALSE)/1000000,VLOOKUP(B537,'ADP'!A1:G731,7,FALSE))</f>
        <v>3.73</v>
      </c>
      <c r="I537" s="44">
        <f>IF('Settings'!$E$15="POINTS",((R537*Q537)*'Settings'!$B$12)+(S537*'Settings'!$B$2)+(T537*'Settings'!$B$3)+(U537*'Settings'!$B$4)+(V537*'Settings'!$B$5)+(X537*'Settings'!$B$9)+(AA537*'Settings'!$B$6)+(W537*'Settings'!$B$8)+(AB537*'Settings'!$B$7)+(AC537*'Settings'!$B$14)+(AD537*'Settings'!$B$15)+(AE537*'Settings'!$B$16)+(AF537*'Settings'!$B$17)+(AG537*'Settings'!$B$18)+(Y537*'Settings'!$B$10)+(Z537*'Settings'!$B$11),VLOOKUP(B537,'Standard Deviations'!A1:C731,3,FALSE))</f>
        <v>168.804374464948</v>
      </c>
      <c r="J537" s="45">
        <f>IF(D537="G",I537/AJ537,I537/Q537)</f>
        <v>2.51309177407992</v>
      </c>
      <c r="K537" s="44">
        <f>IF('Settings'!$E$18="C/LW/RW",VLOOKUP(B537,'C'!A1:F218,6,FALSE),VLOOKUP(B537,'F'!A1:F432,6,FALSE))</f>
        <v>-226.969827171067</v>
      </c>
      <c r="L537" s="44">
        <f>_xlfn.IFERROR(K537/H537,"N/A")</f>
        <v>-60.849819616908</v>
      </c>
      <c r="M537" t="s" s="61">
        <f>IF('Settings'!$E$9="YAHOO",VLOOKUP(B537,'ADP'!A1:E731,2,FALSE),IF('Settings'!$E$9="ESPN",VLOOKUP(B537,'ADP'!A1:E731,3,FALSE),IF('Settings'!$E$9="FANTRAX",VLOOKUP(B537,'ADP'!A1:E731,4,FALSE),VLOOKUP(B537,'ADP'!A1:E731,5,FALSE))))</f>
        <v>329</v>
      </c>
      <c r="N537" t="s" s="61">
        <f>_xlfn.IFERROR(M537-A537,"N/A")</f>
        <v>158</v>
      </c>
      <c r="O537" s="46"/>
      <c r="P537" t="s" s="47">
        <f>IF('Settings'!$E$27="ON",VLOOKUP(B537,'ADP'!A1:H731,8,FALSE)," ")</f>
        <v>109</v>
      </c>
      <c r="Q537" s="48">
        <f>IF('Settings'!$E$12="YES",VLOOKUP(B537,'Player Data'!A1:E734,5,FALSE),82)</f>
        <v>67.17</v>
      </c>
      <c r="R537" s="46">
        <f>VLOOKUP(B537,'Player Data'!$A1:$AE734,6,FALSE)</f>
        <v>14.949498301020</v>
      </c>
      <c r="S537" s="48">
        <f>VLOOKUP(B537,'Player Data'!$A1:$AE734,7,FALSE)*$Q537*_xlfn.IFERROR((VLOOKUP(P537,'Settings'!$E$28:$F$33,2,FALSE)+1),1)</f>
        <v>10.3334199033182</v>
      </c>
      <c r="T537" s="48">
        <f>VLOOKUP(B537,'Player Data'!$A1:$AE734,8,FALSE)*$Q537*_xlfn.IFERROR((VLOOKUP(P537,'Settings'!$E$28:$F$33,2,FALSE)+1),1)</f>
        <v>18.5083452585978</v>
      </c>
      <c r="U537" s="48">
        <f>SUM(S537:T537)</f>
        <v>28.841765161916</v>
      </c>
      <c r="V537" s="48">
        <f>VLOOKUP(B537,'Player Data'!$A1:$AE734,10,FALSE)*$Q537*_xlfn.IFERROR(((VLOOKUP(P537,'Settings'!$E$28:$F$33,2,FALSE)/2)+1),1)</f>
        <v>99.311960749967</v>
      </c>
      <c r="W537" s="48">
        <f>VLOOKUP(B537,'Player Data'!$A1:$AE734,11,FALSE)*$Q537*_xlfn.IFERROR((VLOOKUP(P537,'Settings'!$E$28:$F$33,2,FALSE)+1),1)</f>
        <v>3.53555347832704</v>
      </c>
      <c r="X537" s="48">
        <f>VLOOKUP(B537,'Player Data'!$A1:$AE734,12,FALSE)*$Q537*_xlfn.IFERROR((VLOOKUP(P537,'Settings'!$E$28:$F$33,2,FALSE)+1),1)</f>
        <v>5.69972556684976</v>
      </c>
      <c r="Y537" s="48">
        <f>VLOOKUP(B537,'Player Data'!$A1:$AE734,13,FALSE)*$Q537</f>
        <v>0</v>
      </c>
      <c r="Z537" s="48">
        <f>VLOOKUP(B537,'Player Data'!$A1:$AE734,14,FALSE)*$Q537</f>
        <v>0</v>
      </c>
      <c r="AA537" s="48">
        <f>VLOOKUP(B537,'Player Data'!$A1:$AE734,15,FALSE)*$Q537</f>
        <v>22.2150515862677</v>
      </c>
      <c r="AB537" s="48">
        <f>VLOOKUP(B537,'Player Data'!$A1:$AE734,16,FALSE)*$Q537</f>
        <v>24.0617718244199</v>
      </c>
      <c r="AC537" s="48">
        <f>VLOOKUP(B537,'Player Data'!$A1:$AE734,17,FALSE)*$Q537*_xlfn.IFERROR((VLOOKUP(P537,'Settings'!$E$28:$F$33,2,FALSE)+1),1)</f>
        <v>-1.14642757096036</v>
      </c>
      <c r="AD537" s="48">
        <f>VLOOKUP(B537,'Player Data'!$A1:$AE734,18,FALSE)*$Q537</f>
        <v>31.5882336930949</v>
      </c>
      <c r="AE537" s="48">
        <f>VLOOKUP(B537,'Player Data'!$A1:$AE734,19,FALSE)*$Q537*_xlfn.IFERROR((VLOOKUP(P537,'Settings'!$E$28:$F$33,2,FALSE)+1),1)</f>
        <v>0</v>
      </c>
      <c r="AF537" s="48">
        <f>VLOOKUP(B537,'Player Data'!$A1:$AE734,20,FALSE)*$Q537</f>
        <v>623.4750685518781</v>
      </c>
      <c r="AG537" s="48">
        <f>VLOOKUP(B537,'Player Data'!$A1:$AE734,21,FALSE)*$Q537</f>
        <v>399.323873882524</v>
      </c>
      <c r="AH537" s="49">
        <f>VLOOKUP(B537,'Player Data'!$A1:$AE734,22,FALSE)</f>
        <v>0.609577349647939</v>
      </c>
      <c r="AI537" s="46"/>
      <c r="AJ537" s="50"/>
      <c r="AK537" s="48"/>
      <c r="AL537" s="48"/>
      <c r="AM537" s="48"/>
      <c r="AN537" s="48"/>
      <c r="AO537" s="48"/>
      <c r="AP537" s="48"/>
      <c r="AQ537" s="51"/>
      <c r="AR537" s="52"/>
      <c r="AS537" s="46"/>
    </row>
    <row r="538" ht="21.25" customHeight="1">
      <c r="A538" s="53">
        <f>RANK(K538,K2:K730)</f>
        <v>561</v>
      </c>
      <c r="B538" t="s" s="8">
        <v>690</v>
      </c>
      <c r="C538" t="s" s="39">
        <v>106</v>
      </c>
      <c r="D538" t="s" s="40">
        <f>VLOOKUP(B538,'Player Data'!A1:D734,4,FALSE)</f>
        <v>121</v>
      </c>
      <c r="E538" s="55">
        <f>VLOOKUP(B538,'RW'!A1:F132,3,FALSE)</f>
        <v>103</v>
      </c>
      <c r="F538" t="s" s="42">
        <f>VLOOKUP(B538,'Player Data'!A1:B734,2,FALSE)</f>
        <v>139</v>
      </c>
      <c r="G538" s="9">
        <f>VLOOKUP(B538,'Player Data'!A1:D734,3,FALSE)</f>
        <v>35</v>
      </c>
      <c r="H538" s="43">
        <f>_xlfn.IFERROR(VLOOKUP(B538,'ADP'!A1:G731,7,FALSE)/1000000,VLOOKUP(B538,'ADP'!A1:G731,7,FALSE))</f>
        <v>1.915</v>
      </c>
      <c r="I538" s="44">
        <f>IF('Settings'!$E$15="POINTS",((R538*Q538)*'Settings'!$B$12)+(S538*'Settings'!$B$2)+(T538*'Settings'!$B$3)+(U538*'Settings'!$B$4)+(V538*'Settings'!$B$5)+(X538*'Settings'!$B$9)+(AA538*'Settings'!$B$6)+(W538*'Settings'!$B$8)+(AB538*'Settings'!$B$7)+(AC538*'Settings'!$B$14)+(AD538*'Settings'!$B$15)+(AE538*'Settings'!$B$16)+(AF538*'Settings'!$B$17)+(AG538*'Settings'!$B$18)+(Y538*'Settings'!$B$10)+(Z538*'Settings'!$B$11),VLOOKUP(B538,'Standard Deviations'!A1:C731,3,FALSE))</f>
        <v>177.009920653014</v>
      </c>
      <c r="J538" s="45">
        <f>IF(D538="G",I538/AJ538,I538/Q538)</f>
        <v>2.31045744040482</v>
      </c>
      <c r="K538" s="44">
        <f>IF('Settings'!$E$18="C/LW/RW",VLOOKUP(B538,'RW'!A1:F132,6,FALSE),VLOOKUP(B538,'F'!A1:F432,6,FALSE))</f>
        <v>-204.618643053342</v>
      </c>
      <c r="L538" s="44">
        <f>_xlfn.IFERROR(K538/H538,"N/A")</f>
        <v>-106.850466346393</v>
      </c>
      <c r="M538" t="s" s="61">
        <f>IF('Settings'!$E$9="YAHOO",VLOOKUP(B538,'ADP'!A1:E731,2,FALSE),IF('Settings'!$E$9="ESPN",VLOOKUP(B538,'ADP'!A1:E731,3,FALSE),IF('Settings'!$E$9="FANTRAX",VLOOKUP(B538,'ADP'!A1:E731,4,FALSE),VLOOKUP(B538,'ADP'!A1:E731,5,FALSE))))</f>
        <v>329</v>
      </c>
      <c r="N538" t="s" s="61">
        <f>_xlfn.IFERROR(M538-A538,"N/A")</f>
        <v>158</v>
      </c>
      <c r="O538" s="46"/>
      <c r="P538" t="s" s="47">
        <f>IF('Settings'!$E$27="ON",VLOOKUP(B538,'ADP'!A1:H731,8,FALSE)," ")</f>
        <v>109</v>
      </c>
      <c r="Q538" s="48">
        <f>IF('Settings'!$E$12="YES",VLOOKUP(B538,'Player Data'!A1:E734,5,FALSE),82)</f>
        <v>76.6125</v>
      </c>
      <c r="R538" s="46">
        <f>VLOOKUP(B538,'Player Data'!$A1:$AE734,6,FALSE)</f>
        <v>12.672771507114</v>
      </c>
      <c r="S538" s="48">
        <f>VLOOKUP(B538,'Player Data'!$A1:$AE734,7,FALSE)*$Q538*_xlfn.IFERROR((VLOOKUP(P538,'Settings'!$E$28:$F$33,2,FALSE)+1),1)</f>
        <v>9.208128704045251</v>
      </c>
      <c r="T538" s="48">
        <f>VLOOKUP(B538,'Player Data'!$A1:$AE734,8,FALSE)*$Q538*_xlfn.IFERROR((VLOOKUP(P538,'Settings'!$E$28:$F$33,2,FALSE)+1),1)</f>
        <v>13.581253477818</v>
      </c>
      <c r="U538" s="48">
        <f>SUM(S538:T538)</f>
        <v>22.7893821818633</v>
      </c>
      <c r="V538" s="48">
        <f>VLOOKUP(B538,'Player Data'!$A1:$AE734,10,FALSE)*$Q538*_xlfn.IFERROR(((VLOOKUP(P538,'Settings'!$E$28:$F$33,2,FALSE)/2)+1),1)</f>
        <v>126.479172699713</v>
      </c>
      <c r="W538" s="48">
        <f>VLOOKUP(B538,'Player Data'!$A1:$AE734,11,FALSE)*$Q538*_xlfn.IFERROR((VLOOKUP(P538,'Settings'!$E$28:$F$33,2,FALSE)+1),1)</f>
        <v>0.473246548005355</v>
      </c>
      <c r="X538" s="48">
        <f>VLOOKUP(B538,'Player Data'!$A1:$AE734,12,FALSE)*$Q538*_xlfn.IFERROR((VLOOKUP(P538,'Settings'!$E$28:$F$33,2,FALSE)+1),1)</f>
        <v>1.18967401183648</v>
      </c>
      <c r="Y538" s="48">
        <f>VLOOKUP(B538,'Player Data'!$A1:$AE734,13,FALSE)*$Q538</f>
        <v>1.1097927642479</v>
      </c>
      <c r="Z538" s="48">
        <f>VLOOKUP(B538,'Player Data'!$A1:$AE734,14,FALSE)*$Q538</f>
        <v>1.37192547367615</v>
      </c>
      <c r="AA538" s="48">
        <f>VLOOKUP(B538,'Player Data'!$A1:$AE734,15,FALSE)*$Q538</f>
        <v>23.206620021185</v>
      </c>
      <c r="AB538" s="48">
        <f>VLOOKUP(B538,'Player Data'!$A1:$AE734,16,FALSE)*$Q538</f>
        <v>68.971334974219</v>
      </c>
      <c r="AC538" s="48">
        <f>VLOOKUP(B538,'Player Data'!$A1:$AE734,17,FALSE)*$Q538*_xlfn.IFERROR((VLOOKUP(P538,'Settings'!$E$28:$F$33,2,FALSE)+1),1)</f>
        <v>-2.18673332739747</v>
      </c>
      <c r="AD538" s="48">
        <f>VLOOKUP(B538,'Player Data'!$A1:$AE734,18,FALSE)*$Q538</f>
        <v>27.7553494999412</v>
      </c>
      <c r="AE538" s="48">
        <f>VLOOKUP(B538,'Player Data'!$A1:$AE734,19,FALSE)*$Q538*_xlfn.IFERROR((VLOOKUP(P538,'Settings'!$E$28:$F$33,2,FALSE)+1),1)</f>
        <v>1.17881594888981</v>
      </c>
      <c r="AF538" s="48">
        <f>VLOOKUP(B538,'Player Data'!$A1:$AE734,20,FALSE)*$Q538</f>
        <v>129.904639489216</v>
      </c>
      <c r="AG538" s="48">
        <f>VLOOKUP(B538,'Player Data'!$A1:$AE734,21,FALSE)*$Q538</f>
        <v>135.495702456972</v>
      </c>
      <c r="AH538" s="49">
        <f>VLOOKUP(B538,'Player Data'!$A1:$AE734,22,FALSE)</f>
        <v>0.489466737445104</v>
      </c>
      <c r="AI538" s="46"/>
      <c r="AJ538" s="50"/>
      <c r="AK538" s="48"/>
      <c r="AL538" s="48"/>
      <c r="AM538" s="48"/>
      <c r="AN538" s="48"/>
      <c r="AO538" s="48"/>
      <c r="AP538" s="48"/>
      <c r="AQ538" s="51"/>
      <c r="AR538" s="52"/>
      <c r="AS538" s="46"/>
    </row>
    <row r="539" ht="21.25" customHeight="1">
      <c r="A539" s="53">
        <f>RANK(K539,K2:K730)</f>
        <v>579</v>
      </c>
      <c r="B539" t="s" s="8">
        <v>691</v>
      </c>
      <c r="C539" t="s" s="39">
        <v>106</v>
      </c>
      <c r="D539" t="s" s="40">
        <f>VLOOKUP(B539,'Player Data'!A1:D734,4,FALSE)</f>
        <v>121</v>
      </c>
      <c r="E539" s="55">
        <f>VLOOKUP(B539,'RW'!A1:F132,3,FALSE)</f>
        <v>110</v>
      </c>
      <c r="F539" t="s" s="42">
        <f>VLOOKUP(B539,'Player Data'!A1:B734,2,FALSE)</f>
        <v>292</v>
      </c>
      <c r="G539" s="9">
        <f>VLOOKUP(B539,'Player Data'!A1:D734,3,FALSE)</f>
        <v>23</v>
      </c>
      <c r="H539" s="43">
        <f>_xlfn.IFERROR(VLOOKUP(B539,'ADP'!A1:G731,7,FALSE)/1000000,VLOOKUP(B539,'ADP'!A1:G731,7,FALSE))</f>
        <v>1.1</v>
      </c>
      <c r="I539" s="44">
        <f>IF('Settings'!$E$15="POINTS",((R539*Q539)*'Settings'!$B$12)+(S539*'Settings'!$B$2)+(T539*'Settings'!$B$3)+(U539*'Settings'!$B$4)+(V539*'Settings'!$B$5)+(X539*'Settings'!$B$9)+(AA539*'Settings'!$B$6)+(W539*'Settings'!$B$8)+(AB539*'Settings'!$B$7)+(AC539*'Settings'!$B$14)+(AD539*'Settings'!$B$15)+(AE539*'Settings'!$B$16)+(AF539*'Settings'!$B$17)+(AG539*'Settings'!$B$18)+(Y539*'Settings'!$B$10)+(Z539*'Settings'!$B$11),VLOOKUP(B539,'Standard Deviations'!A1:C731,3,FALSE))</f>
        <v>171.073146858314</v>
      </c>
      <c r="J539" s="45">
        <f>IF(D539="G",I539/AJ539,I539/Q539)</f>
        <v>2.42056097429521</v>
      </c>
      <c r="K539" s="44">
        <f>IF('Settings'!$E$18="C/LW/RW",VLOOKUP(B539,'RW'!A1:F132,6,FALSE),VLOOKUP(B539,'F'!A1:F432,6,FALSE))</f>
        <v>-210.555416848042</v>
      </c>
      <c r="L539" s="44">
        <f>_xlfn.IFERROR(K539/H539,"N/A")</f>
        <v>-191.414015316402</v>
      </c>
      <c r="M539" t="s" s="61">
        <f>IF('Settings'!$E$9="YAHOO",VLOOKUP(B539,'ADP'!A1:E731,2,FALSE),IF('Settings'!$E$9="ESPN",VLOOKUP(B539,'ADP'!A1:E731,3,FALSE),IF('Settings'!$E$9="FANTRAX",VLOOKUP(B539,'ADP'!A1:E731,4,FALSE),VLOOKUP(B539,'ADP'!A1:E731,5,FALSE))))</f>
        <v>329</v>
      </c>
      <c r="N539" t="s" s="61">
        <f>_xlfn.IFERROR(M539-A539,"N/A")</f>
        <v>158</v>
      </c>
      <c r="O539" s="46"/>
      <c r="P539" t="s" s="47">
        <f>IF('Settings'!$E$27="ON",VLOOKUP(B539,'ADP'!A1:H731,8,FALSE)," ")</f>
        <v>109</v>
      </c>
      <c r="Q539" s="48">
        <f>IF('Settings'!$E$12="YES",VLOOKUP(B539,'Player Data'!A1:E734,5,FALSE),82)</f>
        <v>70.675</v>
      </c>
      <c r="R539" s="46">
        <f>VLOOKUP(B539,'Player Data'!$A1:$AE734,6,FALSE)</f>
        <v>13.4138340576111</v>
      </c>
      <c r="S539" s="48">
        <f>VLOOKUP(B539,'Player Data'!$A1:$AE734,7,FALSE)*$Q539*_xlfn.IFERROR((VLOOKUP(P539,'Settings'!$E$28:$F$33,2,FALSE)+1),1)</f>
        <v>8.934078426335629</v>
      </c>
      <c r="T539" s="48">
        <f>VLOOKUP(B539,'Player Data'!$A1:$AE734,8,FALSE)*$Q539*_xlfn.IFERROR((VLOOKUP(P539,'Settings'!$E$28:$F$33,2,FALSE)+1),1)</f>
        <v>13.5654345149098</v>
      </c>
      <c r="U539" s="48">
        <f>SUM(S539:T539)</f>
        <v>22.4995129412454</v>
      </c>
      <c r="V539" s="48">
        <f>VLOOKUP(B539,'Player Data'!$A1:$AE734,10,FALSE)*$Q539*_xlfn.IFERROR(((VLOOKUP(P539,'Settings'!$E$28:$F$33,2,FALSE)/2)+1),1)</f>
        <v>117.042882595869</v>
      </c>
      <c r="W539" s="48">
        <f>VLOOKUP(B539,'Player Data'!$A1:$AE734,11,FALSE)*$Q539*_xlfn.IFERROR((VLOOKUP(P539,'Settings'!$E$28:$F$33,2,FALSE)+1),1)</f>
        <v>1.33895275709647</v>
      </c>
      <c r="X539" s="48">
        <f>VLOOKUP(B539,'Player Data'!$A1:$AE734,12,FALSE)*$Q539*_xlfn.IFERROR((VLOOKUP(P539,'Settings'!$E$28:$F$33,2,FALSE)+1),1)</f>
        <v>2.83714946416384</v>
      </c>
      <c r="Y539" s="48">
        <f>VLOOKUP(B539,'Player Data'!$A1:$AE734,13,FALSE)*$Q539</f>
        <v>0.026005156618247</v>
      </c>
      <c r="Z539" s="48">
        <f>VLOOKUP(B539,'Player Data'!$A1:$AE734,14,FALSE)*$Q539</f>
        <v>0.0472619866484922</v>
      </c>
      <c r="AA539" s="48">
        <f>VLOOKUP(B539,'Player Data'!$A1:$AE734,15,FALSE)*$Q539</f>
        <v>32.9017070693744</v>
      </c>
      <c r="AB539" s="48">
        <f>VLOOKUP(B539,'Player Data'!$A1:$AE734,16,FALSE)*$Q539</f>
        <v>60.4266863566212</v>
      </c>
      <c r="AC539" s="48">
        <f>VLOOKUP(B539,'Player Data'!$A1:$AE734,17,FALSE)*$Q539*_xlfn.IFERROR((VLOOKUP(P539,'Settings'!$E$28:$F$33,2,FALSE)+1),1)</f>
        <v>-0.207879885222911</v>
      </c>
      <c r="AD539" s="48">
        <f>VLOOKUP(B539,'Player Data'!$A1:$AE734,18,FALSE)*$Q539</f>
        <v>13.5543471015065</v>
      </c>
      <c r="AE539" s="48">
        <f>VLOOKUP(B539,'Player Data'!$A1:$AE734,19,FALSE)*$Q539*_xlfn.IFERROR((VLOOKUP(P539,'Settings'!$E$28:$F$33,2,FALSE)+1),1)</f>
        <v>0</v>
      </c>
      <c r="AF539" s="48">
        <f>VLOOKUP(B539,'Player Data'!$A1:$AE734,20,FALSE)*$Q539</f>
        <v>5.6516556938814</v>
      </c>
      <c r="AG539" s="48">
        <f>VLOOKUP(B539,'Player Data'!$A1:$AE734,21,FALSE)*$Q539</f>
        <v>7.92349850626646</v>
      </c>
      <c r="AH539" s="49">
        <f>VLOOKUP(B539,'Player Data'!$A1:$AE734,22,FALSE)</f>
        <v>0.416323498838772</v>
      </c>
      <c r="AI539" s="46"/>
      <c r="AJ539" s="50"/>
      <c r="AK539" s="48"/>
      <c r="AL539" s="48"/>
      <c r="AM539" s="48"/>
      <c r="AN539" s="48"/>
      <c r="AO539" s="48"/>
      <c r="AP539" s="48"/>
      <c r="AQ539" s="51"/>
      <c r="AR539" s="52"/>
      <c r="AS539" s="50"/>
    </row>
    <row r="540" ht="21.25" customHeight="1">
      <c r="A540" s="53">
        <f>RANK(K540,K2:K730)</f>
        <v>665</v>
      </c>
      <c r="B540" t="s" s="8">
        <v>692</v>
      </c>
      <c r="C540" t="s" s="39">
        <v>106</v>
      </c>
      <c r="D540" t="s" s="40">
        <f>VLOOKUP(B540,'Player Data'!A1:D734,4,FALSE)</f>
        <v>129</v>
      </c>
      <c r="E540" s="56">
        <f>VLOOKUP(B540,'D'!A1:C228,3,FALSE)</f>
        <v>220</v>
      </c>
      <c r="F540" t="s" s="42">
        <f>VLOOKUP(B540,'Player Data'!A1:B734,2,FALSE)</f>
        <v>151</v>
      </c>
      <c r="G540" s="9">
        <f>VLOOKUP(B540,'Player Data'!A1:D734,3,FALSE)</f>
        <v>22</v>
      </c>
      <c r="H540" s="43">
        <f>_xlfn.IFERROR(VLOOKUP(B540,'ADP'!A1:G731,7,FALSE)/1000000,VLOOKUP(B540,'ADP'!A1:G731,7,FALSE))</f>
        <v>0.8125</v>
      </c>
      <c r="I540" s="44">
        <f>IF('Settings'!$E$15="POINTS",((R540*Q540)*'Settings'!$B$12)+(S540*'Settings'!$B$2)+(T540*'Settings'!$B$3)+(U540*'Settings'!$B$4)+(V540*'Settings'!$B$5)+(X540*'Settings'!$B$9)+(AA540*'Settings'!$B$6)+(W540*'Settings'!$B$8)+(AB540*'Settings'!$B$7)+(AC540*'Settings'!$B$14)+(AD540*'Settings'!$B$15)+(AE540*'Settings'!$B$16)+(AF540*'Settings'!$B$17)+(AG540*'Settings'!$B$18)+(U540*'Settings'!$B$13)+(Y540*'Settings'!$B$10)+(Z540*'Settings'!$B$11),VLOOKUP(B540,'Standard Deviations'!A1:C731,3,FALSE))</f>
        <v>100.473353254952</v>
      </c>
      <c r="J540" s="45">
        <f>IF(D540="G",I540/AJ540,I540/Q540)</f>
        <v>1.92477688227877</v>
      </c>
      <c r="K540" s="44">
        <f>VLOOKUP(B540,'D'!A1:F228,6,FALSE)</f>
        <v>-240.261785391571</v>
      </c>
      <c r="L540" s="44">
        <f>_xlfn.IFERROR(K540/H540,"N/A")</f>
        <v>-295.706812789626</v>
      </c>
      <c r="M540" t="s" s="61">
        <f>IF('Settings'!$E$9="YAHOO",VLOOKUP(B540,'ADP'!A1:E731,2,FALSE),IF('Settings'!$E$9="ESPN",VLOOKUP(B540,'ADP'!A1:E731,3,FALSE),IF('Settings'!$E$9="FANTRAX",VLOOKUP(B540,'ADP'!A1:E731,4,FALSE),VLOOKUP(B540,'ADP'!A1:E731,5,FALSE))))</f>
        <v>329</v>
      </c>
      <c r="N540" t="s" s="61">
        <f>_xlfn.IFERROR(M540-A540,"N/A")</f>
        <v>158</v>
      </c>
      <c r="O540" s="46"/>
      <c r="P540" t="s" s="47">
        <f>IF('Settings'!$E$27="ON",VLOOKUP(B540,'ADP'!A1:H731,8,FALSE)," ")</f>
        <v>109</v>
      </c>
      <c r="Q540" s="48">
        <f>IF('Settings'!$E$12="YES",VLOOKUP(B540,'Player Data'!A1:E734,5,FALSE),82)</f>
        <v>52.2</v>
      </c>
      <c r="R540" s="46">
        <f>VLOOKUP(B540,'Player Data'!$A1:$AE734,6,FALSE)</f>
        <v>14.9489150752668</v>
      </c>
      <c r="S540" s="48">
        <f>VLOOKUP(B540,'Player Data'!$A1:$AE734,7,FALSE)*$Q540*_xlfn.IFERROR((VLOOKUP(P540,'Settings'!$E$28:$F$33,2,FALSE)+1),1)</f>
        <v>2.37947101660595</v>
      </c>
      <c r="T540" s="48">
        <f>VLOOKUP(B540,'Player Data'!$A1:$AE734,8,FALSE)*$Q540*_xlfn.IFERROR((VLOOKUP(P540,'Settings'!$E$28:$F$33,2,FALSE)+1),1)</f>
        <v>8.80830657531042</v>
      </c>
      <c r="U540" s="48">
        <f>SUM(S540:T540)</f>
        <v>11.1877775919164</v>
      </c>
      <c r="V540" s="48">
        <f>VLOOKUP(B540,'Player Data'!$A1:$AE734,10,FALSE)*$Q540*_xlfn.IFERROR(((VLOOKUP(P540,'Settings'!$E$28:$F$33,2,FALSE)/2)+1),1)</f>
        <v>49.1051015974438</v>
      </c>
      <c r="W540" s="48">
        <f>VLOOKUP(B540,'Player Data'!$A1:$AE734,11,FALSE)*$Q540*_xlfn.IFERROR((VLOOKUP(P540,'Settings'!$E$28:$F$33,2,FALSE)+1),1)</f>
        <v>0.0602406744406473</v>
      </c>
      <c r="X540" s="48">
        <f>VLOOKUP(B540,'Player Data'!$A1:$AE734,12,FALSE)*$Q540*_xlfn.IFERROR((VLOOKUP(P540,'Settings'!$E$28:$F$33,2,FALSE)+1),1)</f>
        <v>0.511574061005119</v>
      </c>
      <c r="Y540" s="48">
        <f>VLOOKUP(B540,'Player Data'!$A1:$AE734,13,FALSE)*$Q540</f>
        <v>0.00534747890851451</v>
      </c>
      <c r="Z540" s="48">
        <f>VLOOKUP(B540,'Player Data'!$A1:$AE734,14,FALSE)*$Q540</f>
        <v>0.0198313180778853</v>
      </c>
      <c r="AA540" s="48">
        <f>VLOOKUP(B540,'Player Data'!$A1:$AE734,15,FALSE)*$Q540</f>
        <v>54.3494741467358</v>
      </c>
      <c r="AB540" s="48">
        <f>VLOOKUP(B540,'Player Data'!$A1:$AE734,16,FALSE)*$Q540</f>
        <v>46.2954537841941</v>
      </c>
      <c r="AC540" s="48">
        <f>VLOOKUP(B540,'Player Data'!$A1:$AE734,17,FALSE)*$Q540*_xlfn.IFERROR((VLOOKUP(P540,'Settings'!$E$28:$F$33,2,FALSE)+1),1)</f>
        <v>1.83286211972749</v>
      </c>
      <c r="AD540" s="48">
        <f>VLOOKUP(B540,'Player Data'!$A1:$AE734,18,FALSE)*$Q540</f>
        <v>14.6323975495772</v>
      </c>
      <c r="AE540" s="48">
        <f>VLOOKUP(B540,'Player Data'!$A1:$AE734,19,FALSE)*$Q540*_xlfn.IFERROR((VLOOKUP(P540,'Settings'!$E$28:$F$33,2,FALSE)+1),1)</f>
        <v>0.405457417868607</v>
      </c>
      <c r="AF540" s="48">
        <f>VLOOKUP(B540,'Player Data'!$A1:$AE734,20,FALSE)*$Q540</f>
        <v>0</v>
      </c>
      <c r="AG540" s="48">
        <f>VLOOKUP(B540,'Player Data'!$A1:$AE734,21,FALSE)*$Q540</f>
        <v>0</v>
      </c>
      <c r="AH540" s="49">
        <f>VLOOKUP(B540,'Player Data'!$A1:$AE734,22,FALSE)</f>
        <v>0</v>
      </c>
      <c r="AI540" s="46"/>
      <c r="AJ540" s="50"/>
      <c r="AK540" s="48"/>
      <c r="AL540" s="48"/>
      <c r="AM540" s="48"/>
      <c r="AN540" s="48"/>
      <c r="AO540" s="48"/>
      <c r="AP540" s="48"/>
      <c r="AQ540" s="51"/>
      <c r="AR540" s="52"/>
      <c r="AS540" s="46"/>
    </row>
    <row r="541" ht="21.25" customHeight="1">
      <c r="A541" s="53">
        <f>RANK(K541,K2:K730)</f>
        <v>652</v>
      </c>
      <c r="B541" t="s" s="8">
        <v>693</v>
      </c>
      <c r="C541" t="s" s="39">
        <v>106</v>
      </c>
      <c r="D541" t="s" s="40">
        <f>VLOOKUP(B541,'Player Data'!A1:D734,4,FALSE)</f>
        <v>129</v>
      </c>
      <c r="E541" s="56">
        <f>VLOOKUP(B541,'D'!A1:C228,3,FALSE)</f>
        <v>217</v>
      </c>
      <c r="F541" t="s" s="42">
        <f>VLOOKUP(B541,'Player Data'!A1:B734,2,FALSE)</f>
        <v>173</v>
      </c>
      <c r="G541" s="9">
        <f>VLOOKUP(B541,'Player Data'!A1:D734,3,FALSE)</f>
        <v>23</v>
      </c>
      <c r="H541" s="43">
        <f>_xlfn.IFERROR(VLOOKUP(B541,'ADP'!A1:G731,7,FALSE)/1000000,VLOOKUP(B541,'ADP'!A1:G731,7,FALSE))</f>
        <v>0</v>
      </c>
      <c r="I541" s="44">
        <f>IF('Settings'!$E$15="POINTS",((R541*Q541)*'Settings'!$B$12)+(S541*'Settings'!$B$2)+(T541*'Settings'!$B$3)+(U541*'Settings'!$B$4)+(V541*'Settings'!$B$5)+(X541*'Settings'!$B$9)+(AA541*'Settings'!$B$6)+(W541*'Settings'!$B$8)+(AB541*'Settings'!$B$7)+(AC541*'Settings'!$B$14)+(AD541*'Settings'!$B$15)+(AE541*'Settings'!$B$16)+(AF541*'Settings'!$B$17)+(AG541*'Settings'!$B$18)+(U541*'Settings'!$B$13)+(Y541*'Settings'!$B$10)+(Z541*'Settings'!$B$11),VLOOKUP(B541,'Standard Deviations'!A1:C731,3,FALSE))</f>
        <v>107.212791844475</v>
      </c>
      <c r="J541" s="45">
        <f>IF(D541="G",I541/AJ541,I541/Q541)</f>
        <v>2.01510218069402</v>
      </c>
      <c r="K541" s="44">
        <f>VLOOKUP(B541,'D'!A1:F228,6,FALSE)</f>
        <v>-233.522346802048</v>
      </c>
      <c r="L541" t="s" s="60">
        <f>_xlfn.IFERROR(K541/H541,"N/A")</f>
        <v>158</v>
      </c>
      <c r="M541" t="s" s="61">
        <f>IF('Settings'!$E$9="YAHOO",VLOOKUP(B541,'ADP'!A1:E731,2,FALSE),IF('Settings'!$E$9="ESPN",VLOOKUP(B541,'ADP'!A1:E731,3,FALSE),IF('Settings'!$E$9="FANTRAX",VLOOKUP(B541,'ADP'!A1:E731,4,FALSE),VLOOKUP(B541,'ADP'!A1:E731,5,FALSE))))</f>
        <v>329</v>
      </c>
      <c r="N541" t="s" s="61">
        <f>_xlfn.IFERROR(M541-A541,"N/A")</f>
        <v>158</v>
      </c>
      <c r="O541" s="46"/>
      <c r="P541" t="s" s="47">
        <f>IF('Settings'!$E$27="ON",VLOOKUP(B541,'ADP'!A1:H731,8,FALSE)," ")</f>
        <v>109</v>
      </c>
      <c r="Q541" s="48">
        <f>IF('Settings'!$E$12="YES",VLOOKUP(B541,'Player Data'!A1:E734,5,FALSE),82)</f>
        <v>53.2046428571429</v>
      </c>
      <c r="R541" s="46">
        <f>VLOOKUP(B541,'Player Data'!$A1:$AE734,6,FALSE)</f>
        <v>16.0168421052631</v>
      </c>
      <c r="S541" s="48">
        <f>VLOOKUP(B541,'Player Data'!$A1:$AE734,7,FALSE)*$Q541*_xlfn.IFERROR((VLOOKUP(P541,'Settings'!$E$28:$F$33,2,FALSE)+1),1)</f>
        <v>1.62958672266799</v>
      </c>
      <c r="T541" s="48">
        <f>VLOOKUP(B541,'Player Data'!$A1:$AE734,8,FALSE)*$Q541*_xlfn.IFERROR((VLOOKUP(P541,'Settings'!$E$28:$F$33,2,FALSE)+1),1)</f>
        <v>7.36308062434659</v>
      </c>
      <c r="U541" s="48">
        <f>SUM(S541:T541)</f>
        <v>8.99266734701458</v>
      </c>
      <c r="V541" s="48">
        <f>VLOOKUP(B541,'Player Data'!$A1:$AE734,10,FALSE)*$Q541*_xlfn.IFERROR(((VLOOKUP(P541,'Settings'!$E$28:$F$33,2,FALSE)/2)+1),1)</f>
        <v>60.3606060151238</v>
      </c>
      <c r="W541" s="48">
        <f>VLOOKUP(B541,'Player Data'!$A1:$AE734,11,FALSE)*$Q541*_xlfn.IFERROR((VLOOKUP(P541,'Settings'!$E$28:$F$33,2,FALSE)+1),1)</f>
        <v>0.0156960271132652</v>
      </c>
      <c r="X541" s="48">
        <f>VLOOKUP(B541,'Player Data'!$A1:$AE734,12,FALSE)*$Q541*_xlfn.IFERROR((VLOOKUP(P541,'Settings'!$E$28:$F$33,2,FALSE)+1),1)</f>
        <v>0.105697282715494</v>
      </c>
      <c r="Y541" s="48">
        <f>VLOOKUP(B541,'Player Data'!$A1:$AE734,13,FALSE)*$Q541</f>
        <v>0.0218687927937022</v>
      </c>
      <c r="Z541" s="48">
        <f>VLOOKUP(B541,'Player Data'!$A1:$AE734,14,FALSE)*$Q541</f>
        <v>0.0804883315712473</v>
      </c>
      <c r="AA541" s="48">
        <f>VLOOKUP(B541,'Player Data'!$A1:$AE734,15,FALSE)*$Q541</f>
        <v>62.0880786320119</v>
      </c>
      <c r="AB541" s="48">
        <f>VLOOKUP(B541,'Player Data'!$A1:$AE734,16,FALSE)*$Q541</f>
        <v>65.62036293087451</v>
      </c>
      <c r="AC541" s="48">
        <f>VLOOKUP(B541,'Player Data'!$A1:$AE734,17,FALSE)*$Q541*_xlfn.IFERROR((VLOOKUP(P541,'Settings'!$E$28:$F$33,2,FALSE)+1),1)</f>
        <v>-0.173768688643975</v>
      </c>
      <c r="AD541" s="48">
        <f>VLOOKUP(B541,'Player Data'!$A1:$AE734,18,FALSE)*$Q541</f>
        <v>24.1470259338111</v>
      </c>
      <c r="AE541" s="48">
        <f>VLOOKUP(B541,'Player Data'!$A1:$AE734,19,FALSE)*$Q541*_xlfn.IFERROR((VLOOKUP(P541,'Settings'!$E$28:$F$33,2,FALSE)+1),1)</f>
        <v>0.245066879177269</v>
      </c>
      <c r="AF541" s="48">
        <f>VLOOKUP(B541,'Player Data'!$A1:$AE734,20,FALSE)*$Q541</f>
        <v>0</v>
      </c>
      <c r="AG541" s="48">
        <f>VLOOKUP(B541,'Player Data'!$A1:$AE734,21,FALSE)*$Q541</f>
        <v>0</v>
      </c>
      <c r="AH541" s="49">
        <f>VLOOKUP(B541,'Player Data'!$A1:$AE734,22,FALSE)</f>
        <v>0</v>
      </c>
      <c r="AI541" s="46"/>
      <c r="AJ541" s="50"/>
      <c r="AK541" s="48"/>
      <c r="AL541" s="48"/>
      <c r="AM541" s="48"/>
      <c r="AN541" s="48"/>
      <c r="AO541" s="48"/>
      <c r="AP541" s="48"/>
      <c r="AQ541" s="51"/>
      <c r="AR541" s="52"/>
      <c r="AS541" s="46"/>
    </row>
    <row r="542" ht="21.25" customHeight="1">
      <c r="A542" s="53">
        <f>RANK(K542,K2:K730)</f>
        <v>560</v>
      </c>
      <c r="B542" t="s" s="8">
        <v>694</v>
      </c>
      <c r="C542" t="s" s="39">
        <v>106</v>
      </c>
      <c r="D542" t="s" s="40">
        <f>VLOOKUP(B542,'Player Data'!A1:D734,4,FALSE)</f>
        <v>107</v>
      </c>
      <c r="E542" s="41">
        <f>VLOOKUP(B542,'C'!A1:C218,3,FALSE)</f>
        <v>149</v>
      </c>
      <c r="F542" t="s" s="42">
        <f>VLOOKUP(B542,'Player Data'!A1:B734,2,FALSE)</f>
        <v>108</v>
      </c>
      <c r="G542" s="9">
        <f>VLOOKUP(B542,'Player Data'!A1:D734,3,FALSE)</f>
        <v>23</v>
      </c>
      <c r="H542" s="43">
        <f>_xlfn.IFERROR(VLOOKUP(B542,'ADP'!A1:G731,7,FALSE)/1000000,VLOOKUP(B542,'ADP'!A1:G731,7,FALSE))</f>
        <v>0</v>
      </c>
      <c r="I542" s="44">
        <f>IF('Settings'!$E$15="POINTS",((R542*Q542)*'Settings'!$B$12)+(S542*'Settings'!$B$2)+(T542*'Settings'!$B$3)+(U542*'Settings'!$B$4)+(V542*'Settings'!$B$5)+(X542*'Settings'!$B$9)+(AA542*'Settings'!$B$6)+(W542*'Settings'!$B$8)+(AB542*'Settings'!$B$7)+(AC542*'Settings'!$B$14)+(AD542*'Settings'!$B$15)+(AE542*'Settings'!$B$16)+(AF542*'Settings'!$B$17)+(AG542*'Settings'!$B$18)+(Y542*'Settings'!$B$10)+(Z542*'Settings'!$B$11),VLOOKUP(B542,'Standard Deviations'!A1:C731,3,FALSE))</f>
        <v>191.783868630779</v>
      </c>
      <c r="J542" s="45">
        <f>IF(D542="G",I542/AJ542,I542/Q542)</f>
        <v>2.58190453191679</v>
      </c>
      <c r="K542" s="44">
        <f>IF('Settings'!$E$18="C/LW/RW",VLOOKUP(B542,'C'!A1:F218,6,FALSE),VLOOKUP(B542,'F'!A1:F432,6,FALSE))</f>
        <v>-203.990333005236</v>
      </c>
      <c r="L542" t="s" s="60">
        <f>_xlfn.IFERROR(K542/H542,"N/A")</f>
        <v>158</v>
      </c>
      <c r="M542" t="s" s="61">
        <f>IF('Settings'!$E$9="YAHOO",VLOOKUP(B542,'ADP'!A1:E731,2,FALSE),IF('Settings'!$E$9="ESPN",VLOOKUP(B542,'ADP'!A1:E731,3,FALSE),IF('Settings'!$E$9="FANTRAX",VLOOKUP(B542,'ADP'!A1:E731,4,FALSE),VLOOKUP(B542,'ADP'!A1:E731,5,FALSE))))</f>
        <v>329</v>
      </c>
      <c r="N542" t="s" s="61">
        <f>_xlfn.IFERROR(M542-A542,"N/A")</f>
        <v>158</v>
      </c>
      <c r="O542" s="46"/>
      <c r="P542" t="s" s="47">
        <f>IF('Settings'!$E$27="ON",VLOOKUP(B542,'ADP'!A1:H731,8,FALSE)," ")</f>
        <v>109</v>
      </c>
      <c r="Q542" s="48">
        <f>IF('Settings'!$E$12="YES",VLOOKUP(B542,'Player Data'!A1:E734,5,FALSE),82)</f>
        <v>74.28</v>
      </c>
      <c r="R542" s="46">
        <f>VLOOKUP(B542,'Player Data'!$A1:$AE734,6,FALSE)</f>
        <v>14.364570120730</v>
      </c>
      <c r="S542" s="48">
        <f>VLOOKUP(B542,'Player Data'!$A1:$AE734,7,FALSE)*$Q542*_xlfn.IFERROR((VLOOKUP(P542,'Settings'!$E$28:$F$33,2,FALSE)+1),1)</f>
        <v>13.1462838857915</v>
      </c>
      <c r="T542" s="48">
        <f>VLOOKUP(B542,'Player Data'!$A1:$AE734,8,FALSE)*$Q542*_xlfn.IFERROR((VLOOKUP(P542,'Settings'!$E$28:$F$33,2,FALSE)+1),1)</f>
        <v>16.2178057687353</v>
      </c>
      <c r="U542" s="48">
        <f>SUM(S542:T542)</f>
        <v>29.3640896545268</v>
      </c>
      <c r="V542" s="48">
        <f>VLOOKUP(B542,'Player Data'!$A1:$AE734,10,FALSE)*$Q542*_xlfn.IFERROR(((VLOOKUP(P542,'Settings'!$E$28:$F$33,2,FALSE)/2)+1),1)</f>
        <v>101.748247941842</v>
      </c>
      <c r="W542" s="48">
        <f>VLOOKUP(B542,'Player Data'!$A1:$AE734,11,FALSE)*$Q542*_xlfn.IFERROR((VLOOKUP(P542,'Settings'!$E$28:$F$33,2,FALSE)+1),1)</f>
        <v>1.03292932683765</v>
      </c>
      <c r="X542" s="48">
        <f>VLOOKUP(B542,'Player Data'!$A1:$AE734,12,FALSE)*$Q542*_xlfn.IFERROR((VLOOKUP(P542,'Settings'!$E$28:$F$33,2,FALSE)+1),1)</f>
        <v>2.60454189295136</v>
      </c>
      <c r="Y542" s="48">
        <f>VLOOKUP(B542,'Player Data'!$A1:$AE734,13,FALSE)*$Q542</f>
        <v>1.33434263919283</v>
      </c>
      <c r="Z542" s="48">
        <f>VLOOKUP(B542,'Player Data'!$A1:$AE734,14,FALSE)*$Q542</f>
        <v>2.0547612237666</v>
      </c>
      <c r="AA542" s="48">
        <f>VLOOKUP(B542,'Player Data'!$A1:$AE734,15,FALSE)*$Q542</f>
        <v>29.3059424759989</v>
      </c>
      <c r="AB542" s="48">
        <f>VLOOKUP(B542,'Player Data'!$A1:$AE734,16,FALSE)*$Q542</f>
        <v>57.3422247282325</v>
      </c>
      <c r="AC542" s="48">
        <f>VLOOKUP(B542,'Player Data'!$A1:$AE734,17,FALSE)*$Q542*_xlfn.IFERROR((VLOOKUP(P542,'Settings'!$E$28:$F$33,2,FALSE)+1),1)</f>
        <v>4.7971005307975</v>
      </c>
      <c r="AD542" s="48">
        <f>VLOOKUP(B542,'Player Data'!$A1:$AE734,18,FALSE)*$Q542</f>
        <v>20.7481843543656</v>
      </c>
      <c r="AE542" s="48">
        <f>VLOOKUP(B542,'Player Data'!$A1:$AE734,19,FALSE)*$Q542*_xlfn.IFERROR((VLOOKUP(P542,'Settings'!$E$28:$F$33,2,FALSE)+1),1)</f>
        <v>2.08091560557393</v>
      </c>
      <c r="AF542" s="48">
        <f>VLOOKUP(B542,'Player Data'!$A1:$AE734,20,FALSE)*$Q542</f>
        <v>360.642470186280</v>
      </c>
      <c r="AG542" s="48">
        <f>VLOOKUP(B542,'Player Data'!$A1:$AE734,21,FALSE)*$Q542</f>
        <v>394.361359395101</v>
      </c>
      <c r="AH542" s="49">
        <f>VLOOKUP(B542,'Player Data'!$A1:$AE734,22,FALSE)</f>
        <v>0.477669723061195</v>
      </c>
      <c r="AI542" s="46"/>
      <c r="AJ542" s="50"/>
      <c r="AK542" s="48"/>
      <c r="AL542" s="48"/>
      <c r="AM542" s="48"/>
      <c r="AN542" s="48"/>
      <c r="AO542" s="48"/>
      <c r="AP542" s="48"/>
      <c r="AQ542" s="51"/>
      <c r="AR542" s="52"/>
      <c r="AS542" s="46"/>
    </row>
    <row r="543" ht="21.25" customHeight="1">
      <c r="A543" s="53">
        <f>RANK(K543,K2:K730)</f>
        <v>607</v>
      </c>
      <c r="B543" t="s" s="8">
        <v>695</v>
      </c>
      <c r="C543" t="s" s="39">
        <v>106</v>
      </c>
      <c r="D543" t="s" s="40">
        <f>VLOOKUP(B543,'Player Data'!A1:D734,4,FALSE)</f>
        <v>129</v>
      </c>
      <c r="E543" s="56">
        <f>VLOOKUP(B543,'D'!A1:C228,3,FALSE)</f>
        <v>205</v>
      </c>
      <c r="F543" t="s" s="42">
        <f>VLOOKUP(B543,'Player Data'!A1:B734,2,FALSE)</f>
        <v>113</v>
      </c>
      <c r="G543" s="9">
        <f>VLOOKUP(B543,'Player Data'!A1:D734,3,FALSE)</f>
        <v>36</v>
      </c>
      <c r="H543" s="43">
        <f>_xlfn.IFERROR(VLOOKUP(B543,'ADP'!A1:G731,7,FALSE)/1000000,VLOOKUP(B543,'ADP'!A1:G731,7,FALSE))</f>
        <v>0.775</v>
      </c>
      <c r="I543" s="44">
        <f>IF('Settings'!$E$15="POINTS",((R543*Q543)*'Settings'!$B$12)+(S543*'Settings'!$B$2)+(T543*'Settings'!$B$3)+(U543*'Settings'!$B$4)+(V543*'Settings'!$B$5)+(X543*'Settings'!$B$9)+(AA543*'Settings'!$B$6)+(W543*'Settings'!$B$8)+(AB543*'Settings'!$B$7)+(AC543*'Settings'!$B$14)+(AD543*'Settings'!$B$15)+(AE543*'Settings'!$B$16)+(AF543*'Settings'!$B$17)+(AG543*'Settings'!$B$18)+(U543*'Settings'!$B$13)+(Y543*'Settings'!$B$10)+(Z543*'Settings'!$B$11),VLOOKUP(B543,'Standard Deviations'!A1:C731,3,FALSE))</f>
        <v>121.732087107139</v>
      </c>
      <c r="J543" s="45">
        <f>IF(D543="G",I543/AJ543,I543/Q543)</f>
        <v>1.62719347260475</v>
      </c>
      <c r="K543" s="44">
        <f>VLOOKUP(B543,'D'!A1:F228,6,FALSE)</f>
        <v>-219.003051539384</v>
      </c>
      <c r="L543" s="44">
        <f>_xlfn.IFERROR(K543/H543,"N/A")</f>
        <v>-282.584582631463</v>
      </c>
      <c r="M543" t="s" s="61">
        <f>IF('Settings'!$E$9="YAHOO",VLOOKUP(B543,'ADP'!A1:E731,2,FALSE),IF('Settings'!$E$9="ESPN",VLOOKUP(B543,'ADP'!A1:E731,3,FALSE),IF('Settings'!$E$9="FANTRAX",VLOOKUP(B543,'ADP'!A1:E731,4,FALSE),VLOOKUP(B543,'ADP'!A1:E731,5,FALSE))))</f>
        <v>329</v>
      </c>
      <c r="N543" t="s" s="61">
        <f>_xlfn.IFERROR(M543-A543,"N/A")</f>
        <v>158</v>
      </c>
      <c r="O543" s="46"/>
      <c r="P543" t="s" s="47">
        <f>IF('Settings'!$E$27="ON",VLOOKUP(B543,'ADP'!A1:H731,8,FALSE)," ")</f>
        <v>109</v>
      </c>
      <c r="Q543" s="48">
        <f>IF('Settings'!$E$12="YES",VLOOKUP(B543,'Player Data'!A1:E734,5,FALSE),82)</f>
        <v>74.8110714285714</v>
      </c>
      <c r="R543" s="46">
        <f>VLOOKUP(B543,'Player Data'!$A1:$AE734,6,FALSE)</f>
        <v>15.4462750298481</v>
      </c>
      <c r="S543" s="48">
        <f>VLOOKUP(B543,'Player Data'!$A1:$AE734,7,FALSE)*$Q543*_xlfn.IFERROR((VLOOKUP(P543,'Settings'!$E$28:$F$33,2,FALSE)+1),1)</f>
        <v>1.01527779992982</v>
      </c>
      <c r="T543" s="48">
        <f>VLOOKUP(B543,'Player Data'!$A1:$AE734,8,FALSE)*$Q543*_xlfn.IFERROR((VLOOKUP(P543,'Settings'!$E$28:$F$33,2,FALSE)+1),1)</f>
        <v>5.51541254963409</v>
      </c>
      <c r="U543" s="48">
        <f>SUM(S543:T543)</f>
        <v>6.53069034956391</v>
      </c>
      <c r="V543" s="48">
        <f>VLOOKUP(B543,'Player Data'!$A1:$AE734,10,FALSE)*$Q543*_xlfn.IFERROR(((VLOOKUP(P543,'Settings'!$E$28:$F$33,2,FALSE)/2)+1),1)</f>
        <v>63.6769138091101</v>
      </c>
      <c r="W543" s="48">
        <f>VLOOKUP(B543,'Player Data'!$A1:$AE734,11,FALSE)*$Q543*_xlfn.IFERROR((VLOOKUP(P543,'Settings'!$E$28:$F$33,2,FALSE)+1),1)</f>
        <v>0.0146669583034642</v>
      </c>
      <c r="X543" s="48">
        <f>VLOOKUP(B543,'Player Data'!$A1:$AE734,12,FALSE)*$Q543*_xlfn.IFERROR((VLOOKUP(P543,'Settings'!$E$28:$F$33,2,FALSE)+1),1)</f>
        <v>0.127770543423724</v>
      </c>
      <c r="Y543" s="48">
        <f>VLOOKUP(B543,'Player Data'!$A1:$AE734,13,FALSE)*$Q543</f>
        <v>0.0155712720313039</v>
      </c>
      <c r="Z543" s="48">
        <f>VLOOKUP(B543,'Player Data'!$A1:$AE734,14,FALSE)*$Q543</f>
        <v>1.12836783802774</v>
      </c>
      <c r="AA543" s="48">
        <f>VLOOKUP(B543,'Player Data'!$A1:$AE734,15,FALSE)*$Q543</f>
        <v>88.2111797906155</v>
      </c>
      <c r="AB543" s="48">
        <f>VLOOKUP(B543,'Player Data'!$A1:$AE734,16,FALSE)*$Q543</f>
        <v>89.6652675305363</v>
      </c>
      <c r="AC543" s="48">
        <f>VLOOKUP(B543,'Player Data'!$A1:$AE734,17,FALSE)*$Q543*_xlfn.IFERROR((VLOOKUP(P543,'Settings'!$E$28:$F$33,2,FALSE)+1),1)</f>
        <v>1.51173191337944</v>
      </c>
      <c r="AD543" s="48">
        <f>VLOOKUP(B543,'Player Data'!$A1:$AE734,18,FALSE)*$Q543</f>
        <v>25.4628896509363</v>
      </c>
      <c r="AE543" s="48">
        <f>VLOOKUP(B543,'Player Data'!$A1:$AE734,19,FALSE)*$Q543*_xlfn.IFERROR((VLOOKUP(P543,'Settings'!$E$28:$F$33,2,FALSE)+1),1)</f>
        <v>0.16063224487542</v>
      </c>
      <c r="AF543" s="48">
        <f>VLOOKUP(B543,'Player Data'!$A1:$AE734,20,FALSE)*$Q543</f>
        <v>0</v>
      </c>
      <c r="AG543" s="48">
        <f>VLOOKUP(B543,'Player Data'!$A1:$AE734,21,FALSE)*$Q543</f>
        <v>0.611620014389378</v>
      </c>
      <c r="AH543" s="49">
        <f>VLOOKUP(B543,'Player Data'!$A1:$AE734,22,FALSE)</f>
        <v>0</v>
      </c>
      <c r="AI543" s="46"/>
      <c r="AJ543" s="50"/>
      <c r="AK543" s="48"/>
      <c r="AL543" s="48"/>
      <c r="AM543" s="48"/>
      <c r="AN543" s="48"/>
      <c r="AO543" s="48"/>
      <c r="AP543" s="48"/>
      <c r="AQ543" s="51"/>
      <c r="AR543" s="52"/>
      <c r="AS543" s="46"/>
    </row>
    <row r="544" ht="21.25" customHeight="1">
      <c r="A544" s="53">
        <f>RANK(K544,K2:K730)</f>
        <v>419</v>
      </c>
      <c r="B544" t="s" s="8">
        <v>696</v>
      </c>
      <c r="C544" t="s" s="39">
        <v>106</v>
      </c>
      <c r="D544" t="s" s="40">
        <f>VLOOKUP(B544,'Player Data'!A1:D734,4,FALSE)</f>
        <v>133</v>
      </c>
      <c r="E544" s="57">
        <f>VLOOKUP(B544,'LW'!A1:C156,3,FALSE)</f>
        <v>100</v>
      </c>
      <c r="F544" t="s" s="42">
        <f>VLOOKUP(B544,'Player Data'!A1:B734,2,FALSE)</f>
        <v>248</v>
      </c>
      <c r="G544" s="9">
        <f>VLOOKUP(B544,'Player Data'!A1:D734,3,FALSE)</f>
        <v>31</v>
      </c>
      <c r="H544" s="43">
        <f>_xlfn.IFERROR(VLOOKUP(B544,'ADP'!A1:G731,7,FALSE)/1000000,VLOOKUP(B544,'ADP'!A1:G731,7,FALSE))</f>
        <v>3.5</v>
      </c>
      <c r="I544" s="44">
        <f>IF('Settings'!$E$15="POINTS",((R544*Q544)*'Settings'!$B$12)+(S544*'Settings'!$B$2)+(T544*'Settings'!$B$3)+(U544*'Settings'!$B$4)+(V544*'Settings'!$B$5)+(X544*'Settings'!$B$9)+(AA544*'Settings'!$B$6)+(W544*'Settings'!$B$8)+(AB544*'Settings'!$B$7)+(AC544*'Settings'!$B$14)+(AD544*'Settings'!$B$15)+(AE544*'Settings'!$B$16)+(AF544*'Settings'!$B$17)+(AG544*'Settings'!$B$18)+(Y544*'Settings'!$B$10)+(Z544*'Settings'!$B$11),VLOOKUP(B544,'Standard Deviations'!A1:C731,3,FALSE))</f>
        <v>224.084080488336</v>
      </c>
      <c r="J544" s="45">
        <f>IF(D544="G",I544/AJ544,I544/Q544)</f>
        <v>3.14724832146539</v>
      </c>
      <c r="K544" s="44">
        <f>IF('Settings'!$E$18="C/LW/RW",VLOOKUP(B544,'LW'!A1:F156,6,FALSE),VLOOKUP(B544,'F'!A1:F432,6,FALSE))</f>
        <v>-157.544483218020</v>
      </c>
      <c r="L544" s="44">
        <f>_xlfn.IFERROR(K544/H544,"N/A")</f>
        <v>-45.0127094908629</v>
      </c>
      <c r="M544" t="s" s="61">
        <f>IF('Settings'!$E$9="YAHOO",VLOOKUP(B544,'ADP'!A1:E731,2,FALSE),IF('Settings'!$E$9="ESPN",VLOOKUP(B544,'ADP'!A1:E731,3,FALSE),IF('Settings'!$E$9="FANTRAX",VLOOKUP(B544,'ADP'!A1:E731,4,FALSE),VLOOKUP(B544,'ADP'!A1:E731,5,FALSE))))</f>
        <v>329</v>
      </c>
      <c r="N544" t="s" s="61">
        <f>_xlfn.IFERROR(M544-A544,"N/A")</f>
        <v>158</v>
      </c>
      <c r="O544" s="46"/>
      <c r="P544" t="s" s="47">
        <f>IF('Settings'!$E$27="ON",VLOOKUP(B544,'ADP'!A1:H731,8,FALSE)," ")</f>
        <v>109</v>
      </c>
      <c r="Q544" s="48">
        <f>IF('Settings'!$E$12="YES",VLOOKUP(B544,'Player Data'!A1:E734,5,FALSE),82)</f>
        <v>71.2</v>
      </c>
      <c r="R544" s="46">
        <f>VLOOKUP(B544,'Player Data'!$A1:$AE734,6,FALSE)</f>
        <v>14.1829092835366</v>
      </c>
      <c r="S544" s="48">
        <f>VLOOKUP(B544,'Player Data'!$A1:$AE734,7,FALSE)*$Q544*_xlfn.IFERROR((VLOOKUP(P544,'Settings'!$E$28:$F$33,2,FALSE)+1),1)</f>
        <v>12.6308544918248</v>
      </c>
      <c r="T544" s="48">
        <f>VLOOKUP(B544,'Player Data'!$A1:$AE734,8,FALSE)*$Q544*_xlfn.IFERROR((VLOOKUP(P544,'Settings'!$E$28:$F$33,2,FALSE)+1),1)</f>
        <v>14.8435803452024</v>
      </c>
      <c r="U544" s="48">
        <f>SUM(S544:T544)</f>
        <v>27.4744348370272</v>
      </c>
      <c r="V544" s="48">
        <f>VLOOKUP(B544,'Player Data'!$A1:$AE734,10,FALSE)*$Q544*_xlfn.IFERROR(((VLOOKUP(P544,'Settings'!$E$28:$F$33,2,FALSE)/2)+1),1)</f>
        <v>100.462621246660</v>
      </c>
      <c r="W544" s="48">
        <f>VLOOKUP(B544,'Player Data'!$A1:$AE734,11,FALSE)*$Q544*_xlfn.IFERROR((VLOOKUP(P544,'Settings'!$E$28:$F$33,2,FALSE)+1),1)</f>
        <v>0.09910259414555631</v>
      </c>
      <c r="X544" s="48">
        <f>VLOOKUP(B544,'Player Data'!$A1:$AE734,12,FALSE)*$Q544*_xlfn.IFERROR((VLOOKUP(P544,'Settings'!$E$28:$F$33,2,FALSE)+1),1)</f>
        <v>0.170613258720365</v>
      </c>
      <c r="Y544" s="48">
        <f>VLOOKUP(B544,'Player Data'!$A1:$AE734,13,FALSE)*$Q544</f>
        <v>1.20468516692725</v>
      </c>
      <c r="Z544" s="48">
        <f>VLOOKUP(B544,'Player Data'!$A1:$AE734,14,FALSE)*$Q544</f>
        <v>1.52100948910441</v>
      </c>
      <c r="AA544" s="48">
        <f>VLOOKUP(B544,'Player Data'!$A1:$AE734,15,FALSE)*$Q544</f>
        <v>56.5969208145697</v>
      </c>
      <c r="AB544" s="48">
        <f>VLOOKUP(B544,'Player Data'!$A1:$AE734,16,FALSE)*$Q544</f>
        <v>164.570816922776</v>
      </c>
      <c r="AC544" s="48">
        <f>VLOOKUP(B544,'Player Data'!$A1:$AE734,17,FALSE)*$Q544*_xlfn.IFERROR((VLOOKUP(P544,'Settings'!$E$28:$F$33,2,FALSE)+1),1)</f>
        <v>0.809245725728446</v>
      </c>
      <c r="AD544" s="48">
        <f>VLOOKUP(B544,'Player Data'!$A1:$AE734,18,FALSE)*$Q544</f>
        <v>28.1960765221977</v>
      </c>
      <c r="AE544" s="48">
        <f>VLOOKUP(B544,'Player Data'!$A1:$AE734,19,FALSE)*$Q544*_xlfn.IFERROR((VLOOKUP(P544,'Settings'!$E$28:$F$33,2,FALSE)+1),1)</f>
        <v>1.77540523719601</v>
      </c>
      <c r="AF544" s="48">
        <f>VLOOKUP(B544,'Player Data'!$A1:$AE734,20,FALSE)*$Q544</f>
        <v>4.54103015926708</v>
      </c>
      <c r="AG544" s="48">
        <f>VLOOKUP(B544,'Player Data'!$A1:$AE734,21,FALSE)*$Q544</f>
        <v>16.1411724858272</v>
      </c>
      <c r="AH544" s="49">
        <f>VLOOKUP(B544,'Player Data'!$A1:$AE734,22,FALSE)</f>
        <v>0.219562211878056</v>
      </c>
      <c r="AI544" s="46"/>
      <c r="AJ544" s="50"/>
      <c r="AK544" s="48"/>
      <c r="AL544" s="48"/>
      <c r="AM544" s="48"/>
      <c r="AN544" s="48"/>
      <c r="AO544" s="48"/>
      <c r="AP544" s="48"/>
      <c r="AQ544" s="51"/>
      <c r="AR544" s="52"/>
      <c r="AS544" s="46"/>
    </row>
    <row r="545" ht="21.25" customHeight="1">
      <c r="A545" s="53">
        <f>RANK(K545,K2:K730)</f>
        <v>533</v>
      </c>
      <c r="B545" t="s" s="8">
        <v>697</v>
      </c>
      <c r="C545" t="s" s="39">
        <v>106</v>
      </c>
      <c r="D545" t="s" s="40">
        <f>VLOOKUP(B545,'Player Data'!A1:D734,4,FALSE)</f>
        <v>107</v>
      </c>
      <c r="E545" s="41">
        <f>VLOOKUP(B545,'C'!A1:C218,3,FALSE)</f>
        <v>141</v>
      </c>
      <c r="F545" t="s" s="42">
        <f>VLOOKUP(B545,'Player Data'!A1:B734,2,FALSE)</f>
        <v>204</v>
      </c>
      <c r="G545" s="9">
        <f>VLOOKUP(B545,'Player Data'!A1:D734,3,FALSE)</f>
        <v>25</v>
      </c>
      <c r="H545" s="43">
        <f>_xlfn.IFERROR(VLOOKUP(B545,'ADP'!A1:G731,7,FALSE)/1000000,VLOOKUP(B545,'ADP'!A1:G731,7,FALSE))</f>
        <v>1.675</v>
      </c>
      <c r="I545" s="44">
        <f>IF('Settings'!$E$15="POINTS",((R545*Q545)*'Settings'!$B$12)+(S545*'Settings'!$B$2)+(T545*'Settings'!$B$3)+(U545*'Settings'!$B$4)+(V545*'Settings'!$B$5)+(X545*'Settings'!$B$9)+(AA545*'Settings'!$B$6)+(W545*'Settings'!$B$8)+(AB545*'Settings'!$B$7)+(AC545*'Settings'!$B$14)+(AD545*'Settings'!$B$15)+(AE545*'Settings'!$B$16)+(AF545*'Settings'!$B$17)+(AG545*'Settings'!$B$18)+(Y545*'Settings'!$B$10)+(Z545*'Settings'!$B$11),VLOOKUP(B545,'Standard Deviations'!A1:C731,3,FALSE))</f>
        <v>202.682250502736</v>
      </c>
      <c r="J545" s="45">
        <f>IF(D545="G",I545/AJ545,I545/Q545)</f>
        <v>2.59828814335725</v>
      </c>
      <c r="K545" s="44">
        <f>IF('Settings'!$E$18="C/LW/RW",VLOOKUP(B545,'C'!A1:F218,6,FALSE),VLOOKUP(B545,'F'!A1:F432,6,FALSE))</f>
        <v>-193.091951133279</v>
      </c>
      <c r="L545" s="44">
        <f>_xlfn.IFERROR(K545/H545,"N/A")</f>
        <v>-115.278776795987</v>
      </c>
      <c r="M545" t="s" s="61">
        <f>IF('Settings'!$E$9="YAHOO",VLOOKUP(B545,'ADP'!A1:E731,2,FALSE),IF('Settings'!$E$9="ESPN",VLOOKUP(B545,'ADP'!A1:E731,3,FALSE),IF('Settings'!$E$9="FANTRAX",VLOOKUP(B545,'ADP'!A1:E731,4,FALSE),VLOOKUP(B545,'ADP'!A1:E731,5,FALSE))))</f>
        <v>329</v>
      </c>
      <c r="N545" t="s" s="61">
        <f>_xlfn.IFERROR(M545-A545,"N/A")</f>
        <v>158</v>
      </c>
      <c r="O545" s="46"/>
      <c r="P545" t="s" s="47">
        <f>IF('Settings'!$E$27="ON",VLOOKUP(B545,'ADP'!A1:H731,8,FALSE)," ")</f>
        <v>109</v>
      </c>
      <c r="Q545" s="48">
        <f>IF('Settings'!$E$12="YES",VLOOKUP(B545,'Player Data'!A1:E734,5,FALSE),82)</f>
        <v>78.0060714285714</v>
      </c>
      <c r="R545" s="46">
        <f>VLOOKUP(B545,'Player Data'!$A1:$AE734,6,FALSE)</f>
        <v>12.9079229362108</v>
      </c>
      <c r="S545" s="48">
        <f>VLOOKUP(B545,'Player Data'!$A1:$AE734,7,FALSE)*$Q545*_xlfn.IFERROR((VLOOKUP(P545,'Settings'!$E$28:$F$33,2,FALSE)+1),1)</f>
        <v>10.9865613282544</v>
      </c>
      <c r="T545" s="48">
        <f>VLOOKUP(B545,'Player Data'!$A1:$AE734,8,FALSE)*$Q545*_xlfn.IFERROR((VLOOKUP(P545,'Settings'!$E$28:$F$33,2,FALSE)+1),1)</f>
        <v>19.3086993134096</v>
      </c>
      <c r="U545" s="48">
        <f>SUM(S545:T545)</f>
        <v>30.295260641664</v>
      </c>
      <c r="V545" s="48">
        <f>VLOOKUP(B545,'Player Data'!$A1:$AE734,10,FALSE)*$Q545*_xlfn.IFERROR(((VLOOKUP(P545,'Settings'!$E$28:$F$33,2,FALSE)/2)+1),1)</f>
        <v>103.088079185058</v>
      </c>
      <c r="W545" s="48">
        <f>VLOOKUP(B545,'Player Data'!$A1:$AE734,11,FALSE)*$Q545*_xlfn.IFERROR((VLOOKUP(P545,'Settings'!$E$28:$F$33,2,FALSE)+1),1)</f>
        <v>0.0544555242260314</v>
      </c>
      <c r="X545" s="48">
        <f>VLOOKUP(B545,'Player Data'!$A1:$AE734,12,FALSE)*$Q545*_xlfn.IFERROR((VLOOKUP(P545,'Settings'!$E$28:$F$33,2,FALSE)+1),1)</f>
        <v>0.13713717491047</v>
      </c>
      <c r="Y545" s="48">
        <f>VLOOKUP(B545,'Player Data'!$A1:$AE734,13,FALSE)*$Q545</f>
        <v>0.415285160838661</v>
      </c>
      <c r="Z545" s="48">
        <f>VLOOKUP(B545,'Player Data'!$A1:$AE734,14,FALSE)*$Q545</f>
        <v>2.17737082990845</v>
      </c>
      <c r="AA545" s="48">
        <f>VLOOKUP(B545,'Player Data'!$A1:$AE734,15,FALSE)*$Q545</f>
        <v>32.9193989715708</v>
      </c>
      <c r="AB545" s="48">
        <f>VLOOKUP(B545,'Player Data'!$A1:$AE734,16,FALSE)*$Q545</f>
        <v>91.8325833889253</v>
      </c>
      <c r="AC545" s="48">
        <f>VLOOKUP(B545,'Player Data'!$A1:$AE734,17,FALSE)*$Q545*_xlfn.IFERROR((VLOOKUP(P545,'Settings'!$E$28:$F$33,2,FALSE)+1),1)</f>
        <v>0.674086921228729</v>
      </c>
      <c r="AD545" s="48">
        <f>VLOOKUP(B545,'Player Data'!$A1:$AE734,18,FALSE)*$Q545</f>
        <v>41.3338701736778</v>
      </c>
      <c r="AE545" s="48">
        <f>VLOOKUP(B545,'Player Data'!$A1:$AE734,19,FALSE)*$Q545*_xlfn.IFERROR((VLOOKUP(P545,'Settings'!$E$28:$F$33,2,FALSE)+1),1)</f>
        <v>1.62668186886596</v>
      </c>
      <c r="AF545" s="48">
        <f>VLOOKUP(B545,'Player Data'!$A1:$AE734,20,FALSE)*$Q545</f>
        <v>390.625623191716</v>
      </c>
      <c r="AG545" s="48">
        <f>VLOOKUP(B545,'Player Data'!$A1:$AE734,21,FALSE)*$Q545</f>
        <v>369.536518219372</v>
      </c>
      <c r="AH545" s="49">
        <f>VLOOKUP(B545,'Player Data'!$A1:$AE734,22,FALSE)</f>
        <v>0.5138714517755349</v>
      </c>
      <c r="AI545" s="46"/>
      <c r="AJ545" s="50"/>
      <c r="AK545" s="48"/>
      <c r="AL545" s="48"/>
      <c r="AM545" s="48"/>
      <c r="AN545" s="48"/>
      <c r="AO545" s="48"/>
      <c r="AP545" s="48"/>
      <c r="AQ545" s="51"/>
      <c r="AR545" s="52"/>
      <c r="AS545" s="46"/>
    </row>
    <row r="546" ht="21.25" customHeight="1">
      <c r="A546" s="53">
        <f>RANK(K546,K2:K730)</f>
        <v>412</v>
      </c>
      <c r="B546" t="s" s="8">
        <v>698</v>
      </c>
      <c r="C546" t="s" s="39">
        <v>106</v>
      </c>
      <c r="D546" t="s" s="40">
        <f>VLOOKUP(B546,'Player Data'!A1:D734,4,FALSE)</f>
        <v>133</v>
      </c>
      <c r="E546" s="57">
        <f>VLOOKUP(B546,'LW'!A1:C156,3,FALSE)</f>
        <v>97</v>
      </c>
      <c r="F546" t="s" s="42">
        <f>VLOOKUP(B546,'Player Data'!A1:B734,2,FALSE)</f>
        <v>134</v>
      </c>
      <c r="G546" s="9">
        <f>VLOOKUP(B546,'Player Data'!A1:D734,3,FALSE)</f>
        <v>32</v>
      </c>
      <c r="H546" s="43">
        <f>_xlfn.IFERROR(VLOOKUP(B546,'ADP'!A1:G731,7,FALSE)/1000000,VLOOKUP(B546,'ADP'!A1:G731,7,FALSE))</f>
        <v>3.1</v>
      </c>
      <c r="I546" s="44">
        <f>IF('Settings'!$E$15="POINTS",((R546*Q546)*'Settings'!$B$12)+(S546*'Settings'!$B$2)+(T546*'Settings'!$B$3)+(U546*'Settings'!$B$4)+(V546*'Settings'!$B$5)+(X546*'Settings'!$B$9)+(AA546*'Settings'!$B$6)+(W546*'Settings'!$B$8)+(AB546*'Settings'!$B$7)+(AC546*'Settings'!$B$14)+(AD546*'Settings'!$B$15)+(AE546*'Settings'!$B$16)+(AF546*'Settings'!$B$17)+(AG546*'Settings'!$B$18)+(Y546*'Settings'!$B$10)+(Z546*'Settings'!$B$11),VLOOKUP(B546,'Standard Deviations'!A1:C731,3,FALSE))</f>
        <v>226.786908708804</v>
      </c>
      <c r="J546" s="45">
        <f>IF(D546="G",I546/AJ546,I546/Q546)</f>
        <v>3.00685817830173</v>
      </c>
      <c r="K546" s="44">
        <f>IF('Settings'!$E$18="C/LW/RW",VLOOKUP(B546,'LW'!A1:F156,6,FALSE),VLOOKUP(B546,'F'!A1:F432,6,FALSE))</f>
        <v>-154.841654997552</v>
      </c>
      <c r="L546" s="44">
        <f>_xlfn.IFERROR(K546/H546,"N/A")</f>
        <v>-49.9489209669523</v>
      </c>
      <c r="M546" s="46">
        <f>IF('Settings'!$E$9="YAHOO",VLOOKUP(B546,'ADP'!A1:E731,2,FALSE),IF('Settings'!$E$9="ESPN",VLOOKUP(B546,'ADP'!A1:E731,3,FALSE),IF('Settings'!$E$9="FANTRAX",VLOOKUP(B546,'ADP'!A1:E731,4,FALSE),VLOOKUP(B546,'ADP'!A1:E731,5,FALSE))))</f>
        <v>427.5</v>
      </c>
      <c r="N546" s="46">
        <f>_xlfn.IFERROR(M546-A546,"N/A")</f>
        <v>15.5</v>
      </c>
      <c r="O546" s="46"/>
      <c r="P546" t="s" s="47">
        <f>IF('Settings'!$E$27="ON",VLOOKUP(B546,'ADP'!A1:H731,8,FALSE)," ")</f>
        <v>109</v>
      </c>
      <c r="Q546" s="48">
        <f>IF('Settings'!$E$12="YES",VLOOKUP(B546,'Player Data'!A1:E734,5,FALSE),82)</f>
        <v>75.42321428571429</v>
      </c>
      <c r="R546" s="46">
        <f>VLOOKUP(B546,'Player Data'!$A1:$AE734,6,FALSE)</f>
        <v>14.1025034171213</v>
      </c>
      <c r="S546" s="48">
        <f>VLOOKUP(B546,'Player Data'!$A1:$AE734,7,FALSE)*$Q546*_xlfn.IFERROR((VLOOKUP(P546,'Settings'!$E$28:$F$33,2,FALSE)+1),1)</f>
        <v>12.384674251415</v>
      </c>
      <c r="T546" s="48">
        <f>VLOOKUP(B546,'Player Data'!$A1:$AE734,8,FALSE)*$Q546*_xlfn.IFERROR((VLOOKUP(P546,'Settings'!$E$28:$F$33,2,FALSE)+1),1)</f>
        <v>15.889666315130</v>
      </c>
      <c r="U546" s="48">
        <f>SUM(S546:T546)</f>
        <v>28.274340566545</v>
      </c>
      <c r="V546" s="48">
        <f>VLOOKUP(B546,'Player Data'!$A1:$AE734,10,FALSE)*$Q546*_xlfn.IFERROR(((VLOOKUP(P546,'Settings'!$E$28:$F$33,2,FALSE)/2)+1),1)</f>
        <v>91.51117816534661</v>
      </c>
      <c r="W546" s="48">
        <f>VLOOKUP(B546,'Player Data'!$A1:$AE734,11,FALSE)*$Q546*_xlfn.IFERROR((VLOOKUP(P546,'Settings'!$E$28:$F$33,2,FALSE)+1),1)</f>
        <v>1.01278799937588</v>
      </c>
      <c r="X546" s="48">
        <f>VLOOKUP(B546,'Player Data'!$A1:$AE734,12,FALSE)*$Q546*_xlfn.IFERROR((VLOOKUP(P546,'Settings'!$E$28:$F$33,2,FALSE)+1),1)</f>
        <v>2.42949680878276</v>
      </c>
      <c r="Y546" s="48">
        <f>VLOOKUP(B546,'Player Data'!$A1:$AE734,13,FALSE)*$Q546</f>
        <v>0.200498826979462</v>
      </c>
      <c r="Z546" s="48">
        <f>VLOOKUP(B546,'Player Data'!$A1:$AE734,14,FALSE)*$Q546</f>
        <v>0.268664929893339</v>
      </c>
      <c r="AA546" s="48">
        <f>VLOOKUP(B546,'Player Data'!$A1:$AE734,15,FALSE)*$Q546</f>
        <v>41.2558765267033</v>
      </c>
      <c r="AB546" s="48">
        <f>VLOOKUP(B546,'Player Data'!$A1:$AE734,16,FALSE)*$Q546</f>
        <v>225.864073704941</v>
      </c>
      <c r="AC546" s="48">
        <f>VLOOKUP(B546,'Player Data'!$A1:$AE734,17,FALSE)*$Q546*_xlfn.IFERROR((VLOOKUP(P546,'Settings'!$E$28:$F$33,2,FALSE)+1),1)</f>
        <v>2.48750744325911</v>
      </c>
      <c r="AD546" s="48">
        <f>VLOOKUP(B546,'Player Data'!$A1:$AE734,18,FALSE)*$Q546</f>
        <v>68.1463046996367</v>
      </c>
      <c r="AE546" s="48">
        <f>VLOOKUP(B546,'Player Data'!$A1:$AE734,19,FALSE)*$Q546*_xlfn.IFERROR((VLOOKUP(P546,'Settings'!$E$28:$F$33,2,FALSE)+1),1)</f>
        <v>1.98868659885637</v>
      </c>
      <c r="AF546" s="48">
        <f>VLOOKUP(B546,'Player Data'!$A1:$AE734,20,FALSE)*$Q546</f>
        <v>8.003323383749841</v>
      </c>
      <c r="AG546" s="48">
        <f>VLOOKUP(B546,'Player Data'!$A1:$AE734,21,FALSE)*$Q546</f>
        <v>8.12134693584307</v>
      </c>
      <c r="AH546" s="49">
        <f>VLOOKUP(B546,'Player Data'!$A1:$AE734,22,FALSE)</f>
        <v>0.496340280149797</v>
      </c>
      <c r="AI546" s="46"/>
      <c r="AJ546" s="48"/>
      <c r="AK546" s="48"/>
      <c r="AL546" s="48"/>
      <c r="AM546" s="48"/>
      <c r="AN546" s="48"/>
      <c r="AO546" s="48"/>
      <c r="AP546" s="48"/>
      <c r="AQ546" s="51"/>
      <c r="AR546" s="52"/>
      <c r="AS546" s="46"/>
    </row>
    <row r="547" ht="21.25" customHeight="1">
      <c r="A547" s="53">
        <f>RANK(K547,K2:K730)</f>
        <v>626</v>
      </c>
      <c r="B547" t="s" s="8">
        <v>699</v>
      </c>
      <c r="C547" t="s" s="39">
        <v>106</v>
      </c>
      <c r="D547" t="s" s="40">
        <f>VLOOKUP(B547,'Player Data'!A1:D734,4,FALSE)</f>
        <v>121</v>
      </c>
      <c r="E547" s="55">
        <f>VLOOKUP(B547,'RW'!A1:F132,3,FALSE)</f>
        <v>119</v>
      </c>
      <c r="F547" t="s" s="42">
        <f>VLOOKUP(B547,'Player Data'!A1:B734,2,FALSE)</f>
        <v>139</v>
      </c>
      <c r="G547" s="9">
        <f>VLOOKUP(B547,'Player Data'!A1:D734,3,FALSE)</f>
        <v>21</v>
      </c>
      <c r="H547" s="43">
        <f>_xlfn.IFERROR(VLOOKUP(B547,'ADP'!A1:G731,7,FALSE)/1000000,VLOOKUP(B547,'ADP'!A1:G731,7,FALSE))</f>
        <v>0.863333</v>
      </c>
      <c r="I547" s="44">
        <f>IF('Settings'!$E$15="POINTS",((R547*Q547)*'Settings'!$B$12)+(S547*'Settings'!$B$2)+(T547*'Settings'!$B$3)+(U547*'Settings'!$B$4)+(V547*'Settings'!$B$5)+(X547*'Settings'!$B$9)+(AA547*'Settings'!$B$6)+(W547*'Settings'!$B$8)+(AB547*'Settings'!$B$7)+(AC547*'Settings'!$B$14)+(AD547*'Settings'!$B$15)+(AE547*'Settings'!$B$16)+(AF547*'Settings'!$B$17)+(AG547*'Settings'!$B$18)+(Y547*'Settings'!$B$10)+(Z547*'Settings'!$B$11),VLOOKUP(B547,'Standard Deviations'!A1:C731,3,FALSE))</f>
        <v>157.183292644769</v>
      </c>
      <c r="J547" s="45">
        <f>IF(D547="G",I547/AJ547,I547/Q547)</f>
        <v>3.14366585289538</v>
      </c>
      <c r="K547" s="44">
        <f>IF('Settings'!$E$18="C/LW/RW",VLOOKUP(B547,'RW'!A1:F132,6,FALSE),VLOOKUP(B547,'F'!A1:F432,6,FALSE))</f>
        <v>-224.445271061587</v>
      </c>
      <c r="L547" s="44">
        <f>_xlfn.IFERROR(K547/H547,"N/A")</f>
        <v>-259.975317822424</v>
      </c>
      <c r="M547" s="46">
        <f>IF('Settings'!$E$9="YAHOO",VLOOKUP(B547,'ADP'!A1:E731,2,FALSE),IF('Settings'!$E$9="ESPN",VLOOKUP(B547,'ADP'!A1:E731,3,FALSE),IF('Settings'!$E$9="FANTRAX",VLOOKUP(B547,'ADP'!A1:E731,4,FALSE),VLOOKUP(B547,'ADP'!A1:E731,5,FALSE))))</f>
        <v>1226.6</v>
      </c>
      <c r="N547" s="46">
        <f>_xlfn.IFERROR(M547-A547,"N/A")</f>
        <v>600.6</v>
      </c>
      <c r="O547" s="46"/>
      <c r="P547" t="s" s="47">
        <f>IF('Settings'!$E$27="ON",VLOOKUP(B547,'ADP'!A1:H731,8,FALSE)," ")</f>
        <v>109</v>
      </c>
      <c r="Q547" s="48">
        <f>IF('Settings'!$E$12="YES",VLOOKUP(B547,'Player Data'!A1:E734,5,FALSE),82)</f>
        <v>50</v>
      </c>
      <c r="R547" s="46">
        <f>VLOOKUP(B547,'Player Data'!$A1:$AE734,6,FALSE)</f>
        <v>14.0614844163012</v>
      </c>
      <c r="S547" s="48">
        <f>VLOOKUP(B547,'Player Data'!$A1:$AE734,7,FALSE)*$Q547*_xlfn.IFERROR((VLOOKUP(P547,'Settings'!$E$28:$F$33,2,FALSE)+1),1)</f>
        <v>10.4667061886231</v>
      </c>
      <c r="T547" s="48">
        <f>VLOOKUP(B547,'Player Data'!$A1:$AE734,8,FALSE)*$Q547*_xlfn.IFERROR((VLOOKUP(P547,'Settings'!$E$28:$F$33,2,FALSE)+1),1)</f>
        <v>15.7499380741876</v>
      </c>
      <c r="U547" s="48">
        <f>SUM(S547:T547)</f>
        <v>26.2166442628107</v>
      </c>
      <c r="V547" s="48">
        <f>VLOOKUP(B547,'Player Data'!$A1:$AE734,10,FALSE)*$Q547*_xlfn.IFERROR(((VLOOKUP(P547,'Settings'!$E$28:$F$33,2,FALSE)/2)+1),1)</f>
        <v>91.026375995610</v>
      </c>
      <c r="W547" s="48">
        <f>VLOOKUP(B547,'Player Data'!$A1:$AE734,11,FALSE)*$Q547*_xlfn.IFERROR((VLOOKUP(P547,'Settings'!$E$28:$F$33,2,FALSE)+1),1)</f>
        <v>1.33140113698765</v>
      </c>
      <c r="X547" s="48">
        <f>VLOOKUP(B547,'Player Data'!$A1:$AE734,12,FALSE)*$Q547*_xlfn.IFERROR((VLOOKUP(P547,'Settings'!$E$28:$F$33,2,FALSE)+1),1)</f>
        <v>4.03656937645511</v>
      </c>
      <c r="Y547" s="48">
        <f>VLOOKUP(B547,'Player Data'!$A1:$AE734,13,FALSE)*$Q547</f>
        <v>0.0346138028062378</v>
      </c>
      <c r="Z547" s="48">
        <f>VLOOKUP(B547,'Player Data'!$A1:$AE734,14,FALSE)*$Q547</f>
        <v>0.225679446058519</v>
      </c>
      <c r="AA547" s="48">
        <f>VLOOKUP(B547,'Player Data'!$A1:$AE734,15,FALSE)*$Q547</f>
        <v>15.6445945598133</v>
      </c>
      <c r="AB547" s="48">
        <f>VLOOKUP(B547,'Player Data'!$A1:$AE734,16,FALSE)*$Q547</f>
        <v>36.1858256142942</v>
      </c>
      <c r="AC547" s="48">
        <f>VLOOKUP(B547,'Player Data'!$A1:$AE734,17,FALSE)*$Q547*_xlfn.IFERROR((VLOOKUP(P547,'Settings'!$E$28:$F$33,2,FALSE)+1),1)</f>
        <v>-0.524813269637615</v>
      </c>
      <c r="AD547" s="48">
        <f>VLOOKUP(B547,'Player Data'!$A1:$AE734,18,FALSE)*$Q547</f>
        <v>12.6355978415792</v>
      </c>
      <c r="AE547" s="48">
        <f>VLOOKUP(B547,'Player Data'!$A1:$AE734,19,FALSE)*$Q547*_xlfn.IFERROR((VLOOKUP(P547,'Settings'!$E$28:$F$33,2,FALSE)+1),1)</f>
        <v>1.33993785100681</v>
      </c>
      <c r="AF547" s="48">
        <f>VLOOKUP(B547,'Player Data'!$A1:$AE734,20,FALSE)*$Q547</f>
        <v>7.2313955815441</v>
      </c>
      <c r="AG547" s="48">
        <f>VLOOKUP(B547,'Player Data'!$A1:$AE734,21,FALSE)*$Q547</f>
        <v>14.9782527106994</v>
      </c>
      <c r="AH547" s="49">
        <f>VLOOKUP(B547,'Player Data'!$A1:$AE734,22,FALSE)</f>
        <v>0.325597032712561</v>
      </c>
      <c r="AI547" s="46"/>
      <c r="AJ547" s="50"/>
      <c r="AK547" s="48"/>
      <c r="AL547" s="48"/>
      <c r="AM547" s="48"/>
      <c r="AN547" s="48"/>
      <c r="AO547" s="48"/>
      <c r="AP547" s="48"/>
      <c r="AQ547" s="51"/>
      <c r="AR547" s="52"/>
      <c r="AS547" s="46"/>
    </row>
    <row r="548" ht="21.25" customHeight="1">
      <c r="A548" s="53">
        <f>RANK(K548,K2:K730)</f>
        <v>576</v>
      </c>
      <c r="B548" t="s" s="8">
        <v>700</v>
      </c>
      <c r="C548" t="s" s="39">
        <v>106</v>
      </c>
      <c r="D548" t="s" s="40">
        <f>VLOOKUP(B548,'Player Data'!A1:D734,4,FALSE)</f>
        <v>107</v>
      </c>
      <c r="E548" s="41">
        <f>VLOOKUP(B548,'C'!A1:C218,3,FALSE)</f>
        <v>151</v>
      </c>
      <c r="F548" t="s" s="42">
        <f>VLOOKUP(B548,'Player Data'!A1:B734,2,FALSE)</f>
        <v>184</v>
      </c>
      <c r="G548" s="9">
        <f>VLOOKUP(B548,'Player Data'!A1:D734,3,FALSE)</f>
        <v>27</v>
      </c>
      <c r="H548" s="43">
        <f>_xlfn.IFERROR(VLOOKUP(B548,'ADP'!A1:G731,7,FALSE)/1000000,VLOOKUP(B548,'ADP'!A1:G731,7,FALSE))</f>
        <v>4</v>
      </c>
      <c r="I548" s="44">
        <f>IF('Settings'!$E$15="POINTS",((R548*Q548)*'Settings'!$B$12)+(S548*'Settings'!$B$2)+(T548*'Settings'!$B$3)+(U548*'Settings'!$B$4)+(V548*'Settings'!$B$5)+(X548*'Settings'!$B$9)+(AA548*'Settings'!$B$6)+(W548*'Settings'!$B$8)+(AB548*'Settings'!$B$7)+(AC548*'Settings'!$B$14)+(AD548*'Settings'!$B$15)+(AE548*'Settings'!$B$16)+(AF548*'Settings'!$B$17)+(AG548*'Settings'!$B$18)+(Y548*'Settings'!$B$10)+(Z548*'Settings'!$B$11),VLOOKUP(B548,'Standard Deviations'!A1:C731,3,FALSE))</f>
        <v>185.517372034911</v>
      </c>
      <c r="J548" s="45">
        <f>IF(D548="G",I548/AJ548,I548/Q548)</f>
        <v>2.85135606061035</v>
      </c>
      <c r="K548" s="44">
        <f>IF('Settings'!$E$18="C/LW/RW",VLOOKUP(B548,'C'!A1:F218,6,FALSE),VLOOKUP(B548,'F'!A1:F432,6,FALSE))</f>
        <v>-210.256829601104</v>
      </c>
      <c r="L548" s="44">
        <f>_xlfn.IFERROR(K548/H548,"N/A")</f>
        <v>-52.564207400276</v>
      </c>
      <c r="M548" t="s" s="61">
        <f>IF('Settings'!$E$9="YAHOO",VLOOKUP(B548,'ADP'!A1:E731,2,FALSE),IF('Settings'!$E$9="ESPN",VLOOKUP(B548,'ADP'!A1:E731,3,FALSE),IF('Settings'!$E$9="FANTRAX",VLOOKUP(B548,'ADP'!A1:E731,4,FALSE),VLOOKUP(B548,'ADP'!A1:E731,5,FALSE))))</f>
        <v>329</v>
      </c>
      <c r="N548" t="s" s="61">
        <f>_xlfn.IFERROR(M548-A548,"N/A")</f>
        <v>158</v>
      </c>
      <c r="O548" s="46"/>
      <c r="P548" t="s" s="47">
        <f>IF('Settings'!$E$27="ON",VLOOKUP(B548,'ADP'!A1:H731,8,FALSE)," ")</f>
        <v>109</v>
      </c>
      <c r="Q548" s="48">
        <f>IF('Settings'!$E$12="YES",VLOOKUP(B548,'Player Data'!A1:E734,5,FALSE),82)</f>
        <v>65.0628571428571</v>
      </c>
      <c r="R548" s="46">
        <f>VLOOKUP(B548,'Player Data'!$A1:$AE734,6,FALSE)</f>
        <v>13.8175776355259</v>
      </c>
      <c r="S548" s="48">
        <f>VLOOKUP(B548,'Player Data'!$A1:$AE734,7,FALSE)*$Q548*_xlfn.IFERROR((VLOOKUP(P548,'Settings'!$E$28:$F$33,2,FALSE)+1),1)</f>
        <v>13.858050162738</v>
      </c>
      <c r="T548" s="48">
        <f>VLOOKUP(B548,'Player Data'!$A1:$AE734,8,FALSE)*$Q548*_xlfn.IFERROR((VLOOKUP(P548,'Settings'!$E$28:$F$33,2,FALSE)+1),1)</f>
        <v>14.0023483121726</v>
      </c>
      <c r="U548" s="48">
        <f>SUM(S548:T548)</f>
        <v>27.8603984749106</v>
      </c>
      <c r="V548" s="48">
        <f>VLOOKUP(B548,'Player Data'!$A1:$AE734,10,FALSE)*$Q548*_xlfn.IFERROR(((VLOOKUP(P548,'Settings'!$E$28:$F$33,2,FALSE)/2)+1),1)</f>
        <v>92.2999961243745</v>
      </c>
      <c r="W548" s="48">
        <f>VLOOKUP(B548,'Player Data'!$A1:$AE734,11,FALSE)*$Q548*_xlfn.IFERROR((VLOOKUP(P548,'Settings'!$E$28:$F$33,2,FALSE)+1),1)</f>
        <v>3.00039127332653</v>
      </c>
      <c r="X548" s="48">
        <f>VLOOKUP(B548,'Player Data'!$A1:$AE734,12,FALSE)*$Q548*_xlfn.IFERROR((VLOOKUP(P548,'Settings'!$E$28:$F$33,2,FALSE)+1),1)</f>
        <v>6.48680933293666</v>
      </c>
      <c r="Y548" s="48">
        <f>VLOOKUP(B548,'Player Data'!$A1:$AE734,13,FALSE)*$Q548</f>
        <v>0.0106574063102421</v>
      </c>
      <c r="Z548" s="48">
        <f>VLOOKUP(B548,'Player Data'!$A1:$AE734,14,FALSE)*$Q548</f>
        <v>0.0195704400048871</v>
      </c>
      <c r="AA548" s="48">
        <f>VLOOKUP(B548,'Player Data'!$A1:$AE734,15,FALSE)*$Q548</f>
        <v>26.511034123867</v>
      </c>
      <c r="AB548" s="48">
        <f>VLOOKUP(B548,'Player Data'!$A1:$AE734,16,FALSE)*$Q548</f>
        <v>86.8177814477652</v>
      </c>
      <c r="AC548" s="48">
        <f>VLOOKUP(B548,'Player Data'!$A1:$AE734,17,FALSE)*$Q548*_xlfn.IFERROR((VLOOKUP(P548,'Settings'!$E$28:$F$33,2,FALSE)+1),1)</f>
        <v>-1.9855928306002</v>
      </c>
      <c r="AD548" s="48">
        <f>VLOOKUP(B548,'Player Data'!$A1:$AE734,18,FALSE)*$Q548</f>
        <v>27.1686041844006</v>
      </c>
      <c r="AE548" s="48">
        <f>VLOOKUP(B548,'Player Data'!$A1:$AE734,19,FALSE)*$Q548*_xlfn.IFERROR((VLOOKUP(P548,'Settings'!$E$28:$F$33,2,FALSE)+1),1)</f>
        <v>1.83391698326533</v>
      </c>
      <c r="AF548" s="48">
        <f>VLOOKUP(B548,'Player Data'!$A1:$AE734,20,FALSE)*$Q548</f>
        <v>47.178702207069</v>
      </c>
      <c r="AG548" s="48">
        <f>VLOOKUP(B548,'Player Data'!$A1:$AE734,21,FALSE)*$Q548</f>
        <v>57.1774418373298</v>
      </c>
      <c r="AH548" s="49">
        <f>VLOOKUP(B548,'Player Data'!$A1:$AE734,22,FALSE)</f>
        <v>0.452093191436784</v>
      </c>
      <c r="AI548" s="46"/>
      <c r="AJ548" s="50"/>
      <c r="AK548" s="48"/>
      <c r="AL548" s="48"/>
      <c r="AM548" s="48"/>
      <c r="AN548" s="48"/>
      <c r="AO548" s="48"/>
      <c r="AP548" s="48"/>
      <c r="AQ548" s="51"/>
      <c r="AR548" s="52"/>
      <c r="AS548" s="46"/>
    </row>
    <row r="549" ht="21.25" customHeight="1">
      <c r="A549" s="53">
        <f>RANK(K549,K2:K730)</f>
        <v>522</v>
      </c>
      <c r="B549" t="s" s="8">
        <v>701</v>
      </c>
      <c r="C549" t="s" s="39">
        <v>106</v>
      </c>
      <c r="D549" t="s" s="40">
        <f>VLOOKUP(B549,'Player Data'!A1:D734,4,FALSE)</f>
        <v>121</v>
      </c>
      <c r="E549" s="55">
        <f>VLOOKUP(B549,'RW'!A1:F132,3,FALSE)</f>
        <v>97</v>
      </c>
      <c r="F549" t="s" s="42">
        <f>VLOOKUP(B549,'Player Data'!A1:B734,2,FALSE)</f>
        <v>113</v>
      </c>
      <c r="G549" s="9">
        <f>VLOOKUP(B549,'Player Data'!A1:D734,3,FALSE)</f>
        <v>27</v>
      </c>
      <c r="H549" s="43">
        <f>_xlfn.IFERROR(VLOOKUP(B549,'ADP'!A1:G731,7,FALSE)/1000000,VLOOKUP(B549,'ADP'!A1:G731,7,FALSE))</f>
        <v>1.05</v>
      </c>
      <c r="I549" s="44">
        <f>IF('Settings'!$E$15="POINTS",((R549*Q549)*'Settings'!$B$12)+(S549*'Settings'!$B$2)+(T549*'Settings'!$B$3)+(U549*'Settings'!$B$4)+(V549*'Settings'!$B$5)+(X549*'Settings'!$B$9)+(AA549*'Settings'!$B$6)+(W549*'Settings'!$B$8)+(AB549*'Settings'!$B$7)+(AC549*'Settings'!$B$14)+(AD549*'Settings'!$B$15)+(AE549*'Settings'!$B$16)+(AF549*'Settings'!$B$17)+(AG549*'Settings'!$B$18)+(Y549*'Settings'!$B$10)+(Z549*'Settings'!$B$11),VLOOKUP(B549,'Standard Deviations'!A1:C731,3,FALSE))</f>
        <v>192.800673557396</v>
      </c>
      <c r="J549" s="45">
        <f>IF(D549="G",I549/AJ549,I549/Q549)</f>
        <v>2.50670687531382</v>
      </c>
      <c r="K549" s="44">
        <f>IF('Settings'!$E$18="C/LW/RW",VLOOKUP(B549,'RW'!A1:F132,6,FALSE),VLOOKUP(B549,'F'!A1:F432,6,FALSE))</f>
        <v>-188.827890148960</v>
      </c>
      <c r="L549" s="44">
        <f>_xlfn.IFERROR(K549/H549,"N/A")</f>
        <v>-179.836085856152</v>
      </c>
      <c r="M549" t="s" s="61">
        <f>IF('Settings'!$E$9="YAHOO",VLOOKUP(B549,'ADP'!A1:E731,2,FALSE),IF('Settings'!$E$9="ESPN",VLOOKUP(B549,'ADP'!A1:E731,3,FALSE),IF('Settings'!$E$9="FANTRAX",VLOOKUP(B549,'ADP'!A1:E731,4,FALSE),VLOOKUP(B549,'ADP'!A1:E731,5,FALSE))))</f>
        <v>329</v>
      </c>
      <c r="N549" t="s" s="61">
        <f>_xlfn.IFERROR(M549-A549,"N/A")</f>
        <v>158</v>
      </c>
      <c r="O549" s="46"/>
      <c r="P549" t="s" s="47">
        <f>IF('Settings'!$E$27="ON",VLOOKUP(B549,'ADP'!A1:H731,8,FALSE)," ")</f>
        <v>109</v>
      </c>
      <c r="Q549" s="48">
        <f>IF('Settings'!$E$12="YES",VLOOKUP(B549,'Player Data'!A1:E734,5,FALSE),82)</f>
        <v>76.9139285714286</v>
      </c>
      <c r="R549" s="46">
        <f>VLOOKUP(B549,'Player Data'!$A1:$AE734,6,FALSE)</f>
        <v>13.8369740966699</v>
      </c>
      <c r="S549" s="48">
        <f>VLOOKUP(B549,'Player Data'!$A1:$AE734,7,FALSE)*$Q549*_xlfn.IFERROR((VLOOKUP(P549,'Settings'!$E$28:$F$33,2,FALSE)+1),1)</f>
        <v>8.741394093084271</v>
      </c>
      <c r="T549" s="48">
        <f>VLOOKUP(B549,'Player Data'!$A1:$AE734,8,FALSE)*$Q549*_xlfn.IFERROR((VLOOKUP(P549,'Settings'!$E$28:$F$33,2,FALSE)+1),1)</f>
        <v>15.2936748660158</v>
      </c>
      <c r="U549" s="48">
        <f>SUM(S549:T549)</f>
        <v>24.0350689591001</v>
      </c>
      <c r="V549" s="48">
        <f>VLOOKUP(B549,'Player Data'!$A1:$AE734,10,FALSE)*$Q549*_xlfn.IFERROR(((VLOOKUP(P549,'Settings'!$E$28:$F$33,2,FALSE)/2)+1),1)</f>
        <v>104.691218367387</v>
      </c>
      <c r="W549" s="48">
        <f>VLOOKUP(B549,'Player Data'!$A1:$AE734,11,FALSE)*$Q549*_xlfn.IFERROR((VLOOKUP(P549,'Settings'!$E$28:$F$33,2,FALSE)+1),1)</f>
        <v>0.0597847070460852</v>
      </c>
      <c r="X549" s="48">
        <f>VLOOKUP(B549,'Player Data'!$A1:$AE734,12,FALSE)*$Q549*_xlfn.IFERROR((VLOOKUP(P549,'Settings'!$E$28:$F$33,2,FALSE)+1),1)</f>
        <v>0.15276745623822</v>
      </c>
      <c r="Y549" s="48">
        <f>VLOOKUP(B549,'Player Data'!$A1:$AE734,13,FALSE)*$Q549</f>
        <v>1.35406299206659</v>
      </c>
      <c r="Z549" s="48">
        <f>VLOOKUP(B549,'Player Data'!$A1:$AE734,14,FALSE)*$Q549</f>
        <v>2.78490691657559</v>
      </c>
      <c r="AA549" s="48">
        <f>VLOOKUP(B549,'Player Data'!$A1:$AE734,15,FALSE)*$Q549</f>
        <v>47.694918388301</v>
      </c>
      <c r="AB549" s="48">
        <f>VLOOKUP(B549,'Player Data'!$A1:$AE734,16,FALSE)*$Q549</f>
        <v>103.281973317895</v>
      </c>
      <c r="AC549" s="48">
        <f>VLOOKUP(B549,'Player Data'!$A1:$AE734,17,FALSE)*$Q549*_xlfn.IFERROR((VLOOKUP(P549,'Settings'!$E$28:$F$33,2,FALSE)+1),1)</f>
        <v>4.1179735418733</v>
      </c>
      <c r="AD549" s="48">
        <f>VLOOKUP(B549,'Player Data'!$A1:$AE734,18,FALSE)*$Q549</f>
        <v>32.6441339090096</v>
      </c>
      <c r="AE549" s="48">
        <f>VLOOKUP(B549,'Player Data'!$A1:$AE734,19,FALSE)*$Q549*_xlfn.IFERROR((VLOOKUP(P549,'Settings'!$E$28:$F$33,2,FALSE)+1),1)</f>
        <v>1.38302024983696</v>
      </c>
      <c r="AF549" s="48">
        <f>VLOOKUP(B549,'Player Data'!$A1:$AE734,20,FALSE)*$Q549</f>
        <v>2.72092723118546</v>
      </c>
      <c r="AG549" s="48">
        <f>VLOOKUP(B549,'Player Data'!$A1:$AE734,21,FALSE)*$Q549</f>
        <v>10.0541961236879</v>
      </c>
      <c r="AH549" s="49">
        <f>VLOOKUP(B549,'Player Data'!$A1:$AE734,22,FALSE)</f>
        <v>0.212986376381836</v>
      </c>
      <c r="AI549" s="46"/>
      <c r="AJ549" s="50"/>
      <c r="AK549" s="48"/>
      <c r="AL549" s="48"/>
      <c r="AM549" s="48"/>
      <c r="AN549" s="48"/>
      <c r="AO549" s="48"/>
      <c r="AP549" s="48"/>
      <c r="AQ549" s="51"/>
      <c r="AR549" s="52"/>
      <c r="AS549" s="46"/>
    </row>
    <row r="550" ht="21.25" customHeight="1">
      <c r="A550" s="53">
        <f>RANK(K550,K2:K730)</f>
        <v>670</v>
      </c>
      <c r="B550" t="s" s="8">
        <v>702</v>
      </c>
      <c r="C550" t="s" s="39">
        <v>106</v>
      </c>
      <c r="D550" t="s" s="40">
        <f>VLOOKUP(B550,'Player Data'!A1:D734,4,FALSE)</f>
        <v>129</v>
      </c>
      <c r="E550" s="56">
        <f>VLOOKUP(B550,'D'!A1:C228,3,FALSE)</f>
        <v>222</v>
      </c>
      <c r="F550" t="s" s="42">
        <f>VLOOKUP(B550,'Player Data'!A1:B734,2,FALSE)</f>
        <v>108</v>
      </c>
      <c r="G550" s="9">
        <f>VLOOKUP(B550,'Player Data'!A1:D734,3,FALSE)</f>
        <v>22</v>
      </c>
      <c r="H550" s="43">
        <f>_xlfn.IFERROR(VLOOKUP(B550,'ADP'!A1:G731,7,FALSE)/1000000,VLOOKUP(B550,'ADP'!A1:G731,7,FALSE))</f>
        <v>0.863333</v>
      </c>
      <c r="I550" s="44">
        <f>IF('Settings'!$E$15="POINTS",((R550*Q550)*'Settings'!$B$12)+(S550*'Settings'!$B$2)+(T550*'Settings'!$B$3)+(U550*'Settings'!$B$4)+(V550*'Settings'!$B$5)+(X550*'Settings'!$B$9)+(AA550*'Settings'!$B$6)+(W550*'Settings'!$B$8)+(AB550*'Settings'!$B$7)+(AC550*'Settings'!$B$14)+(AD550*'Settings'!$B$15)+(AE550*'Settings'!$B$16)+(AF550*'Settings'!$B$17)+(AG550*'Settings'!$B$18)+(U550*'Settings'!$B$13)+(Y550*'Settings'!$B$10)+(Z550*'Settings'!$B$11),VLOOKUP(B550,'Standard Deviations'!A1:C731,3,FALSE))</f>
        <v>96.3920793329148</v>
      </c>
      <c r="J550" s="45">
        <f>IF(D550="G",I550/AJ550,I550/Q550)</f>
        <v>1.53423388377565</v>
      </c>
      <c r="K550" s="44">
        <f>VLOOKUP(B550,'D'!A1:F228,6,FALSE)</f>
        <v>-244.343059313608</v>
      </c>
      <c r="L550" s="44">
        <f>_xlfn.IFERROR(K550/H550,"N/A")</f>
        <v>-283.022957901074</v>
      </c>
      <c r="M550" t="s" s="61">
        <f>IF('Settings'!$E$9="YAHOO",VLOOKUP(B550,'ADP'!A1:E731,2,FALSE),IF('Settings'!$E$9="ESPN",VLOOKUP(B550,'ADP'!A1:E731,3,FALSE),IF('Settings'!$E$9="FANTRAX",VLOOKUP(B550,'ADP'!A1:E731,4,FALSE),VLOOKUP(B550,'ADP'!A1:E731,5,FALSE))))</f>
        <v>329</v>
      </c>
      <c r="N550" t="s" s="61">
        <f>_xlfn.IFERROR(M550-A550,"N/A")</f>
        <v>158</v>
      </c>
      <c r="O550" s="46"/>
      <c r="P550" t="s" s="47">
        <f>IF('Settings'!$E$27="ON",VLOOKUP(B550,'ADP'!A1:H731,8,FALSE)," ")</f>
        <v>109</v>
      </c>
      <c r="Q550" s="48">
        <f>IF('Settings'!$E$12="YES",VLOOKUP(B550,'Player Data'!A1:E734,5,FALSE),82)</f>
        <v>62.8275</v>
      </c>
      <c r="R550" s="46">
        <f>VLOOKUP(B550,'Player Data'!$A1:$AE734,6,FALSE)</f>
        <v>12.1194539803154</v>
      </c>
      <c r="S550" s="48">
        <f>VLOOKUP(B550,'Player Data'!$A1:$AE734,7,FALSE)*$Q550*_xlfn.IFERROR((VLOOKUP(P550,'Settings'!$E$28:$F$33,2,FALSE)+1),1)</f>
        <v>1.95399119859636</v>
      </c>
      <c r="T550" s="48">
        <f>VLOOKUP(B550,'Player Data'!$A1:$AE734,8,FALSE)*$Q550*_xlfn.IFERROR((VLOOKUP(P550,'Settings'!$E$28:$F$33,2,FALSE)+1),1)</f>
        <v>8.403307642374781</v>
      </c>
      <c r="U550" s="48">
        <f>SUM(S550:T550)</f>
        <v>10.3572988409711</v>
      </c>
      <c r="V550" s="48">
        <f>VLOOKUP(B550,'Player Data'!$A1:$AE734,10,FALSE)*$Q550*_xlfn.IFERROR(((VLOOKUP(P550,'Settings'!$E$28:$F$33,2,FALSE)/2)+1),1)</f>
        <v>49.4933043335966</v>
      </c>
      <c r="W550" s="48">
        <f>VLOOKUP(B550,'Player Data'!$A1:$AE734,11,FALSE)*$Q550*_xlfn.IFERROR((VLOOKUP(P550,'Settings'!$E$28:$F$33,2,FALSE)+1),1)</f>
        <v>0.0374552318078168</v>
      </c>
      <c r="X550" s="48">
        <f>VLOOKUP(B550,'Player Data'!$A1:$AE734,12,FALSE)*$Q550*_xlfn.IFERROR((VLOOKUP(P550,'Settings'!$E$28:$F$33,2,FALSE)+1),1)</f>
        <v>0.251317699951141</v>
      </c>
      <c r="Y550" s="48">
        <f>VLOOKUP(B550,'Player Data'!$A1:$AE734,13,FALSE)*$Q550</f>
        <v>0.0200421348504621</v>
      </c>
      <c r="Z550" s="48">
        <f>VLOOKUP(B550,'Player Data'!$A1:$AE734,14,FALSE)*$Q550</f>
        <v>0.0735002134273002</v>
      </c>
      <c r="AA550" s="48">
        <f>VLOOKUP(B550,'Player Data'!$A1:$AE734,15,FALSE)*$Q550</f>
        <v>48.6769035658233</v>
      </c>
      <c r="AB550" s="48">
        <f>VLOOKUP(B550,'Player Data'!$A1:$AE734,16,FALSE)*$Q550</f>
        <v>52.628366542169</v>
      </c>
      <c r="AC550" s="48">
        <f>VLOOKUP(B550,'Player Data'!$A1:$AE734,17,FALSE)*$Q550*_xlfn.IFERROR((VLOOKUP(P550,'Settings'!$E$28:$F$33,2,FALSE)+1),1)</f>
        <v>4.24287530008179</v>
      </c>
      <c r="AD550" s="48">
        <f>VLOOKUP(B550,'Player Data'!$A1:$AE734,18,FALSE)*$Q550</f>
        <v>12.2220330138712</v>
      </c>
      <c r="AE550" s="48">
        <f>VLOOKUP(B550,'Player Data'!$A1:$AE734,19,FALSE)*$Q550*_xlfn.IFERROR((VLOOKUP(P550,'Settings'!$E$28:$F$33,2,FALSE)+1),1)</f>
        <v>0.309295829425067</v>
      </c>
      <c r="AF550" s="48">
        <f>VLOOKUP(B550,'Player Data'!$A1:$AE734,20,FALSE)*$Q550</f>
        <v>0</v>
      </c>
      <c r="AG550" s="48">
        <f>VLOOKUP(B550,'Player Data'!$A1:$AE734,21,FALSE)*$Q550</f>
        <v>0</v>
      </c>
      <c r="AH550" s="49">
        <f>VLOOKUP(B550,'Player Data'!$A1:$AE734,22,FALSE)</f>
        <v>0</v>
      </c>
      <c r="AI550" s="46"/>
      <c r="AJ550" s="50"/>
      <c r="AK550" s="48"/>
      <c r="AL550" s="48"/>
      <c r="AM550" s="48"/>
      <c r="AN550" s="48"/>
      <c r="AO550" s="48"/>
      <c r="AP550" s="48"/>
      <c r="AQ550" s="51"/>
      <c r="AR550" s="52"/>
      <c r="AS550" s="46"/>
    </row>
    <row r="551" ht="21.25" customHeight="1">
      <c r="A551" s="53">
        <f>RANK(K551,K2:K730)</f>
        <v>524</v>
      </c>
      <c r="B551" t="s" s="8">
        <v>703</v>
      </c>
      <c r="C551" t="s" s="39">
        <v>106</v>
      </c>
      <c r="D551" t="s" s="40">
        <f>VLOOKUP(B551,'Player Data'!A1:D734,4,FALSE)</f>
        <v>107</v>
      </c>
      <c r="E551" s="41">
        <f>VLOOKUP(B551,'C'!A1:C218,3,FALSE)</f>
        <v>136</v>
      </c>
      <c r="F551" t="s" s="42">
        <f>VLOOKUP(B551,'Player Data'!A1:B734,2,FALSE)</f>
        <v>141</v>
      </c>
      <c r="G551" s="9">
        <f>VLOOKUP(B551,'Player Data'!A1:D734,3,FALSE)</f>
        <v>28</v>
      </c>
      <c r="H551" s="43">
        <f>_xlfn.IFERROR(VLOOKUP(B551,'ADP'!A1:G731,7,FALSE)/1000000,VLOOKUP(B551,'ADP'!A1:G731,7,FALSE))</f>
        <v>2</v>
      </c>
      <c r="I551" s="44">
        <f>IF('Settings'!$E$15="POINTS",((R551*Q551)*'Settings'!$B$12)+(S551*'Settings'!$B$2)+(T551*'Settings'!$B$3)+(U551*'Settings'!$B$4)+(V551*'Settings'!$B$5)+(X551*'Settings'!$B$9)+(AA551*'Settings'!$B$6)+(W551*'Settings'!$B$8)+(AB551*'Settings'!$B$7)+(AC551*'Settings'!$B$14)+(AD551*'Settings'!$B$15)+(AE551*'Settings'!$B$16)+(AF551*'Settings'!$B$17)+(AG551*'Settings'!$B$18)+(Y551*'Settings'!$B$10)+(Z551*'Settings'!$B$11),VLOOKUP(B551,'Standard Deviations'!A1:C731,3,FALSE))</f>
        <v>206.078890566960</v>
      </c>
      <c r="J551" s="45">
        <f>IF(D551="G",I551/AJ551,I551/Q551)</f>
        <v>2.62082088944573</v>
      </c>
      <c r="K551" s="44">
        <f>IF('Settings'!$E$18="C/LW/RW",VLOOKUP(B551,'C'!A1:F218,6,FALSE),VLOOKUP(B551,'F'!A1:F432,6,FALSE))</f>
        <v>-189.695311069055</v>
      </c>
      <c r="L551" s="44">
        <f>_xlfn.IFERROR(K551/H551,"N/A")</f>
        <v>-94.8476555345275</v>
      </c>
      <c r="M551" t="s" s="61">
        <f>IF('Settings'!$E$9="YAHOO",VLOOKUP(B551,'ADP'!A1:E731,2,FALSE),IF('Settings'!$E$9="ESPN",VLOOKUP(B551,'ADP'!A1:E731,3,FALSE),IF('Settings'!$E$9="FANTRAX",VLOOKUP(B551,'ADP'!A1:E731,4,FALSE),VLOOKUP(B551,'ADP'!A1:E731,5,FALSE))))</f>
        <v>329</v>
      </c>
      <c r="N551" t="s" s="61">
        <f>_xlfn.IFERROR(M551-A551,"N/A")</f>
        <v>158</v>
      </c>
      <c r="O551" s="46"/>
      <c r="P551" t="s" s="47">
        <f>IF('Settings'!$E$27="ON",VLOOKUP(B551,'ADP'!A1:H731,8,FALSE)," ")</f>
        <v>109</v>
      </c>
      <c r="Q551" s="48">
        <f>IF('Settings'!$E$12="YES",VLOOKUP(B551,'Player Data'!A1:E734,5,FALSE),82)</f>
        <v>78.6314285714286</v>
      </c>
      <c r="R551" s="46">
        <f>VLOOKUP(B551,'Player Data'!$A1:$AE734,6,FALSE)</f>
        <v>13.6153605837417</v>
      </c>
      <c r="S551" s="48">
        <f>VLOOKUP(B551,'Player Data'!$A1:$AE734,7,FALSE)*$Q551*_xlfn.IFERROR((VLOOKUP(P551,'Settings'!$E$28:$F$33,2,FALSE)+1),1)</f>
        <v>13.0681214161676</v>
      </c>
      <c r="T551" s="48">
        <f>VLOOKUP(B551,'Player Data'!$A1:$AE734,8,FALSE)*$Q551*_xlfn.IFERROR((VLOOKUP(P551,'Settings'!$E$28:$F$33,2,FALSE)+1),1)</f>
        <v>12.6696225374563</v>
      </c>
      <c r="U551" s="48">
        <f>SUM(S551:T551)</f>
        <v>25.7377439536239</v>
      </c>
      <c r="V551" s="48">
        <f>VLOOKUP(B551,'Player Data'!$A1:$AE734,10,FALSE)*$Q551*_xlfn.IFERROR(((VLOOKUP(P551,'Settings'!$E$28:$F$33,2,FALSE)/2)+1),1)</f>
        <v>118.650913661405</v>
      </c>
      <c r="W551" s="48">
        <f>VLOOKUP(B551,'Player Data'!$A1:$AE734,11,FALSE)*$Q551*_xlfn.IFERROR((VLOOKUP(P551,'Settings'!$E$28:$F$33,2,FALSE)+1),1)</f>
        <v>0.255606766354462</v>
      </c>
      <c r="X551" s="48">
        <f>VLOOKUP(B551,'Player Data'!$A1:$AE734,12,FALSE)*$Q551*_xlfn.IFERROR((VLOOKUP(P551,'Settings'!$E$28:$F$33,2,FALSE)+1),1)</f>
        <v>0.60043380295849</v>
      </c>
      <c r="Y551" s="48">
        <f>VLOOKUP(B551,'Player Data'!$A1:$AE734,13,FALSE)*$Q551</f>
        <v>0.995175913133951</v>
      </c>
      <c r="Z551" s="48">
        <f>VLOOKUP(B551,'Player Data'!$A1:$AE734,14,FALSE)*$Q551</f>
        <v>1.10239042913382</v>
      </c>
      <c r="AA551" s="48">
        <f>VLOOKUP(B551,'Player Data'!$A1:$AE734,15,FALSE)*$Q551</f>
        <v>43.0830133941805</v>
      </c>
      <c r="AB551" s="48">
        <f>VLOOKUP(B551,'Player Data'!$A1:$AE734,16,FALSE)*$Q551</f>
        <v>104.766928783107</v>
      </c>
      <c r="AC551" s="48">
        <f>VLOOKUP(B551,'Player Data'!$A1:$AE734,17,FALSE)*$Q551*_xlfn.IFERROR((VLOOKUP(P551,'Settings'!$E$28:$F$33,2,FALSE)+1),1)</f>
        <v>-0.311037671184534</v>
      </c>
      <c r="AD551" s="48">
        <f>VLOOKUP(B551,'Player Data'!$A1:$AE734,18,FALSE)*$Q551</f>
        <v>23.5216924125547</v>
      </c>
      <c r="AE551" s="48">
        <f>VLOOKUP(B551,'Player Data'!$A1:$AE734,19,FALSE)*$Q551*_xlfn.IFERROR((VLOOKUP(P551,'Settings'!$E$28:$F$33,2,FALSE)+1),1)</f>
        <v>1.62248247332039</v>
      </c>
      <c r="AF551" s="48">
        <f>VLOOKUP(B551,'Player Data'!$A1:$AE734,20,FALSE)*$Q551</f>
        <v>431.352938417110</v>
      </c>
      <c r="AG551" s="48">
        <f>VLOOKUP(B551,'Player Data'!$A1:$AE734,21,FALSE)*$Q551</f>
        <v>365.504300140401</v>
      </c>
      <c r="AH551" s="49">
        <f>VLOOKUP(B551,'Player Data'!$A1:$AE734,22,FALSE)</f>
        <v>0.541317713569315</v>
      </c>
      <c r="AI551" s="46"/>
      <c r="AJ551" s="50"/>
      <c r="AK551" s="48"/>
      <c r="AL551" s="48"/>
      <c r="AM551" s="48"/>
      <c r="AN551" s="48"/>
      <c r="AO551" s="48"/>
      <c r="AP551" s="48"/>
      <c r="AQ551" s="51"/>
      <c r="AR551" s="52"/>
      <c r="AS551" s="46"/>
    </row>
    <row r="552" ht="21.25" customHeight="1">
      <c r="A552" s="53">
        <f>RANK(K552,K2:K730)</f>
        <v>572</v>
      </c>
      <c r="B552" t="s" s="8">
        <v>704</v>
      </c>
      <c r="C552" t="s" s="39">
        <v>106</v>
      </c>
      <c r="D552" t="s" s="40">
        <f>VLOOKUP(B552,'Player Data'!A1:D734,4,FALSE)</f>
        <v>118</v>
      </c>
      <c r="E552" s="54">
        <f>VLOOKUP(B552,'LW'!A1:C156,3,FALSE)</f>
        <v>121</v>
      </c>
      <c r="F552" t="s" s="42">
        <f>VLOOKUP(B552,'Player Data'!A1:B734,2,FALSE)</f>
        <v>189</v>
      </c>
      <c r="G552" s="9">
        <f>VLOOKUP(B552,'Player Data'!A1:D734,3,FALSE)</f>
        <v>23</v>
      </c>
      <c r="H552" s="43">
        <f>_xlfn.IFERROR(VLOOKUP(B552,'ADP'!A1:G731,7,FALSE)/1000000,VLOOKUP(B552,'ADP'!A1:G731,7,FALSE))</f>
        <v>1.525</v>
      </c>
      <c r="I552" s="44">
        <f>IF('Settings'!$E$15="POINTS",((R552*Q552)*'Settings'!$B$12)+(S552*'Settings'!$B$2)+(T552*'Settings'!$B$3)+(U552*'Settings'!$B$4)+(V552*'Settings'!$B$5)+(X552*'Settings'!$B$9)+(AA552*'Settings'!$B$6)+(W552*'Settings'!$B$8)+(AB552*'Settings'!$B$7)+(AC552*'Settings'!$B$14)+(AD552*'Settings'!$B$15)+(AE552*'Settings'!$B$16)+(AF552*'Settings'!$B$17)+(AG552*'Settings'!$B$18)+(Y552*'Settings'!$B$10)+(Z552*'Settings'!$B$11),VLOOKUP(B552,'Standard Deviations'!A1:C731,3,FALSE))</f>
        <v>172.852951068026</v>
      </c>
      <c r="J552" s="45">
        <f>IF(D552="G",I552/AJ552,I552/Q552)</f>
        <v>2.3967408633947</v>
      </c>
      <c r="K552" s="44">
        <f>IF('Settings'!$E$18="C/LW/RW",VLOOKUP(B552,'RW'!A1:F132,6,FALSE),VLOOKUP(B552,'F'!A1:F432,6,FALSE))</f>
        <v>-208.775612638330</v>
      </c>
      <c r="L552" s="44">
        <f>_xlfn.IFERROR(K552/H552,"N/A")</f>
        <v>-136.902041074315</v>
      </c>
      <c r="M552" t="s" s="61">
        <f>IF('Settings'!$E$9="YAHOO",VLOOKUP(B552,'ADP'!A1:E731,2,FALSE),IF('Settings'!$E$9="ESPN",VLOOKUP(B552,'ADP'!A1:E731,3,FALSE),IF('Settings'!$E$9="FANTRAX",VLOOKUP(B552,'ADP'!A1:E731,4,FALSE),VLOOKUP(B552,'ADP'!A1:E731,5,FALSE))))</f>
        <v>329</v>
      </c>
      <c r="N552" t="s" s="61">
        <f>_xlfn.IFERROR(M552-A552,"N/A")</f>
        <v>158</v>
      </c>
      <c r="O552" s="46"/>
      <c r="P552" t="s" s="47">
        <f>IF('Settings'!$E$27="ON",VLOOKUP(B552,'ADP'!A1:H731,8,FALSE)," ")</f>
        <v>109</v>
      </c>
      <c r="Q552" s="48">
        <f>IF('Settings'!$E$12="YES",VLOOKUP(B552,'Player Data'!A1:E734,5,FALSE),82)</f>
        <v>72.12</v>
      </c>
      <c r="R552" s="46">
        <f>VLOOKUP(B552,'Player Data'!$A1:$AE734,6,FALSE)</f>
        <v>11.6997632043796</v>
      </c>
      <c r="S552" s="48">
        <f>VLOOKUP(B552,'Player Data'!$A1:$AE734,7,FALSE)*$Q552*_xlfn.IFERROR((VLOOKUP(P552,'Settings'!$E$28:$F$33,2,FALSE)+1),1)</f>
        <v>12.6733555150169</v>
      </c>
      <c r="T552" s="48">
        <f>VLOOKUP(B552,'Player Data'!$A1:$AE734,8,FALSE)*$Q552*_xlfn.IFERROR((VLOOKUP(P552,'Settings'!$E$28:$F$33,2,FALSE)+1),1)</f>
        <v>14.6175449649465</v>
      </c>
      <c r="U552" s="48">
        <f>SUM(S552:T552)</f>
        <v>27.2909004799634</v>
      </c>
      <c r="V552" s="48">
        <f>VLOOKUP(B552,'Player Data'!$A1:$AE734,10,FALSE)*$Q552*_xlfn.IFERROR(((VLOOKUP(P552,'Settings'!$E$28:$F$33,2,FALSE)/2)+1),1)</f>
        <v>90.31709399638861</v>
      </c>
      <c r="W552" s="48">
        <f>VLOOKUP(B552,'Player Data'!$A1:$AE734,11,FALSE)*$Q552*_xlfn.IFERROR((VLOOKUP(P552,'Settings'!$E$28:$F$33,2,FALSE)+1),1)</f>
        <v>0.234747550771849</v>
      </c>
      <c r="X552" s="48">
        <f>VLOOKUP(B552,'Player Data'!$A1:$AE734,12,FALSE)*$Q552*_xlfn.IFERROR((VLOOKUP(P552,'Settings'!$E$28:$F$33,2,FALSE)+1),1)</f>
        <v>0.593401294854255</v>
      </c>
      <c r="Y552" s="48">
        <f>VLOOKUP(B552,'Player Data'!$A1:$AE734,13,FALSE)*$Q552</f>
        <v>0</v>
      </c>
      <c r="Z552" s="48">
        <f>VLOOKUP(B552,'Player Data'!$A1:$AE734,14,FALSE)*$Q552</f>
        <v>0</v>
      </c>
      <c r="AA552" s="48">
        <f>VLOOKUP(B552,'Player Data'!$A1:$AE734,15,FALSE)*$Q552</f>
        <v>23.9666116543216</v>
      </c>
      <c r="AB552" s="48">
        <f>VLOOKUP(B552,'Player Data'!$A1:$AE734,16,FALSE)*$Q552</f>
        <v>59.3134541210226</v>
      </c>
      <c r="AC552" s="48">
        <f>VLOOKUP(B552,'Player Data'!$A1:$AE734,17,FALSE)*$Q552*_xlfn.IFERROR((VLOOKUP(P552,'Settings'!$E$28:$F$33,2,FALSE)+1),1)</f>
        <v>-4.21233801295184</v>
      </c>
      <c r="AD552" s="48">
        <f>VLOOKUP(B552,'Player Data'!$A1:$AE734,18,FALSE)*$Q552</f>
        <v>0</v>
      </c>
      <c r="AE552" s="48">
        <f>VLOOKUP(B552,'Player Data'!$A1:$AE734,19,FALSE)*$Q552*_xlfn.IFERROR((VLOOKUP(P552,'Settings'!$E$28:$F$33,2,FALSE)+1),1)</f>
        <v>1.35803730186008</v>
      </c>
      <c r="AF552" s="48">
        <f>VLOOKUP(B552,'Player Data'!$A1:$AE734,20,FALSE)*$Q552</f>
        <v>95.09507013490941</v>
      </c>
      <c r="AG552" s="48">
        <f>VLOOKUP(B552,'Player Data'!$A1:$AE734,21,FALSE)*$Q552</f>
        <v>172.542522829675</v>
      </c>
      <c r="AH552" s="49">
        <f>VLOOKUP(B552,'Player Data'!$A1:$AE734,22,FALSE)</f>
        <v>0.355312828371961</v>
      </c>
      <c r="AI552" s="46"/>
      <c r="AJ552" s="50"/>
      <c r="AK552" s="48"/>
      <c r="AL552" s="48"/>
      <c r="AM552" s="48"/>
      <c r="AN552" s="48"/>
      <c r="AO552" s="48"/>
      <c r="AP552" s="48"/>
      <c r="AQ552" s="51"/>
      <c r="AR552" s="52"/>
      <c r="AS552" s="46"/>
    </row>
    <row r="553" ht="21.25" customHeight="1">
      <c r="A553" s="53">
        <f>RANK(K553,K2:K730)</f>
        <v>504</v>
      </c>
      <c r="B553" t="s" s="8">
        <v>705</v>
      </c>
      <c r="C553" t="s" s="39">
        <v>106</v>
      </c>
      <c r="D553" t="s" s="40">
        <f>VLOOKUP(B553,'Player Data'!A1:D734,4,FALSE)</f>
        <v>107</v>
      </c>
      <c r="E553" s="41">
        <f>VLOOKUP(B553,'C'!A1:C218,3,FALSE)</f>
        <v>130</v>
      </c>
      <c r="F553" t="s" s="42">
        <f>VLOOKUP(B553,'Player Data'!A1:B734,2,FALSE)</f>
        <v>225</v>
      </c>
      <c r="G553" s="9">
        <f>VLOOKUP(B553,'Player Data'!A1:D734,3,FALSE)</f>
        <v>28</v>
      </c>
      <c r="H553" s="43">
        <f>_xlfn.IFERROR(VLOOKUP(B553,'ADP'!A1:G731,7,FALSE)/1000000,VLOOKUP(B553,'ADP'!A1:G731,7,FALSE))</f>
        <v>2.65</v>
      </c>
      <c r="I553" s="44">
        <f>IF('Settings'!$E$15="POINTS",((R553*Q553)*'Settings'!$B$12)+(S553*'Settings'!$B$2)+(T553*'Settings'!$B$3)+(U553*'Settings'!$B$4)+(V553*'Settings'!$B$5)+(X553*'Settings'!$B$9)+(AA553*'Settings'!$B$6)+(W553*'Settings'!$B$8)+(AB553*'Settings'!$B$7)+(AC553*'Settings'!$B$14)+(AD553*'Settings'!$B$15)+(AE553*'Settings'!$B$16)+(AF553*'Settings'!$B$17)+(AG553*'Settings'!$B$18)+(Y553*'Settings'!$B$10)+(Z553*'Settings'!$B$11),VLOOKUP(B553,'Standard Deviations'!A1:C731,3,FALSE))</f>
        <v>212.687364259197</v>
      </c>
      <c r="J553" s="45">
        <f>IF(D553="G",I553/AJ553,I553/Q553)</f>
        <v>2.73244115480785</v>
      </c>
      <c r="K553" s="44">
        <f>IF('Settings'!$E$18="C/LW/RW",VLOOKUP(B553,'C'!A1:F218,6,FALSE),VLOOKUP(B553,'F'!A1:F432,6,FALSE))</f>
        <v>-183.086837376818</v>
      </c>
      <c r="L553" s="44">
        <f>_xlfn.IFERROR(K553/H553,"N/A")</f>
        <v>-69.08937259502569</v>
      </c>
      <c r="M553" t="s" s="61">
        <f>IF('Settings'!$E$9="YAHOO",VLOOKUP(B553,'ADP'!A1:E731,2,FALSE),IF('Settings'!$E$9="ESPN",VLOOKUP(B553,'ADP'!A1:E731,3,FALSE),IF('Settings'!$E$9="FANTRAX",VLOOKUP(B553,'ADP'!A1:E731,4,FALSE),VLOOKUP(B553,'ADP'!A1:E731,5,FALSE))))</f>
        <v>329</v>
      </c>
      <c r="N553" t="s" s="61">
        <f>_xlfn.IFERROR(M553-A553,"N/A")</f>
        <v>158</v>
      </c>
      <c r="O553" s="46"/>
      <c r="P553" t="s" s="47">
        <f>IF('Settings'!$E$27="ON",VLOOKUP(B553,'ADP'!A1:H731,8,FALSE)," ")</f>
        <v>109</v>
      </c>
      <c r="Q553" s="48">
        <f>IF('Settings'!$E$12="YES",VLOOKUP(B553,'Player Data'!A1:E734,5,FALSE),82)</f>
        <v>77.8378571428571</v>
      </c>
      <c r="R553" s="46">
        <f>VLOOKUP(B553,'Player Data'!$A1:$AE734,6,FALSE)</f>
        <v>15.3935684739105</v>
      </c>
      <c r="S553" s="48">
        <f>VLOOKUP(B553,'Player Data'!$A1:$AE734,7,FALSE)*$Q553*_xlfn.IFERROR((VLOOKUP(P553,'Settings'!$E$28:$F$33,2,FALSE)+1),1)</f>
        <v>8.594124703884651</v>
      </c>
      <c r="T553" s="48">
        <f>VLOOKUP(B553,'Player Data'!$A1:$AE734,8,FALSE)*$Q553*_xlfn.IFERROR((VLOOKUP(P553,'Settings'!$E$28:$F$33,2,FALSE)+1),1)</f>
        <v>16.9677105257241</v>
      </c>
      <c r="U553" s="48">
        <f>SUM(S553:T553)</f>
        <v>25.5618352296088</v>
      </c>
      <c r="V553" s="48">
        <f>VLOOKUP(B553,'Player Data'!$A1:$AE734,10,FALSE)*$Q553*_xlfn.IFERROR(((VLOOKUP(P553,'Settings'!$E$28:$F$33,2,FALSE)/2)+1),1)</f>
        <v>105.906137094155</v>
      </c>
      <c r="W553" s="48">
        <f>VLOOKUP(B553,'Player Data'!$A1:$AE734,11,FALSE)*$Q553*_xlfn.IFERROR((VLOOKUP(P553,'Settings'!$E$28:$F$33,2,FALSE)+1),1)</f>
        <v>0.309682166388716</v>
      </c>
      <c r="X553" s="48">
        <f>VLOOKUP(B553,'Player Data'!$A1:$AE734,12,FALSE)*$Q553*_xlfn.IFERROR((VLOOKUP(P553,'Settings'!$E$28:$F$33,2,FALSE)+1),1)</f>
        <v>0.615058962415781</v>
      </c>
      <c r="Y553" s="48">
        <f>VLOOKUP(B553,'Player Data'!$A1:$AE734,13,FALSE)*$Q553</f>
        <v>0.0983885218735429</v>
      </c>
      <c r="Z553" s="48">
        <f>VLOOKUP(B553,'Player Data'!$A1:$AE734,14,FALSE)*$Q553</f>
        <v>2.89914412831478</v>
      </c>
      <c r="AA553" s="48">
        <f>VLOOKUP(B553,'Player Data'!$A1:$AE734,15,FALSE)*$Q553</f>
        <v>72.62892450422579</v>
      </c>
      <c r="AB553" s="48">
        <f>VLOOKUP(B553,'Player Data'!$A1:$AE734,16,FALSE)*$Q553</f>
        <v>112.179409834894</v>
      </c>
      <c r="AC553" s="48">
        <f>VLOOKUP(B553,'Player Data'!$A1:$AE734,17,FALSE)*$Q553*_xlfn.IFERROR((VLOOKUP(P553,'Settings'!$E$28:$F$33,2,FALSE)+1),1)</f>
        <v>-8.135762281338179</v>
      </c>
      <c r="AD553" s="48">
        <f>VLOOKUP(B553,'Player Data'!$A1:$AE734,18,FALSE)*$Q553</f>
        <v>27.7116750729287</v>
      </c>
      <c r="AE553" s="48">
        <f>VLOOKUP(B553,'Player Data'!$A1:$AE734,19,FALSE)*$Q553*_xlfn.IFERROR((VLOOKUP(P553,'Settings'!$E$28:$F$33,2,FALSE)+1),1)</f>
        <v>1.00707287047013</v>
      </c>
      <c r="AF553" s="48">
        <f>VLOOKUP(B553,'Player Data'!$A1:$AE734,20,FALSE)*$Q553</f>
        <v>311.417681745802</v>
      </c>
      <c r="AG553" s="48">
        <f>VLOOKUP(B553,'Player Data'!$A1:$AE734,21,FALSE)*$Q553</f>
        <v>364.698561377136</v>
      </c>
      <c r="AH553" s="49">
        <f>VLOOKUP(B553,'Player Data'!$A1:$AE734,22,FALSE)</f>
        <v>0.46059784084965</v>
      </c>
      <c r="AI553" s="46"/>
      <c r="AJ553" s="50"/>
      <c r="AK553" s="48"/>
      <c r="AL553" s="48"/>
      <c r="AM553" s="48"/>
      <c r="AN553" s="48"/>
      <c r="AO553" s="48"/>
      <c r="AP553" s="48"/>
      <c r="AQ553" s="51"/>
      <c r="AR553" s="52"/>
      <c r="AS553" s="46"/>
    </row>
    <row r="554" ht="21.25" customHeight="1">
      <c r="A554" s="53">
        <f>RANK(K554,K2:K730)</f>
        <v>567</v>
      </c>
      <c r="B554" t="s" s="8">
        <v>706</v>
      </c>
      <c r="C554" t="s" s="39">
        <v>106</v>
      </c>
      <c r="D554" t="s" s="40">
        <f>VLOOKUP(B554,'Player Data'!A1:D734,4,FALSE)</f>
        <v>107</v>
      </c>
      <c r="E554" s="41">
        <f>VLOOKUP(B554,'C'!A1:C218,3,FALSE)</f>
        <v>150</v>
      </c>
      <c r="F554" t="s" s="42">
        <f>VLOOKUP(B554,'Player Data'!A1:B734,2,FALSE)</f>
        <v>164</v>
      </c>
      <c r="G554" s="9">
        <f>VLOOKUP(B554,'Player Data'!A1:D734,3,FALSE)</f>
        <v>27</v>
      </c>
      <c r="H554" s="43">
        <f>_xlfn.IFERROR(VLOOKUP(B554,'ADP'!A1:G731,7,FALSE)/1000000,VLOOKUP(B554,'ADP'!A1:G731,7,FALSE))</f>
        <v>2.166667</v>
      </c>
      <c r="I554" s="44">
        <f>IF('Settings'!$E$15="POINTS",((R554*Q554)*'Settings'!$B$12)+(S554*'Settings'!$B$2)+(T554*'Settings'!$B$3)+(U554*'Settings'!$B$4)+(V554*'Settings'!$B$5)+(X554*'Settings'!$B$9)+(AA554*'Settings'!$B$6)+(W554*'Settings'!$B$8)+(AB554*'Settings'!$B$7)+(AC554*'Settings'!$B$14)+(AD554*'Settings'!$B$15)+(AE554*'Settings'!$B$16)+(AF554*'Settings'!$B$17)+(AG554*'Settings'!$B$18)+(Y554*'Settings'!$B$10)+(Z554*'Settings'!$B$11),VLOOKUP(B554,'Standard Deviations'!A1:C731,3,FALSE))</f>
        <v>188.271766252177</v>
      </c>
      <c r="J554" s="45">
        <f>IF(D554="G",I554/AJ554,I554/Q554)</f>
        <v>2.58517409292063</v>
      </c>
      <c r="K554" s="44">
        <f>IF('Settings'!$E$18="C/LW/RW",VLOOKUP(B554,'C'!A1:F218,6,FALSE),VLOOKUP(B554,'F'!A1:F432,6,FALSE))</f>
        <v>-207.502435383838</v>
      </c>
      <c r="L554" s="44">
        <f>_xlfn.IFERROR(K554/H554,"N/A")</f>
        <v>-95.77034005864211</v>
      </c>
      <c r="M554" t="s" s="61">
        <f>IF('Settings'!$E$9="YAHOO",VLOOKUP(B554,'ADP'!A1:E731,2,FALSE),IF('Settings'!$E$9="ESPN",VLOOKUP(B554,'ADP'!A1:E731,3,FALSE),IF('Settings'!$E$9="FANTRAX",VLOOKUP(B554,'ADP'!A1:E731,4,FALSE),VLOOKUP(B554,'ADP'!A1:E731,5,FALSE))))</f>
        <v>329</v>
      </c>
      <c r="N554" t="s" s="61">
        <f>_xlfn.IFERROR(M554-A554,"N/A")</f>
        <v>158</v>
      </c>
      <c r="O554" s="46"/>
      <c r="P554" t="s" s="47">
        <f>IF('Settings'!$E$27="ON",VLOOKUP(B554,'ADP'!A1:H731,8,FALSE)," ")</f>
        <v>109</v>
      </c>
      <c r="Q554" s="48">
        <f>IF('Settings'!$E$12="YES",VLOOKUP(B554,'Player Data'!A1:E734,5,FALSE),82)</f>
        <v>72.8275</v>
      </c>
      <c r="R554" s="46">
        <f>VLOOKUP(B554,'Player Data'!$A1:$AE734,6,FALSE)</f>
        <v>15.5562998169254</v>
      </c>
      <c r="S554" s="48">
        <f>VLOOKUP(B554,'Player Data'!$A1:$AE734,7,FALSE)*$Q554*_xlfn.IFERROR((VLOOKUP(P554,'Settings'!$E$28:$F$33,2,FALSE)+1),1)</f>
        <v>9.94438201230084</v>
      </c>
      <c r="T554" s="48">
        <f>VLOOKUP(B554,'Player Data'!$A1:$AE734,8,FALSE)*$Q554*_xlfn.IFERROR((VLOOKUP(P554,'Settings'!$E$28:$F$33,2,FALSE)+1),1)</f>
        <v>17.0353986795715</v>
      </c>
      <c r="U554" s="48">
        <f>SUM(S554:T554)</f>
        <v>26.9797806918723</v>
      </c>
      <c r="V554" s="48">
        <f>VLOOKUP(B554,'Player Data'!$A1:$AE734,10,FALSE)*$Q554*_xlfn.IFERROR(((VLOOKUP(P554,'Settings'!$E$28:$F$33,2,FALSE)/2)+1),1)</f>
        <v>117.056466911889</v>
      </c>
      <c r="W554" s="48">
        <f>VLOOKUP(B554,'Player Data'!$A1:$AE734,11,FALSE)*$Q554*_xlfn.IFERROR((VLOOKUP(P554,'Settings'!$E$28:$F$33,2,FALSE)+1),1)</f>
        <v>0.0783857997036477</v>
      </c>
      <c r="X554" s="48">
        <f>VLOOKUP(B554,'Player Data'!$A1:$AE734,12,FALSE)*$Q554*_xlfn.IFERROR((VLOOKUP(P554,'Settings'!$E$28:$F$33,2,FALSE)+1),1)</f>
        <v>0.139634570903375</v>
      </c>
      <c r="Y554" s="48">
        <f>VLOOKUP(B554,'Player Data'!$A1:$AE734,13,FALSE)*$Q554</f>
        <v>0.140660030774895</v>
      </c>
      <c r="Z554" s="48">
        <f>VLOOKUP(B554,'Player Data'!$A1:$AE734,14,FALSE)*$Q554</f>
        <v>0.6219708968545</v>
      </c>
      <c r="AA554" s="48">
        <f>VLOOKUP(B554,'Player Data'!$A1:$AE734,15,FALSE)*$Q554</f>
        <v>25.9876364936999</v>
      </c>
      <c r="AB554" s="48">
        <f>VLOOKUP(B554,'Player Data'!$A1:$AE734,16,FALSE)*$Q554</f>
        <v>78.599430646421</v>
      </c>
      <c r="AC554" s="48">
        <f>VLOOKUP(B554,'Player Data'!$A1:$AE734,17,FALSE)*$Q554*_xlfn.IFERROR((VLOOKUP(P554,'Settings'!$E$28:$F$33,2,FALSE)+1),1)</f>
        <v>1.95672022951915</v>
      </c>
      <c r="AD554" s="48">
        <f>VLOOKUP(B554,'Player Data'!$A1:$AE734,18,FALSE)*$Q554</f>
        <v>20.9560290443069</v>
      </c>
      <c r="AE554" s="48">
        <f>VLOOKUP(B554,'Player Data'!$A1:$AE734,19,FALSE)*$Q554*_xlfn.IFERROR((VLOOKUP(P554,'Settings'!$E$28:$F$33,2,FALSE)+1),1)</f>
        <v>1.55135687957559</v>
      </c>
      <c r="AF554" s="48">
        <f>VLOOKUP(B554,'Player Data'!$A1:$AE734,20,FALSE)*$Q554</f>
        <v>6.27255324494038</v>
      </c>
      <c r="AG554" s="48">
        <f>VLOOKUP(B554,'Player Data'!$A1:$AE734,21,FALSE)*$Q554</f>
        <v>12.6318617972947</v>
      </c>
      <c r="AH554" s="49">
        <f>VLOOKUP(B554,'Player Data'!$A1:$AE734,22,FALSE)</f>
        <v>0.331803614707286</v>
      </c>
      <c r="AI554" s="46"/>
      <c r="AJ554" s="50"/>
      <c r="AK554" s="48"/>
      <c r="AL554" s="48"/>
      <c r="AM554" s="48"/>
      <c r="AN554" s="48"/>
      <c r="AO554" s="48"/>
      <c r="AP554" s="48"/>
      <c r="AQ554" s="51"/>
      <c r="AR554" s="52"/>
      <c r="AS554" s="46"/>
    </row>
    <row r="555" ht="21.25" customHeight="1">
      <c r="A555" s="53">
        <f>RANK(K555,K2:K730)</f>
        <v>578</v>
      </c>
      <c r="B555" t="s" s="8">
        <v>707</v>
      </c>
      <c r="C555" t="s" s="39">
        <v>106</v>
      </c>
      <c r="D555" t="s" s="40">
        <f>VLOOKUP(B555,'Player Data'!A1:D734,4,FALSE)</f>
        <v>133</v>
      </c>
      <c r="E555" s="57">
        <f>VLOOKUP(B555,'LW'!A1:C156,3,FALSE)</f>
        <v>123</v>
      </c>
      <c r="F555" t="s" s="42">
        <f>VLOOKUP(B555,'Player Data'!A1:B734,2,FALSE)</f>
        <v>166</v>
      </c>
      <c r="G555" s="9">
        <f>VLOOKUP(B555,'Player Data'!A1:D734,3,FALSE)</f>
        <v>27</v>
      </c>
      <c r="H555" s="43">
        <f>_xlfn.IFERROR(VLOOKUP(B555,'ADP'!A1:G731,7,FALSE)/1000000,VLOOKUP(B555,'ADP'!A1:G731,7,FALSE))</f>
        <v>1.9</v>
      </c>
      <c r="I555" s="44">
        <f>IF('Settings'!$E$15="POINTS",((R555*Q555)*'Settings'!$B$12)+(S555*'Settings'!$B$2)+(T555*'Settings'!$B$3)+(U555*'Settings'!$B$4)+(V555*'Settings'!$B$5)+(X555*'Settings'!$B$9)+(AA555*'Settings'!$B$6)+(W555*'Settings'!$B$8)+(AB555*'Settings'!$B$7)+(AC555*'Settings'!$B$14)+(AD555*'Settings'!$B$15)+(AE555*'Settings'!$B$16)+(AF555*'Settings'!$B$17)+(AG555*'Settings'!$B$18)+(Y555*'Settings'!$B$10)+(Z555*'Settings'!$B$11),VLOOKUP(B555,'Standard Deviations'!A1:C731,3,FALSE))</f>
        <v>171.140424332148</v>
      </c>
      <c r="J555" s="45">
        <f>IF(D555="G",I555/AJ555,I555/Q555)</f>
        <v>2.28690351215538</v>
      </c>
      <c r="K555" s="44">
        <f>IF('Settings'!$E$18="C/LW/RW",VLOOKUP(B555,'LW'!A1:F156,6,FALSE),VLOOKUP(B555,'F'!A1:F432,6,FALSE))</f>
        <v>-210.488139374208</v>
      </c>
      <c r="L555" s="44">
        <f>_xlfn.IFERROR(K555/H555,"N/A")</f>
        <v>-110.783231249583</v>
      </c>
      <c r="M555" t="s" s="61">
        <f>IF('Settings'!$E$9="YAHOO",VLOOKUP(B555,'ADP'!A1:E731,2,FALSE),IF('Settings'!$E$9="ESPN",VLOOKUP(B555,'ADP'!A1:E731,3,FALSE),IF('Settings'!$E$9="FANTRAX",VLOOKUP(B555,'ADP'!A1:E731,4,FALSE),VLOOKUP(B555,'ADP'!A1:E731,5,FALSE))))</f>
        <v>329</v>
      </c>
      <c r="N555" t="s" s="61">
        <f>_xlfn.IFERROR(M555-A555,"N/A")</f>
        <v>158</v>
      </c>
      <c r="O555" s="46"/>
      <c r="P555" t="s" s="47">
        <f>IF('Settings'!$E$27="ON",VLOOKUP(B555,'ADP'!A1:H731,8,FALSE)," ")</f>
        <v>109</v>
      </c>
      <c r="Q555" s="48">
        <f>IF('Settings'!$E$12="YES",VLOOKUP(B555,'Player Data'!A1:E734,5,FALSE),82)</f>
        <v>74.83499999999999</v>
      </c>
      <c r="R555" s="46">
        <f>VLOOKUP(B555,'Player Data'!$A1:$AE734,6,FALSE)</f>
        <v>12.3635814012576</v>
      </c>
      <c r="S555" s="48">
        <f>VLOOKUP(B555,'Player Data'!$A1:$AE734,7,FALSE)*$Q555*_xlfn.IFERROR((VLOOKUP(P555,'Settings'!$E$28:$F$33,2,FALSE)+1),1)</f>
        <v>10.790437626828</v>
      </c>
      <c r="T555" s="48">
        <f>VLOOKUP(B555,'Player Data'!$A1:$AE734,8,FALSE)*$Q555*_xlfn.IFERROR((VLOOKUP(P555,'Settings'!$E$28:$F$33,2,FALSE)+1),1)</f>
        <v>18.3513040869848</v>
      </c>
      <c r="U555" s="48">
        <f>SUM(S555:T555)</f>
        <v>29.1417417138128</v>
      </c>
      <c r="V555" s="48">
        <f>VLOOKUP(B555,'Player Data'!$A1:$AE734,10,FALSE)*$Q555*_xlfn.IFERROR(((VLOOKUP(P555,'Settings'!$E$28:$F$33,2,FALSE)/2)+1),1)</f>
        <v>91.1448238781294</v>
      </c>
      <c r="W555" s="48">
        <f>VLOOKUP(B555,'Player Data'!$A1:$AE734,11,FALSE)*$Q555*_xlfn.IFERROR((VLOOKUP(P555,'Settings'!$E$28:$F$33,2,FALSE)+1),1)</f>
        <v>0.461829484166518</v>
      </c>
      <c r="X555" s="48">
        <f>VLOOKUP(B555,'Player Data'!$A1:$AE734,12,FALSE)*$Q555*_xlfn.IFERROR((VLOOKUP(P555,'Settings'!$E$28:$F$33,2,FALSE)+1),1)</f>
        <v>1.27284552118385</v>
      </c>
      <c r="Y555" s="48">
        <f>VLOOKUP(B555,'Player Data'!$A1:$AE734,13,FALSE)*$Q555</f>
        <v>0.000774449262275045</v>
      </c>
      <c r="Z555" s="48">
        <f>VLOOKUP(B555,'Player Data'!$A1:$AE734,14,FALSE)*$Q555</f>
        <v>0.00142189651441849</v>
      </c>
      <c r="AA555" s="48">
        <f>VLOOKUP(B555,'Player Data'!$A1:$AE734,15,FALSE)*$Q555</f>
        <v>19.3517739943187</v>
      </c>
      <c r="AB555" s="48">
        <f>VLOOKUP(B555,'Player Data'!$A1:$AE734,16,FALSE)*$Q555</f>
        <v>49.1136000848596</v>
      </c>
      <c r="AC555" s="48">
        <f>VLOOKUP(B555,'Player Data'!$A1:$AE734,17,FALSE)*$Q555*_xlfn.IFERROR((VLOOKUP(P555,'Settings'!$E$28:$F$33,2,FALSE)+1),1)</f>
        <v>-2.47866088411956</v>
      </c>
      <c r="AD555" s="48">
        <f>VLOOKUP(B555,'Player Data'!$A1:$AE734,18,FALSE)*$Q555</f>
        <v>16.8044911620523</v>
      </c>
      <c r="AE555" s="48">
        <f>VLOOKUP(B555,'Player Data'!$A1:$AE734,19,FALSE)*$Q555*_xlfn.IFERROR((VLOOKUP(P555,'Settings'!$E$28:$F$33,2,FALSE)+1),1)</f>
        <v>1.32728734808713</v>
      </c>
      <c r="AF555" s="48">
        <f>VLOOKUP(B555,'Player Data'!$A1:$AE734,20,FALSE)*$Q555</f>
        <v>0</v>
      </c>
      <c r="AG555" s="48">
        <f>VLOOKUP(B555,'Player Data'!$A1:$AE734,21,FALSE)*$Q555</f>
        <v>0.362258380789858</v>
      </c>
      <c r="AH555" s="49">
        <f>VLOOKUP(B555,'Player Data'!$A1:$AE734,22,FALSE)</f>
        <v>0</v>
      </c>
      <c r="AI555" s="46"/>
      <c r="AJ555" s="50"/>
      <c r="AK555" s="48"/>
      <c r="AL555" s="48"/>
      <c r="AM555" s="48"/>
      <c r="AN555" s="48"/>
      <c r="AO555" s="48"/>
      <c r="AP555" s="48"/>
      <c r="AQ555" s="51"/>
      <c r="AR555" s="52"/>
      <c r="AS555" s="46"/>
    </row>
    <row r="556" ht="21.25" customHeight="1">
      <c r="A556" s="53">
        <f>RANK(K556,K2:K730)</f>
        <v>664</v>
      </c>
      <c r="B556" t="s" s="8">
        <v>708</v>
      </c>
      <c r="C556" t="s" s="39">
        <v>106</v>
      </c>
      <c r="D556" t="s" s="40">
        <f>VLOOKUP(B556,'Player Data'!A1:D734,4,FALSE)</f>
        <v>129</v>
      </c>
      <c r="E556" s="56">
        <f>VLOOKUP(B556,'D'!A1:C228,3,FALSE)</f>
        <v>219</v>
      </c>
      <c r="F556" t="s" s="42">
        <f>VLOOKUP(B556,'Player Data'!A1:B734,2,FALSE)</f>
        <v>204</v>
      </c>
      <c r="G556" s="9">
        <f>VLOOKUP(B556,'Player Data'!A1:D734,3,FALSE)</f>
        <v>22</v>
      </c>
      <c r="H556" s="43">
        <f>_xlfn.IFERROR(VLOOKUP(B556,'ADP'!A1:G731,7,FALSE)/1000000,VLOOKUP(B556,'ADP'!A1:G731,7,FALSE))</f>
        <v>0</v>
      </c>
      <c r="I556" s="44">
        <f>IF('Settings'!$E$15="POINTS",((R556*Q556)*'Settings'!$B$12)+(S556*'Settings'!$B$2)+(T556*'Settings'!$B$3)+(U556*'Settings'!$B$4)+(V556*'Settings'!$B$5)+(X556*'Settings'!$B$9)+(AA556*'Settings'!$B$6)+(W556*'Settings'!$B$8)+(AB556*'Settings'!$B$7)+(AC556*'Settings'!$B$14)+(AD556*'Settings'!$B$15)+(AE556*'Settings'!$B$16)+(AF556*'Settings'!$B$17)+(AG556*'Settings'!$B$18)+(U556*'Settings'!$B$13)+(Y556*'Settings'!$B$10)+(Z556*'Settings'!$B$11),VLOOKUP(B556,'Standard Deviations'!A1:C731,3,FALSE))</f>
        <v>100.655155101794</v>
      </c>
      <c r="J556" s="45">
        <f>IF(D556="G",I556/AJ556,I556/Q556)</f>
        <v>1.5670527344177</v>
      </c>
      <c r="K556" s="44">
        <f>VLOOKUP(B556,'D'!A1:F228,6,FALSE)</f>
        <v>-240.079983544729</v>
      </c>
      <c r="L556" t="s" s="60">
        <f>_xlfn.IFERROR(K556/H556,"N/A")</f>
        <v>158</v>
      </c>
      <c r="M556" t="s" s="61">
        <f>IF('Settings'!$E$9="YAHOO",VLOOKUP(B556,'ADP'!A1:E731,2,FALSE),IF('Settings'!$E$9="ESPN",VLOOKUP(B556,'ADP'!A1:E731,3,FALSE),IF('Settings'!$E$9="FANTRAX",VLOOKUP(B556,'ADP'!A1:E731,4,FALSE),VLOOKUP(B556,'ADP'!A1:E731,5,FALSE))))</f>
        <v>329</v>
      </c>
      <c r="N556" t="s" s="61">
        <f>_xlfn.IFERROR(M556-A556,"N/A")</f>
        <v>158</v>
      </c>
      <c r="O556" s="46"/>
      <c r="P556" t="s" s="47">
        <f>IF('Settings'!$E$27="ON",VLOOKUP(B556,'ADP'!A1:H731,8,FALSE)," ")</f>
        <v>109</v>
      </c>
      <c r="Q556" s="48">
        <f>IF('Settings'!$E$12="YES",VLOOKUP(B556,'Player Data'!A1:E734,5,FALSE),82)</f>
        <v>64.2321428571429</v>
      </c>
      <c r="R556" s="46">
        <f>VLOOKUP(B556,'Player Data'!$A1:$AE734,6,FALSE)</f>
        <v>14.1809713689024</v>
      </c>
      <c r="S556" s="48">
        <f>VLOOKUP(B556,'Player Data'!$A1:$AE734,7,FALSE)*$Q556*_xlfn.IFERROR((VLOOKUP(P556,'Settings'!$E$28:$F$33,2,FALSE)+1),1)</f>
        <v>1.14603327123795</v>
      </c>
      <c r="T556" s="48">
        <f>VLOOKUP(B556,'Player Data'!$A1:$AE734,8,FALSE)*$Q556*_xlfn.IFERROR((VLOOKUP(P556,'Settings'!$E$28:$F$33,2,FALSE)+1),1)</f>
        <v>7.85383623074948</v>
      </c>
      <c r="U556" s="48">
        <f>SUM(S556:T556)</f>
        <v>8.99986950198743</v>
      </c>
      <c r="V556" s="48">
        <f>VLOOKUP(B556,'Player Data'!$A1:$AE734,10,FALSE)*$Q556*_xlfn.IFERROR(((VLOOKUP(P556,'Settings'!$E$28:$F$33,2,FALSE)/2)+1),1)</f>
        <v>50.5281076588468</v>
      </c>
      <c r="W556" s="48">
        <f>VLOOKUP(B556,'Player Data'!$A1:$AE734,11,FALSE)*$Q556*_xlfn.IFERROR((VLOOKUP(P556,'Settings'!$E$28:$F$33,2,FALSE)+1),1)</f>
        <v>0.0131026599345818</v>
      </c>
      <c r="X556" s="48">
        <f>VLOOKUP(B556,'Player Data'!$A1:$AE734,12,FALSE)*$Q556*_xlfn.IFERROR((VLOOKUP(P556,'Settings'!$E$28:$F$33,2,FALSE)+1),1)</f>
        <v>0.0834349347763982</v>
      </c>
      <c r="Y556" s="48">
        <f>VLOOKUP(B556,'Player Data'!$A1:$AE734,13,FALSE)*$Q556</f>
        <v>0.0283868911894428</v>
      </c>
      <c r="Z556" s="48">
        <f>VLOOKUP(B556,'Player Data'!$A1:$AE734,14,FALSE)*$Q556</f>
        <v>0.0987962197431911</v>
      </c>
      <c r="AA556" s="48">
        <f>VLOOKUP(B556,'Player Data'!$A1:$AE734,15,FALSE)*$Q556</f>
        <v>58.5716723636422</v>
      </c>
      <c r="AB556" s="48">
        <f>VLOOKUP(B556,'Player Data'!$A1:$AE734,16,FALSE)*$Q556</f>
        <v>68.7560569529757</v>
      </c>
      <c r="AC556" s="48">
        <f>VLOOKUP(B556,'Player Data'!$A1:$AE734,17,FALSE)*$Q556*_xlfn.IFERROR((VLOOKUP(P556,'Settings'!$E$28:$F$33,2,FALSE)+1),1)</f>
        <v>-0.606658329764922</v>
      </c>
      <c r="AD556" s="48">
        <f>VLOOKUP(B556,'Player Data'!$A1:$AE734,18,FALSE)*$Q556</f>
        <v>15.8501687327152</v>
      </c>
      <c r="AE556" s="48">
        <f>VLOOKUP(B556,'Player Data'!$A1:$AE734,19,FALSE)*$Q556*_xlfn.IFERROR((VLOOKUP(P556,'Settings'!$E$28:$F$33,2,FALSE)+1),1)</f>
        <v>0.169682896016394</v>
      </c>
      <c r="AF556" s="48">
        <f>VLOOKUP(B556,'Player Data'!$A1:$AE734,20,FALSE)*$Q556</f>
        <v>0</v>
      </c>
      <c r="AG556" s="48">
        <f>VLOOKUP(B556,'Player Data'!$A1:$AE734,21,FALSE)*$Q556</f>
        <v>0</v>
      </c>
      <c r="AH556" s="49">
        <f>VLOOKUP(B556,'Player Data'!$A1:$AE734,22,FALSE)</f>
        <v>0</v>
      </c>
      <c r="AI556" s="46"/>
      <c r="AJ556" s="50"/>
      <c r="AK556" s="48"/>
      <c r="AL556" s="48"/>
      <c r="AM556" s="48"/>
      <c r="AN556" s="48"/>
      <c r="AO556" s="48"/>
      <c r="AP556" s="48"/>
      <c r="AQ556" s="51"/>
      <c r="AR556" s="52"/>
      <c r="AS556" s="46"/>
    </row>
    <row r="557" ht="21.25" customHeight="1">
      <c r="A557" s="53">
        <f>RANK(K557,K2:K730)</f>
        <v>538</v>
      </c>
      <c r="B557" t="s" s="8">
        <v>709</v>
      </c>
      <c r="C557" t="s" s="39">
        <v>106</v>
      </c>
      <c r="D557" t="s" s="40">
        <f>VLOOKUP(B557,'Player Data'!A1:D734,4,FALSE)</f>
        <v>121</v>
      </c>
      <c r="E557" s="55">
        <f>VLOOKUP(B557,'RW'!A1:F132,3,FALSE)</f>
        <v>100</v>
      </c>
      <c r="F557" t="s" s="42">
        <f>VLOOKUP(B557,'Player Data'!A1:B734,2,FALSE)</f>
        <v>202</v>
      </c>
      <c r="G557" s="9">
        <f>VLOOKUP(B557,'Player Data'!A1:D734,3,FALSE)</f>
        <v>31</v>
      </c>
      <c r="H557" s="43">
        <f>_xlfn.IFERROR(VLOOKUP(B557,'ADP'!A1:G731,7,FALSE)/1000000,VLOOKUP(B557,'ADP'!A1:G731,7,FALSE))</f>
        <v>2.4</v>
      </c>
      <c r="I557" s="44">
        <f>IF('Settings'!$E$15="POINTS",((R557*Q557)*'Settings'!$B$12)+(S557*'Settings'!$B$2)+(T557*'Settings'!$B$3)+(U557*'Settings'!$B$4)+(V557*'Settings'!$B$5)+(X557*'Settings'!$B$9)+(AA557*'Settings'!$B$6)+(W557*'Settings'!$B$8)+(AB557*'Settings'!$B$7)+(AC557*'Settings'!$B$14)+(AD557*'Settings'!$B$15)+(AE557*'Settings'!$B$16)+(AF557*'Settings'!$B$17)+(AG557*'Settings'!$B$18)+(Y557*'Settings'!$B$10)+(Z557*'Settings'!$B$11),VLOOKUP(B557,'Standard Deviations'!A1:C731,3,FALSE))</f>
        <v>185.889390417866</v>
      </c>
      <c r="J557" s="45">
        <f>IF(D557="G",I557/AJ557,I557/Q557)</f>
        <v>2.31751321594917</v>
      </c>
      <c r="K557" s="44">
        <f>IF('Settings'!$E$18="C/LW/RW",VLOOKUP(B557,'RW'!A1:F132,6,FALSE),VLOOKUP(B557,'F'!A1:F432,6,FALSE))</f>
        <v>-195.739173288490</v>
      </c>
      <c r="L557" s="44">
        <f>_xlfn.IFERROR(K557/H557,"N/A")</f>
        <v>-81.5579888702042</v>
      </c>
      <c r="M557" t="s" s="61">
        <f>IF('Settings'!$E$9="YAHOO",VLOOKUP(B557,'ADP'!A1:E731,2,FALSE),IF('Settings'!$E$9="ESPN",VLOOKUP(B557,'ADP'!A1:E731,3,FALSE),IF('Settings'!$E$9="FANTRAX",VLOOKUP(B557,'ADP'!A1:E731,4,FALSE),VLOOKUP(B557,'ADP'!A1:E731,5,FALSE))))</f>
        <v>329</v>
      </c>
      <c r="N557" t="s" s="61">
        <f>_xlfn.IFERROR(M557-A557,"N/A")</f>
        <v>158</v>
      </c>
      <c r="O557" s="46"/>
      <c r="P557" t="s" s="47">
        <f>IF('Settings'!$E$27="ON",VLOOKUP(B557,'ADP'!A1:H731,8,FALSE)," ")</f>
        <v>109</v>
      </c>
      <c r="Q557" s="48">
        <f>IF('Settings'!$E$12="YES",VLOOKUP(B557,'Player Data'!A1:E734,5,FALSE),82)</f>
        <v>80.2107142857143</v>
      </c>
      <c r="R557" s="46">
        <f>VLOOKUP(B557,'Player Data'!$A1:$AE734,6,FALSE)</f>
        <v>14.1055636656672</v>
      </c>
      <c r="S557" s="48">
        <f>VLOOKUP(B557,'Player Data'!$A1:$AE734,7,FALSE)*$Q557*_xlfn.IFERROR((VLOOKUP(P557,'Settings'!$E$28:$F$33,2,FALSE)+1),1)</f>
        <v>9.998477057454091</v>
      </c>
      <c r="T557" s="48">
        <f>VLOOKUP(B557,'Player Data'!$A1:$AE734,8,FALSE)*$Q557*_xlfn.IFERROR((VLOOKUP(P557,'Settings'!$E$28:$F$33,2,FALSE)+1),1)</f>
        <v>17.682388920171</v>
      </c>
      <c r="U557" s="48">
        <f>SUM(S557:T557)</f>
        <v>27.6808659776251</v>
      </c>
      <c r="V557" s="48">
        <f>VLOOKUP(B557,'Player Data'!$A1:$AE734,10,FALSE)*$Q557*_xlfn.IFERROR(((VLOOKUP(P557,'Settings'!$E$28:$F$33,2,FALSE)/2)+1),1)</f>
        <v>80.7645323998678</v>
      </c>
      <c r="W557" s="48">
        <f>VLOOKUP(B557,'Player Data'!$A1:$AE734,11,FALSE)*$Q557*_xlfn.IFERROR((VLOOKUP(P557,'Settings'!$E$28:$F$33,2,FALSE)+1),1)</f>
        <v>0.186633919420545</v>
      </c>
      <c r="X557" s="48">
        <f>VLOOKUP(B557,'Player Data'!$A1:$AE734,12,FALSE)*$Q557*_xlfn.IFERROR((VLOOKUP(P557,'Settings'!$E$28:$F$33,2,FALSE)+1),1)</f>
        <v>0.5119147375765</v>
      </c>
      <c r="Y557" s="48">
        <f>VLOOKUP(B557,'Player Data'!$A1:$AE734,13,FALSE)*$Q557</f>
        <v>0.0886798913853914</v>
      </c>
      <c r="Z557" s="48">
        <f>VLOOKUP(B557,'Player Data'!$A1:$AE734,14,FALSE)*$Q557</f>
        <v>1.72283625203306</v>
      </c>
      <c r="AA557" s="48">
        <f>VLOOKUP(B557,'Player Data'!$A1:$AE734,15,FALSE)*$Q557</f>
        <v>37.6414920827005</v>
      </c>
      <c r="AB557" s="48">
        <f>VLOOKUP(B557,'Player Data'!$A1:$AE734,16,FALSE)*$Q557</f>
        <v>100.801568613837</v>
      </c>
      <c r="AC557" s="48">
        <f>VLOOKUP(B557,'Player Data'!$A1:$AE734,17,FALSE)*$Q557*_xlfn.IFERROR((VLOOKUP(P557,'Settings'!$E$28:$F$33,2,FALSE)+1),1)</f>
        <v>6.75687732473408</v>
      </c>
      <c r="AD557" s="48">
        <f>VLOOKUP(B557,'Player Data'!$A1:$AE734,18,FALSE)*$Q557</f>
        <v>15.387601090981</v>
      </c>
      <c r="AE557" s="48">
        <f>VLOOKUP(B557,'Player Data'!$A1:$AE734,19,FALSE)*$Q557*_xlfn.IFERROR((VLOOKUP(P557,'Settings'!$E$28:$F$33,2,FALSE)+1),1)</f>
        <v>1.79395066693943</v>
      </c>
      <c r="AF557" s="48">
        <f>VLOOKUP(B557,'Player Data'!$A1:$AE734,20,FALSE)*$Q557</f>
        <v>11.0503485051682</v>
      </c>
      <c r="AG557" s="48">
        <f>VLOOKUP(B557,'Player Data'!$A1:$AE734,21,FALSE)*$Q557</f>
        <v>16.8456317556872</v>
      </c>
      <c r="AH557" s="49">
        <f>VLOOKUP(B557,'Player Data'!$A1:$AE734,22,FALSE)</f>
        <v>0.396126911541962</v>
      </c>
      <c r="AI557" s="46"/>
      <c r="AJ557" s="50"/>
      <c r="AK557" s="48"/>
      <c r="AL557" s="48"/>
      <c r="AM557" s="48"/>
      <c r="AN557" s="48"/>
      <c r="AO557" s="48"/>
      <c r="AP557" s="48"/>
      <c r="AQ557" s="51"/>
      <c r="AR557" s="52"/>
      <c r="AS557" s="46"/>
    </row>
    <row r="558" ht="21.25" customHeight="1">
      <c r="A558" s="53">
        <f>RANK(K558,K2:K730)</f>
        <v>469</v>
      </c>
      <c r="B558" t="s" s="8">
        <v>710</v>
      </c>
      <c r="C558" t="s" s="39">
        <v>106</v>
      </c>
      <c r="D558" t="s" s="40">
        <f>VLOOKUP(B558,'Player Data'!A1:D734,4,FALSE)</f>
        <v>133</v>
      </c>
      <c r="E558" s="57">
        <f>VLOOKUP(B558,'LW'!A1:C156,3,FALSE)</f>
        <v>103</v>
      </c>
      <c r="F558" t="s" s="42">
        <f>VLOOKUP(B558,'Player Data'!A1:B734,2,FALSE)</f>
        <v>292</v>
      </c>
      <c r="G558" s="9">
        <f>VLOOKUP(B558,'Player Data'!A1:D734,3,FALSE)</f>
        <v>27</v>
      </c>
      <c r="H558" s="43">
        <f>_xlfn.IFERROR(VLOOKUP(B558,'ADP'!A1:G731,7,FALSE)/1000000,VLOOKUP(B558,'ADP'!A1:G731,7,FALSE))</f>
        <v>2.406</v>
      </c>
      <c r="I558" s="44">
        <f>IF('Settings'!$E$15="POINTS",((R558*Q558)*'Settings'!$B$12)+(S558*'Settings'!$B$2)+(T558*'Settings'!$B$3)+(U558*'Settings'!$B$4)+(V558*'Settings'!$B$5)+(X558*'Settings'!$B$9)+(AA558*'Settings'!$B$6)+(W558*'Settings'!$B$8)+(AB558*'Settings'!$B$7)+(AC558*'Settings'!$B$14)+(AD558*'Settings'!$B$15)+(AE558*'Settings'!$B$16)+(AF558*'Settings'!$B$17)+(AG558*'Settings'!$B$18)+(Y558*'Settings'!$B$10)+(Z558*'Settings'!$B$11),VLOOKUP(B558,'Standard Deviations'!A1:C731,3,FALSE))</f>
        <v>209.279882669391</v>
      </c>
      <c r="J558" s="45">
        <f>IF(D558="G",I558/AJ558,I558/Q558)</f>
        <v>2.7118453162641</v>
      </c>
      <c r="K558" s="44">
        <f>IF('Settings'!$E$18="C/LW/RW",VLOOKUP(B558,'LW'!A1:F156,6,FALSE),VLOOKUP(B558,'F'!A1:F432,6,FALSE))</f>
        <v>-172.348681036965</v>
      </c>
      <c r="L558" s="44">
        <f>_xlfn.IFERROR(K558/H558,"N/A")</f>
        <v>-71.6328682614152</v>
      </c>
      <c r="M558" t="s" s="61">
        <f>IF('Settings'!$E$9="YAHOO",VLOOKUP(B558,'ADP'!A1:E731,2,FALSE),IF('Settings'!$E$9="ESPN",VLOOKUP(B558,'ADP'!A1:E731,3,FALSE),IF('Settings'!$E$9="FANTRAX",VLOOKUP(B558,'ADP'!A1:E731,4,FALSE),VLOOKUP(B558,'ADP'!A1:E731,5,FALSE))))</f>
        <v>329</v>
      </c>
      <c r="N558" t="s" s="61">
        <f>_xlfn.IFERROR(M558-A558,"N/A")</f>
        <v>158</v>
      </c>
      <c r="O558" s="46"/>
      <c r="P558" t="s" s="47">
        <f>IF('Settings'!$E$27="ON",VLOOKUP(B558,'ADP'!A1:H731,8,FALSE)," ")</f>
        <v>109</v>
      </c>
      <c r="Q558" s="48">
        <f>IF('Settings'!$E$12="YES",VLOOKUP(B558,'Player Data'!A1:E734,5,FALSE),82)</f>
        <v>77.1725</v>
      </c>
      <c r="R558" s="46">
        <f>VLOOKUP(B558,'Player Data'!$A1:$AE734,6,FALSE)</f>
        <v>12.0108789345748</v>
      </c>
      <c r="S558" s="48">
        <f>VLOOKUP(B558,'Player Data'!$A1:$AE734,7,FALSE)*$Q558*_xlfn.IFERROR((VLOOKUP(P558,'Settings'!$E$28:$F$33,2,FALSE)+1),1)</f>
        <v>12.2764037978817</v>
      </c>
      <c r="T558" s="48">
        <f>VLOOKUP(B558,'Player Data'!$A1:$AE734,8,FALSE)*$Q558*_xlfn.IFERROR((VLOOKUP(P558,'Settings'!$E$28:$F$33,2,FALSE)+1),1)</f>
        <v>11.4779782590138</v>
      </c>
      <c r="U558" s="48">
        <f>SUM(S558:T558)</f>
        <v>23.7543820568955</v>
      </c>
      <c r="V558" s="48">
        <f>VLOOKUP(B558,'Player Data'!$A1:$AE734,10,FALSE)*$Q558*_xlfn.IFERROR(((VLOOKUP(P558,'Settings'!$E$28:$F$33,2,FALSE)/2)+1),1)</f>
        <v>110.585671945171</v>
      </c>
      <c r="W558" s="48">
        <f>VLOOKUP(B558,'Player Data'!$A1:$AE734,11,FALSE)*$Q558*_xlfn.IFERROR((VLOOKUP(P558,'Settings'!$E$28:$F$33,2,FALSE)+1),1)</f>
        <v>1.27841113360655</v>
      </c>
      <c r="X558" s="48">
        <f>VLOOKUP(B558,'Player Data'!$A1:$AE734,12,FALSE)*$Q558*_xlfn.IFERROR((VLOOKUP(P558,'Settings'!$E$28:$F$33,2,FALSE)+1),1)</f>
        <v>3.10799673581864</v>
      </c>
      <c r="Y558" s="48">
        <f>VLOOKUP(B558,'Player Data'!$A1:$AE734,13,FALSE)*$Q558</f>
        <v>0</v>
      </c>
      <c r="Z558" s="48">
        <f>VLOOKUP(B558,'Player Data'!$A1:$AE734,14,FALSE)*$Q558</f>
        <v>0</v>
      </c>
      <c r="AA558" s="48">
        <f>VLOOKUP(B558,'Player Data'!$A1:$AE734,15,FALSE)*$Q558</f>
        <v>31.7222235878425</v>
      </c>
      <c r="AB558" s="48">
        <f>VLOOKUP(B558,'Player Data'!$A1:$AE734,16,FALSE)*$Q558</f>
        <v>193.792732141499</v>
      </c>
      <c r="AC558" s="48">
        <f>VLOOKUP(B558,'Player Data'!$A1:$AE734,17,FALSE)*$Q558*_xlfn.IFERROR((VLOOKUP(P558,'Settings'!$E$28:$F$33,2,FALSE)+1),1)</f>
        <v>-1.17607873913413</v>
      </c>
      <c r="AD558" s="48">
        <f>VLOOKUP(B558,'Player Data'!$A1:$AE734,18,FALSE)*$Q558</f>
        <v>42.9393044001317</v>
      </c>
      <c r="AE558" s="48">
        <f>VLOOKUP(B558,'Player Data'!$A1:$AE734,19,FALSE)*$Q558*_xlfn.IFERROR((VLOOKUP(P558,'Settings'!$E$28:$F$33,2,FALSE)+1),1)</f>
        <v>0</v>
      </c>
      <c r="AF558" s="48">
        <f>VLOOKUP(B558,'Player Data'!$A1:$AE734,20,FALSE)*$Q558</f>
        <v>0.754311820291716</v>
      </c>
      <c r="AG558" s="48">
        <f>VLOOKUP(B558,'Player Data'!$A1:$AE734,21,FALSE)*$Q558</f>
        <v>8.766004814391611</v>
      </c>
      <c r="AH558" s="49">
        <f>VLOOKUP(B558,'Player Data'!$A1:$AE734,22,FALSE)</f>
        <v>0.07923179965923551</v>
      </c>
      <c r="AI558" s="46"/>
      <c r="AJ558" s="50"/>
      <c r="AK558" s="48"/>
      <c r="AL558" s="48"/>
      <c r="AM558" s="48"/>
      <c r="AN558" s="48"/>
      <c r="AO558" s="48"/>
      <c r="AP558" s="48"/>
      <c r="AQ558" s="51"/>
      <c r="AR558" s="52"/>
      <c r="AS558" s="46"/>
    </row>
    <row r="559" ht="21.25" customHeight="1">
      <c r="A559" s="53">
        <f>RANK(K559,K2:K730)</f>
        <v>509</v>
      </c>
      <c r="B559" t="s" s="8">
        <v>711</v>
      </c>
      <c r="C559" t="s" s="39">
        <v>106</v>
      </c>
      <c r="D559" t="s" s="40">
        <f>VLOOKUP(B559,'Player Data'!A1:D734,4,FALSE)</f>
        <v>107</v>
      </c>
      <c r="E559" s="41">
        <f>VLOOKUP(B559,'C'!A1:C218,3,FALSE)</f>
        <v>131</v>
      </c>
      <c r="F559" t="s" s="42">
        <f>VLOOKUP(B559,'Player Data'!A1:B734,2,FALSE)</f>
        <v>196</v>
      </c>
      <c r="G559" s="9">
        <f>VLOOKUP(B559,'Player Data'!A1:D734,3,FALSE)</f>
        <v>31</v>
      </c>
      <c r="H559" s="43">
        <f>_xlfn.IFERROR(VLOOKUP(B559,'ADP'!A1:G731,7,FALSE)/1000000,VLOOKUP(B559,'ADP'!A1:G731,7,FALSE))</f>
        <v>2.1</v>
      </c>
      <c r="I559" s="44">
        <f>IF('Settings'!$E$15="POINTS",((R559*Q559)*'Settings'!$B$12)+(S559*'Settings'!$B$2)+(T559*'Settings'!$B$3)+(U559*'Settings'!$B$4)+(V559*'Settings'!$B$5)+(X559*'Settings'!$B$9)+(AA559*'Settings'!$B$6)+(W559*'Settings'!$B$8)+(AB559*'Settings'!$B$7)+(AC559*'Settings'!$B$14)+(AD559*'Settings'!$B$15)+(AE559*'Settings'!$B$16)+(AF559*'Settings'!$B$17)+(AG559*'Settings'!$B$18)+(Y559*'Settings'!$B$10)+(Z559*'Settings'!$B$11),VLOOKUP(B559,'Standard Deviations'!A1:C731,3,FALSE))</f>
        <v>210.871377698146</v>
      </c>
      <c r="J559" s="45">
        <f>IF(D559="G",I559/AJ559,I559/Q559)</f>
        <v>2.77005436312665</v>
      </c>
      <c r="K559" s="44">
        <f>IF('Settings'!$E$18="C/LW/RW",VLOOKUP(B559,'C'!A1:F218,6,FALSE),VLOOKUP(B559,'F'!A1:F432,6,FALSE))</f>
        <v>-184.902823937869</v>
      </c>
      <c r="L559" s="44">
        <f>_xlfn.IFERROR(K559/H559,"N/A")</f>
        <v>-88.04896377993759</v>
      </c>
      <c r="M559" t="s" s="61">
        <f>IF('Settings'!$E$9="YAHOO",VLOOKUP(B559,'ADP'!A1:E731,2,FALSE),IF('Settings'!$E$9="ESPN",VLOOKUP(B559,'ADP'!A1:E731,3,FALSE),IF('Settings'!$E$9="FANTRAX",VLOOKUP(B559,'ADP'!A1:E731,4,FALSE),VLOOKUP(B559,'ADP'!A1:E731,5,FALSE))))</f>
        <v>329</v>
      </c>
      <c r="N559" t="s" s="61">
        <f>_xlfn.IFERROR(M559-A559,"N/A")</f>
        <v>158</v>
      </c>
      <c r="O559" s="46"/>
      <c r="P559" t="s" s="47">
        <f>IF('Settings'!$E$27="ON",VLOOKUP(B559,'ADP'!A1:H731,8,FALSE)," ")</f>
        <v>109</v>
      </c>
      <c r="Q559" s="48">
        <f>IF('Settings'!$E$12="YES",VLOOKUP(B559,'Player Data'!A1:E734,5,FALSE),82)</f>
        <v>76.1253571428571</v>
      </c>
      <c r="R559" s="46">
        <f>VLOOKUP(B559,'Player Data'!$A1:$AE734,6,FALSE)</f>
        <v>14.4269870293751</v>
      </c>
      <c r="S559" s="48">
        <f>VLOOKUP(B559,'Player Data'!$A1:$AE734,7,FALSE)*$Q559*_xlfn.IFERROR((VLOOKUP(P559,'Settings'!$E$28:$F$33,2,FALSE)+1),1)</f>
        <v>12.2293870638843</v>
      </c>
      <c r="T559" s="48">
        <f>VLOOKUP(B559,'Player Data'!$A1:$AE734,8,FALSE)*$Q559*_xlfn.IFERROR((VLOOKUP(P559,'Settings'!$E$28:$F$33,2,FALSE)+1),1)</f>
        <v>11.4980080266898</v>
      </c>
      <c r="U559" s="48">
        <f>SUM(S559:T559)</f>
        <v>23.7273950905741</v>
      </c>
      <c r="V559" s="48">
        <f>VLOOKUP(B559,'Player Data'!$A1:$AE734,10,FALSE)*$Q559*_xlfn.IFERROR(((VLOOKUP(P559,'Settings'!$E$28:$F$33,2,FALSE)/2)+1),1)</f>
        <v>128.801837795626</v>
      </c>
      <c r="W559" s="48">
        <f>VLOOKUP(B559,'Player Data'!$A1:$AE734,11,FALSE)*$Q559*_xlfn.IFERROR((VLOOKUP(P559,'Settings'!$E$28:$F$33,2,FALSE)+1),1)</f>
        <v>0.358443487784911</v>
      </c>
      <c r="X559" s="48">
        <f>VLOOKUP(B559,'Player Data'!$A1:$AE734,12,FALSE)*$Q559*_xlfn.IFERROR((VLOOKUP(P559,'Settings'!$E$28:$F$33,2,FALSE)+1),1)</f>
        <v>0.620412631217636</v>
      </c>
      <c r="Y559" s="48">
        <f>VLOOKUP(B559,'Player Data'!$A1:$AE734,13,FALSE)*$Q559</f>
        <v>0.89473822277733</v>
      </c>
      <c r="Z559" s="48">
        <f>VLOOKUP(B559,'Player Data'!$A1:$AE734,14,FALSE)*$Q559</f>
        <v>1.02851894978482</v>
      </c>
      <c r="AA559" s="48">
        <f>VLOOKUP(B559,'Player Data'!$A1:$AE734,15,FALSE)*$Q559</f>
        <v>38.180699977462</v>
      </c>
      <c r="AB559" s="48">
        <f>VLOOKUP(B559,'Player Data'!$A1:$AE734,16,FALSE)*$Q559</f>
        <v>143.187220177936</v>
      </c>
      <c r="AC559" s="48">
        <f>VLOOKUP(B559,'Player Data'!$A1:$AE734,17,FALSE)*$Q559*_xlfn.IFERROR((VLOOKUP(P559,'Settings'!$E$28:$F$33,2,FALSE)+1),1)</f>
        <v>-1.82941589120255</v>
      </c>
      <c r="AD559" s="48">
        <f>VLOOKUP(B559,'Player Data'!$A1:$AE734,18,FALSE)*$Q559</f>
        <v>31.2417267537291</v>
      </c>
      <c r="AE559" s="48">
        <f>VLOOKUP(B559,'Player Data'!$A1:$AE734,19,FALSE)*$Q559*_xlfn.IFERROR((VLOOKUP(P559,'Settings'!$E$28:$F$33,2,FALSE)+1),1)</f>
        <v>1.54330704180082</v>
      </c>
      <c r="AF559" s="48">
        <f>VLOOKUP(B559,'Player Data'!$A1:$AE734,20,FALSE)*$Q559</f>
        <v>442.223414195729</v>
      </c>
      <c r="AG559" s="48">
        <f>VLOOKUP(B559,'Player Data'!$A1:$AE734,21,FALSE)*$Q559</f>
        <v>453.566815197329</v>
      </c>
      <c r="AH559" s="49">
        <f>VLOOKUP(B559,'Player Data'!$A1:$AE734,22,FALSE)</f>
        <v>0.493668494794096</v>
      </c>
      <c r="AI559" s="46"/>
      <c r="AJ559" s="50"/>
      <c r="AK559" s="48"/>
      <c r="AL559" s="48"/>
      <c r="AM559" s="48"/>
      <c r="AN559" s="48"/>
      <c r="AO559" s="48"/>
      <c r="AP559" s="48"/>
      <c r="AQ559" s="51"/>
      <c r="AR559" s="52"/>
      <c r="AS559" s="46"/>
    </row>
    <row r="560" ht="21.25" customHeight="1">
      <c r="A560" s="53">
        <f>RANK(K560,K2:K730)</f>
        <v>495</v>
      </c>
      <c r="B560" t="s" s="8">
        <v>712</v>
      </c>
      <c r="C560" t="s" s="39">
        <v>106</v>
      </c>
      <c r="D560" t="s" s="40">
        <f>VLOOKUP(B560,'Player Data'!A1:D734,4,FALSE)</f>
        <v>107</v>
      </c>
      <c r="E560" s="41">
        <f>VLOOKUP(B560,'C'!A1:C218,3,FALSE)</f>
        <v>127</v>
      </c>
      <c r="F560" t="s" s="42">
        <f>VLOOKUP(B560,'Player Data'!A1:B734,2,FALSE)</f>
        <v>131</v>
      </c>
      <c r="G560" s="9">
        <f>VLOOKUP(B560,'Player Data'!A1:D734,3,FALSE)</f>
        <v>29</v>
      </c>
      <c r="H560" s="43">
        <f>_xlfn.IFERROR(VLOOKUP(B560,'ADP'!A1:G731,7,FALSE)/1000000,VLOOKUP(B560,'ADP'!A1:G731,7,FALSE))</f>
        <v>2.857</v>
      </c>
      <c r="I560" s="44">
        <f>IF('Settings'!$E$15="POINTS",((R560*Q560)*'Settings'!$B$12)+(S560*'Settings'!$B$2)+(T560*'Settings'!$B$3)+(U560*'Settings'!$B$4)+(V560*'Settings'!$B$5)+(X560*'Settings'!$B$9)+(AA560*'Settings'!$B$6)+(W560*'Settings'!$B$8)+(AB560*'Settings'!$B$7)+(AC560*'Settings'!$B$14)+(AD560*'Settings'!$B$15)+(AE560*'Settings'!$B$16)+(AF560*'Settings'!$B$17)+(AG560*'Settings'!$B$18)+(Y560*'Settings'!$B$10)+(Z560*'Settings'!$B$11),VLOOKUP(B560,'Standard Deviations'!A1:C731,3,FALSE))</f>
        <v>214.439463499539</v>
      </c>
      <c r="J560" s="45">
        <f>IF(D560="G",I560/AJ560,I560/Q560)</f>
        <v>2.63683252659626</v>
      </c>
      <c r="K560" s="44">
        <f>IF('Settings'!$E$18="C/LW/RW",VLOOKUP(B560,'C'!A1:F218,6,FALSE),VLOOKUP(B560,'F'!A1:F432,6,FALSE))</f>
        <v>-181.334738136476</v>
      </c>
      <c r="L560" s="44">
        <f>_xlfn.IFERROR(K560/H560,"N/A")</f>
        <v>-63.4703318643598</v>
      </c>
      <c r="M560" t="s" s="61">
        <f>IF('Settings'!$E$9="YAHOO",VLOOKUP(B560,'ADP'!A1:E731,2,FALSE),IF('Settings'!$E$9="ESPN",VLOOKUP(B560,'ADP'!A1:E731,3,FALSE),IF('Settings'!$E$9="FANTRAX",VLOOKUP(B560,'ADP'!A1:E731,4,FALSE),VLOOKUP(B560,'ADP'!A1:E731,5,FALSE))))</f>
        <v>329</v>
      </c>
      <c r="N560" t="s" s="61">
        <f>_xlfn.IFERROR(M560-A560,"N/A")</f>
        <v>158</v>
      </c>
      <c r="O560" s="46"/>
      <c r="P560" t="s" s="47">
        <f>IF('Settings'!$E$27="ON",VLOOKUP(B560,'ADP'!A1:H731,8,FALSE)," ")</f>
        <v>109</v>
      </c>
      <c r="Q560" s="48">
        <f>IF('Settings'!$E$12="YES",VLOOKUP(B560,'Player Data'!A1:E734,5,FALSE),82)</f>
        <v>81.3246428571429</v>
      </c>
      <c r="R560" s="46">
        <f>VLOOKUP(B560,'Player Data'!$A1:$AE734,6,FALSE)</f>
        <v>15.4996169029726</v>
      </c>
      <c r="S560" s="48">
        <f>VLOOKUP(B560,'Player Data'!$A1:$AE734,7,FALSE)*$Q560*_xlfn.IFERROR((VLOOKUP(P560,'Settings'!$E$28:$F$33,2,FALSE)+1),1)</f>
        <v>10.2331662993443</v>
      </c>
      <c r="T560" s="48">
        <f>VLOOKUP(B560,'Player Data'!$A1:$AE734,8,FALSE)*$Q560*_xlfn.IFERROR((VLOOKUP(P560,'Settings'!$E$28:$F$33,2,FALSE)+1),1)</f>
        <v>17.3816503368662</v>
      </c>
      <c r="U560" s="48">
        <f>SUM(S560:T560)</f>
        <v>27.6148166362105</v>
      </c>
      <c r="V560" s="48">
        <f>VLOOKUP(B560,'Player Data'!$A1:$AE734,10,FALSE)*$Q560*_xlfn.IFERROR(((VLOOKUP(P560,'Settings'!$E$28:$F$33,2,FALSE)/2)+1),1)</f>
        <v>90.894494670627</v>
      </c>
      <c r="W560" s="48">
        <f>VLOOKUP(B560,'Player Data'!$A1:$AE734,11,FALSE)*$Q560*_xlfn.IFERROR((VLOOKUP(P560,'Settings'!$E$28:$F$33,2,FALSE)+1),1)</f>
        <v>0.429487050600719</v>
      </c>
      <c r="X560" s="48">
        <f>VLOOKUP(B560,'Player Data'!$A1:$AE734,12,FALSE)*$Q560*_xlfn.IFERROR((VLOOKUP(P560,'Settings'!$E$28:$F$33,2,FALSE)+1),1)</f>
        <v>1.93434771395571</v>
      </c>
      <c r="Y560" s="48">
        <f>VLOOKUP(B560,'Player Data'!$A1:$AE734,13,FALSE)*$Q560</f>
        <v>0.534456229654466</v>
      </c>
      <c r="Z560" s="48">
        <f>VLOOKUP(B560,'Player Data'!$A1:$AE734,14,FALSE)*$Q560</f>
        <v>0.794064334301618</v>
      </c>
      <c r="AA560" s="48">
        <f>VLOOKUP(B560,'Player Data'!$A1:$AE734,15,FALSE)*$Q560</f>
        <v>59.912698040997</v>
      </c>
      <c r="AB560" s="48">
        <f>VLOOKUP(B560,'Player Data'!$A1:$AE734,16,FALSE)*$Q560</f>
        <v>157.014156469905</v>
      </c>
      <c r="AC560" s="48">
        <f>VLOOKUP(B560,'Player Data'!$A1:$AE734,17,FALSE)*$Q560*_xlfn.IFERROR((VLOOKUP(P560,'Settings'!$E$28:$F$33,2,FALSE)+1),1)</f>
        <v>-2.23262428020903</v>
      </c>
      <c r="AD560" s="48">
        <f>VLOOKUP(B560,'Player Data'!$A1:$AE734,18,FALSE)*$Q560</f>
        <v>25.8529924755846</v>
      </c>
      <c r="AE560" s="48">
        <f>VLOOKUP(B560,'Player Data'!$A1:$AE734,19,FALSE)*$Q560*_xlfn.IFERROR((VLOOKUP(P560,'Settings'!$E$28:$F$33,2,FALSE)+1),1)</f>
        <v>1.49430991872681</v>
      </c>
      <c r="AF560" s="48">
        <f>VLOOKUP(B560,'Player Data'!$A1:$AE734,20,FALSE)*$Q560</f>
        <v>595.694246150862</v>
      </c>
      <c r="AG560" s="48">
        <f>VLOOKUP(B560,'Player Data'!$A1:$AE734,21,FALSE)*$Q560</f>
        <v>500.252932462903</v>
      </c>
      <c r="AH560" s="49">
        <f>VLOOKUP(B560,'Player Data'!$A1:$AE734,22,FALSE)</f>
        <v>0.5435428438297</v>
      </c>
      <c r="AI560" s="46"/>
      <c r="AJ560" s="50"/>
      <c r="AK560" s="48"/>
      <c r="AL560" s="48"/>
      <c r="AM560" s="48"/>
      <c r="AN560" s="48"/>
      <c r="AO560" s="48"/>
      <c r="AP560" s="48"/>
      <c r="AQ560" s="51"/>
      <c r="AR560" s="52"/>
      <c r="AS560" s="46"/>
    </row>
    <row r="561" ht="21.25" customHeight="1">
      <c r="A561" s="53">
        <f>RANK(K561,K2:K730)</f>
        <v>588</v>
      </c>
      <c r="B561" t="s" s="8">
        <v>713</v>
      </c>
      <c r="C561" t="s" s="39">
        <v>106</v>
      </c>
      <c r="D561" t="s" s="40">
        <f>VLOOKUP(B561,'Player Data'!A1:D734,4,FALSE)</f>
        <v>133</v>
      </c>
      <c r="E561" s="57">
        <f>VLOOKUP(B561,'LW'!A1:C156,3,FALSE)</f>
        <v>125</v>
      </c>
      <c r="F561" t="s" s="42">
        <f>VLOOKUP(B561,'Player Data'!A1:B734,2,FALSE)</f>
        <v>141</v>
      </c>
      <c r="G561" s="9">
        <f>VLOOKUP(B561,'Player Data'!A1:D734,3,FALSE)</f>
        <v>23</v>
      </c>
      <c r="H561" s="43">
        <f>_xlfn.IFERROR(VLOOKUP(B561,'ADP'!A1:G731,7,FALSE)/1000000,VLOOKUP(B561,'ADP'!A1:G731,7,FALSE))</f>
        <v>1.45</v>
      </c>
      <c r="I561" s="44">
        <f>IF('Settings'!$E$15="POINTS",((R561*Q561)*'Settings'!$B$12)+(S561*'Settings'!$B$2)+(T561*'Settings'!$B$3)+(U561*'Settings'!$B$4)+(V561*'Settings'!$B$5)+(X561*'Settings'!$B$9)+(AA561*'Settings'!$B$6)+(W561*'Settings'!$B$8)+(AB561*'Settings'!$B$7)+(AC561*'Settings'!$B$14)+(AD561*'Settings'!$B$15)+(AE561*'Settings'!$B$16)+(AF561*'Settings'!$B$17)+(AG561*'Settings'!$B$18)+(Y561*'Settings'!$B$10)+(Z561*'Settings'!$B$11),VLOOKUP(B561,'Standard Deviations'!A1:C731,3,FALSE))</f>
        <v>168.924710068123</v>
      </c>
      <c r="J561" s="45">
        <f>IF(D561="G",I561/AJ561,I561/Q561)</f>
        <v>2.5626686398623</v>
      </c>
      <c r="K561" s="44">
        <f>IF('Settings'!$E$18="C/LW/RW",VLOOKUP(B561,'LW'!A1:F156,6,FALSE),VLOOKUP(B561,'F'!A1:F432,6,FALSE))</f>
        <v>-212.703853638233</v>
      </c>
      <c r="L561" s="44">
        <f>_xlfn.IFERROR(K561/H561,"N/A")</f>
        <v>-146.692312853954</v>
      </c>
      <c r="M561" t="s" s="61">
        <f>IF('Settings'!$E$9="YAHOO",VLOOKUP(B561,'ADP'!A1:E731,2,FALSE),IF('Settings'!$E$9="ESPN",VLOOKUP(B561,'ADP'!A1:E731,3,FALSE),IF('Settings'!$E$9="FANTRAX",VLOOKUP(B561,'ADP'!A1:E731,4,FALSE),VLOOKUP(B561,'ADP'!A1:E731,5,FALSE))))</f>
        <v>329</v>
      </c>
      <c r="N561" t="s" s="61">
        <f>_xlfn.IFERROR(M561-A561,"N/A")</f>
        <v>158</v>
      </c>
      <c r="O561" s="46"/>
      <c r="P561" t="s" s="47">
        <f>IF('Settings'!$E$27="ON",VLOOKUP(B561,'ADP'!A1:H731,8,FALSE)," ")</f>
        <v>109</v>
      </c>
      <c r="Q561" s="48">
        <f>IF('Settings'!$E$12="YES",VLOOKUP(B561,'Player Data'!A1:E734,5,FALSE),82)</f>
        <v>65.9175</v>
      </c>
      <c r="R561" s="46">
        <f>VLOOKUP(B561,'Player Data'!$A1:$AE734,6,FALSE)</f>
        <v>12.9291446136325</v>
      </c>
      <c r="S561" s="48">
        <f>VLOOKUP(B561,'Player Data'!$A1:$AE734,7,FALSE)*$Q561*_xlfn.IFERROR((VLOOKUP(P561,'Settings'!$E$28:$F$33,2,FALSE)+1),1)</f>
        <v>8.377060914909871</v>
      </c>
      <c r="T561" s="48">
        <f>VLOOKUP(B561,'Player Data'!$A1:$AE734,8,FALSE)*$Q561*_xlfn.IFERROR((VLOOKUP(P561,'Settings'!$E$28:$F$33,2,FALSE)+1),1)</f>
        <v>17.3235041401836</v>
      </c>
      <c r="U561" s="48">
        <f>SUM(S561:T561)</f>
        <v>25.7005650550935</v>
      </c>
      <c r="V561" s="48">
        <f>VLOOKUP(B561,'Player Data'!$A1:$AE734,10,FALSE)*$Q561*_xlfn.IFERROR(((VLOOKUP(P561,'Settings'!$E$28:$F$33,2,FALSE)/2)+1),1)</f>
        <v>106.864585889399</v>
      </c>
      <c r="W561" s="48">
        <f>VLOOKUP(B561,'Player Data'!$A1:$AE734,11,FALSE)*$Q561*_xlfn.IFERROR((VLOOKUP(P561,'Settings'!$E$28:$F$33,2,FALSE)+1),1)</f>
        <v>0.5984252192253799</v>
      </c>
      <c r="X561" s="48">
        <f>VLOOKUP(B561,'Player Data'!$A1:$AE734,12,FALSE)*$Q561*_xlfn.IFERROR((VLOOKUP(P561,'Settings'!$E$28:$F$33,2,FALSE)+1),1)</f>
        <v>1.61873934298144</v>
      </c>
      <c r="Y561" s="48">
        <f>VLOOKUP(B561,'Player Data'!$A1:$AE734,13,FALSE)*$Q561</f>
        <v>0.006034493079053</v>
      </c>
      <c r="Z561" s="48">
        <f>VLOOKUP(B561,'Player Data'!$A1:$AE734,14,FALSE)*$Q561</f>
        <v>0.0107353007755848</v>
      </c>
      <c r="AA561" s="48">
        <f>VLOOKUP(B561,'Player Data'!$A1:$AE734,15,FALSE)*$Q561</f>
        <v>21.8306764461444</v>
      </c>
      <c r="AB561" s="48">
        <f>VLOOKUP(B561,'Player Data'!$A1:$AE734,16,FALSE)*$Q561</f>
        <v>59.5532870446178</v>
      </c>
      <c r="AC561" s="48">
        <f>VLOOKUP(B561,'Player Data'!$A1:$AE734,17,FALSE)*$Q561*_xlfn.IFERROR((VLOOKUP(P561,'Settings'!$E$28:$F$33,2,FALSE)+1),1)</f>
        <v>-0.234660300674768</v>
      </c>
      <c r="AD561" s="48">
        <f>VLOOKUP(B561,'Player Data'!$A1:$AE734,18,FALSE)*$Q561</f>
        <v>15.1348395720648</v>
      </c>
      <c r="AE561" s="48">
        <f>VLOOKUP(B561,'Player Data'!$A1:$AE734,19,FALSE)*$Q561*_xlfn.IFERROR((VLOOKUP(P561,'Settings'!$E$28:$F$33,2,FALSE)+1),1)</f>
        <v>1.04006031774111</v>
      </c>
      <c r="AF561" s="48">
        <f>VLOOKUP(B561,'Player Data'!$A1:$AE734,20,FALSE)*$Q561</f>
        <v>7.28515958809956</v>
      </c>
      <c r="AG561" s="48">
        <f>VLOOKUP(B561,'Player Data'!$A1:$AE734,21,FALSE)*$Q561</f>
        <v>8.91758507431776</v>
      </c>
      <c r="AH561" s="49">
        <f>VLOOKUP(B561,'Player Data'!$A1:$AE734,22,FALSE)</f>
        <v>0.449625032047666</v>
      </c>
      <c r="AI561" s="46"/>
      <c r="AJ561" s="50"/>
      <c r="AK561" s="48"/>
      <c r="AL561" s="48"/>
      <c r="AM561" s="48"/>
      <c r="AN561" s="48"/>
      <c r="AO561" s="48"/>
      <c r="AP561" s="48"/>
      <c r="AQ561" s="51"/>
      <c r="AR561" s="52"/>
      <c r="AS561" s="46"/>
    </row>
    <row r="562" ht="21.25" customHeight="1">
      <c r="A562" s="53">
        <f>RANK(K562,K2:K730)</f>
        <v>503</v>
      </c>
      <c r="B562" t="s" s="8">
        <v>714</v>
      </c>
      <c r="C562" t="s" s="39">
        <v>106</v>
      </c>
      <c r="D562" t="s" s="40">
        <f>VLOOKUP(B562,'Player Data'!A1:D734,4,FALSE)</f>
        <v>133</v>
      </c>
      <c r="E562" s="57">
        <f>VLOOKUP(B562,'LW'!A1:C156,3,FALSE)</f>
        <v>111</v>
      </c>
      <c r="F562" t="s" s="42">
        <f>VLOOKUP(B562,'Player Data'!A1:B734,2,FALSE)</f>
        <v>189</v>
      </c>
      <c r="G562" s="9">
        <f>VLOOKUP(B562,'Player Data'!A1:D734,3,FALSE)</f>
        <v>28</v>
      </c>
      <c r="H562" s="43">
        <f>_xlfn.IFERROR(VLOOKUP(B562,'ADP'!A1:G731,7,FALSE)/1000000,VLOOKUP(B562,'ADP'!A1:G731,7,FALSE))</f>
        <v>1.6</v>
      </c>
      <c r="I562" s="44">
        <f>IF('Settings'!$E$15="POINTS",((R562*Q562)*'Settings'!$B$12)+(S562*'Settings'!$B$2)+(T562*'Settings'!$B$3)+(U562*'Settings'!$B$4)+(V562*'Settings'!$B$5)+(X562*'Settings'!$B$9)+(AA562*'Settings'!$B$6)+(W562*'Settings'!$B$8)+(AB562*'Settings'!$B$7)+(AC562*'Settings'!$B$14)+(AD562*'Settings'!$B$15)+(AE562*'Settings'!$B$16)+(AF562*'Settings'!$B$17)+(AG562*'Settings'!$B$18)+(Y562*'Settings'!$B$10)+(Z562*'Settings'!$B$11),VLOOKUP(B562,'Standard Deviations'!A1:C731,3,FALSE))</f>
        <v>198.697798060107</v>
      </c>
      <c r="J562" s="45">
        <f>IF(D562="G",I562/AJ562,I562/Q562)</f>
        <v>2.54113627342913</v>
      </c>
      <c r="K562" s="44">
        <f>IF('Settings'!$E$18="C/LW/RW",VLOOKUP(B562,'LW'!A1:F156,6,FALSE),VLOOKUP(B562,'F'!A1:F432,6,FALSE))</f>
        <v>-182.930765646249</v>
      </c>
      <c r="L562" s="44">
        <f>_xlfn.IFERROR(K562/H562,"N/A")</f>
        <v>-114.331728528906</v>
      </c>
      <c r="M562" t="s" s="61">
        <f>IF('Settings'!$E$9="YAHOO",VLOOKUP(B562,'ADP'!A1:E731,2,FALSE),IF('Settings'!$E$9="ESPN",VLOOKUP(B562,'ADP'!A1:E731,3,FALSE),IF('Settings'!$E$9="FANTRAX",VLOOKUP(B562,'ADP'!A1:E731,4,FALSE),VLOOKUP(B562,'ADP'!A1:E731,5,FALSE))))</f>
        <v>329</v>
      </c>
      <c r="N562" t="s" s="61">
        <f>_xlfn.IFERROR(M562-A562,"N/A")</f>
        <v>158</v>
      </c>
      <c r="O562" s="46"/>
      <c r="P562" t="s" s="47">
        <f>IF('Settings'!$E$27="ON",VLOOKUP(B562,'ADP'!A1:H731,8,FALSE)," ")</f>
        <v>109</v>
      </c>
      <c r="Q562" s="48">
        <f>IF('Settings'!$E$12="YES",VLOOKUP(B562,'Player Data'!A1:E734,5,FALSE),82)</f>
        <v>78.1925</v>
      </c>
      <c r="R562" s="46">
        <f>VLOOKUP(B562,'Player Data'!$A1:$AE734,6,FALSE)</f>
        <v>13.3718331331986</v>
      </c>
      <c r="S562" s="48">
        <f>VLOOKUP(B562,'Player Data'!$A1:$AE734,7,FALSE)*$Q562*_xlfn.IFERROR((VLOOKUP(P562,'Settings'!$E$28:$F$33,2,FALSE)+1),1)</f>
        <v>11.3356835633061</v>
      </c>
      <c r="T562" s="48">
        <f>VLOOKUP(B562,'Player Data'!$A1:$AE734,8,FALSE)*$Q562*_xlfn.IFERROR((VLOOKUP(P562,'Settings'!$E$28:$F$33,2,FALSE)+1),1)</f>
        <v>14.7409321612659</v>
      </c>
      <c r="U562" s="48">
        <f>SUM(S562:T562)</f>
        <v>26.076615724572</v>
      </c>
      <c r="V562" s="48">
        <f>VLOOKUP(B562,'Player Data'!$A1:$AE734,10,FALSE)*$Q562*_xlfn.IFERROR(((VLOOKUP(P562,'Settings'!$E$28:$F$33,2,FALSE)/2)+1),1)</f>
        <v>106.658114121901</v>
      </c>
      <c r="W562" s="48">
        <f>VLOOKUP(B562,'Player Data'!$A1:$AE734,11,FALSE)*$Q562*_xlfn.IFERROR((VLOOKUP(P562,'Settings'!$E$28:$F$33,2,FALSE)+1),1)</f>
        <v>0.016343616171538</v>
      </c>
      <c r="X562" s="48">
        <f>VLOOKUP(B562,'Player Data'!$A1:$AE734,12,FALSE)*$Q562*_xlfn.IFERROR((VLOOKUP(P562,'Settings'!$E$28:$F$33,2,FALSE)+1),1)</f>
        <v>0.0416945070622727</v>
      </c>
      <c r="Y562" s="48">
        <f>VLOOKUP(B562,'Player Data'!$A1:$AE734,13,FALSE)*$Q562</f>
        <v>0.921376272469602</v>
      </c>
      <c r="Z562" s="48">
        <f>VLOOKUP(B562,'Player Data'!$A1:$AE734,14,FALSE)*$Q562</f>
        <v>2.16535466193498</v>
      </c>
      <c r="AA562" s="48">
        <f>VLOOKUP(B562,'Player Data'!$A1:$AE734,15,FALSE)*$Q562</f>
        <v>31.7318265166056</v>
      </c>
      <c r="AB562" s="48">
        <f>VLOOKUP(B562,'Player Data'!$A1:$AE734,16,FALSE)*$Q562</f>
        <v>119.754983593234</v>
      </c>
      <c r="AC562" s="48">
        <f>VLOOKUP(B562,'Player Data'!$A1:$AE734,17,FALSE)*$Q562*_xlfn.IFERROR((VLOOKUP(P562,'Settings'!$E$28:$F$33,2,FALSE)+1),1)</f>
        <v>-6.07735454416354</v>
      </c>
      <c r="AD562" s="48">
        <f>VLOOKUP(B562,'Player Data'!$A1:$AE734,18,FALSE)*$Q562</f>
        <v>14.0260398786755</v>
      </c>
      <c r="AE562" s="48">
        <f>VLOOKUP(B562,'Player Data'!$A1:$AE734,19,FALSE)*$Q562*_xlfn.IFERROR((VLOOKUP(P562,'Settings'!$E$28:$F$33,2,FALSE)+1),1)</f>
        <v>1.21469654211237</v>
      </c>
      <c r="AF562" s="48">
        <f>VLOOKUP(B562,'Player Data'!$A1:$AE734,20,FALSE)*$Q562</f>
        <v>4.82385467569617</v>
      </c>
      <c r="AG562" s="48">
        <f>VLOOKUP(B562,'Player Data'!$A1:$AE734,21,FALSE)*$Q562</f>
        <v>8.498528727331021</v>
      </c>
      <c r="AH562" s="49">
        <f>VLOOKUP(B562,'Player Data'!$A1:$AE734,22,FALSE)</f>
        <v>0.36208646229173</v>
      </c>
      <c r="AI562" s="46"/>
      <c r="AJ562" s="50"/>
      <c r="AK562" s="48"/>
      <c r="AL562" s="48"/>
      <c r="AM562" s="48"/>
      <c r="AN562" s="48"/>
      <c r="AO562" s="48"/>
      <c r="AP562" s="48"/>
      <c r="AQ562" s="51"/>
      <c r="AR562" s="52"/>
      <c r="AS562" s="46"/>
    </row>
    <row r="563" ht="21.25" customHeight="1">
      <c r="A563" s="53">
        <f>RANK(K563,K2:K730)</f>
        <v>648</v>
      </c>
      <c r="B563" t="s" s="8">
        <v>715</v>
      </c>
      <c r="C563" t="s" s="39">
        <v>106</v>
      </c>
      <c r="D563" t="s" s="40">
        <f>VLOOKUP(B563,'Player Data'!A1:D734,4,FALSE)</f>
        <v>129</v>
      </c>
      <c r="E563" s="56">
        <f>VLOOKUP(B563,'D'!A1:C228,3,FALSE)</f>
        <v>216</v>
      </c>
      <c r="F563" t="s" s="42">
        <f>VLOOKUP(B563,'Player Data'!A1:B734,2,FALSE)</f>
        <v>108</v>
      </c>
      <c r="G563" s="9">
        <f>VLOOKUP(B563,'Player Data'!A1:D734,3,FALSE)</f>
        <v>27</v>
      </c>
      <c r="H563" s="43">
        <f>_xlfn.IFERROR(VLOOKUP(B563,'ADP'!A1:G731,7,FALSE)/1000000,VLOOKUP(B563,'ADP'!A1:G731,7,FALSE))</f>
        <v>0.7625</v>
      </c>
      <c r="I563" s="44">
        <f>IF('Settings'!$E$15="POINTS",((R563*Q563)*'Settings'!$B$12)+(S563*'Settings'!$B$2)+(T563*'Settings'!$B$3)+(U563*'Settings'!$B$4)+(V563*'Settings'!$B$5)+(X563*'Settings'!$B$9)+(AA563*'Settings'!$B$6)+(W563*'Settings'!$B$8)+(AB563*'Settings'!$B$7)+(AC563*'Settings'!$B$14)+(AD563*'Settings'!$B$15)+(AE563*'Settings'!$B$16)+(AF563*'Settings'!$B$17)+(AG563*'Settings'!$B$18)+(U563*'Settings'!$B$13)+(Y563*'Settings'!$B$10)+(Z563*'Settings'!$B$11),VLOOKUP(B563,'Standard Deviations'!A1:C731,3,FALSE))</f>
        <v>109.055032591645</v>
      </c>
      <c r="J563" s="45">
        <f>IF(D563="G",I563/AJ563,I563/Q563)</f>
        <v>1.73268243710907</v>
      </c>
      <c r="K563" s="44">
        <f>VLOOKUP(B563,'D'!A1:F228,6,FALSE)</f>
        <v>-231.680106054878</v>
      </c>
      <c r="L563" s="44">
        <f>_xlfn.IFERROR(K563/H563,"N/A")</f>
        <v>-303.842762039184</v>
      </c>
      <c r="M563" t="s" s="61">
        <f>IF('Settings'!$E$9="YAHOO",VLOOKUP(B563,'ADP'!A1:E731,2,FALSE),IF('Settings'!$E$9="ESPN",VLOOKUP(B563,'ADP'!A1:E731,3,FALSE),IF('Settings'!$E$9="FANTRAX",VLOOKUP(B563,'ADP'!A1:E731,4,FALSE),VLOOKUP(B563,'ADP'!A1:E731,5,FALSE))))</f>
        <v>329</v>
      </c>
      <c r="N563" t="s" s="61">
        <f>_xlfn.IFERROR(M563-A563,"N/A")</f>
        <v>158</v>
      </c>
      <c r="O563" s="46"/>
      <c r="P563" t="s" s="47">
        <f>IF('Settings'!$E$27="ON",VLOOKUP(B563,'ADP'!A1:H731,8,FALSE)," ")</f>
        <v>109</v>
      </c>
      <c r="Q563" s="48">
        <f>IF('Settings'!$E$12="YES",VLOOKUP(B563,'Player Data'!A1:E734,5,FALSE),82)</f>
        <v>62.94</v>
      </c>
      <c r="R563" s="46">
        <f>VLOOKUP(B563,'Player Data'!$A1:$AE734,6,FALSE)</f>
        <v>13.4221031523798</v>
      </c>
      <c r="S563" s="48">
        <f>VLOOKUP(B563,'Player Data'!$A1:$AE734,7,FALSE)*$Q563*_xlfn.IFERROR((VLOOKUP(P563,'Settings'!$E$28:$F$33,2,FALSE)+1),1)</f>
        <v>1.19846504333017</v>
      </c>
      <c r="T563" s="48">
        <f>VLOOKUP(B563,'Player Data'!$A1:$AE734,8,FALSE)*$Q563*_xlfn.IFERROR((VLOOKUP(P563,'Settings'!$E$28:$F$33,2,FALSE)+1),1)</f>
        <v>8.01553444256662</v>
      </c>
      <c r="U563" s="48">
        <f>SUM(S563:T563)</f>
        <v>9.213999485896791</v>
      </c>
      <c r="V563" s="48">
        <f>VLOOKUP(B563,'Player Data'!$A1:$AE734,10,FALSE)*$Q563*_xlfn.IFERROR(((VLOOKUP(P563,'Settings'!$E$28:$F$33,2,FALSE)/2)+1),1)</f>
        <v>38.3181038704959</v>
      </c>
      <c r="W563" s="48">
        <f>VLOOKUP(B563,'Player Data'!$A1:$AE734,11,FALSE)*$Q563*_xlfn.IFERROR((VLOOKUP(P563,'Settings'!$E$28:$F$33,2,FALSE)+1),1)</f>
        <v>0.010363306043473</v>
      </c>
      <c r="X563" s="48">
        <f>VLOOKUP(B563,'Player Data'!$A1:$AE734,12,FALSE)*$Q563*_xlfn.IFERROR((VLOOKUP(P563,'Settings'!$E$28:$F$33,2,FALSE)+1),1)</f>
        <v>0.0714783785253357</v>
      </c>
      <c r="Y563" s="48">
        <f>VLOOKUP(B563,'Player Data'!$A1:$AE734,13,FALSE)*$Q563</f>
        <v>0.046510374595973</v>
      </c>
      <c r="Z563" s="48">
        <f>VLOOKUP(B563,'Player Data'!$A1:$AE734,14,FALSE)*$Q563</f>
        <v>1.19051097882814</v>
      </c>
      <c r="AA563" s="48">
        <f>VLOOKUP(B563,'Player Data'!$A1:$AE734,15,FALSE)*$Q563</f>
        <v>77.4098399882655</v>
      </c>
      <c r="AB563" s="48">
        <f>VLOOKUP(B563,'Player Data'!$A1:$AE734,16,FALSE)*$Q563</f>
        <v>77.4813707276912</v>
      </c>
      <c r="AC563" s="48">
        <f>VLOOKUP(B563,'Player Data'!$A1:$AE734,17,FALSE)*$Q563*_xlfn.IFERROR((VLOOKUP(P563,'Settings'!$E$28:$F$33,2,FALSE)+1),1)</f>
        <v>4.45113846609156</v>
      </c>
      <c r="AD563" s="48">
        <f>VLOOKUP(B563,'Player Data'!$A1:$AE734,18,FALSE)*$Q563</f>
        <v>36.4482020576687</v>
      </c>
      <c r="AE563" s="48">
        <f>VLOOKUP(B563,'Player Data'!$A1:$AE734,19,FALSE)*$Q563*_xlfn.IFERROR((VLOOKUP(P563,'Settings'!$E$28:$F$33,2,FALSE)+1),1)</f>
        <v>0.189704150090353</v>
      </c>
      <c r="AF563" s="48">
        <f>VLOOKUP(B563,'Player Data'!$A1:$AE734,20,FALSE)*$Q563</f>
        <v>0</v>
      </c>
      <c r="AG563" s="48">
        <f>VLOOKUP(B563,'Player Data'!$A1:$AE734,21,FALSE)*$Q563</f>
        <v>0</v>
      </c>
      <c r="AH563" s="49">
        <f>VLOOKUP(B563,'Player Data'!$A1:$AE734,22,FALSE)</f>
        <v>0</v>
      </c>
      <c r="AI563" s="46"/>
      <c r="AJ563" s="50"/>
      <c r="AK563" s="48"/>
      <c r="AL563" s="48"/>
      <c r="AM563" s="48"/>
      <c r="AN563" s="48"/>
      <c r="AO563" s="48"/>
      <c r="AP563" s="48"/>
      <c r="AQ563" s="51"/>
      <c r="AR563" s="52"/>
      <c r="AS563" s="46"/>
    </row>
    <row r="564" ht="21.25" customHeight="1">
      <c r="A564" s="53">
        <f>RANK(K564,K2:K730)</f>
        <v>535</v>
      </c>
      <c r="B564" t="s" s="8">
        <v>716</v>
      </c>
      <c r="C564" t="s" s="39">
        <v>106</v>
      </c>
      <c r="D564" t="s" s="40">
        <f>VLOOKUP(B564,'Player Data'!A1:D734,4,FALSE)</f>
        <v>121</v>
      </c>
      <c r="E564" s="55">
        <f>VLOOKUP(B564,'RW'!A1:F132,3,FALSE)</f>
        <v>99</v>
      </c>
      <c r="F564" t="s" s="42">
        <f>VLOOKUP(B564,'Player Data'!A1:B734,2,FALSE)</f>
        <v>173</v>
      </c>
      <c r="G564" s="9">
        <f>VLOOKUP(B564,'Player Data'!A1:D734,3,FALSE)</f>
        <v>26</v>
      </c>
      <c r="H564" s="43">
        <f>_xlfn.IFERROR(VLOOKUP(B564,'ADP'!A1:G731,7,FALSE)/1000000,VLOOKUP(B564,'ADP'!A1:G731,7,FALSE))</f>
        <v>2.95</v>
      </c>
      <c r="I564" s="44">
        <f>IF('Settings'!$E$15="POINTS",((R564*Q564)*'Settings'!$B$12)+(S564*'Settings'!$B$2)+(T564*'Settings'!$B$3)+(U564*'Settings'!$B$4)+(V564*'Settings'!$B$5)+(X564*'Settings'!$B$9)+(AA564*'Settings'!$B$6)+(W564*'Settings'!$B$8)+(AB564*'Settings'!$B$7)+(AC564*'Settings'!$B$14)+(AD564*'Settings'!$B$15)+(AE564*'Settings'!$B$16)+(AF564*'Settings'!$B$17)+(AG564*'Settings'!$B$18)+(Y564*'Settings'!$B$10)+(Z564*'Settings'!$B$11),VLOOKUP(B564,'Standard Deviations'!A1:C731,3,FALSE))</f>
        <v>187.865949512912</v>
      </c>
      <c r="J564" s="45">
        <f>IF(D564="G",I564/AJ564,I564/Q564)</f>
        <v>2.48409572593186</v>
      </c>
      <c r="K564" s="44">
        <f>IF('Settings'!$E$18="C/LW/RW",VLOOKUP(B564,'RW'!A1:F132,6,FALSE),VLOOKUP(B564,'F'!A1:F432,6,FALSE))</f>
        <v>-193.762614193444</v>
      </c>
      <c r="L564" s="44">
        <f>_xlfn.IFERROR(K564/H564,"N/A")</f>
        <v>-65.6822420994725</v>
      </c>
      <c r="M564" t="s" s="61">
        <f>IF('Settings'!$E$9="YAHOO",VLOOKUP(B564,'ADP'!A1:E731,2,FALSE),IF('Settings'!$E$9="ESPN",VLOOKUP(B564,'ADP'!A1:E731,3,FALSE),IF('Settings'!$E$9="FANTRAX",VLOOKUP(B564,'ADP'!A1:E731,4,FALSE),VLOOKUP(B564,'ADP'!A1:E731,5,FALSE))))</f>
        <v>329</v>
      </c>
      <c r="N564" t="s" s="61">
        <f>_xlfn.IFERROR(M564-A564,"N/A")</f>
        <v>158</v>
      </c>
      <c r="O564" s="46"/>
      <c r="P564" t="s" s="47">
        <f>IF('Settings'!$E$27="ON",VLOOKUP(B564,'ADP'!A1:H731,8,FALSE)," ")</f>
        <v>109</v>
      </c>
      <c r="Q564" s="48">
        <f>IF('Settings'!$E$12="YES",VLOOKUP(B564,'Player Data'!A1:E734,5,FALSE),82)</f>
        <v>75.6275</v>
      </c>
      <c r="R564" s="46">
        <f>VLOOKUP(B564,'Player Data'!$A1:$AE734,6,FALSE)</f>
        <v>13.5272951333841</v>
      </c>
      <c r="S564" s="48">
        <f>VLOOKUP(B564,'Player Data'!$A1:$AE734,7,FALSE)*$Q564*_xlfn.IFERROR((VLOOKUP(P564,'Settings'!$E$28:$F$33,2,FALSE)+1),1)</f>
        <v>9.128946328883581</v>
      </c>
      <c r="T564" s="48">
        <f>VLOOKUP(B564,'Player Data'!$A1:$AE734,8,FALSE)*$Q564*_xlfn.IFERROR((VLOOKUP(P564,'Settings'!$E$28:$F$33,2,FALSE)+1),1)</f>
        <v>16.2402021935745</v>
      </c>
      <c r="U564" s="48">
        <f>SUM(S564:T564)</f>
        <v>25.3691485224581</v>
      </c>
      <c r="V564" s="48">
        <f>VLOOKUP(B564,'Player Data'!$A1:$AE734,10,FALSE)*$Q564*_xlfn.IFERROR(((VLOOKUP(P564,'Settings'!$E$28:$F$33,2,FALSE)/2)+1),1)</f>
        <v>90.3720743263402</v>
      </c>
      <c r="W564" s="48">
        <f>VLOOKUP(B564,'Player Data'!$A1:$AE734,11,FALSE)*$Q564*_xlfn.IFERROR((VLOOKUP(P564,'Settings'!$E$28:$F$33,2,FALSE)+1),1)</f>
        <v>0.197728255114524</v>
      </c>
      <c r="X564" s="48">
        <f>VLOOKUP(B564,'Player Data'!$A1:$AE734,12,FALSE)*$Q564*_xlfn.IFERROR((VLOOKUP(P564,'Settings'!$E$28:$F$33,2,FALSE)+1),1)</f>
        <v>0.5288139513483729</v>
      </c>
      <c r="Y564" s="48">
        <f>VLOOKUP(B564,'Player Data'!$A1:$AE734,13,FALSE)*$Q564</f>
        <v>1.67517592773682</v>
      </c>
      <c r="Z564" s="48">
        <f>VLOOKUP(B564,'Player Data'!$A1:$AE734,14,FALSE)*$Q564</f>
        <v>3.39064990192491</v>
      </c>
      <c r="AA564" s="48">
        <f>VLOOKUP(B564,'Player Data'!$A1:$AE734,15,FALSE)*$Q564</f>
        <v>36.2365976315207</v>
      </c>
      <c r="AB564" s="48">
        <f>VLOOKUP(B564,'Player Data'!$A1:$AE734,16,FALSE)*$Q564</f>
        <v>111.917794677727</v>
      </c>
      <c r="AC564" s="48">
        <f>VLOOKUP(B564,'Player Data'!$A1:$AE734,17,FALSE)*$Q564*_xlfn.IFERROR((VLOOKUP(P564,'Settings'!$E$28:$F$33,2,FALSE)+1),1)</f>
        <v>1.2117003876255</v>
      </c>
      <c r="AD564" s="48">
        <f>VLOOKUP(B564,'Player Data'!$A1:$AE734,18,FALSE)*$Q564</f>
        <v>28.4090262652315</v>
      </c>
      <c r="AE564" s="48">
        <f>VLOOKUP(B564,'Player Data'!$A1:$AE734,19,FALSE)*$Q564*_xlfn.IFERROR((VLOOKUP(P564,'Settings'!$E$28:$F$33,2,FALSE)+1),1)</f>
        <v>1.37286488400782</v>
      </c>
      <c r="AF564" s="48">
        <f>VLOOKUP(B564,'Player Data'!$A1:$AE734,20,FALSE)*$Q564</f>
        <v>14.540973177869</v>
      </c>
      <c r="AG564" s="48">
        <f>VLOOKUP(B564,'Player Data'!$A1:$AE734,21,FALSE)*$Q564</f>
        <v>24.0066402503138</v>
      </c>
      <c r="AH564" s="49">
        <f>VLOOKUP(B564,'Player Data'!$A1:$AE734,22,FALSE)</f>
        <v>0.377221100988779</v>
      </c>
      <c r="AI564" s="46"/>
      <c r="AJ564" s="48"/>
      <c r="AK564" s="48"/>
      <c r="AL564" s="48"/>
      <c r="AM564" s="48"/>
      <c r="AN564" s="48"/>
      <c r="AO564" s="48"/>
      <c r="AP564" s="48"/>
      <c r="AQ564" s="51"/>
      <c r="AR564" s="52"/>
      <c r="AS564" s="46"/>
    </row>
    <row r="565" ht="21.25" customHeight="1">
      <c r="A565" s="53">
        <f>RANK(K565,K2:K730)</f>
        <v>566</v>
      </c>
      <c r="B565" t="s" s="8">
        <v>717</v>
      </c>
      <c r="C565" t="s" s="39">
        <v>106</v>
      </c>
      <c r="D565" t="s" s="40">
        <f>VLOOKUP(B565,'Player Data'!A1:D734,4,FALSE)</f>
        <v>133</v>
      </c>
      <c r="E565" s="57">
        <f>VLOOKUP(B565,'LW'!A1:C156,3,FALSE)</f>
        <v>118</v>
      </c>
      <c r="F565" t="s" s="42">
        <f>VLOOKUP(B565,'Player Data'!A1:B734,2,FALSE)</f>
        <v>258</v>
      </c>
      <c r="G565" s="9">
        <f>VLOOKUP(B565,'Player Data'!A1:D734,3,FALSE)</f>
        <v>19</v>
      </c>
      <c r="H565" s="43">
        <f>_xlfn.IFERROR(VLOOKUP(B565,'ADP'!A1:G731,7,FALSE)/1000000,VLOOKUP(B565,'ADP'!A1:G731,7,FALSE))</f>
        <v>0.95</v>
      </c>
      <c r="I565" s="44">
        <f>IF('Settings'!$E$15="POINTS",((R565*Q565)*'Settings'!$B$12)+(S565*'Settings'!$B$2)+(T565*'Settings'!$B$3)+(U565*'Settings'!$B$4)+(V565*'Settings'!$B$5)+(X565*'Settings'!$B$9)+(AA565*'Settings'!$B$6)+(W565*'Settings'!$B$8)+(AB565*'Settings'!$B$7)+(AC565*'Settings'!$B$14)+(AD565*'Settings'!$B$15)+(AE565*'Settings'!$B$16)+(AF565*'Settings'!$B$17)+(AG565*'Settings'!$B$18)+(Y565*'Settings'!$B$10)+(Z565*'Settings'!$B$11),VLOOKUP(B565,'Standard Deviations'!A1:C731,3,FALSE))</f>
        <v>175.409744043037</v>
      </c>
      <c r="J565" s="45">
        <f>IF(D565="G",I565/AJ565,I565/Q565)</f>
        <v>2.73287752657221</v>
      </c>
      <c r="K565" s="44">
        <f>IF('Settings'!$E$18="C/LW/RW",VLOOKUP(B565,'LW'!A1:F156,6,FALSE),VLOOKUP(B565,'F'!A1:F432,6,FALSE))</f>
        <v>-206.218819663319</v>
      </c>
      <c r="L565" s="44">
        <f>_xlfn.IFERROR(K565/H565,"N/A")</f>
        <v>-217.072441750862</v>
      </c>
      <c r="M565" s="46">
        <f>IF('Settings'!$E$9="YAHOO",VLOOKUP(B565,'ADP'!A1:E731,2,FALSE),IF('Settings'!$E$9="ESPN",VLOOKUP(B565,'ADP'!A1:E731,3,FALSE),IF('Settings'!$E$9="FANTRAX",VLOOKUP(B565,'ADP'!A1:E731,4,FALSE),VLOOKUP(B565,'ADP'!A1:E731,5,FALSE))))</f>
        <v>422.91</v>
      </c>
      <c r="N565" s="46">
        <f>_xlfn.IFERROR(M565-A565,"N/A")</f>
        <v>-143.09</v>
      </c>
      <c r="O565" s="46"/>
      <c r="P565" t="s" s="47">
        <f>IF('Settings'!$E$27="ON",VLOOKUP(B565,'ADP'!A1:H731,8,FALSE)," ")</f>
        <v>109</v>
      </c>
      <c r="Q565" s="48">
        <f>IF('Settings'!$E$12="YES",VLOOKUP(B565,'Player Data'!A1:E734,5,FALSE),82)</f>
        <v>64.185</v>
      </c>
      <c r="R565" s="46">
        <f>VLOOKUP(B565,'Player Data'!$A1:$AE734,6,FALSE)</f>
        <v>13.6367936999764</v>
      </c>
      <c r="S565" s="48">
        <f>VLOOKUP(B565,'Player Data'!$A1:$AE734,7,FALSE)*$Q565*_xlfn.IFERROR((VLOOKUP(P565,'Settings'!$E$28:$F$33,2,FALSE)+1),1)</f>
        <v>10.1701417760283</v>
      </c>
      <c r="T565" s="48">
        <f>VLOOKUP(B565,'Player Data'!$A1:$AE734,8,FALSE)*$Q565*_xlfn.IFERROR((VLOOKUP(P565,'Settings'!$E$28:$F$33,2,FALSE)+1),1)</f>
        <v>14.6659661381644</v>
      </c>
      <c r="U565" s="48">
        <f>SUM(S565:T565)</f>
        <v>24.8361079141927</v>
      </c>
      <c r="V565" s="48">
        <f>VLOOKUP(B565,'Player Data'!$A1:$AE734,10,FALSE)*$Q565*_xlfn.IFERROR(((VLOOKUP(P565,'Settings'!$E$28:$F$33,2,FALSE)/2)+1),1)</f>
        <v>88.0663607033801</v>
      </c>
      <c r="W565" s="48">
        <f>VLOOKUP(B565,'Player Data'!$A1:$AE734,11,FALSE)*$Q565*_xlfn.IFERROR((VLOOKUP(P565,'Settings'!$E$28:$F$33,2,FALSE)+1),1)</f>
        <v>2.23464583012008</v>
      </c>
      <c r="X565" s="48">
        <f>VLOOKUP(B565,'Player Data'!$A1:$AE734,12,FALSE)*$Q565*_xlfn.IFERROR((VLOOKUP(P565,'Settings'!$E$28:$F$33,2,FALSE)+1),1)</f>
        <v>5.11639557519348</v>
      </c>
      <c r="Y565" s="48">
        <f>VLOOKUP(B565,'Player Data'!$A1:$AE734,13,FALSE)*$Q565</f>
        <v>0.00100383300090431</v>
      </c>
      <c r="Z565" s="48">
        <f>VLOOKUP(B565,'Player Data'!$A1:$AE734,14,FALSE)*$Q565</f>
        <v>0.00183384685824838</v>
      </c>
      <c r="AA565" s="48">
        <f>VLOOKUP(B565,'Player Data'!$A1:$AE734,15,FALSE)*$Q565</f>
        <v>38.9537024777545</v>
      </c>
      <c r="AB565" s="48">
        <f>VLOOKUP(B565,'Player Data'!$A1:$AE734,16,FALSE)*$Q565</f>
        <v>88.5300334085302</v>
      </c>
      <c r="AC565" s="48">
        <f>VLOOKUP(B565,'Player Data'!$A1:$AE734,17,FALSE)*$Q565*_xlfn.IFERROR((VLOOKUP(P565,'Settings'!$E$28:$F$33,2,FALSE)+1),1)</f>
        <v>-6.5546463869963</v>
      </c>
      <c r="AD565" s="48">
        <f>VLOOKUP(B565,'Player Data'!$A1:$AE734,18,FALSE)*$Q565</f>
        <v>31.3950771307403</v>
      </c>
      <c r="AE565" s="48">
        <f>VLOOKUP(B565,'Player Data'!$A1:$AE734,19,FALSE)*$Q565*_xlfn.IFERROR((VLOOKUP(P565,'Settings'!$E$28:$F$33,2,FALSE)+1),1)</f>
        <v>1.04185082914883</v>
      </c>
      <c r="AF565" s="48">
        <f>VLOOKUP(B565,'Player Data'!$A1:$AE734,20,FALSE)*$Q565</f>
        <v>9.18637283409929</v>
      </c>
      <c r="AG565" s="48">
        <f>VLOOKUP(B565,'Player Data'!$A1:$AE734,21,FALSE)*$Q565</f>
        <v>9.18637283409929</v>
      </c>
      <c r="AH565" s="49">
        <f>VLOOKUP(B565,'Player Data'!$A1:$AE734,22,FALSE)</f>
        <v>0.5</v>
      </c>
      <c r="AI565" s="46"/>
      <c r="AJ565" s="50"/>
      <c r="AK565" s="48"/>
      <c r="AL565" s="48"/>
      <c r="AM565" s="48"/>
      <c r="AN565" s="48"/>
      <c r="AO565" s="48"/>
      <c r="AP565" s="48"/>
      <c r="AQ565" s="51"/>
      <c r="AR565" s="52"/>
      <c r="AS565" s="46"/>
    </row>
    <row r="566" ht="21.25" customHeight="1">
      <c r="A566" s="53">
        <f>RANK(K566,K2:K730)</f>
        <v>544</v>
      </c>
      <c r="B566" t="s" s="8">
        <v>718</v>
      </c>
      <c r="C566" t="s" s="39">
        <v>106</v>
      </c>
      <c r="D566" t="s" s="40">
        <f>VLOOKUP(B566,'Player Data'!A1:D734,4,FALSE)</f>
        <v>107</v>
      </c>
      <c r="E566" s="41">
        <f>VLOOKUP(B566,'C'!A1:C218,3,FALSE)</f>
        <v>146</v>
      </c>
      <c r="F566" t="s" s="42">
        <f>VLOOKUP(B566,'Player Data'!A1:B734,2,FALSE)</f>
        <v>292</v>
      </c>
      <c r="G566" s="9">
        <f>VLOOKUP(B566,'Player Data'!A1:D734,3,FALSE)</f>
        <v>25</v>
      </c>
      <c r="H566" s="43">
        <f>_xlfn.IFERROR(VLOOKUP(B566,'ADP'!A1:G731,7,FALSE)/1000000,VLOOKUP(B566,'ADP'!A1:G731,7,FALSE))</f>
        <v>0</v>
      </c>
      <c r="I566" s="44">
        <f>IF('Settings'!$E$15="POINTS",((R566*Q566)*'Settings'!$B$12)+(S566*'Settings'!$B$2)+(T566*'Settings'!$B$3)+(U566*'Settings'!$B$4)+(V566*'Settings'!$B$5)+(X566*'Settings'!$B$9)+(AA566*'Settings'!$B$6)+(W566*'Settings'!$B$8)+(AB566*'Settings'!$B$7)+(AC566*'Settings'!$B$14)+(AD566*'Settings'!$B$15)+(AE566*'Settings'!$B$16)+(AF566*'Settings'!$B$17)+(AG566*'Settings'!$B$18)+(Y566*'Settings'!$B$10)+(Z566*'Settings'!$B$11),VLOOKUP(B566,'Standard Deviations'!A1:C731,3,FALSE))</f>
        <v>197.399814710795</v>
      </c>
      <c r="J566" s="45">
        <f>IF(D566="G",I566/AJ566,I566/Q566)</f>
        <v>2.77352663129115</v>
      </c>
      <c r="K566" s="44">
        <f>IF('Settings'!$E$18="C/LW/RW",VLOOKUP(B566,'C'!A1:F218,6,FALSE),VLOOKUP(B566,'F'!A1:F432,6,FALSE))</f>
        <v>-198.374386925220</v>
      </c>
      <c r="L566" t="s" s="60">
        <f>_xlfn.IFERROR(K566/H566,"N/A")</f>
        <v>158</v>
      </c>
      <c r="M566" t="s" s="61">
        <f>IF('Settings'!$E$9="YAHOO",VLOOKUP(B566,'ADP'!A1:E731,2,FALSE),IF('Settings'!$E$9="ESPN",VLOOKUP(B566,'ADP'!A1:E731,3,FALSE),IF('Settings'!$E$9="FANTRAX",VLOOKUP(B566,'ADP'!A1:E731,4,FALSE),VLOOKUP(B566,'ADP'!A1:E731,5,FALSE))))</f>
        <v>329</v>
      </c>
      <c r="N566" t="s" s="61">
        <f>_xlfn.IFERROR(M566-A566,"N/A")</f>
        <v>158</v>
      </c>
      <c r="O566" s="46"/>
      <c r="P566" t="s" s="47">
        <f>IF('Settings'!$E$27="ON",VLOOKUP(B566,'ADP'!A1:H731,8,FALSE)," ")</f>
        <v>109</v>
      </c>
      <c r="Q566" s="48">
        <f>IF('Settings'!$E$12="YES",VLOOKUP(B566,'Player Data'!A1:E734,5,FALSE),82)</f>
        <v>71.1728571428571</v>
      </c>
      <c r="R566" s="46">
        <f>VLOOKUP(B566,'Player Data'!$A1:$AE734,6,FALSE)</f>
        <v>12.192987920429</v>
      </c>
      <c r="S566" s="48">
        <f>VLOOKUP(B566,'Player Data'!$A1:$AE734,7,FALSE)*$Q566*_xlfn.IFERROR((VLOOKUP(P566,'Settings'!$E$28:$F$33,2,FALSE)+1),1)</f>
        <v>10.6195824183423</v>
      </c>
      <c r="T566" s="48">
        <f>VLOOKUP(B566,'Player Data'!$A1:$AE734,8,FALSE)*$Q566*_xlfn.IFERROR((VLOOKUP(P566,'Settings'!$E$28:$F$33,2,FALSE)+1),1)</f>
        <v>10.6275657693889</v>
      </c>
      <c r="U566" s="48">
        <f>SUM(S566:T566)</f>
        <v>21.2471481877312</v>
      </c>
      <c r="V566" s="48">
        <f>VLOOKUP(B566,'Player Data'!$A1:$AE734,10,FALSE)*$Q566*_xlfn.IFERROR(((VLOOKUP(P566,'Settings'!$E$28:$F$33,2,FALSE)/2)+1),1)</f>
        <v>137.510316656470</v>
      </c>
      <c r="W566" s="48">
        <f>VLOOKUP(B566,'Player Data'!$A1:$AE734,11,FALSE)*$Q566*_xlfn.IFERROR((VLOOKUP(P566,'Settings'!$E$28:$F$33,2,FALSE)+1),1)</f>
        <v>0.08420485726827839</v>
      </c>
      <c r="X566" s="48">
        <f>VLOOKUP(B566,'Player Data'!$A1:$AE734,12,FALSE)*$Q566*_xlfn.IFERROR((VLOOKUP(P566,'Settings'!$E$28:$F$33,2,FALSE)+1),1)</f>
        <v>0.364453821208564</v>
      </c>
      <c r="Y566" s="48">
        <f>VLOOKUP(B566,'Player Data'!$A1:$AE734,13,FALSE)*$Q566</f>
        <v>0</v>
      </c>
      <c r="Z566" s="48">
        <f>VLOOKUP(B566,'Player Data'!$A1:$AE734,14,FALSE)*$Q566</f>
        <v>0</v>
      </c>
      <c r="AA566" s="48">
        <f>VLOOKUP(B566,'Player Data'!$A1:$AE734,15,FALSE)*$Q566</f>
        <v>41.5732236052767</v>
      </c>
      <c r="AB566" s="48">
        <f>VLOOKUP(B566,'Player Data'!$A1:$AE734,16,FALSE)*$Q566</f>
        <v>112.748905556859</v>
      </c>
      <c r="AC566" s="48">
        <f>VLOOKUP(B566,'Player Data'!$A1:$AE734,17,FALSE)*$Q566*_xlfn.IFERROR((VLOOKUP(P566,'Settings'!$E$28:$F$33,2,FALSE)+1),1)</f>
        <v>-0.920291080806515</v>
      </c>
      <c r="AD566" s="48">
        <f>VLOOKUP(B566,'Player Data'!$A1:$AE734,18,FALSE)*$Q566</f>
        <v>26.9026195401611</v>
      </c>
      <c r="AE566" s="48">
        <f>VLOOKUP(B566,'Player Data'!$A1:$AE734,19,FALSE)*$Q566*_xlfn.IFERROR((VLOOKUP(P566,'Settings'!$E$28:$F$33,2,FALSE)+1),1)</f>
        <v>0</v>
      </c>
      <c r="AF566" s="48">
        <f>VLOOKUP(B566,'Player Data'!$A1:$AE734,20,FALSE)*$Q566</f>
        <v>12.2642162322425</v>
      </c>
      <c r="AG566" s="48">
        <f>VLOOKUP(B566,'Player Data'!$A1:$AE734,21,FALSE)*$Q566</f>
        <v>26.059584228495</v>
      </c>
      <c r="AH566" s="49">
        <f>VLOOKUP(B566,'Player Data'!$A1:$AE734,22,FALSE)</f>
        <v>0.320015658280216</v>
      </c>
      <c r="AI566" s="46"/>
      <c r="AJ566" s="50"/>
      <c r="AK566" s="48"/>
      <c r="AL566" s="48"/>
      <c r="AM566" s="48"/>
      <c r="AN566" s="48"/>
      <c r="AO566" s="48"/>
      <c r="AP566" s="48"/>
      <c r="AQ566" s="51"/>
      <c r="AR566" s="52"/>
      <c r="AS566" s="46"/>
    </row>
    <row r="567" ht="21.25" customHeight="1">
      <c r="A567" s="53">
        <f>RANK(K567,K2:K730)</f>
        <v>674</v>
      </c>
      <c r="B567" t="s" s="8">
        <v>719</v>
      </c>
      <c r="C567" t="s" s="39">
        <v>106</v>
      </c>
      <c r="D567" t="s" s="40">
        <f>VLOOKUP(B567,'Player Data'!A1:D734,4,FALSE)</f>
        <v>129</v>
      </c>
      <c r="E567" s="56">
        <f>VLOOKUP(B567,'D'!A1:C228,3,FALSE)</f>
        <v>223</v>
      </c>
      <c r="F567" t="s" s="42">
        <f>VLOOKUP(B567,'Player Data'!A1:B734,2,FALSE)</f>
        <v>236</v>
      </c>
      <c r="G567" s="9">
        <f>VLOOKUP(B567,'Player Data'!A1:D734,3,FALSE)</f>
        <v>23</v>
      </c>
      <c r="H567" s="43">
        <f>_xlfn.IFERROR(VLOOKUP(B567,'ADP'!A1:G731,7,FALSE)/1000000,VLOOKUP(B567,'ADP'!A1:G731,7,FALSE))</f>
        <v>0</v>
      </c>
      <c r="I567" s="44">
        <f>IF('Settings'!$E$15="POINTS",((R567*Q567)*'Settings'!$B$12)+(S567*'Settings'!$B$2)+(T567*'Settings'!$B$3)+(U567*'Settings'!$B$4)+(V567*'Settings'!$B$5)+(X567*'Settings'!$B$9)+(AA567*'Settings'!$B$6)+(W567*'Settings'!$B$8)+(AB567*'Settings'!$B$7)+(AC567*'Settings'!$B$14)+(AD567*'Settings'!$B$15)+(AE567*'Settings'!$B$16)+(AF567*'Settings'!$B$17)+(AG567*'Settings'!$B$18)+(U567*'Settings'!$B$13)+(Y567*'Settings'!$B$10)+(Z567*'Settings'!$B$11),VLOOKUP(B567,'Standard Deviations'!A1:C731,3,FALSE))</f>
        <v>94.0156490128937</v>
      </c>
      <c r="J567" s="45">
        <f>IF(D567="G",I567/AJ567,I567/Q567)</f>
        <v>1.80269412192253</v>
      </c>
      <c r="K567" s="44">
        <f>VLOOKUP(B567,'D'!A1:F228,6,FALSE)</f>
        <v>-246.719489633629</v>
      </c>
      <c r="L567" t="s" s="60">
        <f>_xlfn.IFERROR(K567/H567,"N/A")</f>
        <v>158</v>
      </c>
      <c r="M567" t="s" s="61">
        <f>IF('Settings'!$E$9="YAHOO",VLOOKUP(B567,'ADP'!A1:E731,2,FALSE),IF('Settings'!$E$9="ESPN",VLOOKUP(B567,'ADP'!A1:E731,3,FALSE),IF('Settings'!$E$9="FANTRAX",VLOOKUP(B567,'ADP'!A1:E731,4,FALSE),VLOOKUP(B567,'ADP'!A1:E731,5,FALSE))))</f>
        <v>329</v>
      </c>
      <c r="N567" t="s" s="61">
        <f>_xlfn.IFERROR(M567-A567,"N/A")</f>
        <v>158</v>
      </c>
      <c r="O567" s="46"/>
      <c r="P567" t="s" s="47">
        <f>IF('Settings'!$E$27="ON",VLOOKUP(B567,'ADP'!A1:H731,8,FALSE)," ")</f>
        <v>109</v>
      </c>
      <c r="Q567" s="48">
        <f>IF('Settings'!$E$12="YES",VLOOKUP(B567,'Player Data'!A1:E734,5,FALSE),82)</f>
        <v>52.1528571428571</v>
      </c>
      <c r="R567" s="46">
        <f>VLOOKUP(B567,'Player Data'!$A1:$AE734,6,FALSE)</f>
        <v>14.0989436906053</v>
      </c>
      <c r="S567" s="48">
        <f>VLOOKUP(B567,'Player Data'!$A1:$AE734,7,FALSE)*$Q567*_xlfn.IFERROR((VLOOKUP(P567,'Settings'!$E$28:$F$33,2,FALSE)+1),1)</f>
        <v>1.32657652004333</v>
      </c>
      <c r="T567" s="48">
        <f>VLOOKUP(B567,'Player Data'!$A1:$AE734,8,FALSE)*$Q567*_xlfn.IFERROR((VLOOKUP(P567,'Settings'!$E$28:$F$33,2,FALSE)+1),1)</f>
        <v>8.3481986301015</v>
      </c>
      <c r="U567" s="48">
        <f>SUM(S567:T567)</f>
        <v>9.67477515014483</v>
      </c>
      <c r="V567" s="48">
        <f>VLOOKUP(B567,'Player Data'!$A1:$AE734,10,FALSE)*$Q567*_xlfn.IFERROR(((VLOOKUP(P567,'Settings'!$E$28:$F$33,2,FALSE)/2)+1),1)</f>
        <v>40.3927381795623</v>
      </c>
      <c r="W567" s="48">
        <f>VLOOKUP(B567,'Player Data'!$A1:$AE734,11,FALSE)*$Q567*_xlfn.IFERROR((VLOOKUP(P567,'Settings'!$E$28:$F$33,2,FALSE)+1),1)</f>
        <v>0.0176288281886642</v>
      </c>
      <c r="X567" s="48">
        <f>VLOOKUP(B567,'Player Data'!$A1:$AE734,12,FALSE)*$Q567*_xlfn.IFERROR((VLOOKUP(P567,'Settings'!$E$28:$F$33,2,FALSE)+1),1)</f>
        <v>0.115633540260958</v>
      </c>
      <c r="Y567" s="48">
        <f>VLOOKUP(B567,'Player Data'!$A1:$AE734,13,FALSE)*$Q567</f>
        <v>0.00345325393114012</v>
      </c>
      <c r="Z567" s="48">
        <f>VLOOKUP(B567,'Player Data'!$A1:$AE734,14,FALSE)*$Q567</f>
        <v>0.0123800650069803</v>
      </c>
      <c r="AA567" s="48">
        <f>VLOOKUP(B567,'Player Data'!$A1:$AE734,15,FALSE)*$Q567</f>
        <v>55.9794493032651</v>
      </c>
      <c r="AB567" s="48">
        <f>VLOOKUP(B567,'Player Data'!$A1:$AE734,16,FALSE)*$Q567</f>
        <v>59.1624196438661</v>
      </c>
      <c r="AC567" s="48">
        <f>VLOOKUP(B567,'Player Data'!$A1:$AE734,17,FALSE)*$Q567*_xlfn.IFERROR((VLOOKUP(P567,'Settings'!$E$28:$F$33,2,FALSE)+1),1)</f>
        <v>-3.53668534848061</v>
      </c>
      <c r="AD567" s="48">
        <f>VLOOKUP(B567,'Player Data'!$A1:$AE734,18,FALSE)*$Q567</f>
        <v>15.7922474015735</v>
      </c>
      <c r="AE567" s="48">
        <f>VLOOKUP(B567,'Player Data'!$A1:$AE734,19,FALSE)*$Q567*_xlfn.IFERROR((VLOOKUP(P567,'Settings'!$E$28:$F$33,2,FALSE)+1),1)</f>
        <v>0.155933289244903</v>
      </c>
      <c r="AF567" s="48">
        <f>VLOOKUP(B567,'Player Data'!$A1:$AE734,20,FALSE)*$Q567</f>
        <v>0</v>
      </c>
      <c r="AG567" s="48">
        <f>VLOOKUP(B567,'Player Data'!$A1:$AE734,21,FALSE)*$Q567</f>
        <v>0</v>
      </c>
      <c r="AH567" s="49">
        <f>VLOOKUP(B567,'Player Data'!$A1:$AE734,22,FALSE)</f>
        <v>0</v>
      </c>
      <c r="AI567" s="46"/>
      <c r="AJ567" s="50"/>
      <c r="AK567" s="48"/>
      <c r="AL567" s="48"/>
      <c r="AM567" s="48"/>
      <c r="AN567" s="48"/>
      <c r="AO567" s="48"/>
      <c r="AP567" s="48"/>
      <c r="AQ567" s="51"/>
      <c r="AR567" s="52"/>
      <c r="AS567" s="46"/>
    </row>
    <row r="568" ht="21.25" customHeight="1">
      <c r="A568" s="53">
        <f>RANK(K568,K2:K730)</f>
        <v>642</v>
      </c>
      <c r="B568" t="s" s="8">
        <v>720</v>
      </c>
      <c r="C568" t="s" s="39">
        <v>106</v>
      </c>
      <c r="D568" t="s" s="40">
        <f>VLOOKUP(B568,'Player Data'!A1:D734,4,FALSE)</f>
        <v>121</v>
      </c>
      <c r="E568" s="55">
        <f>VLOOKUP(B568,'RW'!A1:F132,3,FALSE)</f>
        <v>121</v>
      </c>
      <c r="F568" t="s" s="42">
        <f>VLOOKUP(B568,'Player Data'!A1:B734,2,FALSE)</f>
        <v>127</v>
      </c>
      <c r="G568" s="9">
        <f>VLOOKUP(B568,'Player Data'!A1:D734,3,FALSE)</f>
        <v>21</v>
      </c>
      <c r="H568" s="43">
        <f>_xlfn.IFERROR(VLOOKUP(B568,'ADP'!A1:G731,7,FALSE)/1000000,VLOOKUP(B568,'ADP'!A1:G731,7,FALSE))</f>
        <v>0</v>
      </c>
      <c r="I568" s="44">
        <f>IF('Settings'!$E$15="POINTS",((R568*Q568)*'Settings'!$B$12)+(S568*'Settings'!$B$2)+(T568*'Settings'!$B$3)+(U568*'Settings'!$B$4)+(V568*'Settings'!$B$5)+(X568*'Settings'!$B$9)+(AA568*'Settings'!$B$6)+(W568*'Settings'!$B$8)+(AB568*'Settings'!$B$7)+(AC568*'Settings'!$B$14)+(AD568*'Settings'!$B$15)+(AE568*'Settings'!$B$16)+(AF568*'Settings'!$B$17)+(AG568*'Settings'!$B$18)+(Y568*'Settings'!$B$10)+(Z568*'Settings'!$B$11),VLOOKUP(B568,'Standard Deviations'!A1:C731,3,FALSE))</f>
        <v>153.313808749031</v>
      </c>
      <c r="J568" s="45">
        <f>IF(D568="G",I568/AJ568,I568/Q568)</f>
        <v>2.5133411270333</v>
      </c>
      <c r="K568" s="44">
        <f>IF('Settings'!$E$18="C/LW/RW",VLOOKUP(B568,'RW'!A1:F132,6,FALSE),VLOOKUP(B568,'F'!A1:F432,6,FALSE))</f>
        <v>-228.314754957325</v>
      </c>
      <c r="L568" t="s" s="60">
        <f>_xlfn.IFERROR(K568/H568,"N/A")</f>
        <v>158</v>
      </c>
      <c r="M568" t="s" s="61">
        <f>IF('Settings'!$E$9="YAHOO",VLOOKUP(B568,'ADP'!A1:E731,2,FALSE),IF('Settings'!$E$9="ESPN",VLOOKUP(B568,'ADP'!A1:E731,3,FALSE),IF('Settings'!$E$9="FANTRAX",VLOOKUP(B568,'ADP'!A1:E731,4,FALSE),VLOOKUP(B568,'ADP'!A1:E731,5,FALSE))))</f>
        <v>329</v>
      </c>
      <c r="N568" t="s" s="61">
        <f>_xlfn.IFERROR(M568-A568,"N/A")</f>
        <v>158</v>
      </c>
      <c r="O568" s="46"/>
      <c r="P568" t="s" s="47">
        <f>IF('Settings'!$E$27="ON",VLOOKUP(B568,'ADP'!A1:H731,8,FALSE)," ")</f>
        <v>109</v>
      </c>
      <c r="Q568" s="48">
        <f>IF('Settings'!$E$12="YES",VLOOKUP(B568,'Player Data'!A1:E734,5,FALSE),82)</f>
        <v>61</v>
      </c>
      <c r="R568" s="46">
        <f>VLOOKUP(B568,'Player Data'!$A1:$AE734,6,FALSE)</f>
        <v>13.626346150504</v>
      </c>
      <c r="S568" s="48">
        <f>VLOOKUP(B568,'Player Data'!$A1:$AE734,7,FALSE)*$Q568*_xlfn.IFERROR((VLOOKUP(P568,'Settings'!$E$28:$F$33,2,FALSE)+1),1)</f>
        <v>10.1639751717454</v>
      </c>
      <c r="T568" s="48">
        <f>VLOOKUP(B568,'Player Data'!$A1:$AE734,8,FALSE)*$Q568*_xlfn.IFERROR((VLOOKUP(P568,'Settings'!$E$28:$F$33,2,FALSE)+1),1)</f>
        <v>12.3924415113984</v>
      </c>
      <c r="U568" s="48">
        <f>SUM(S568:T568)</f>
        <v>22.5564166831438</v>
      </c>
      <c r="V568" s="48">
        <f>VLOOKUP(B568,'Player Data'!$A1:$AE734,10,FALSE)*$Q568*_xlfn.IFERROR(((VLOOKUP(P568,'Settings'!$E$28:$F$33,2,FALSE)/2)+1),1)</f>
        <v>89.449655928979</v>
      </c>
      <c r="W568" s="48">
        <f>VLOOKUP(B568,'Player Data'!$A1:$AE734,11,FALSE)*$Q568*_xlfn.IFERROR((VLOOKUP(P568,'Settings'!$E$28:$F$33,2,FALSE)+1),1)</f>
        <v>3.25222414408165</v>
      </c>
      <c r="X568" s="48">
        <f>VLOOKUP(B568,'Player Data'!$A1:$AE734,12,FALSE)*$Q568*_xlfn.IFERROR((VLOOKUP(P568,'Settings'!$E$28:$F$33,2,FALSE)+1),1)</f>
        <v>5.80290266891699</v>
      </c>
      <c r="Y568" s="48">
        <f>VLOOKUP(B568,'Player Data'!$A1:$AE734,13,FALSE)*$Q568</f>
        <v>0</v>
      </c>
      <c r="Z568" s="48">
        <f>VLOOKUP(B568,'Player Data'!$A1:$AE734,14,FALSE)*$Q568</f>
        <v>0</v>
      </c>
      <c r="AA568" s="48">
        <f>VLOOKUP(B568,'Player Data'!$A1:$AE734,15,FALSE)*$Q568</f>
        <v>22.5539145070367</v>
      </c>
      <c r="AB568" s="48">
        <f>VLOOKUP(B568,'Player Data'!$A1:$AE734,16,FALSE)*$Q568</f>
        <v>57.5872428958929</v>
      </c>
      <c r="AC568" s="48">
        <f>VLOOKUP(B568,'Player Data'!$A1:$AE734,17,FALSE)*$Q568*_xlfn.IFERROR((VLOOKUP(P568,'Settings'!$E$28:$F$33,2,FALSE)+1),1)</f>
        <v>-0.889526411945575</v>
      </c>
      <c r="AD568" s="48">
        <f>VLOOKUP(B568,'Player Data'!$A1:$AE734,18,FALSE)*$Q568</f>
        <v>23.4889675528646</v>
      </c>
      <c r="AE568" s="48">
        <f>VLOOKUP(B568,'Player Data'!$A1:$AE734,19,FALSE)*$Q568*_xlfn.IFERROR((VLOOKUP(P568,'Settings'!$E$28:$F$33,2,FALSE)+1),1)</f>
        <v>1.49388054963844</v>
      </c>
      <c r="AF568" s="48">
        <f>VLOOKUP(B568,'Player Data'!$A1:$AE734,20,FALSE)*$Q568</f>
        <v>0</v>
      </c>
      <c r="AG568" s="48">
        <f>VLOOKUP(B568,'Player Data'!$A1:$AE734,21,FALSE)*$Q568</f>
        <v>0</v>
      </c>
      <c r="AH568" s="49">
        <f>VLOOKUP(B568,'Player Data'!$A1:$AE734,22,FALSE)</f>
        <v>0</v>
      </c>
      <c r="AI568" s="46"/>
      <c r="AJ568" s="50"/>
      <c r="AK568" s="48"/>
      <c r="AL568" s="48"/>
      <c r="AM568" s="48"/>
      <c r="AN568" s="48"/>
      <c r="AO568" s="48"/>
      <c r="AP568" s="48"/>
      <c r="AQ568" s="51"/>
      <c r="AR568" s="52"/>
      <c r="AS568" s="46"/>
    </row>
    <row r="569" ht="21.25" customHeight="1">
      <c r="A569" s="53">
        <f>RANK(K569,K2:K730)</f>
        <v>638</v>
      </c>
      <c r="B569" t="s" s="8">
        <v>721</v>
      </c>
      <c r="C569" t="s" s="39">
        <v>106</v>
      </c>
      <c r="D569" t="s" s="40">
        <f>VLOOKUP(B569,'Player Data'!A1:D734,4,FALSE)</f>
        <v>129</v>
      </c>
      <c r="E569" s="56">
        <f>VLOOKUP(B569,'D'!A1:C228,3,FALSE)</f>
        <v>213</v>
      </c>
      <c r="F569" t="s" s="42">
        <f>VLOOKUP(B569,'Player Data'!A1:B734,2,FALSE)</f>
        <v>194</v>
      </c>
      <c r="G569" s="9">
        <f>VLOOKUP(B569,'Player Data'!A1:D734,3,FALSE)</f>
        <v>34</v>
      </c>
      <c r="H569" s="43">
        <f>_xlfn.IFERROR(VLOOKUP(B569,'ADP'!A1:G731,7,FALSE)/1000000,VLOOKUP(B569,'ADP'!A1:G731,7,FALSE))</f>
        <v>0.95</v>
      </c>
      <c r="I569" s="44">
        <f>IF('Settings'!$E$15="POINTS",((R569*Q569)*'Settings'!$B$12)+(S569*'Settings'!$B$2)+(T569*'Settings'!$B$3)+(U569*'Settings'!$B$4)+(V569*'Settings'!$B$5)+(X569*'Settings'!$B$9)+(AA569*'Settings'!$B$6)+(W569*'Settings'!$B$8)+(AB569*'Settings'!$B$7)+(AC569*'Settings'!$B$14)+(AD569*'Settings'!$B$15)+(AE569*'Settings'!$B$16)+(AF569*'Settings'!$B$17)+(AG569*'Settings'!$B$18)+(U569*'Settings'!$B$13)+(Y569*'Settings'!$B$10)+(Z569*'Settings'!$B$11),VLOOKUP(B569,'Standard Deviations'!A1:C731,3,FALSE))</f>
        <v>113.423355158898</v>
      </c>
      <c r="J569" s="45">
        <f>IF(D569="G",I569/AJ569,I569/Q569)</f>
        <v>1.58573865288359</v>
      </c>
      <c r="K569" s="44">
        <f>VLOOKUP(B569,'D'!A1:F228,6,FALSE)</f>
        <v>-227.311783487625</v>
      </c>
      <c r="L569" s="44">
        <f>_xlfn.IFERROR(K569/H569,"N/A")</f>
        <v>-239.275561565921</v>
      </c>
      <c r="M569" t="s" s="61">
        <f>IF('Settings'!$E$9="YAHOO",VLOOKUP(B569,'ADP'!A1:E731,2,FALSE),IF('Settings'!$E$9="ESPN",VLOOKUP(B569,'ADP'!A1:E731,3,FALSE),IF('Settings'!$E$9="FANTRAX",VLOOKUP(B569,'ADP'!A1:E731,4,FALSE),VLOOKUP(B569,'ADP'!A1:E731,5,FALSE))))</f>
        <v>329</v>
      </c>
      <c r="N569" t="s" s="61">
        <f>_xlfn.IFERROR(M569-A569,"N/A")</f>
        <v>158</v>
      </c>
      <c r="O569" s="46"/>
      <c r="P569" t="s" s="47">
        <f>IF('Settings'!$E$27="ON",VLOOKUP(B569,'ADP'!A1:H731,8,FALSE)," ")</f>
        <v>109</v>
      </c>
      <c r="Q569" s="48">
        <f>IF('Settings'!$E$12="YES",VLOOKUP(B569,'Player Data'!A1:E734,5,FALSE),82)</f>
        <v>71.52714285714291</v>
      </c>
      <c r="R569" s="46">
        <f>VLOOKUP(B569,'Player Data'!$A1:$AE734,6,FALSE)</f>
        <v>12.7958946077017</v>
      </c>
      <c r="S569" s="48">
        <f>VLOOKUP(B569,'Player Data'!$A1:$AE734,7,FALSE)*$Q569*_xlfn.IFERROR((VLOOKUP(P569,'Settings'!$E$28:$F$33,2,FALSE)+1),1)</f>
        <v>1.44823314459563</v>
      </c>
      <c r="T569" s="48">
        <f>VLOOKUP(B569,'Player Data'!$A1:$AE734,8,FALSE)*$Q569*_xlfn.IFERROR((VLOOKUP(P569,'Settings'!$E$28:$F$33,2,FALSE)+1),1)</f>
        <v>5.04814202115875</v>
      </c>
      <c r="U569" s="48">
        <f>SUM(S569:T569)</f>
        <v>6.49637516575438</v>
      </c>
      <c r="V569" s="48">
        <f>VLOOKUP(B569,'Player Data'!$A1:$AE734,10,FALSE)*$Q569*_xlfn.IFERROR(((VLOOKUP(P569,'Settings'!$E$28:$F$33,2,FALSE)/2)+1),1)</f>
        <v>48.7694233164651</v>
      </c>
      <c r="W569" s="48">
        <f>VLOOKUP(B569,'Player Data'!$A1:$AE734,11,FALSE)*$Q569*_xlfn.IFERROR((VLOOKUP(P569,'Settings'!$E$28:$F$33,2,FALSE)+1),1)</f>
        <v>0.009788701564806421</v>
      </c>
      <c r="X569" s="48">
        <f>VLOOKUP(B569,'Player Data'!$A1:$AE734,12,FALSE)*$Q569*_xlfn.IFERROR((VLOOKUP(P569,'Settings'!$E$28:$F$33,2,FALSE)+1),1)</f>
        <v>0.0721751880686075</v>
      </c>
      <c r="Y569" s="48">
        <f>VLOOKUP(B569,'Player Data'!$A1:$AE734,13,FALSE)*$Q569</f>
        <v>0.0233753100839962</v>
      </c>
      <c r="Z569" s="48">
        <f>VLOOKUP(B569,'Player Data'!$A1:$AE734,14,FALSE)*$Q569</f>
        <v>0.134313818849454</v>
      </c>
      <c r="AA569" s="48">
        <f>VLOOKUP(B569,'Player Data'!$A1:$AE734,15,FALSE)*$Q569</f>
        <v>82.6336415984739</v>
      </c>
      <c r="AB569" s="48">
        <f>VLOOKUP(B569,'Player Data'!$A1:$AE734,16,FALSE)*$Q569</f>
        <v>103.166879398292</v>
      </c>
      <c r="AC569" s="48">
        <f>VLOOKUP(B569,'Player Data'!$A1:$AE734,17,FALSE)*$Q569*_xlfn.IFERROR((VLOOKUP(P569,'Settings'!$E$28:$F$33,2,FALSE)+1),1)</f>
        <v>-3.20712226018518</v>
      </c>
      <c r="AD569" s="48">
        <f>VLOOKUP(B569,'Player Data'!$A1:$AE734,18,FALSE)*$Q569</f>
        <v>38.5443202894252</v>
      </c>
      <c r="AE569" s="48">
        <f>VLOOKUP(B569,'Player Data'!$A1:$AE734,19,FALSE)*$Q569*_xlfn.IFERROR((VLOOKUP(P569,'Settings'!$E$28:$F$33,2,FALSE)+1),1)</f>
        <v>0.166652144035056</v>
      </c>
      <c r="AF569" s="48">
        <f>VLOOKUP(B569,'Player Data'!$A1:$AE734,20,FALSE)*$Q569</f>
        <v>0</v>
      </c>
      <c r="AG569" s="48">
        <f>VLOOKUP(B569,'Player Data'!$A1:$AE734,21,FALSE)*$Q569</f>
        <v>0</v>
      </c>
      <c r="AH569" s="49">
        <f>VLOOKUP(B569,'Player Data'!$A1:$AE734,22,FALSE)</f>
        <v>0</v>
      </c>
      <c r="AI569" s="46"/>
      <c r="AJ569" s="50"/>
      <c r="AK569" s="48"/>
      <c r="AL569" s="48"/>
      <c r="AM569" s="48"/>
      <c r="AN569" s="48"/>
      <c r="AO569" s="48"/>
      <c r="AP569" s="48"/>
      <c r="AQ569" s="51"/>
      <c r="AR569" s="52"/>
      <c r="AS569" s="46"/>
    </row>
    <row r="570" ht="21.25" customHeight="1">
      <c r="A570" s="53">
        <f>RANK(K570,K2:K730)</f>
        <v>553</v>
      </c>
      <c r="B570" t="s" s="8">
        <v>722</v>
      </c>
      <c r="C570" t="s" s="39">
        <v>106</v>
      </c>
      <c r="D570" t="s" s="40">
        <f>VLOOKUP(B570,'Player Data'!A1:D734,4,FALSE)</f>
        <v>133</v>
      </c>
      <c r="E570" s="57">
        <f>VLOOKUP(B570,'LW'!A1:C156,3,FALSE)</f>
        <v>116</v>
      </c>
      <c r="F570" t="s" s="42">
        <f>VLOOKUP(B570,'Player Data'!A1:B734,2,FALSE)</f>
        <v>156</v>
      </c>
      <c r="G570" s="9">
        <f>VLOOKUP(B570,'Player Data'!A1:D734,3,FALSE)</f>
        <v>29</v>
      </c>
      <c r="H570" s="43">
        <f>_xlfn.IFERROR(VLOOKUP(B570,'ADP'!A1:G731,7,FALSE)/1000000,VLOOKUP(B570,'ADP'!A1:G731,7,FALSE))</f>
        <v>0.775</v>
      </c>
      <c r="I570" s="44">
        <f>IF('Settings'!$E$15="POINTS",((R570*Q570)*'Settings'!$B$12)+(S570*'Settings'!$B$2)+(T570*'Settings'!$B$3)+(U570*'Settings'!$B$4)+(V570*'Settings'!$B$5)+(X570*'Settings'!$B$9)+(AA570*'Settings'!$B$6)+(W570*'Settings'!$B$8)+(AB570*'Settings'!$B$7)+(AC570*'Settings'!$B$14)+(AD570*'Settings'!$B$15)+(AE570*'Settings'!$B$16)+(AF570*'Settings'!$B$17)+(AG570*'Settings'!$B$18)+(Y570*'Settings'!$B$10)+(Z570*'Settings'!$B$11),VLOOKUP(B570,'Standard Deviations'!A1:C731,3,FALSE))</f>
        <v>180.221042963510</v>
      </c>
      <c r="J570" s="45">
        <f>IF(D570="G",I570/AJ570,I570/Q570)</f>
        <v>3.11454709478971</v>
      </c>
      <c r="K570" s="44">
        <f>IF('Settings'!$E$18="C/LW/RW",VLOOKUP(B570,'LW'!A1:F156,6,FALSE),VLOOKUP(B570,'F'!A1:F432,6,FALSE))</f>
        <v>-201.407520742846</v>
      </c>
      <c r="L570" s="44">
        <f>_xlfn.IFERROR(K570/H570,"N/A")</f>
        <v>-259.880671926253</v>
      </c>
      <c r="M570" t="s" s="61">
        <f>IF('Settings'!$E$9="YAHOO",VLOOKUP(B570,'ADP'!A1:E731,2,FALSE),IF('Settings'!$E$9="ESPN",VLOOKUP(B570,'ADP'!A1:E731,3,FALSE),IF('Settings'!$E$9="FANTRAX",VLOOKUP(B570,'ADP'!A1:E731,4,FALSE),VLOOKUP(B570,'ADP'!A1:E731,5,FALSE))))</f>
        <v>329</v>
      </c>
      <c r="N570" t="s" s="61">
        <f>_xlfn.IFERROR(M570-A570,"N/A")</f>
        <v>158</v>
      </c>
      <c r="O570" s="46"/>
      <c r="P570" t="s" s="47">
        <f>IF('Settings'!$E$27="ON",VLOOKUP(B570,'ADP'!A1:H731,8,FALSE)," ")</f>
        <v>109</v>
      </c>
      <c r="Q570" s="48">
        <f>IF('Settings'!$E$12="YES",VLOOKUP(B570,'Player Data'!A1:E734,5,FALSE),82)</f>
        <v>57.8642857142857</v>
      </c>
      <c r="R570" s="46">
        <f>VLOOKUP(B570,'Player Data'!$A1:$AE734,6,FALSE)</f>
        <v>14.5824482758621</v>
      </c>
      <c r="S570" s="48">
        <f>VLOOKUP(B570,'Player Data'!$A1:$AE734,7,FALSE)*$Q570*_xlfn.IFERROR((VLOOKUP(P570,'Settings'!$E$28:$F$33,2,FALSE)+1),1)</f>
        <v>9.467764695912489</v>
      </c>
      <c r="T570" s="48">
        <f>VLOOKUP(B570,'Player Data'!$A1:$AE734,8,FALSE)*$Q570*_xlfn.IFERROR((VLOOKUP(P570,'Settings'!$E$28:$F$33,2,FALSE)+1),1)</f>
        <v>12.6603214118723</v>
      </c>
      <c r="U570" s="48">
        <f>SUM(S570:T570)</f>
        <v>22.1280861077848</v>
      </c>
      <c r="V570" s="48">
        <f>VLOOKUP(B570,'Player Data'!$A1:$AE734,10,FALSE)*$Q570*_xlfn.IFERROR(((VLOOKUP(P570,'Settings'!$E$28:$F$33,2,FALSE)/2)+1),1)</f>
        <v>124.261077546059</v>
      </c>
      <c r="W570" s="48">
        <f>VLOOKUP(B570,'Player Data'!$A1:$AE734,11,FALSE)*$Q570*_xlfn.IFERROR((VLOOKUP(P570,'Settings'!$E$28:$F$33,2,FALSE)+1),1)</f>
        <v>0.25325829453946</v>
      </c>
      <c r="X570" s="48">
        <f>VLOOKUP(B570,'Player Data'!$A1:$AE734,12,FALSE)*$Q570*_xlfn.IFERROR((VLOOKUP(P570,'Settings'!$E$28:$F$33,2,FALSE)+1),1)</f>
        <v>0.917079893243819</v>
      </c>
      <c r="Y570" s="48">
        <f>VLOOKUP(B570,'Player Data'!$A1:$AE734,13,FALSE)*$Q570</f>
        <v>0.183246658818861</v>
      </c>
      <c r="Z570" s="48">
        <f>VLOOKUP(B570,'Player Data'!$A1:$AE734,14,FALSE)*$Q570</f>
        <v>1.22273203032554</v>
      </c>
      <c r="AA570" s="48">
        <f>VLOOKUP(B570,'Player Data'!$A1:$AE734,15,FALSE)*$Q570</f>
        <v>23.7360596076206</v>
      </c>
      <c r="AB570" s="48">
        <f>VLOOKUP(B570,'Player Data'!$A1:$AE734,16,FALSE)*$Q570</f>
        <v>92.76441983518249</v>
      </c>
      <c r="AC570" s="48">
        <f>VLOOKUP(B570,'Player Data'!$A1:$AE734,17,FALSE)*$Q570*_xlfn.IFERROR((VLOOKUP(P570,'Settings'!$E$28:$F$33,2,FALSE)+1),1)</f>
        <v>0.185968989114014</v>
      </c>
      <c r="AD570" s="48">
        <f>VLOOKUP(B570,'Player Data'!$A1:$AE734,18,FALSE)*$Q570</f>
        <v>25.1768564662676</v>
      </c>
      <c r="AE570" s="48">
        <f>VLOOKUP(B570,'Player Data'!$A1:$AE734,19,FALSE)*$Q570*_xlfn.IFERROR((VLOOKUP(P570,'Settings'!$E$28:$F$33,2,FALSE)+1),1)</f>
        <v>1.34025344673236</v>
      </c>
      <c r="AF570" s="48">
        <f>VLOOKUP(B570,'Player Data'!$A1:$AE734,20,FALSE)*$Q570</f>
        <v>2.77032617044804</v>
      </c>
      <c r="AG570" s="48">
        <f>VLOOKUP(B570,'Player Data'!$A1:$AE734,21,FALSE)*$Q570</f>
        <v>6.26853869828766</v>
      </c>
      <c r="AH570" s="49">
        <f>VLOOKUP(B570,'Player Data'!$A1:$AE734,22,FALSE)</f>
        <v>0.306490495286664</v>
      </c>
      <c r="AI570" s="46"/>
      <c r="AJ570" s="50"/>
      <c r="AK570" s="48"/>
      <c r="AL570" s="48"/>
      <c r="AM570" s="48"/>
      <c r="AN570" s="48"/>
      <c r="AO570" s="48"/>
      <c r="AP570" s="48"/>
      <c r="AQ570" s="51"/>
      <c r="AR570" s="52"/>
      <c r="AS570" s="46"/>
    </row>
    <row r="571" ht="21.25" customHeight="1">
      <c r="A571" s="53">
        <f>RANK(K571,K2:K730)</f>
        <v>489</v>
      </c>
      <c r="B571" t="s" s="8">
        <v>723</v>
      </c>
      <c r="C571" t="s" s="39">
        <v>106</v>
      </c>
      <c r="D571" t="s" s="40">
        <f>VLOOKUP(B571,'Player Data'!A1:D734,4,FALSE)</f>
        <v>121</v>
      </c>
      <c r="E571" s="55">
        <f>VLOOKUP(B571,'RW'!A1:F132,3,FALSE)</f>
        <v>89</v>
      </c>
      <c r="F571" t="s" s="42">
        <f>VLOOKUP(B571,'Player Data'!A1:B734,2,FALSE)</f>
        <v>236</v>
      </c>
      <c r="G571" s="9">
        <f>VLOOKUP(B571,'Player Data'!A1:D734,3,FALSE)</f>
        <v>25</v>
      </c>
      <c r="H571" s="43">
        <f>_xlfn.IFERROR(VLOOKUP(B571,'ADP'!A1:G731,7,FALSE)/1000000,VLOOKUP(B571,'ADP'!A1:G731,7,FALSE))</f>
        <v>0.785</v>
      </c>
      <c r="I571" s="44">
        <f>IF('Settings'!$E$15="POINTS",((R571*Q571)*'Settings'!$B$12)+(S571*'Settings'!$B$2)+(T571*'Settings'!$B$3)+(U571*'Settings'!$B$4)+(V571*'Settings'!$B$5)+(X571*'Settings'!$B$9)+(AA571*'Settings'!$B$6)+(W571*'Settings'!$B$8)+(AB571*'Settings'!$B$7)+(AC571*'Settings'!$B$14)+(AD571*'Settings'!$B$15)+(AE571*'Settings'!$B$16)+(AF571*'Settings'!$B$17)+(AG571*'Settings'!$B$18)+(Y571*'Settings'!$B$10)+(Z571*'Settings'!$B$11),VLOOKUP(B571,'Standard Deviations'!A1:C731,3,FALSE))</f>
        <v>202.932790008719</v>
      </c>
      <c r="J571" s="45">
        <f>IF(D571="G",I571/AJ571,I571/Q571)</f>
        <v>3.06545000013171</v>
      </c>
      <c r="K571" s="44">
        <f>IF('Settings'!$E$18="C/LW/RW",VLOOKUP(B571,'RW'!A1:F132,6,FALSE),VLOOKUP(B571,'F'!A1:F432,6,FALSE))</f>
        <v>-178.695773697637</v>
      </c>
      <c r="L571" s="44">
        <f>_xlfn.IFERROR(K571/H571,"N/A")</f>
        <v>-227.637928277245</v>
      </c>
      <c r="M571" t="s" s="61">
        <f>IF('Settings'!$E$9="YAHOO",VLOOKUP(B571,'ADP'!A1:E731,2,FALSE),IF('Settings'!$E$9="ESPN",VLOOKUP(B571,'ADP'!A1:E731,3,FALSE),IF('Settings'!$E$9="FANTRAX",VLOOKUP(B571,'ADP'!A1:E731,4,FALSE),VLOOKUP(B571,'ADP'!A1:E731,5,FALSE))))</f>
        <v>329</v>
      </c>
      <c r="N571" t="s" s="61">
        <f>_xlfn.IFERROR(M571-A571,"N/A")</f>
        <v>158</v>
      </c>
      <c r="O571" s="46"/>
      <c r="P571" t="s" s="47">
        <f>IF('Settings'!$E$27="ON",VLOOKUP(B571,'ADP'!A1:H731,8,FALSE)," ")</f>
        <v>109</v>
      </c>
      <c r="Q571" s="48">
        <f>IF('Settings'!$E$12="YES",VLOOKUP(B571,'Player Data'!A1:E734,5,FALSE),82)</f>
        <v>66.2</v>
      </c>
      <c r="R571" s="46">
        <f>VLOOKUP(B571,'Player Data'!$A1:$AE734,6,FALSE)</f>
        <v>12.9229472122967</v>
      </c>
      <c r="S571" s="48">
        <f>VLOOKUP(B571,'Player Data'!$A1:$AE734,7,FALSE)*$Q571*_xlfn.IFERROR((VLOOKUP(P571,'Settings'!$E$28:$F$33,2,FALSE)+1),1)</f>
        <v>10.8475484195633</v>
      </c>
      <c r="T571" s="48">
        <f>VLOOKUP(B571,'Player Data'!$A1:$AE734,8,FALSE)*$Q571*_xlfn.IFERROR((VLOOKUP(P571,'Settings'!$E$28:$F$33,2,FALSE)+1),1)</f>
        <v>10.0580015999491</v>
      </c>
      <c r="U571" s="48">
        <f>SUM(S571:T571)</f>
        <v>20.9055500195124</v>
      </c>
      <c r="V571" s="48">
        <f>VLOOKUP(B571,'Player Data'!$A1:$AE734,10,FALSE)*$Q571*_xlfn.IFERROR(((VLOOKUP(P571,'Settings'!$E$28:$F$33,2,FALSE)/2)+1),1)</f>
        <v>99.9943613233734</v>
      </c>
      <c r="W571" s="48">
        <f>VLOOKUP(B571,'Player Data'!$A1:$AE734,11,FALSE)*$Q571*_xlfn.IFERROR((VLOOKUP(P571,'Settings'!$E$28:$F$33,2,FALSE)+1),1)</f>
        <v>0.312349766263069</v>
      </c>
      <c r="X571" s="48">
        <f>VLOOKUP(B571,'Player Data'!$A1:$AE734,12,FALSE)*$Q571*_xlfn.IFERROR((VLOOKUP(P571,'Settings'!$E$28:$F$33,2,FALSE)+1),1)</f>
        <v>0.67199315341875</v>
      </c>
      <c r="Y571" s="48">
        <f>VLOOKUP(B571,'Player Data'!$A1:$AE734,13,FALSE)*$Q571</f>
        <v>0.00557719506350688</v>
      </c>
      <c r="Z571" s="48">
        <f>VLOOKUP(B571,'Player Data'!$A1:$AE734,14,FALSE)*$Q571</f>
        <v>0.0102970264876381</v>
      </c>
      <c r="AA571" s="48">
        <f>VLOOKUP(B571,'Player Data'!$A1:$AE734,15,FALSE)*$Q571</f>
        <v>59.3660034893683</v>
      </c>
      <c r="AB571" s="48">
        <f>VLOOKUP(B571,'Player Data'!$A1:$AE734,16,FALSE)*$Q571</f>
        <v>176.976163445964</v>
      </c>
      <c r="AC571" s="48">
        <f>VLOOKUP(B571,'Player Data'!$A1:$AE734,17,FALSE)*$Q571*_xlfn.IFERROR((VLOOKUP(P571,'Settings'!$E$28:$F$33,2,FALSE)+1),1)</f>
        <v>-4.47542368775357</v>
      </c>
      <c r="AD571" s="48">
        <f>VLOOKUP(B571,'Player Data'!$A1:$AE734,18,FALSE)*$Q571</f>
        <v>25.142114942754</v>
      </c>
      <c r="AE571" s="48">
        <f>VLOOKUP(B571,'Player Data'!$A1:$AE734,19,FALSE)*$Q571*_xlfn.IFERROR((VLOOKUP(P571,'Settings'!$E$28:$F$33,2,FALSE)+1),1)</f>
        <v>1.27508204747255</v>
      </c>
      <c r="AF571" s="48">
        <f>VLOOKUP(B571,'Player Data'!$A1:$AE734,20,FALSE)*$Q571</f>
        <v>0.949296855021814</v>
      </c>
      <c r="AG571" s="48">
        <f>VLOOKUP(B571,'Player Data'!$A1:$AE734,21,FALSE)*$Q571</f>
        <v>5.58060878857057</v>
      </c>
      <c r="AH571" s="49">
        <f>VLOOKUP(B571,'Player Data'!$A1:$AE734,22,FALSE)</f>
        <v>0.145376810452588</v>
      </c>
      <c r="AI571" s="46"/>
      <c r="AJ571" s="50"/>
      <c r="AK571" s="48"/>
      <c r="AL571" s="48"/>
      <c r="AM571" s="48"/>
      <c r="AN571" s="48"/>
      <c r="AO571" s="48"/>
      <c r="AP571" s="48"/>
      <c r="AQ571" s="51"/>
      <c r="AR571" s="52"/>
      <c r="AS571" s="46"/>
    </row>
    <row r="572" ht="21.25" customHeight="1">
      <c r="A572" s="53">
        <f>RANK(K572,K2:K730)</f>
        <v>539</v>
      </c>
      <c r="B572" t="s" s="8">
        <v>724</v>
      </c>
      <c r="C572" t="s" s="39">
        <v>106</v>
      </c>
      <c r="D572" t="s" s="40">
        <f>VLOOKUP(B572,'Player Data'!A1:D734,4,FALSE)</f>
        <v>107</v>
      </c>
      <c r="E572" s="41">
        <f>VLOOKUP(B572,'C'!A1:C218,3,FALSE)</f>
        <v>144</v>
      </c>
      <c r="F572" t="s" s="42">
        <f>VLOOKUP(B572,'Player Data'!A1:B734,2,FALSE)</f>
        <v>151</v>
      </c>
      <c r="G572" s="9">
        <f>VLOOKUP(B572,'Player Data'!A1:D734,3,FALSE)</f>
        <v>30</v>
      </c>
      <c r="H572" s="43">
        <f>_xlfn.IFERROR(VLOOKUP(B572,'ADP'!A1:G731,7,FALSE)/1000000,VLOOKUP(B572,'ADP'!A1:G731,7,FALSE))</f>
        <v>3.641667</v>
      </c>
      <c r="I572" s="44">
        <f>IF('Settings'!$E$15="POINTS",((R572*Q572)*'Settings'!$B$12)+(S572*'Settings'!$B$2)+(T572*'Settings'!$B$3)+(U572*'Settings'!$B$4)+(V572*'Settings'!$B$5)+(X572*'Settings'!$B$9)+(AA572*'Settings'!$B$6)+(W572*'Settings'!$B$8)+(AB572*'Settings'!$B$7)+(AC572*'Settings'!$B$14)+(AD572*'Settings'!$B$15)+(AE572*'Settings'!$B$16)+(AF572*'Settings'!$B$17)+(AG572*'Settings'!$B$18)+(Y572*'Settings'!$B$10)+(Z572*'Settings'!$B$11),VLOOKUP(B572,'Standard Deviations'!A1:C731,3,FALSE))</f>
        <v>200.023396813174</v>
      </c>
      <c r="J572" s="45">
        <f>IF(D572="G",I572/AJ572,I572/Q572)</f>
        <v>2.45514626610185</v>
      </c>
      <c r="K572" s="44">
        <f>IF('Settings'!$E$18="C/LW/RW",VLOOKUP(B572,'C'!A1:F218,6,FALSE),VLOOKUP(B572,'F'!A1:F432,6,FALSE))</f>
        <v>-195.750804822841</v>
      </c>
      <c r="L572" s="44">
        <f>_xlfn.IFERROR(K572/H572,"N/A")</f>
        <v>-53.753076495693</v>
      </c>
      <c r="M572" t="s" s="61">
        <f>IF('Settings'!$E$9="YAHOO",VLOOKUP(B572,'ADP'!A1:E731,2,FALSE),IF('Settings'!$E$9="ESPN",VLOOKUP(B572,'ADP'!A1:E731,3,FALSE),IF('Settings'!$E$9="FANTRAX",VLOOKUP(B572,'ADP'!A1:E731,4,FALSE),VLOOKUP(B572,'ADP'!A1:E731,5,FALSE))))</f>
        <v>329</v>
      </c>
      <c r="N572" t="s" s="61">
        <f>_xlfn.IFERROR(M572-A572,"N/A")</f>
        <v>158</v>
      </c>
      <c r="O572" s="46"/>
      <c r="P572" t="s" s="47">
        <f>IF('Settings'!$E$27="ON",VLOOKUP(B572,'ADP'!A1:H731,8,FALSE)," ")</f>
        <v>109</v>
      </c>
      <c r="Q572" s="48">
        <f>IF('Settings'!$E$12="YES",VLOOKUP(B572,'Player Data'!A1:E734,5,FALSE),82)</f>
        <v>81.47107142857141</v>
      </c>
      <c r="R572" s="46">
        <f>VLOOKUP(B572,'Player Data'!$A1:$AE734,6,FALSE)</f>
        <v>13.6422595058278</v>
      </c>
      <c r="S572" s="48">
        <f>VLOOKUP(B572,'Player Data'!$A1:$AE734,7,FALSE)*$Q572*_xlfn.IFERROR((VLOOKUP(P572,'Settings'!$E$28:$F$33,2,FALSE)+1),1)</f>
        <v>9.536209475160801</v>
      </c>
      <c r="T572" s="48">
        <f>VLOOKUP(B572,'Player Data'!$A1:$AE734,8,FALSE)*$Q572*_xlfn.IFERROR((VLOOKUP(P572,'Settings'!$E$28:$F$33,2,FALSE)+1),1)</f>
        <v>17.5429429436906</v>
      </c>
      <c r="U572" s="48">
        <f>SUM(S572:T572)</f>
        <v>27.0791524188514</v>
      </c>
      <c r="V572" s="48">
        <f>VLOOKUP(B572,'Player Data'!$A1:$AE734,10,FALSE)*$Q572*_xlfn.IFERROR(((VLOOKUP(P572,'Settings'!$E$28:$F$33,2,FALSE)/2)+1),1)</f>
        <v>91.14517056551151</v>
      </c>
      <c r="W572" s="48">
        <f>VLOOKUP(B572,'Player Data'!$A1:$AE734,11,FALSE)*$Q572*_xlfn.IFERROR((VLOOKUP(P572,'Settings'!$E$28:$F$33,2,FALSE)+1),1)</f>
        <v>0.206502219284999</v>
      </c>
      <c r="X572" s="48">
        <f>VLOOKUP(B572,'Player Data'!$A1:$AE734,12,FALSE)*$Q572*_xlfn.IFERROR((VLOOKUP(P572,'Settings'!$E$28:$F$33,2,FALSE)+1),1)</f>
        <v>0.373672688309349</v>
      </c>
      <c r="Y572" s="48">
        <f>VLOOKUP(B572,'Player Data'!$A1:$AE734,13,FALSE)*$Q572</f>
        <v>0.359882395676704</v>
      </c>
      <c r="Z572" s="48">
        <f>VLOOKUP(B572,'Player Data'!$A1:$AE734,14,FALSE)*$Q572</f>
        <v>1.41949667388645</v>
      </c>
      <c r="AA572" s="48">
        <f>VLOOKUP(B572,'Player Data'!$A1:$AE734,15,FALSE)*$Q572</f>
        <v>54.5306251201261</v>
      </c>
      <c r="AB572" s="48">
        <f>VLOOKUP(B572,'Player Data'!$A1:$AE734,16,FALSE)*$Q572</f>
        <v>115.218936613147</v>
      </c>
      <c r="AC572" s="48">
        <f>VLOOKUP(B572,'Player Data'!$A1:$AE734,17,FALSE)*$Q572*_xlfn.IFERROR((VLOOKUP(P572,'Settings'!$E$28:$F$33,2,FALSE)+1),1)</f>
        <v>4.01685376706698</v>
      </c>
      <c r="AD572" s="48">
        <f>VLOOKUP(B572,'Player Data'!$A1:$AE734,18,FALSE)*$Q572</f>
        <v>51.0431627690246</v>
      </c>
      <c r="AE572" s="48">
        <f>VLOOKUP(B572,'Player Data'!$A1:$AE734,19,FALSE)*$Q572*_xlfn.IFERROR((VLOOKUP(P572,'Settings'!$E$28:$F$33,2,FALSE)+1),1)</f>
        <v>1.62495228690283</v>
      </c>
      <c r="AF572" s="48">
        <f>VLOOKUP(B572,'Player Data'!$A1:$AE734,20,FALSE)*$Q572</f>
        <v>270.042917629687</v>
      </c>
      <c r="AG572" s="48">
        <f>VLOOKUP(B572,'Player Data'!$A1:$AE734,21,FALSE)*$Q572</f>
        <v>292.432637301827</v>
      </c>
      <c r="AH572" s="49">
        <f>VLOOKUP(B572,'Player Data'!$A1:$AE734,22,FALSE)</f>
        <v>0.480097162022564</v>
      </c>
      <c r="AI572" s="46"/>
      <c r="AJ572" s="50"/>
      <c r="AK572" s="48"/>
      <c r="AL572" s="48"/>
      <c r="AM572" s="48"/>
      <c r="AN572" s="48"/>
      <c r="AO572" s="48"/>
      <c r="AP572" s="48"/>
      <c r="AQ572" s="51"/>
      <c r="AR572" s="52"/>
      <c r="AS572" s="46"/>
    </row>
    <row r="573" ht="21.25" customHeight="1">
      <c r="A573" s="53">
        <f>RANK(K573,K2:K730)</f>
        <v>685</v>
      </c>
      <c r="B573" t="s" s="8">
        <v>725</v>
      </c>
      <c r="C573" t="s" s="39">
        <v>106</v>
      </c>
      <c r="D573" t="s" s="40">
        <f>VLOOKUP(B573,'Player Data'!A1:D734,4,FALSE)</f>
        <v>129</v>
      </c>
      <c r="E573" s="56">
        <f>VLOOKUP(B573,'D'!A1:C228,3,FALSE)</f>
        <v>226</v>
      </c>
      <c r="F573" t="s" s="42">
        <f>VLOOKUP(B573,'Player Data'!A1:B734,2,FALSE)</f>
        <v>122</v>
      </c>
      <c r="G573" s="9">
        <f>VLOOKUP(B573,'Player Data'!A1:D734,3,FALSE)</f>
        <v>26</v>
      </c>
      <c r="H573" s="43">
        <f>_xlfn.IFERROR(VLOOKUP(B573,'ADP'!A1:G731,7,FALSE)/1000000,VLOOKUP(B573,'ADP'!A1:G731,7,FALSE))</f>
        <v>1.1375</v>
      </c>
      <c r="I573" s="44">
        <f>IF('Settings'!$E$15="POINTS",((R573*Q573)*'Settings'!$B$12)+(S573*'Settings'!$B$2)+(T573*'Settings'!$B$3)+(U573*'Settings'!$B$4)+(V573*'Settings'!$B$5)+(X573*'Settings'!$B$9)+(AA573*'Settings'!$B$6)+(W573*'Settings'!$B$8)+(AB573*'Settings'!$B$7)+(AC573*'Settings'!$B$14)+(AD573*'Settings'!$B$15)+(AE573*'Settings'!$B$16)+(AF573*'Settings'!$B$17)+(AG573*'Settings'!$B$18)+(U573*'Settings'!$B$13)+(Y573*'Settings'!$B$10)+(Z573*'Settings'!$B$11),VLOOKUP(B573,'Standard Deviations'!A1:C731,3,FALSE))</f>
        <v>88.47010185417059</v>
      </c>
      <c r="J573" s="45">
        <f>IF(D573="G",I573/AJ573,I573/Q573)</f>
        <v>1.69482953743622</v>
      </c>
      <c r="K573" s="44">
        <f>VLOOKUP(B573,'D'!A1:F228,6,FALSE)</f>
        <v>-252.265036792352</v>
      </c>
      <c r="L573" s="44">
        <f>_xlfn.IFERROR(K573/H573,"N/A")</f>
        <v>-221.771460916353</v>
      </c>
      <c r="M573" t="s" s="61">
        <f>IF('Settings'!$E$9="YAHOO",VLOOKUP(B573,'ADP'!A1:E731,2,FALSE),IF('Settings'!$E$9="ESPN",VLOOKUP(B573,'ADP'!A1:E731,3,FALSE),IF('Settings'!$E$9="FANTRAX",VLOOKUP(B573,'ADP'!A1:E731,4,FALSE),VLOOKUP(B573,'ADP'!A1:E731,5,FALSE))))</f>
        <v>329</v>
      </c>
      <c r="N573" t="s" s="61">
        <f>_xlfn.IFERROR(M573-A573,"N/A")</f>
        <v>158</v>
      </c>
      <c r="O573" s="46"/>
      <c r="P573" t="s" s="47">
        <f>IF('Settings'!$E$27="ON",VLOOKUP(B573,'ADP'!A1:H731,8,FALSE)," ")</f>
        <v>109</v>
      </c>
      <c r="Q573" s="48">
        <f>IF('Settings'!$E$12="YES",VLOOKUP(B573,'Player Data'!A1:E734,5,FALSE),82)</f>
        <v>52.2</v>
      </c>
      <c r="R573" s="46">
        <f>VLOOKUP(B573,'Player Data'!$A1:$AE734,6,FALSE)</f>
        <v>14.4651417069925</v>
      </c>
      <c r="S573" s="48">
        <f>VLOOKUP(B573,'Player Data'!$A1:$AE734,7,FALSE)*$Q573*_xlfn.IFERROR((VLOOKUP(P573,'Settings'!$E$28:$F$33,2,FALSE)+1),1)</f>
        <v>1.34611792010503</v>
      </c>
      <c r="T573" s="48">
        <f>VLOOKUP(B573,'Player Data'!$A1:$AE734,8,FALSE)*$Q573*_xlfn.IFERROR((VLOOKUP(P573,'Settings'!$E$28:$F$33,2,FALSE)+1),1)</f>
        <v>8.178799282168059</v>
      </c>
      <c r="U573" s="48">
        <f>SUM(S573:T573)</f>
        <v>9.524917202273089</v>
      </c>
      <c r="V573" s="48">
        <f>VLOOKUP(B573,'Player Data'!$A1:$AE734,10,FALSE)*$Q573*_xlfn.IFERROR(((VLOOKUP(P573,'Settings'!$E$28:$F$33,2,FALSE)/2)+1),1)</f>
        <v>37.0983537837611</v>
      </c>
      <c r="W573" s="48">
        <f>VLOOKUP(B573,'Player Data'!$A1:$AE734,11,FALSE)*$Q573*_xlfn.IFERROR((VLOOKUP(P573,'Settings'!$E$28:$F$33,2,FALSE)+1),1)</f>
        <v>0.00350379044568786</v>
      </c>
      <c r="X573" s="48">
        <f>VLOOKUP(B573,'Player Data'!$A1:$AE734,12,FALSE)*$Q573*_xlfn.IFERROR((VLOOKUP(P573,'Settings'!$E$28:$F$33,2,FALSE)+1),1)</f>
        <v>0.0357674309521412</v>
      </c>
      <c r="Y573" s="48">
        <f>VLOOKUP(B573,'Player Data'!$A1:$AE734,13,FALSE)*$Q573</f>
        <v>0.0306249343080495</v>
      </c>
      <c r="Z573" s="48">
        <f>VLOOKUP(B573,'Player Data'!$A1:$AE734,14,FALSE)*$Q573</f>
        <v>0.113675686477061</v>
      </c>
      <c r="AA573" s="48">
        <f>VLOOKUP(B573,'Player Data'!$A1:$AE734,15,FALSE)*$Q573</f>
        <v>45.6588904681948</v>
      </c>
      <c r="AB573" s="48">
        <f>VLOOKUP(B573,'Player Data'!$A1:$AE734,16,FALSE)*$Q573</f>
        <v>65.08079947304699</v>
      </c>
      <c r="AC573" s="48">
        <f>VLOOKUP(B573,'Player Data'!$A1:$AE734,17,FALSE)*$Q573*_xlfn.IFERROR((VLOOKUP(P573,'Settings'!$E$28:$F$33,2,FALSE)+1),1)</f>
        <v>1.41611193293084</v>
      </c>
      <c r="AD573" s="48">
        <f>VLOOKUP(B573,'Player Data'!$A1:$AE734,18,FALSE)*$Q573</f>
        <v>18.9455034997021</v>
      </c>
      <c r="AE573" s="48">
        <f>VLOOKUP(B573,'Player Data'!$A1:$AE734,19,FALSE)*$Q573*_xlfn.IFERROR((VLOOKUP(P573,'Settings'!$E$28:$F$33,2,FALSE)+1),1)</f>
        <v>0.225986708019018</v>
      </c>
      <c r="AF573" s="48">
        <f>VLOOKUP(B573,'Player Data'!$A1:$AE734,20,FALSE)*$Q573</f>
        <v>0</v>
      </c>
      <c r="AG573" s="48">
        <f>VLOOKUP(B573,'Player Data'!$A1:$AE734,21,FALSE)*$Q573</f>
        <v>0</v>
      </c>
      <c r="AH573" s="49">
        <f>VLOOKUP(B573,'Player Data'!$A1:$AE734,22,FALSE)</f>
        <v>0</v>
      </c>
      <c r="AI573" s="46"/>
      <c r="AJ573" s="50"/>
      <c r="AK573" s="48"/>
      <c r="AL573" s="48"/>
      <c r="AM573" s="48"/>
      <c r="AN573" s="48"/>
      <c r="AO573" s="48"/>
      <c r="AP573" s="48"/>
      <c r="AQ573" s="51"/>
      <c r="AR573" s="52"/>
      <c r="AS573" s="46"/>
    </row>
    <row r="574" ht="21.25" customHeight="1">
      <c r="A574" s="53">
        <f>RANK(K574,K2:K730)</f>
        <v>675</v>
      </c>
      <c r="B574" t="s" s="8">
        <v>726</v>
      </c>
      <c r="C574" t="s" s="39">
        <v>106</v>
      </c>
      <c r="D574" t="s" s="40">
        <f>VLOOKUP(B574,'Player Data'!A1:D734,4,FALSE)</f>
        <v>129</v>
      </c>
      <c r="E574" s="56">
        <f>VLOOKUP(B574,'D'!A1:C228,3,FALSE)</f>
        <v>224</v>
      </c>
      <c r="F574" t="s" s="42">
        <f>VLOOKUP(B574,'Player Data'!A1:B734,2,FALSE)</f>
        <v>136</v>
      </c>
      <c r="G574" s="9">
        <f>VLOOKUP(B574,'Player Data'!A1:D734,3,FALSE)</f>
        <v>32</v>
      </c>
      <c r="H574" s="43">
        <f>_xlfn.IFERROR(VLOOKUP(B574,'ADP'!A1:G731,7,FALSE)/1000000,VLOOKUP(B574,'ADP'!A1:G731,7,FALSE))</f>
        <v>0.7875</v>
      </c>
      <c r="I574" s="44">
        <f>IF('Settings'!$E$15="POINTS",((R574*Q574)*'Settings'!$B$12)+(S574*'Settings'!$B$2)+(T574*'Settings'!$B$3)+(U574*'Settings'!$B$4)+(V574*'Settings'!$B$5)+(X574*'Settings'!$B$9)+(AA574*'Settings'!$B$6)+(W574*'Settings'!$B$8)+(AB574*'Settings'!$B$7)+(AC574*'Settings'!$B$14)+(AD574*'Settings'!$B$15)+(AE574*'Settings'!$B$16)+(AF574*'Settings'!$B$17)+(AG574*'Settings'!$B$18)+(U574*'Settings'!$B$13)+(Y574*'Settings'!$B$10)+(Z574*'Settings'!$B$11),VLOOKUP(B574,'Standard Deviations'!A1:C731,3,FALSE))</f>
        <v>93.62025424277959</v>
      </c>
      <c r="J574" s="45">
        <f>IF(D574="G",I574/AJ574,I574/Q574)</f>
        <v>1.46763214050446</v>
      </c>
      <c r="K574" s="44">
        <f>VLOOKUP(B574,'D'!A1:F228,6,FALSE)</f>
        <v>-247.114884403743</v>
      </c>
      <c r="L574" s="44">
        <f>_xlfn.IFERROR(K574/H574,"N/A")</f>
        <v>-313.796678607928</v>
      </c>
      <c r="M574" t="s" s="61">
        <f>IF('Settings'!$E$9="YAHOO",VLOOKUP(B574,'ADP'!A1:E731,2,FALSE),IF('Settings'!$E$9="ESPN",VLOOKUP(B574,'ADP'!A1:E731,3,FALSE),IF('Settings'!$E$9="FANTRAX",VLOOKUP(B574,'ADP'!A1:E731,4,FALSE),VLOOKUP(B574,'ADP'!A1:E731,5,FALSE))))</f>
        <v>329</v>
      </c>
      <c r="N574" t="s" s="61">
        <f>_xlfn.IFERROR(M574-A574,"N/A")</f>
        <v>158</v>
      </c>
      <c r="O574" s="46"/>
      <c r="P574" t="s" s="47">
        <f>IF('Settings'!$E$27="ON",VLOOKUP(B574,'ADP'!A1:H731,8,FALSE)," ")</f>
        <v>109</v>
      </c>
      <c r="Q574" s="48">
        <f>IF('Settings'!$E$12="YES",VLOOKUP(B574,'Player Data'!A1:E734,5,FALSE),82)</f>
        <v>63.79</v>
      </c>
      <c r="R574" s="46">
        <f>VLOOKUP(B574,'Player Data'!$A1:$AE734,6,FALSE)</f>
        <v>11.6366267744312</v>
      </c>
      <c r="S574" s="48">
        <f>VLOOKUP(B574,'Player Data'!$A1:$AE734,7,FALSE)*$Q574*_xlfn.IFERROR((VLOOKUP(P574,'Settings'!$E$28:$F$33,2,FALSE)+1),1)</f>
        <v>1.36680173191456</v>
      </c>
      <c r="T574" s="48">
        <f>VLOOKUP(B574,'Player Data'!$A1:$AE734,8,FALSE)*$Q574*_xlfn.IFERROR((VLOOKUP(P574,'Settings'!$E$28:$F$33,2,FALSE)+1),1)</f>
        <v>6.93442408112205</v>
      </c>
      <c r="U574" s="48">
        <f>SUM(S574:T574)</f>
        <v>8.301225813036609</v>
      </c>
      <c r="V574" s="48">
        <f>VLOOKUP(B574,'Player Data'!$A1:$AE734,10,FALSE)*$Q574*_xlfn.IFERROR(((VLOOKUP(P574,'Settings'!$E$28:$F$33,2,FALSE)/2)+1),1)</f>
        <v>38.6350832146254</v>
      </c>
      <c r="W574" s="48">
        <f>VLOOKUP(B574,'Player Data'!$A1:$AE734,11,FALSE)*$Q574*_xlfn.IFERROR((VLOOKUP(P574,'Settings'!$E$28:$F$33,2,FALSE)+1),1)</f>
        <v>0.00616384330807232</v>
      </c>
      <c r="X574" s="48">
        <f>VLOOKUP(B574,'Player Data'!$A1:$AE734,12,FALSE)*$Q574*_xlfn.IFERROR((VLOOKUP(P574,'Settings'!$E$28:$F$33,2,FALSE)+1),1)</f>
        <v>0.0452564284211596</v>
      </c>
      <c r="Y574" s="48">
        <f>VLOOKUP(B574,'Player Data'!$A1:$AE734,13,FALSE)*$Q574</f>
        <v>0.00210715118388274</v>
      </c>
      <c r="Z574" s="48">
        <f>VLOOKUP(B574,'Player Data'!$A1:$AE734,14,FALSE)*$Q574</f>
        <v>0.00845587231967357</v>
      </c>
      <c r="AA574" s="48">
        <f>VLOOKUP(B574,'Player Data'!$A1:$AE734,15,FALSE)*$Q574</f>
        <v>59.2857440794361</v>
      </c>
      <c r="AB574" s="48">
        <f>VLOOKUP(B574,'Player Data'!$A1:$AE734,16,FALSE)*$Q574</f>
        <v>70.75619525651121</v>
      </c>
      <c r="AC574" s="48">
        <f>VLOOKUP(B574,'Player Data'!$A1:$AE734,17,FALSE)*$Q574*_xlfn.IFERROR((VLOOKUP(P574,'Settings'!$E$28:$F$33,2,FALSE)+1),1)</f>
        <v>3.37751906375246</v>
      </c>
      <c r="AD574" s="48">
        <f>VLOOKUP(B574,'Player Data'!$A1:$AE734,18,FALSE)*$Q574</f>
        <v>16.9131430311417</v>
      </c>
      <c r="AE574" s="48">
        <f>VLOOKUP(B574,'Player Data'!$A1:$AE734,19,FALSE)*$Q574*_xlfn.IFERROR((VLOOKUP(P574,'Settings'!$E$28:$F$33,2,FALSE)+1),1)</f>
        <v>0.218678587774419</v>
      </c>
      <c r="AF574" s="48">
        <f>VLOOKUP(B574,'Player Data'!$A1:$AE734,20,FALSE)*$Q574</f>
        <v>0</v>
      </c>
      <c r="AG574" s="48">
        <f>VLOOKUP(B574,'Player Data'!$A1:$AE734,21,FALSE)*$Q574</f>
        <v>0</v>
      </c>
      <c r="AH574" s="49">
        <f>VLOOKUP(B574,'Player Data'!$A1:$AE734,22,FALSE)</f>
        <v>0</v>
      </c>
      <c r="AI574" s="46"/>
      <c r="AJ574" s="50"/>
      <c r="AK574" s="48"/>
      <c r="AL574" s="48"/>
      <c r="AM574" s="48"/>
      <c r="AN574" s="48"/>
      <c r="AO574" s="48"/>
      <c r="AP574" s="48"/>
      <c r="AQ574" s="51"/>
      <c r="AR574" s="52"/>
      <c r="AS574" s="46"/>
    </row>
    <row r="575" ht="21.25" customHeight="1">
      <c r="A575" s="53">
        <f>RANK(K575,K2:K730)</f>
        <v>600</v>
      </c>
      <c r="B575" t="s" s="8">
        <v>727</v>
      </c>
      <c r="C575" t="s" s="39">
        <v>106</v>
      </c>
      <c r="D575" t="s" s="40">
        <f>VLOOKUP(B575,'Player Data'!A1:D734,4,FALSE)</f>
        <v>107</v>
      </c>
      <c r="E575" s="41">
        <f>VLOOKUP(B575,'C'!A1:C218,3,FALSE)</f>
        <v>158</v>
      </c>
      <c r="F575" t="s" s="42">
        <f>VLOOKUP(B575,'Player Data'!A1:B734,2,FALSE)</f>
        <v>115</v>
      </c>
      <c r="G575" s="9">
        <f>VLOOKUP(B575,'Player Data'!A1:D734,3,FALSE)</f>
        <v>28</v>
      </c>
      <c r="H575" s="43">
        <f>_xlfn.IFERROR(VLOOKUP(B575,'ADP'!A1:G731,7,FALSE)/1000000,VLOOKUP(B575,'ADP'!A1:G731,7,FALSE))</f>
        <v>2.5</v>
      </c>
      <c r="I575" s="44">
        <f>IF('Settings'!$E$15="POINTS",((R575*Q575)*'Settings'!$B$12)+(S575*'Settings'!$B$2)+(T575*'Settings'!$B$3)+(U575*'Settings'!$B$4)+(V575*'Settings'!$B$5)+(X575*'Settings'!$B$9)+(AA575*'Settings'!$B$6)+(W575*'Settings'!$B$8)+(AB575*'Settings'!$B$7)+(AC575*'Settings'!$B$14)+(AD575*'Settings'!$B$15)+(AE575*'Settings'!$B$16)+(AF575*'Settings'!$B$17)+(AG575*'Settings'!$B$18)+(Y575*'Settings'!$B$10)+(Z575*'Settings'!$B$11),VLOOKUP(B575,'Standard Deviations'!A1:C731,3,FALSE))</f>
        <v>178.500254643489</v>
      </c>
      <c r="J575" s="45">
        <f>IF(D575="G",I575/AJ575,I575/Q575)</f>
        <v>2.1760362628732</v>
      </c>
      <c r="K575" s="44">
        <f>IF('Settings'!$E$18="C/LW/RW",VLOOKUP(B575,'C'!A1:F218,6,FALSE),VLOOKUP(B575,'F'!A1:F432,6,FALSE))</f>
        <v>-217.273946992526</v>
      </c>
      <c r="L575" s="44">
        <f>_xlfn.IFERROR(K575/H575,"N/A")</f>
        <v>-86.9095787970104</v>
      </c>
      <c r="M575" t="s" s="61">
        <f>IF('Settings'!$E$9="YAHOO",VLOOKUP(B575,'ADP'!A1:E731,2,FALSE),IF('Settings'!$E$9="ESPN",VLOOKUP(B575,'ADP'!A1:E731,3,FALSE),IF('Settings'!$E$9="FANTRAX",VLOOKUP(B575,'ADP'!A1:E731,4,FALSE),VLOOKUP(B575,'ADP'!A1:E731,5,FALSE))))</f>
        <v>329</v>
      </c>
      <c r="N575" t="s" s="61">
        <f>_xlfn.IFERROR(M575-A575,"N/A")</f>
        <v>158</v>
      </c>
      <c r="O575" s="46"/>
      <c r="P575" t="s" s="47">
        <f>IF('Settings'!$E$27="ON",VLOOKUP(B575,'ADP'!A1:H731,8,FALSE)," ")</f>
        <v>109</v>
      </c>
      <c r="Q575" s="48">
        <f>IF('Settings'!$E$12="YES",VLOOKUP(B575,'Player Data'!A1:E734,5,FALSE),82)</f>
        <v>82.03</v>
      </c>
      <c r="R575" s="46">
        <f>VLOOKUP(B575,'Player Data'!$A1:$AE734,6,FALSE)</f>
        <v>14.8813293600464</v>
      </c>
      <c r="S575" s="48">
        <f>VLOOKUP(B575,'Player Data'!$A1:$AE734,7,FALSE)*$Q575*_xlfn.IFERROR((VLOOKUP(P575,'Settings'!$E$28:$F$33,2,FALSE)+1),1)</f>
        <v>7.90680020127767</v>
      </c>
      <c r="T575" s="48">
        <f>VLOOKUP(B575,'Player Data'!$A1:$AE734,8,FALSE)*$Q575*_xlfn.IFERROR((VLOOKUP(P575,'Settings'!$E$28:$F$33,2,FALSE)+1),1)</f>
        <v>17.6004989718516</v>
      </c>
      <c r="U575" s="48">
        <f>SUM(S575:T575)</f>
        <v>25.5072991731293</v>
      </c>
      <c r="V575" s="48">
        <f>VLOOKUP(B575,'Player Data'!$A1:$AE734,10,FALSE)*$Q575*_xlfn.IFERROR(((VLOOKUP(P575,'Settings'!$E$28:$F$33,2,FALSE)/2)+1),1)</f>
        <v>104.124730573431</v>
      </c>
      <c r="W575" s="48">
        <f>VLOOKUP(B575,'Player Data'!$A1:$AE734,11,FALSE)*$Q575*_xlfn.IFERROR((VLOOKUP(P575,'Settings'!$E$28:$F$33,2,FALSE)+1),1)</f>
        <v>0.0557777978128205</v>
      </c>
      <c r="X575" s="48">
        <f>VLOOKUP(B575,'Player Data'!$A1:$AE734,12,FALSE)*$Q575*_xlfn.IFERROR((VLOOKUP(P575,'Settings'!$E$28:$F$33,2,FALSE)+1),1)</f>
        <v>0.145546851037392</v>
      </c>
      <c r="Y575" s="48">
        <f>VLOOKUP(B575,'Player Data'!$A1:$AE734,13,FALSE)*$Q575</f>
        <v>0.636339575378456</v>
      </c>
      <c r="Z575" s="48">
        <f>VLOOKUP(B575,'Player Data'!$A1:$AE734,14,FALSE)*$Q575</f>
        <v>2.34632513295146</v>
      </c>
      <c r="AA575" s="48">
        <f>VLOOKUP(B575,'Player Data'!$A1:$AE734,15,FALSE)*$Q575</f>
        <v>29.1153020618496</v>
      </c>
      <c r="AB575" s="48">
        <f>VLOOKUP(B575,'Player Data'!$A1:$AE734,16,FALSE)*$Q575</f>
        <v>75.2219609545661</v>
      </c>
      <c r="AC575" s="48">
        <f>VLOOKUP(B575,'Player Data'!$A1:$AE734,17,FALSE)*$Q575*_xlfn.IFERROR((VLOOKUP(P575,'Settings'!$E$28:$F$33,2,FALSE)+1),1)</f>
        <v>3.43933061188122</v>
      </c>
      <c r="AD575" s="48">
        <f>VLOOKUP(B575,'Player Data'!$A1:$AE734,18,FALSE)*$Q575</f>
        <v>18.4023334227314</v>
      </c>
      <c r="AE575" s="48">
        <f>VLOOKUP(B575,'Player Data'!$A1:$AE734,19,FALSE)*$Q575*_xlfn.IFERROR((VLOOKUP(P575,'Settings'!$E$28:$F$33,2,FALSE)+1),1)</f>
        <v>1.27022535073962</v>
      </c>
      <c r="AF575" s="48">
        <f>VLOOKUP(B575,'Player Data'!$A1:$AE734,20,FALSE)*$Q575</f>
        <v>586.508947687636</v>
      </c>
      <c r="AG575" s="48">
        <f>VLOOKUP(B575,'Player Data'!$A1:$AE734,21,FALSE)*$Q575</f>
        <v>536.072268478991</v>
      </c>
      <c r="AH575" s="49">
        <f>VLOOKUP(B575,'Player Data'!$A1:$AE734,22,FALSE)</f>
        <v>0.522464601439206</v>
      </c>
      <c r="AI575" s="46"/>
      <c r="AJ575" s="48"/>
      <c r="AK575" s="48"/>
      <c r="AL575" s="48"/>
      <c r="AM575" s="48"/>
      <c r="AN575" s="48"/>
      <c r="AO575" s="48"/>
      <c r="AP575" s="48"/>
      <c r="AQ575" s="51"/>
      <c r="AR575" s="52"/>
      <c r="AS575" s="46"/>
    </row>
    <row r="576" ht="21.25" customHeight="1">
      <c r="A576" s="53">
        <f>RANK(K576,K2:K730)</f>
        <v>430</v>
      </c>
      <c r="B576" t="s" s="8">
        <v>728</v>
      </c>
      <c r="C576" t="s" s="39">
        <v>106</v>
      </c>
      <c r="D576" t="s" s="40">
        <f>VLOOKUP(B576,'Player Data'!A1:D734,4,FALSE)</f>
        <v>121</v>
      </c>
      <c r="E576" s="55">
        <f>VLOOKUP(B576,'RW'!A1:F132,3,FALSE)</f>
        <v>84</v>
      </c>
      <c r="F576" t="s" s="42">
        <f>VLOOKUP(B576,'Player Data'!A1:B734,2,FALSE)</f>
        <v>236</v>
      </c>
      <c r="G576" s="9">
        <f>VLOOKUP(B576,'Player Data'!A1:D734,3,FALSE)</f>
        <v>31</v>
      </c>
      <c r="H576" s="43">
        <f>_xlfn.IFERROR(VLOOKUP(B576,'ADP'!A1:G731,7,FALSE)/1000000,VLOOKUP(B576,'ADP'!A1:G731,7,FALSE))</f>
        <v>2.002</v>
      </c>
      <c r="I576" s="44">
        <f>IF('Settings'!$E$15="POINTS",((R576*Q576)*'Settings'!$B$12)+(S576*'Settings'!$B$2)+(T576*'Settings'!$B$3)+(U576*'Settings'!$B$4)+(V576*'Settings'!$B$5)+(X576*'Settings'!$B$9)+(AA576*'Settings'!$B$6)+(W576*'Settings'!$B$8)+(AB576*'Settings'!$B$7)+(AC576*'Settings'!$B$14)+(AD576*'Settings'!$B$15)+(AE576*'Settings'!$B$16)+(AF576*'Settings'!$B$17)+(AG576*'Settings'!$B$18)+(Y576*'Settings'!$B$10)+(Z576*'Settings'!$B$11),VLOOKUP(B576,'Standard Deviations'!A1:C731,3,FALSE))</f>
        <v>219.157832366634</v>
      </c>
      <c r="J576" s="45">
        <f>IF(D576="G",I576/AJ576,I576/Q576)</f>
        <v>2.68707494319071</v>
      </c>
      <c r="K576" s="44">
        <f>IF('Settings'!$E$18="C/LW/RW",VLOOKUP(B576,'RW'!A1:F132,6,FALSE),VLOOKUP(B576,'F'!A1:F432,6,FALSE))</f>
        <v>-162.470731339722</v>
      </c>
      <c r="L576" s="44">
        <f>_xlfn.IFERROR(K576/H576,"N/A")</f>
        <v>-81.1542114584026</v>
      </c>
      <c r="M576" t="s" s="61">
        <f>IF('Settings'!$E$9="YAHOO",VLOOKUP(B576,'ADP'!A1:E731,2,FALSE),IF('Settings'!$E$9="ESPN",VLOOKUP(B576,'ADP'!A1:E731,3,FALSE),IF('Settings'!$E$9="FANTRAX",VLOOKUP(B576,'ADP'!A1:E731,4,FALSE),VLOOKUP(B576,'ADP'!A1:E731,5,FALSE))))</f>
        <v>329</v>
      </c>
      <c r="N576" t="s" s="61">
        <f>_xlfn.IFERROR(M576-A576,"N/A")</f>
        <v>158</v>
      </c>
      <c r="O576" s="46"/>
      <c r="P576" t="s" s="47">
        <f>IF('Settings'!$E$27="ON",VLOOKUP(B576,'ADP'!A1:H731,8,FALSE)," ")</f>
        <v>109</v>
      </c>
      <c r="Q576" s="48">
        <f>IF('Settings'!$E$12="YES",VLOOKUP(B576,'Player Data'!A1:E734,5,FALSE),82)</f>
        <v>81.56</v>
      </c>
      <c r="R576" s="46">
        <f>VLOOKUP(B576,'Player Data'!$A1:$AE734,6,FALSE)</f>
        <v>11.7869071393692</v>
      </c>
      <c r="S576" s="48">
        <f>VLOOKUP(B576,'Player Data'!$A1:$AE734,7,FALSE)*$Q576*_xlfn.IFERROR((VLOOKUP(P576,'Settings'!$E$28:$F$33,2,FALSE)+1),1)</f>
        <v>10.5477989303727</v>
      </c>
      <c r="T576" s="48">
        <f>VLOOKUP(B576,'Player Data'!$A1:$AE734,8,FALSE)*$Q576*_xlfn.IFERROR((VLOOKUP(P576,'Settings'!$E$28:$F$33,2,FALSE)+1),1)</f>
        <v>10.1056290470152</v>
      </c>
      <c r="U576" s="48">
        <f>SUM(S576:T576)</f>
        <v>20.6534279773879</v>
      </c>
      <c r="V576" s="48">
        <f>VLOOKUP(B576,'Player Data'!$A1:$AE734,10,FALSE)*$Q576*_xlfn.IFERROR(((VLOOKUP(P576,'Settings'!$E$28:$F$33,2,FALSE)/2)+1),1)</f>
        <v>92.4168360109018</v>
      </c>
      <c r="W576" s="48">
        <f>VLOOKUP(B576,'Player Data'!$A1:$AE734,11,FALSE)*$Q576*_xlfn.IFERROR((VLOOKUP(P576,'Settings'!$E$28:$F$33,2,FALSE)+1),1)</f>
        <v>0.009075238044021799</v>
      </c>
      <c r="X576" s="48">
        <f>VLOOKUP(B576,'Player Data'!$A1:$AE734,12,FALSE)*$Q576*_xlfn.IFERROR((VLOOKUP(P576,'Settings'!$E$28:$F$33,2,FALSE)+1),1)</f>
        <v>0.0230506748631653</v>
      </c>
      <c r="Y576" s="48">
        <f>VLOOKUP(B576,'Player Data'!$A1:$AE734,13,FALSE)*$Q576</f>
        <v>0.101610503970046</v>
      </c>
      <c r="Z576" s="48">
        <f>VLOOKUP(B576,'Player Data'!$A1:$AE734,14,FALSE)*$Q576</f>
        <v>1.11435555868144</v>
      </c>
      <c r="AA576" s="48">
        <f>VLOOKUP(B576,'Player Data'!$A1:$AE734,15,FALSE)*$Q576</f>
        <v>69.09056766264359</v>
      </c>
      <c r="AB576" s="48">
        <f>VLOOKUP(B576,'Player Data'!$A1:$AE734,16,FALSE)*$Q576</f>
        <v>233.573748339104</v>
      </c>
      <c r="AC576" s="48">
        <f>VLOOKUP(B576,'Player Data'!$A1:$AE734,17,FALSE)*$Q576*_xlfn.IFERROR((VLOOKUP(P576,'Settings'!$E$28:$F$33,2,FALSE)+1),1)</f>
        <v>-4.5690088349191</v>
      </c>
      <c r="AD576" s="48">
        <f>VLOOKUP(B576,'Player Data'!$A1:$AE734,18,FALSE)*$Q576</f>
        <v>50.5065141055337</v>
      </c>
      <c r="AE576" s="48">
        <f>VLOOKUP(B576,'Player Data'!$A1:$AE734,19,FALSE)*$Q576*_xlfn.IFERROR((VLOOKUP(P576,'Settings'!$E$28:$F$33,2,FALSE)+1),1)</f>
        <v>1.23984780120575</v>
      </c>
      <c r="AF576" s="48">
        <f>VLOOKUP(B576,'Player Data'!$A1:$AE734,20,FALSE)*$Q576</f>
        <v>5.29775432934676</v>
      </c>
      <c r="AG576" s="48">
        <f>VLOOKUP(B576,'Player Data'!$A1:$AE734,21,FALSE)*$Q576</f>
        <v>11.6799166167256</v>
      </c>
      <c r="AH576" s="49">
        <f>VLOOKUP(B576,'Player Data'!$A1:$AE734,22,FALSE)</f>
        <v>0.312042467201449</v>
      </c>
      <c r="AI576" s="46"/>
      <c r="AJ576" s="50"/>
      <c r="AK576" s="48"/>
      <c r="AL576" s="48"/>
      <c r="AM576" s="48"/>
      <c r="AN576" s="48"/>
      <c r="AO576" s="48"/>
      <c r="AP576" s="48"/>
      <c r="AQ576" s="51"/>
      <c r="AR576" s="52"/>
      <c r="AS576" s="46"/>
    </row>
    <row r="577" ht="21.25" customHeight="1">
      <c r="A577" s="53">
        <f>RANK(K577,K2:K730)</f>
        <v>562</v>
      </c>
      <c r="B577" t="s" s="8">
        <v>729</v>
      </c>
      <c r="C577" t="s" s="39">
        <v>106</v>
      </c>
      <c r="D577" t="s" s="40">
        <f>VLOOKUP(B577,'Player Data'!A1:D734,4,FALSE)</f>
        <v>121</v>
      </c>
      <c r="E577" s="55">
        <f>VLOOKUP(B577,'RW'!A1:F132,3,FALSE)</f>
        <v>104</v>
      </c>
      <c r="F577" t="s" s="42">
        <f>VLOOKUP(B577,'Player Data'!A1:B734,2,FALSE)</f>
        <v>131</v>
      </c>
      <c r="G577" s="9">
        <f>VLOOKUP(B577,'Player Data'!A1:D734,3,FALSE)</f>
        <v>28</v>
      </c>
      <c r="H577" s="43">
        <f>_xlfn.IFERROR(VLOOKUP(B577,'ADP'!A1:G731,7,FALSE)/1000000,VLOOKUP(B577,'ADP'!A1:G731,7,FALSE))</f>
        <v>0.775</v>
      </c>
      <c r="I577" s="44">
        <f>IF('Settings'!$E$15="POINTS",((R577*Q577)*'Settings'!$B$12)+(S577*'Settings'!$B$2)+(T577*'Settings'!$B$3)+(U577*'Settings'!$B$4)+(V577*'Settings'!$B$5)+(X577*'Settings'!$B$9)+(AA577*'Settings'!$B$6)+(W577*'Settings'!$B$8)+(AB577*'Settings'!$B$7)+(AC577*'Settings'!$B$14)+(AD577*'Settings'!$B$15)+(AE577*'Settings'!$B$16)+(AF577*'Settings'!$B$17)+(AG577*'Settings'!$B$18)+(Y577*'Settings'!$B$10)+(Z577*'Settings'!$B$11),VLOOKUP(B577,'Standard Deviations'!A1:C731,3,FALSE))</f>
        <v>176.0609481014</v>
      </c>
      <c r="J577" s="45">
        <f>IF(D577="G",I577/AJ577,I577/Q577)</f>
        <v>3.06004788784487</v>
      </c>
      <c r="K577" s="44">
        <f>IF('Settings'!$E$18="C/LW/RW",VLOOKUP(B577,'RW'!A1:F132,6,FALSE),VLOOKUP(B577,'F'!A1:F432,6,FALSE))</f>
        <v>-205.567615604956</v>
      </c>
      <c r="L577" s="44">
        <f>_xlfn.IFERROR(K577/H577,"N/A")</f>
        <v>-265.248536264459</v>
      </c>
      <c r="M577" t="s" s="61">
        <f>IF('Settings'!$E$9="YAHOO",VLOOKUP(B577,'ADP'!A1:E731,2,FALSE),IF('Settings'!$E$9="ESPN",VLOOKUP(B577,'ADP'!A1:E731,3,FALSE),IF('Settings'!$E$9="FANTRAX",VLOOKUP(B577,'ADP'!A1:E731,4,FALSE),VLOOKUP(B577,'ADP'!A1:E731,5,FALSE))))</f>
        <v>329</v>
      </c>
      <c r="N577" t="s" s="61">
        <f>_xlfn.IFERROR(M577-A577,"N/A")</f>
        <v>158</v>
      </c>
      <c r="O577" s="46"/>
      <c r="P577" t="s" s="47">
        <f>IF('Settings'!$E$27="ON",VLOOKUP(B577,'ADP'!A1:H731,8,FALSE)," ")</f>
        <v>109</v>
      </c>
      <c r="Q577" s="48">
        <f>IF('Settings'!$E$12="YES",VLOOKUP(B577,'Player Data'!A1:E734,5,FALSE),82)</f>
        <v>57.5353571428571</v>
      </c>
      <c r="R577" s="46">
        <f>VLOOKUP(B577,'Player Data'!$A1:$AE734,6,FALSE)</f>
        <v>13.2024798979802</v>
      </c>
      <c r="S577" s="48">
        <f>VLOOKUP(B577,'Player Data'!$A1:$AE734,7,FALSE)*$Q577*_xlfn.IFERROR((VLOOKUP(P577,'Settings'!$E$28:$F$33,2,FALSE)+1),1)</f>
        <v>9.844130616187121</v>
      </c>
      <c r="T577" s="48">
        <f>VLOOKUP(B577,'Player Data'!$A1:$AE734,8,FALSE)*$Q577*_xlfn.IFERROR((VLOOKUP(P577,'Settings'!$E$28:$F$33,2,FALSE)+1),1)</f>
        <v>11.7309144755624</v>
      </c>
      <c r="U577" s="48">
        <f>SUM(S577:T577)</f>
        <v>21.5750450917495</v>
      </c>
      <c r="V577" s="48">
        <f>VLOOKUP(B577,'Player Data'!$A1:$AE734,10,FALSE)*$Q577*_xlfn.IFERROR(((VLOOKUP(P577,'Settings'!$E$28:$F$33,2,FALSE)/2)+1),1)</f>
        <v>95.9295909410678</v>
      </c>
      <c r="W577" s="48">
        <f>VLOOKUP(B577,'Player Data'!$A1:$AE734,11,FALSE)*$Q577*_xlfn.IFERROR((VLOOKUP(P577,'Settings'!$E$28:$F$33,2,FALSE)+1),1)</f>
        <v>0.841969171141481</v>
      </c>
      <c r="X577" s="48">
        <f>VLOOKUP(B577,'Player Data'!$A1:$AE734,12,FALSE)*$Q577*_xlfn.IFERROR((VLOOKUP(P577,'Settings'!$E$28:$F$33,2,FALSE)+1),1)</f>
        <v>1.92881824143887</v>
      </c>
      <c r="Y577" s="48">
        <f>VLOOKUP(B577,'Player Data'!$A1:$AE734,13,FALSE)*$Q577</f>
        <v>0.0158914029010229</v>
      </c>
      <c r="Z577" s="48">
        <f>VLOOKUP(B577,'Player Data'!$A1:$AE734,14,FALSE)*$Q577</f>
        <v>0.0293294015205564</v>
      </c>
      <c r="AA577" s="48">
        <f>VLOOKUP(B577,'Player Data'!$A1:$AE734,15,FALSE)*$Q577</f>
        <v>26.627150590773</v>
      </c>
      <c r="AB577" s="48">
        <f>VLOOKUP(B577,'Player Data'!$A1:$AE734,16,FALSE)*$Q577</f>
        <v>140.930349331638</v>
      </c>
      <c r="AC577" s="48">
        <f>VLOOKUP(B577,'Player Data'!$A1:$AE734,17,FALSE)*$Q577*_xlfn.IFERROR((VLOOKUP(P577,'Settings'!$E$28:$F$33,2,FALSE)+1),1)</f>
        <v>-0.325575410625066</v>
      </c>
      <c r="AD577" s="48">
        <f>VLOOKUP(B577,'Player Data'!$A1:$AE734,18,FALSE)*$Q577</f>
        <v>29.3095934317193</v>
      </c>
      <c r="AE577" s="48">
        <f>VLOOKUP(B577,'Player Data'!$A1:$AE734,19,FALSE)*$Q577*_xlfn.IFERROR((VLOOKUP(P577,'Settings'!$E$28:$F$33,2,FALSE)+1),1)</f>
        <v>1.43750053411652</v>
      </c>
      <c r="AF577" s="48">
        <f>VLOOKUP(B577,'Player Data'!$A1:$AE734,20,FALSE)*$Q577</f>
        <v>10.6561850430766</v>
      </c>
      <c r="AG577" s="48">
        <f>VLOOKUP(B577,'Player Data'!$A1:$AE734,21,FALSE)*$Q577</f>
        <v>6.03136137143616</v>
      </c>
      <c r="AH577" s="49">
        <f>VLOOKUP(B577,'Player Data'!$A1:$AE734,22,FALSE)</f>
        <v>0.638571110358633</v>
      </c>
      <c r="AI577" s="46"/>
      <c r="AJ577" s="48"/>
      <c r="AK577" s="48"/>
      <c r="AL577" s="48"/>
      <c r="AM577" s="48"/>
      <c r="AN577" s="48"/>
      <c r="AO577" s="48"/>
      <c r="AP577" s="48"/>
      <c r="AQ577" s="51"/>
      <c r="AR577" s="52"/>
      <c r="AS577" s="46"/>
    </row>
    <row r="578" ht="21.25" customHeight="1">
      <c r="A578" s="53">
        <f>RANK(K578,K2:K730)</f>
        <v>603</v>
      </c>
      <c r="B578" t="s" s="8">
        <v>730</v>
      </c>
      <c r="C578" t="s" s="39">
        <v>106</v>
      </c>
      <c r="D578" t="s" s="40">
        <f>VLOOKUP(B578,'Player Data'!A1:D734,4,FALSE)</f>
        <v>121</v>
      </c>
      <c r="E578" s="55">
        <f>VLOOKUP(B578,'RW'!A1:F132,3,FALSE)</f>
        <v>115</v>
      </c>
      <c r="F578" t="s" s="42">
        <f>VLOOKUP(B578,'Player Data'!A1:B734,2,FALSE)</f>
        <v>149</v>
      </c>
      <c r="G578" s="9">
        <f>VLOOKUP(B578,'Player Data'!A1:D734,3,FALSE)</f>
        <v>28</v>
      </c>
      <c r="H578" s="43">
        <f>_xlfn.IFERROR(VLOOKUP(B578,'ADP'!A1:G731,7,FALSE)/1000000,VLOOKUP(B578,'ADP'!A1:G731,7,FALSE))</f>
        <v>0.775</v>
      </c>
      <c r="I578" s="44">
        <f>IF('Settings'!$E$15="POINTS",((R578*Q578)*'Settings'!$B$12)+(S578*'Settings'!$B$2)+(T578*'Settings'!$B$3)+(U578*'Settings'!$B$4)+(V578*'Settings'!$B$5)+(X578*'Settings'!$B$9)+(AA578*'Settings'!$B$6)+(W578*'Settings'!$B$8)+(AB578*'Settings'!$B$7)+(AC578*'Settings'!$B$14)+(AD578*'Settings'!$B$15)+(AE578*'Settings'!$B$16)+(AF578*'Settings'!$B$17)+(AG578*'Settings'!$B$18)+(Y578*'Settings'!$B$10)+(Z578*'Settings'!$B$11),VLOOKUP(B578,'Standard Deviations'!A1:C731,3,FALSE))</f>
        <v>163.838295987329</v>
      </c>
      <c r="J578" s="45">
        <f>IF(D578="G",I578/AJ578,I578/Q578)</f>
        <v>2.40196886068508</v>
      </c>
      <c r="K578" s="44">
        <f>IF('Settings'!$E$18="C/LW/RW",VLOOKUP(B578,'RW'!A1:F132,6,FALSE),VLOOKUP(B578,'F'!A1:F432,6,FALSE))</f>
        <v>-217.790267719027</v>
      </c>
      <c r="L578" s="44">
        <f>_xlfn.IFERROR(K578/H578,"N/A")</f>
        <v>-281.019700282615</v>
      </c>
      <c r="M578" t="s" s="61">
        <f>IF('Settings'!$E$9="YAHOO",VLOOKUP(B578,'ADP'!A1:E731,2,FALSE),IF('Settings'!$E$9="ESPN",VLOOKUP(B578,'ADP'!A1:E731,3,FALSE),IF('Settings'!$E$9="FANTRAX",VLOOKUP(B578,'ADP'!A1:E731,4,FALSE),VLOOKUP(B578,'ADP'!A1:E731,5,FALSE))))</f>
        <v>329</v>
      </c>
      <c r="N578" t="s" s="61">
        <f>_xlfn.IFERROR(M578-A578,"N/A")</f>
        <v>158</v>
      </c>
      <c r="O578" s="46"/>
      <c r="P578" t="s" s="47">
        <f>IF('Settings'!$E$27="ON",VLOOKUP(B578,'ADP'!A1:H731,8,FALSE)," ")</f>
        <v>109</v>
      </c>
      <c r="Q578" s="48">
        <f>IF('Settings'!$E$12="YES",VLOOKUP(B578,'Player Data'!A1:E734,5,FALSE),82)</f>
        <v>68.20999999999999</v>
      </c>
      <c r="R578" s="46">
        <f>VLOOKUP(B578,'Player Data'!$A1:$AE734,6,FALSE)</f>
        <v>12.5142664512031</v>
      </c>
      <c r="S578" s="48">
        <f>VLOOKUP(B578,'Player Data'!$A1:$AE734,7,FALSE)*$Q578*_xlfn.IFERROR((VLOOKUP(P578,'Settings'!$E$28:$F$33,2,FALSE)+1),1)</f>
        <v>11.5742206117252</v>
      </c>
      <c r="T578" s="48">
        <f>VLOOKUP(B578,'Player Data'!$A1:$AE734,8,FALSE)*$Q578*_xlfn.IFERROR((VLOOKUP(P578,'Settings'!$E$28:$F$33,2,FALSE)+1),1)</f>
        <v>11.8532422885011</v>
      </c>
      <c r="U578" s="48">
        <f>SUM(S578:T578)</f>
        <v>23.4274629002263</v>
      </c>
      <c r="V578" s="48">
        <f>VLOOKUP(B578,'Player Data'!$A1:$AE734,10,FALSE)*$Q578*_xlfn.IFERROR(((VLOOKUP(P578,'Settings'!$E$28:$F$33,2,FALSE)/2)+1),1)</f>
        <v>87.4526091493092</v>
      </c>
      <c r="W578" s="48">
        <f>VLOOKUP(B578,'Player Data'!$A1:$AE734,11,FALSE)*$Q578*_xlfn.IFERROR((VLOOKUP(P578,'Settings'!$E$28:$F$33,2,FALSE)+1),1)</f>
        <v>0.230386095960626</v>
      </c>
      <c r="X578" s="48">
        <f>VLOOKUP(B578,'Player Data'!$A1:$AE734,12,FALSE)*$Q578*_xlfn.IFERROR((VLOOKUP(P578,'Settings'!$E$28:$F$33,2,FALSE)+1),1)</f>
        <v>0.827290724077815</v>
      </c>
      <c r="Y578" s="48">
        <f>VLOOKUP(B578,'Player Data'!$A1:$AE734,13,FALSE)*$Q578</f>
        <v>0.000216973545919628</v>
      </c>
      <c r="Z578" s="48">
        <f>VLOOKUP(B578,'Player Data'!$A1:$AE734,14,FALSE)*$Q578</f>
        <v>0.000399415550426124</v>
      </c>
      <c r="AA578" s="48">
        <f>VLOOKUP(B578,'Player Data'!$A1:$AE734,15,FALSE)*$Q578</f>
        <v>30.8425163270815</v>
      </c>
      <c r="AB578" s="48">
        <f>VLOOKUP(B578,'Player Data'!$A1:$AE734,16,FALSE)*$Q578</f>
        <v>68.1848591990634</v>
      </c>
      <c r="AC578" s="48">
        <f>VLOOKUP(B578,'Player Data'!$A1:$AE734,17,FALSE)*$Q578*_xlfn.IFERROR((VLOOKUP(P578,'Settings'!$E$28:$F$33,2,FALSE)+1),1)</f>
        <v>1.09762199810876</v>
      </c>
      <c r="AD578" s="48">
        <f>VLOOKUP(B578,'Player Data'!$A1:$AE734,18,FALSE)*$Q578</f>
        <v>16.1125695520572</v>
      </c>
      <c r="AE578" s="48">
        <f>VLOOKUP(B578,'Player Data'!$A1:$AE734,19,FALSE)*$Q578*_xlfn.IFERROR((VLOOKUP(P578,'Settings'!$E$28:$F$33,2,FALSE)+1),1)</f>
        <v>1.78847006621664</v>
      </c>
      <c r="AF578" s="48">
        <f>VLOOKUP(B578,'Player Data'!$A1:$AE734,20,FALSE)*$Q578</f>
        <v>3.94173803896879</v>
      </c>
      <c r="AG578" s="48">
        <f>VLOOKUP(B578,'Player Data'!$A1:$AE734,21,FALSE)*$Q578</f>
        <v>9.592129300328949</v>
      </c>
      <c r="AH578" s="49">
        <f>VLOOKUP(B578,'Player Data'!$A1:$AE734,22,FALSE)</f>
        <v>0.291249939145135</v>
      </c>
      <c r="AI578" s="46"/>
      <c r="AJ578" s="50"/>
      <c r="AK578" s="48"/>
      <c r="AL578" s="48"/>
      <c r="AM578" s="48"/>
      <c r="AN578" s="48"/>
      <c r="AO578" s="48"/>
      <c r="AP578" s="48"/>
      <c r="AQ578" s="51"/>
      <c r="AR578" s="52"/>
      <c r="AS578" s="50"/>
    </row>
    <row r="579" ht="21.25" customHeight="1">
      <c r="A579" s="53">
        <f>RANK(K579,K2:K730)</f>
        <v>651</v>
      </c>
      <c r="B579" t="s" s="8">
        <v>731</v>
      </c>
      <c r="C579" t="s" s="39">
        <v>106</v>
      </c>
      <c r="D579" t="s" s="40">
        <f>VLOOKUP(B579,'Player Data'!A1:D734,4,FALSE)</f>
        <v>121</v>
      </c>
      <c r="E579" s="55">
        <f>VLOOKUP(B579,'RW'!A1:F132,3,FALSE)</f>
        <v>122</v>
      </c>
      <c r="F579" t="s" s="42">
        <f>VLOOKUP(B579,'Player Data'!A1:B734,2,FALSE)</f>
        <v>189</v>
      </c>
      <c r="G579" s="9">
        <f>VLOOKUP(B579,'Player Data'!A1:D734,3,FALSE)</f>
        <v>24</v>
      </c>
      <c r="H579" s="43">
        <f>_xlfn.IFERROR(VLOOKUP(B579,'ADP'!A1:G731,7,FALSE)/1000000,VLOOKUP(B579,'ADP'!A1:G731,7,FALSE))</f>
        <v>0.9</v>
      </c>
      <c r="I579" s="44">
        <f>IF('Settings'!$E$15="POINTS",((R579*Q579)*'Settings'!$B$12)+(S579*'Settings'!$B$2)+(T579*'Settings'!$B$3)+(U579*'Settings'!$B$4)+(V579*'Settings'!$B$5)+(X579*'Settings'!$B$9)+(AA579*'Settings'!$B$6)+(W579*'Settings'!$B$8)+(AB579*'Settings'!$B$7)+(AC579*'Settings'!$B$14)+(AD579*'Settings'!$B$15)+(AE579*'Settings'!$B$16)+(AF579*'Settings'!$B$17)+(AG579*'Settings'!$B$18)+(Y579*'Settings'!$B$10)+(Z579*'Settings'!$B$11),VLOOKUP(B579,'Standard Deviations'!A1:C731,3,FALSE))</f>
        <v>148.654965299365</v>
      </c>
      <c r="J579" s="45">
        <f>IF(D579="G",I579/AJ579,I579/Q579)</f>
        <v>2.17618160297709</v>
      </c>
      <c r="K579" s="44">
        <f>IF('Settings'!$E$18="C/LW/RW",VLOOKUP(B579,'RW'!A1:F132,6,FALSE),VLOOKUP(B579,'F'!A1:F432,6,FALSE))</f>
        <v>-232.973598406991</v>
      </c>
      <c r="L579" s="44">
        <f>_xlfn.IFERROR(K579/H579,"N/A")</f>
        <v>-258.859553785546</v>
      </c>
      <c r="M579" t="s" s="61">
        <f>IF('Settings'!$E$9="YAHOO",VLOOKUP(B579,'ADP'!A1:E731,2,FALSE),IF('Settings'!$E$9="ESPN",VLOOKUP(B579,'ADP'!A1:E731,3,FALSE),IF('Settings'!$E$9="FANTRAX",VLOOKUP(B579,'ADP'!A1:E731,4,FALSE),VLOOKUP(B579,'ADP'!A1:E731,5,FALSE))))</f>
        <v>329</v>
      </c>
      <c r="N579" t="s" s="61">
        <f>_xlfn.IFERROR(M579-A579,"N/A")</f>
        <v>158</v>
      </c>
      <c r="O579" s="46"/>
      <c r="P579" t="s" s="47">
        <f>IF('Settings'!$E$27="ON",VLOOKUP(B579,'ADP'!A1:H731,8,FALSE)," ")</f>
        <v>109</v>
      </c>
      <c r="Q579" s="48">
        <f>IF('Settings'!$E$12="YES",VLOOKUP(B579,'Player Data'!A1:E734,5,FALSE),82)</f>
        <v>68.31</v>
      </c>
      <c r="R579" s="46">
        <f>VLOOKUP(B579,'Player Data'!$A1:$AE734,6,FALSE)</f>
        <v>11.274184679878</v>
      </c>
      <c r="S579" s="48">
        <f>VLOOKUP(B579,'Player Data'!$A1:$AE734,7,FALSE)*$Q579*_xlfn.IFERROR((VLOOKUP(P579,'Settings'!$E$28:$F$33,2,FALSE)+1),1)</f>
        <v>8.24953977042202</v>
      </c>
      <c r="T579" s="48">
        <f>VLOOKUP(B579,'Player Data'!$A1:$AE734,8,FALSE)*$Q579*_xlfn.IFERROR((VLOOKUP(P579,'Settings'!$E$28:$F$33,2,FALSE)+1),1)</f>
        <v>13.2154905117915</v>
      </c>
      <c r="U579" s="48">
        <f>SUM(S579:T579)</f>
        <v>21.4650302822135</v>
      </c>
      <c r="V579" s="48">
        <f>VLOOKUP(B579,'Player Data'!$A1:$AE734,10,FALSE)*$Q579*_xlfn.IFERROR(((VLOOKUP(P579,'Settings'!$E$28:$F$33,2,FALSE)/2)+1),1)</f>
        <v>95.8752077229318</v>
      </c>
      <c r="W579" s="48">
        <f>VLOOKUP(B579,'Player Data'!$A1:$AE734,11,FALSE)*$Q579*_xlfn.IFERROR((VLOOKUP(P579,'Settings'!$E$28:$F$33,2,FALSE)+1),1)</f>
        <v>0.914648333562429</v>
      </c>
      <c r="X579" s="48">
        <f>VLOOKUP(B579,'Player Data'!$A1:$AE734,12,FALSE)*$Q579*_xlfn.IFERROR((VLOOKUP(P579,'Settings'!$E$28:$F$33,2,FALSE)+1),1)</f>
        <v>1.86423908330018</v>
      </c>
      <c r="Y579" s="48">
        <f>VLOOKUP(B579,'Player Data'!$A1:$AE734,13,FALSE)*$Q579</f>
        <v>0</v>
      </c>
      <c r="Z579" s="48">
        <f>VLOOKUP(B579,'Player Data'!$A1:$AE734,14,FALSE)*$Q579</f>
        <v>0</v>
      </c>
      <c r="AA579" s="48">
        <f>VLOOKUP(B579,'Player Data'!$A1:$AE734,15,FALSE)*$Q579</f>
        <v>23.7630876635514</v>
      </c>
      <c r="AB579" s="48">
        <f>VLOOKUP(B579,'Player Data'!$A1:$AE734,16,FALSE)*$Q579</f>
        <v>48.2656684153975</v>
      </c>
      <c r="AC579" s="48">
        <f>VLOOKUP(B579,'Player Data'!$A1:$AE734,17,FALSE)*$Q579*_xlfn.IFERROR((VLOOKUP(P579,'Settings'!$E$28:$F$33,2,FALSE)+1),1)</f>
        <v>-4.21157726672748</v>
      </c>
      <c r="AD579" s="48">
        <f>VLOOKUP(B579,'Player Data'!$A1:$AE734,18,FALSE)*$Q579</f>
        <v>10.4918840406278</v>
      </c>
      <c r="AE579" s="48">
        <f>VLOOKUP(B579,'Player Data'!$A1:$AE734,19,FALSE)*$Q579*_xlfn.IFERROR((VLOOKUP(P579,'Settings'!$E$28:$F$33,2,FALSE)+1),1)</f>
        <v>0.883994986026896</v>
      </c>
      <c r="AF579" s="48">
        <f>VLOOKUP(B579,'Player Data'!$A1:$AE734,20,FALSE)*$Q579</f>
        <v>6.55343892731378</v>
      </c>
      <c r="AG579" s="48">
        <f>VLOOKUP(B579,'Player Data'!$A1:$AE734,21,FALSE)*$Q579</f>
        <v>10.440720543614</v>
      </c>
      <c r="AH579" s="49">
        <f>VLOOKUP(B579,'Player Data'!$A1:$AE734,22,FALSE)</f>
        <v>0.385628894357786</v>
      </c>
      <c r="AI579" s="46"/>
      <c r="AJ579" s="48"/>
      <c r="AK579" s="48"/>
      <c r="AL579" s="48"/>
      <c r="AM579" s="48"/>
      <c r="AN579" s="48"/>
      <c r="AO579" s="48"/>
      <c r="AP579" s="48"/>
      <c r="AQ579" s="51"/>
      <c r="AR579" s="52"/>
      <c r="AS579" s="46"/>
    </row>
    <row r="580" ht="21.25" customHeight="1">
      <c r="A580" s="53">
        <f>RANK(K580,K2:K730)</f>
        <v>586</v>
      </c>
      <c r="B580" t="s" s="8">
        <v>732</v>
      </c>
      <c r="C580" t="s" s="39">
        <v>106</v>
      </c>
      <c r="D580" t="s" s="40">
        <f>VLOOKUP(B580,'Player Data'!A1:D734,4,FALSE)</f>
        <v>121</v>
      </c>
      <c r="E580" s="55">
        <f>VLOOKUP(B580,'RW'!A1:F132,3,FALSE)</f>
        <v>111</v>
      </c>
      <c r="F580" t="s" s="42">
        <f>VLOOKUP(B580,'Player Data'!A1:B734,2,FALSE)</f>
        <v>238</v>
      </c>
      <c r="G580" s="9">
        <f>VLOOKUP(B580,'Player Data'!A1:D734,3,FALSE)</f>
        <v>25</v>
      </c>
      <c r="H580" s="43">
        <f>_xlfn.IFERROR(VLOOKUP(B580,'ADP'!A1:G731,7,FALSE)/1000000,VLOOKUP(B580,'ADP'!A1:G731,7,FALSE))</f>
        <v>0</v>
      </c>
      <c r="I580" s="44">
        <f>IF('Settings'!$E$15="POINTS",((R580*Q580)*'Settings'!$B$12)+(S580*'Settings'!$B$2)+(T580*'Settings'!$B$3)+(U580*'Settings'!$B$4)+(V580*'Settings'!$B$5)+(X580*'Settings'!$B$9)+(AA580*'Settings'!$B$6)+(W580*'Settings'!$B$8)+(AB580*'Settings'!$B$7)+(AC580*'Settings'!$B$14)+(AD580*'Settings'!$B$15)+(AE580*'Settings'!$B$16)+(AF580*'Settings'!$B$17)+(AG580*'Settings'!$B$18)+(Y580*'Settings'!$B$10)+(Z580*'Settings'!$B$11),VLOOKUP(B580,'Standard Deviations'!A1:C731,3,FALSE))</f>
        <v>168.989131152527</v>
      </c>
      <c r="J580" s="45">
        <f>IF(D580="G",I580/AJ580,I580/Q580)</f>
        <v>2.85430506127062</v>
      </c>
      <c r="K580" s="44">
        <f>IF('Settings'!$E$18="C/LW/RW",VLOOKUP(B580,'RW'!A1:F132,6,FALSE),VLOOKUP(B580,'F'!A1:F432,6,FALSE))</f>
        <v>-212.639432553829</v>
      </c>
      <c r="L580" t="s" s="60">
        <f>_xlfn.IFERROR(K580/H580,"N/A")</f>
        <v>158</v>
      </c>
      <c r="M580" t="s" s="61">
        <f>IF('Settings'!$E$9="YAHOO",VLOOKUP(B580,'ADP'!A1:E731,2,FALSE),IF('Settings'!$E$9="ESPN",VLOOKUP(B580,'ADP'!A1:E731,3,FALSE),IF('Settings'!$E$9="FANTRAX",VLOOKUP(B580,'ADP'!A1:E731,4,FALSE),VLOOKUP(B580,'ADP'!A1:E731,5,FALSE))))</f>
        <v>329</v>
      </c>
      <c r="N580" t="s" s="61">
        <f>_xlfn.IFERROR(M580-A580,"N/A")</f>
        <v>158</v>
      </c>
      <c r="O580" s="46"/>
      <c r="P580" t="s" s="47">
        <f>IF('Settings'!$E$27="ON",VLOOKUP(B580,'ADP'!A1:H731,8,FALSE)," ")</f>
        <v>109</v>
      </c>
      <c r="Q580" s="48">
        <f>IF('Settings'!$E$12="YES",VLOOKUP(B580,'Player Data'!A1:E734,5,FALSE),82)</f>
        <v>59.205</v>
      </c>
      <c r="R580" s="46">
        <f>VLOOKUP(B580,'Player Data'!$A1:$AE734,6,FALSE)</f>
        <v>11.2952901918503</v>
      </c>
      <c r="S580" s="48">
        <f>VLOOKUP(B580,'Player Data'!$A1:$AE734,7,FALSE)*$Q580*_xlfn.IFERROR((VLOOKUP(P580,'Settings'!$E$28:$F$33,2,FALSE)+1),1)</f>
        <v>12.0208785770653</v>
      </c>
      <c r="T580" s="48">
        <f>VLOOKUP(B580,'Player Data'!$A1:$AE734,8,FALSE)*$Q580*_xlfn.IFERROR((VLOOKUP(P580,'Settings'!$E$28:$F$33,2,FALSE)+1),1)</f>
        <v>10.3466207678123</v>
      </c>
      <c r="U580" s="48">
        <f>SUM(S580:T580)</f>
        <v>22.3674993448776</v>
      </c>
      <c r="V580" s="48">
        <f>VLOOKUP(B580,'Player Data'!$A1:$AE734,10,FALSE)*$Q580*_xlfn.IFERROR(((VLOOKUP(P580,'Settings'!$E$28:$F$33,2,FALSE)/2)+1),1)</f>
        <v>98.56057330689769</v>
      </c>
      <c r="W580" s="48">
        <f>VLOOKUP(B580,'Player Data'!$A1:$AE734,11,FALSE)*$Q580*_xlfn.IFERROR((VLOOKUP(P580,'Settings'!$E$28:$F$33,2,FALSE)+1),1)</f>
        <v>0.142346344676904</v>
      </c>
      <c r="X580" s="48">
        <f>VLOOKUP(B580,'Player Data'!$A1:$AE734,12,FALSE)*$Q580*_xlfn.IFERROR((VLOOKUP(P580,'Settings'!$E$28:$F$33,2,FALSE)+1),1)</f>
        <v>0.360955095117715</v>
      </c>
      <c r="Y580" s="48">
        <f>VLOOKUP(B580,'Player Data'!$A1:$AE734,13,FALSE)*$Q580</f>
        <v>0</v>
      </c>
      <c r="Z580" s="48">
        <f>VLOOKUP(B580,'Player Data'!$A1:$AE734,14,FALSE)*$Q580</f>
        <v>0</v>
      </c>
      <c r="AA580" s="48">
        <f>VLOOKUP(B580,'Player Data'!$A1:$AE734,15,FALSE)*$Q580</f>
        <v>15.8257057346297</v>
      </c>
      <c r="AB580" s="48">
        <f>VLOOKUP(B580,'Player Data'!$A1:$AE734,16,FALSE)*$Q580</f>
        <v>106.648702926129</v>
      </c>
      <c r="AC580" s="48">
        <f>VLOOKUP(B580,'Player Data'!$A1:$AE734,17,FALSE)*$Q580*_xlfn.IFERROR((VLOOKUP(P580,'Settings'!$E$28:$F$33,2,FALSE)+1),1)</f>
        <v>1.39382966711732</v>
      </c>
      <c r="AD580" s="48">
        <f>VLOOKUP(B580,'Player Data'!$A1:$AE734,18,FALSE)*$Q580</f>
        <v>14.4027955021391</v>
      </c>
      <c r="AE580" s="48">
        <f>VLOOKUP(B580,'Player Data'!$A1:$AE734,19,FALSE)*$Q580*_xlfn.IFERROR((VLOOKUP(P580,'Settings'!$E$28:$F$33,2,FALSE)+1),1)</f>
        <v>2.00866777441893</v>
      </c>
      <c r="AF580" s="48">
        <f>VLOOKUP(B580,'Player Data'!$A1:$AE734,20,FALSE)*$Q580</f>
        <v>2.35108123327175</v>
      </c>
      <c r="AG580" s="48">
        <f>VLOOKUP(B580,'Player Data'!$A1:$AE734,21,FALSE)*$Q580</f>
        <v>14.5418378067571</v>
      </c>
      <c r="AH580" s="49">
        <f>VLOOKUP(B580,'Player Data'!$A1:$AE734,22,FALSE)</f>
        <v>0.139175546138634</v>
      </c>
      <c r="AI580" s="46"/>
      <c r="AJ580" s="50"/>
      <c r="AK580" s="48"/>
      <c r="AL580" s="48"/>
      <c r="AM580" s="48"/>
      <c r="AN580" s="48"/>
      <c r="AO580" s="48"/>
      <c r="AP580" s="48"/>
      <c r="AQ580" s="51"/>
      <c r="AR580" s="52"/>
      <c r="AS580" s="50"/>
    </row>
    <row r="581" ht="21.25" customHeight="1">
      <c r="A581" s="53">
        <f>RANK(K581,K2:K730)</f>
        <v>592</v>
      </c>
      <c r="B581" t="s" s="8">
        <v>733</v>
      </c>
      <c r="C581" t="s" s="39">
        <v>106</v>
      </c>
      <c r="D581" t="s" s="40">
        <f>VLOOKUP(B581,'Player Data'!A1:D734,4,FALSE)</f>
        <v>107</v>
      </c>
      <c r="E581" s="41">
        <f>VLOOKUP(B581,'C'!A1:C218,3,FALSE)</f>
        <v>155</v>
      </c>
      <c r="F581" t="s" s="42">
        <f>VLOOKUP(B581,'Player Data'!A1:B734,2,FALSE)</f>
        <v>170</v>
      </c>
      <c r="G581" s="9">
        <f>VLOOKUP(B581,'Player Data'!A1:D734,3,FALSE)</f>
        <v>34</v>
      </c>
      <c r="H581" s="43">
        <f>_xlfn.IFERROR(VLOOKUP(B581,'ADP'!A1:G731,7,FALSE)/1000000,VLOOKUP(B581,'ADP'!A1:G731,7,FALSE))</f>
        <v>2.45</v>
      </c>
      <c r="I581" s="44">
        <f>IF('Settings'!$E$15="POINTS",((R581*Q581)*'Settings'!$B$12)+(S581*'Settings'!$B$2)+(T581*'Settings'!$B$3)+(U581*'Settings'!$B$4)+(V581*'Settings'!$B$5)+(X581*'Settings'!$B$9)+(AA581*'Settings'!$B$6)+(W581*'Settings'!$B$8)+(AB581*'Settings'!$B$7)+(AC581*'Settings'!$B$14)+(AD581*'Settings'!$B$15)+(AE581*'Settings'!$B$16)+(AF581*'Settings'!$B$17)+(AG581*'Settings'!$B$18)+(Y581*'Settings'!$B$10)+(Z581*'Settings'!$B$11),VLOOKUP(B581,'Standard Deviations'!A1:C731,3,FALSE))</f>
        <v>181.240560789650</v>
      </c>
      <c r="J581" s="45">
        <f>IF(D581="G",I581/AJ581,I581/Q581)</f>
        <v>2.28686469262496</v>
      </c>
      <c r="K581" s="44">
        <f>IF('Settings'!$E$18="C/LW/RW",VLOOKUP(B581,'C'!A1:F218,6,FALSE),VLOOKUP(B581,'F'!A1:F432,6,FALSE))</f>
        <v>-214.533640846365</v>
      </c>
      <c r="L581" s="44">
        <f>_xlfn.IFERROR(K581/H581,"N/A")</f>
        <v>-87.5647513658633</v>
      </c>
      <c r="M581" s="46">
        <f>IF('Settings'!$E$9="YAHOO",VLOOKUP(B581,'ADP'!A1:E731,2,FALSE),IF('Settings'!$E$9="ESPN",VLOOKUP(B581,'ADP'!A1:E731,3,FALSE),IF('Settings'!$E$9="FANTRAX",VLOOKUP(B581,'ADP'!A1:E731,4,FALSE),VLOOKUP(B581,'ADP'!A1:E731,5,FALSE))))</f>
        <v>455.5</v>
      </c>
      <c r="N581" s="46">
        <f>_xlfn.IFERROR(M581-A581,"N/A")</f>
        <v>-136.5</v>
      </c>
      <c r="O581" s="46"/>
      <c r="P581" t="s" s="47">
        <f>IF('Settings'!$E$27="ON",VLOOKUP(B581,'ADP'!A1:H731,8,FALSE)," ")</f>
        <v>109</v>
      </c>
      <c r="Q581" s="48">
        <f>IF('Settings'!$E$12="YES",VLOOKUP(B581,'Player Data'!A1:E734,5,FALSE),82)</f>
        <v>79.2528571428571</v>
      </c>
      <c r="R581" s="46">
        <f>VLOOKUP(B581,'Player Data'!$A1:$AE734,6,FALSE)</f>
        <v>14.0217364908505</v>
      </c>
      <c r="S581" s="48">
        <f>VLOOKUP(B581,'Player Data'!$A1:$AE734,7,FALSE)*$Q581*_xlfn.IFERROR((VLOOKUP(P581,'Settings'!$E$28:$F$33,2,FALSE)+1),1)</f>
        <v>9.248908667641571</v>
      </c>
      <c r="T581" s="48">
        <f>VLOOKUP(B581,'Player Data'!$A1:$AE734,8,FALSE)*$Q581*_xlfn.IFERROR((VLOOKUP(P581,'Settings'!$E$28:$F$33,2,FALSE)+1),1)</f>
        <v>12.4960328509718</v>
      </c>
      <c r="U581" s="48">
        <f>SUM(S581:T581)</f>
        <v>21.7449415186134</v>
      </c>
      <c r="V581" s="48">
        <f>VLOOKUP(B581,'Player Data'!$A1:$AE734,10,FALSE)*$Q581*_xlfn.IFERROR(((VLOOKUP(P581,'Settings'!$E$28:$F$33,2,FALSE)/2)+1),1)</f>
        <v>119.478543305777</v>
      </c>
      <c r="W581" s="48">
        <f>VLOOKUP(B581,'Player Data'!$A1:$AE734,11,FALSE)*$Q581*_xlfn.IFERROR((VLOOKUP(P581,'Settings'!$E$28:$F$33,2,FALSE)+1),1)</f>
        <v>0.0267799142586182</v>
      </c>
      <c r="X581" s="48">
        <f>VLOOKUP(B581,'Player Data'!$A1:$AE734,12,FALSE)*$Q581*_xlfn.IFERROR((VLOOKUP(P581,'Settings'!$E$28:$F$33,2,FALSE)+1),1)</f>
        <v>0.141590849586387</v>
      </c>
      <c r="Y581" s="48">
        <f>VLOOKUP(B581,'Player Data'!$A1:$AE734,13,FALSE)*$Q581</f>
        <v>0.569469830896131</v>
      </c>
      <c r="Z581" s="48">
        <f>VLOOKUP(B581,'Player Data'!$A1:$AE734,14,FALSE)*$Q581</f>
        <v>0.670530819328045</v>
      </c>
      <c r="AA581" s="48">
        <f>VLOOKUP(B581,'Player Data'!$A1:$AE734,15,FALSE)*$Q581</f>
        <v>38.1058237932168</v>
      </c>
      <c r="AB581" s="48">
        <f>VLOOKUP(B581,'Player Data'!$A1:$AE734,16,FALSE)*$Q581</f>
        <v>87.99651217677631</v>
      </c>
      <c r="AC581" s="48">
        <f>VLOOKUP(B581,'Player Data'!$A1:$AE734,17,FALSE)*$Q581*_xlfn.IFERROR((VLOOKUP(P581,'Settings'!$E$28:$F$33,2,FALSE)+1),1)</f>
        <v>1.38296745229952</v>
      </c>
      <c r="AD581" s="48">
        <f>VLOOKUP(B581,'Player Data'!$A1:$AE734,18,FALSE)*$Q581</f>
        <v>36.7847593334498</v>
      </c>
      <c r="AE581" s="48">
        <f>VLOOKUP(B581,'Player Data'!$A1:$AE734,19,FALSE)*$Q581*_xlfn.IFERROR((VLOOKUP(P581,'Settings'!$E$28:$F$33,2,FALSE)+1),1)</f>
        <v>1.48463503602548</v>
      </c>
      <c r="AF581" s="48">
        <f>VLOOKUP(B581,'Player Data'!$A1:$AE734,20,FALSE)*$Q581</f>
        <v>482.395710579427</v>
      </c>
      <c r="AG581" s="48">
        <f>VLOOKUP(B581,'Player Data'!$A1:$AE734,21,FALSE)*$Q581</f>
        <v>452.506842366826</v>
      </c>
      <c r="AH581" s="49">
        <f>VLOOKUP(B581,'Player Data'!$A1:$AE734,22,FALSE)</f>
        <v>0.515985017967065</v>
      </c>
      <c r="AI581" s="46"/>
      <c r="AJ581" s="50"/>
      <c r="AK581" s="48"/>
      <c r="AL581" s="48"/>
      <c r="AM581" s="48"/>
      <c r="AN581" s="48"/>
      <c r="AO581" s="48"/>
      <c r="AP581" s="48"/>
      <c r="AQ581" s="51"/>
      <c r="AR581" s="52"/>
      <c r="AS581" s="46"/>
    </row>
    <row r="582" ht="21.25" customHeight="1">
      <c r="A582" s="53">
        <f>RANK(K582,K2:K730)</f>
        <v>629</v>
      </c>
      <c r="B582" t="s" s="8">
        <v>734</v>
      </c>
      <c r="C582" t="s" s="39">
        <v>106</v>
      </c>
      <c r="D582" t="s" s="40">
        <f>VLOOKUP(B582,'Player Data'!A1:D734,4,FALSE)</f>
        <v>107</v>
      </c>
      <c r="E582" s="41">
        <f>VLOOKUP(B582,'C'!A1:C218,3,FALSE)</f>
        <v>166</v>
      </c>
      <c r="F582" t="s" s="42">
        <f>VLOOKUP(B582,'Player Data'!A1:B734,2,FALSE)</f>
        <v>108</v>
      </c>
      <c r="G582" s="9">
        <f>VLOOKUP(B582,'Player Data'!A1:D734,3,FALSE)</f>
        <v>30</v>
      </c>
      <c r="H582" s="43">
        <f>_xlfn.IFERROR(VLOOKUP(B582,'ADP'!A1:G731,7,FALSE)/1000000,VLOOKUP(B582,'ADP'!A1:G731,7,FALSE))</f>
        <v>1</v>
      </c>
      <c r="I582" s="44">
        <f>IF('Settings'!$E$15="POINTS",((R582*Q582)*'Settings'!$B$12)+(S582*'Settings'!$B$2)+(T582*'Settings'!$B$3)+(U582*'Settings'!$B$4)+(V582*'Settings'!$B$5)+(X582*'Settings'!$B$9)+(AA582*'Settings'!$B$6)+(W582*'Settings'!$B$8)+(AB582*'Settings'!$B$7)+(AC582*'Settings'!$B$14)+(AD582*'Settings'!$B$15)+(AE582*'Settings'!$B$16)+(AF582*'Settings'!$B$17)+(AG582*'Settings'!$B$18)+(Y582*'Settings'!$B$10)+(Z582*'Settings'!$B$11),VLOOKUP(B582,'Standard Deviations'!A1:C731,3,FALSE))</f>
        <v>170.821154700408</v>
      </c>
      <c r="J582" s="45">
        <f>IF(D582="G",I582/AJ582,I582/Q582)</f>
        <v>2.21478920878296</v>
      </c>
      <c r="K582" s="44">
        <f>IF('Settings'!$E$18="C/LW/RW",VLOOKUP(B582,'C'!A1:F218,6,FALSE),VLOOKUP(B582,'F'!A1:F432,6,FALSE))</f>
        <v>-224.953046935607</v>
      </c>
      <c r="L582" s="44">
        <f>_xlfn.IFERROR(K582/H582,"N/A")</f>
        <v>-224.953046935607</v>
      </c>
      <c r="M582" t="s" s="61">
        <f>IF('Settings'!$E$9="YAHOO",VLOOKUP(B582,'ADP'!A1:E731,2,FALSE),IF('Settings'!$E$9="ESPN",VLOOKUP(B582,'ADP'!A1:E731,3,FALSE),IF('Settings'!$E$9="FANTRAX",VLOOKUP(B582,'ADP'!A1:E731,4,FALSE),VLOOKUP(B582,'ADP'!A1:E731,5,FALSE))))</f>
        <v>329</v>
      </c>
      <c r="N582" t="s" s="61">
        <f>_xlfn.IFERROR(M582-A582,"N/A")</f>
        <v>158</v>
      </c>
      <c r="O582" s="46"/>
      <c r="P582" t="s" s="47">
        <f>IF('Settings'!$E$27="ON",VLOOKUP(B582,'ADP'!A1:H731,8,FALSE)," ")</f>
        <v>109</v>
      </c>
      <c r="Q582" s="48">
        <f>IF('Settings'!$E$12="YES",VLOOKUP(B582,'Player Data'!A1:E734,5,FALSE),82)</f>
        <v>77.1275</v>
      </c>
      <c r="R582" s="46">
        <f>VLOOKUP(B582,'Player Data'!$A1:$AE734,6,FALSE)</f>
        <v>13.8719586680853</v>
      </c>
      <c r="S582" s="48">
        <f>VLOOKUP(B582,'Player Data'!$A1:$AE734,7,FALSE)*$Q582*_xlfn.IFERROR((VLOOKUP(P582,'Settings'!$E$28:$F$33,2,FALSE)+1),1)</f>
        <v>10.2017505181057</v>
      </c>
      <c r="T582" s="48">
        <f>VLOOKUP(B582,'Player Data'!$A1:$AE734,8,FALSE)*$Q582*_xlfn.IFERROR((VLOOKUP(P582,'Settings'!$E$28:$F$33,2,FALSE)+1),1)</f>
        <v>16.118165776395</v>
      </c>
      <c r="U582" s="48">
        <f>SUM(S582:T582)</f>
        <v>26.3199162945007</v>
      </c>
      <c r="V582" s="48">
        <f>VLOOKUP(B582,'Player Data'!$A1:$AE734,10,FALSE)*$Q582*_xlfn.IFERROR(((VLOOKUP(P582,'Settings'!$E$28:$F$33,2,FALSE)/2)+1),1)</f>
        <v>95.0731649829378</v>
      </c>
      <c r="W582" s="48">
        <f>VLOOKUP(B582,'Player Data'!$A1:$AE734,11,FALSE)*$Q582*_xlfn.IFERROR((VLOOKUP(P582,'Settings'!$E$28:$F$33,2,FALSE)+1),1)</f>
        <v>0.0695786702400002</v>
      </c>
      <c r="X582" s="48">
        <f>VLOOKUP(B582,'Player Data'!$A1:$AE734,12,FALSE)*$Q582*_xlfn.IFERROR((VLOOKUP(P582,'Settings'!$E$28:$F$33,2,FALSE)+1),1)</f>
        <v>0.148176571311489</v>
      </c>
      <c r="Y582" s="48">
        <f>VLOOKUP(B582,'Player Data'!$A1:$AE734,13,FALSE)*$Q582</f>
        <v>2.08884736275624</v>
      </c>
      <c r="Z582" s="48">
        <f>VLOOKUP(B582,'Player Data'!$A1:$AE734,14,FALSE)*$Q582</f>
        <v>3.01053160181205</v>
      </c>
      <c r="AA582" s="48">
        <f>VLOOKUP(B582,'Player Data'!$A1:$AE734,15,FALSE)*$Q582</f>
        <v>30.2800750916994</v>
      </c>
      <c r="AB582" s="48">
        <f>VLOOKUP(B582,'Player Data'!$A1:$AE734,16,FALSE)*$Q582</f>
        <v>31.4443871952194</v>
      </c>
      <c r="AC582" s="48">
        <f>VLOOKUP(B582,'Player Data'!$A1:$AE734,17,FALSE)*$Q582*_xlfn.IFERROR((VLOOKUP(P582,'Settings'!$E$28:$F$33,2,FALSE)+1),1)</f>
        <v>3.84243181956835</v>
      </c>
      <c r="AD582" s="48">
        <f>VLOOKUP(B582,'Player Data'!$A1:$AE734,18,FALSE)*$Q582</f>
        <v>25.064291720403</v>
      </c>
      <c r="AE582" s="48">
        <f>VLOOKUP(B582,'Player Data'!$A1:$AE734,19,FALSE)*$Q582*_xlfn.IFERROR((VLOOKUP(P582,'Settings'!$E$28:$F$33,2,FALSE)+1),1)</f>
        <v>1.61482758486924</v>
      </c>
      <c r="AF582" s="48">
        <f>VLOOKUP(B582,'Player Data'!$A1:$AE734,20,FALSE)*$Q582</f>
        <v>24.5279079982182</v>
      </c>
      <c r="AG582" s="48">
        <f>VLOOKUP(B582,'Player Data'!$A1:$AE734,21,FALSE)*$Q582</f>
        <v>36.6630269441265</v>
      </c>
      <c r="AH582" s="49">
        <f>VLOOKUP(B582,'Player Data'!$A1:$AE734,22,FALSE)</f>
        <v>0.400842183917093</v>
      </c>
      <c r="AI582" s="46"/>
      <c r="AJ582" s="50"/>
      <c r="AK582" s="48"/>
      <c r="AL582" s="48"/>
      <c r="AM582" s="48"/>
      <c r="AN582" s="48"/>
      <c r="AO582" s="48"/>
      <c r="AP582" s="48"/>
      <c r="AQ582" s="51"/>
      <c r="AR582" s="52"/>
      <c r="AS582" s="46"/>
    </row>
    <row r="583" ht="21.25" customHeight="1">
      <c r="A583" s="53">
        <f>RANK(K583,K2:K730)</f>
        <v>589</v>
      </c>
      <c r="B583" t="s" s="8">
        <v>735</v>
      </c>
      <c r="C583" t="s" s="39">
        <v>106</v>
      </c>
      <c r="D583" t="s" s="40">
        <f>VLOOKUP(B583,'Player Data'!A1:D734,4,FALSE)</f>
        <v>133</v>
      </c>
      <c r="E583" s="57">
        <f>VLOOKUP(B583,'LW'!A1:C156,3,FALSE)</f>
        <v>126</v>
      </c>
      <c r="F583" t="s" s="42">
        <f>VLOOKUP(B583,'Player Data'!A1:B734,2,FALSE)</f>
        <v>292</v>
      </c>
      <c r="G583" s="9">
        <f>VLOOKUP(B583,'Player Data'!A1:D734,3,FALSE)</f>
        <v>28</v>
      </c>
      <c r="H583" s="43">
        <f>_xlfn.IFERROR(VLOOKUP(B583,'ADP'!A1:G731,7,FALSE)/1000000,VLOOKUP(B583,'ADP'!A1:G731,7,FALSE))</f>
        <v>1.853</v>
      </c>
      <c r="I583" s="44">
        <f>IF('Settings'!$E$15="POINTS",((R583*Q583)*'Settings'!$B$12)+(S583*'Settings'!$B$2)+(T583*'Settings'!$B$3)+(U583*'Settings'!$B$4)+(V583*'Settings'!$B$5)+(X583*'Settings'!$B$9)+(AA583*'Settings'!$B$6)+(W583*'Settings'!$B$8)+(AB583*'Settings'!$B$7)+(AC583*'Settings'!$B$14)+(AD583*'Settings'!$B$15)+(AE583*'Settings'!$B$16)+(AF583*'Settings'!$B$17)+(AG583*'Settings'!$B$18)+(Y583*'Settings'!$B$10)+(Z583*'Settings'!$B$11),VLOOKUP(B583,'Standard Deviations'!A1:C731,3,FALSE))</f>
        <v>168.882071379367</v>
      </c>
      <c r="J583" s="45">
        <f>IF(D583="G",I583/AJ583,I583/Q583)</f>
        <v>2.21386174705507</v>
      </c>
      <c r="K583" s="44">
        <f>IF('Settings'!$E$18="C/LW/RW",VLOOKUP(B583,'LW'!A1:F156,6,FALSE),VLOOKUP(B583,'F'!A1:F432,6,FALSE))</f>
        <v>-212.746492326989</v>
      </c>
      <c r="L583" s="44">
        <f>_xlfn.IFERROR(K583/H583,"N/A")</f>
        <v>-114.811922464646</v>
      </c>
      <c r="M583" t="s" s="61">
        <f>IF('Settings'!$E$9="YAHOO",VLOOKUP(B583,'ADP'!A1:E731,2,FALSE),IF('Settings'!$E$9="ESPN",VLOOKUP(B583,'ADP'!A1:E731,3,FALSE),IF('Settings'!$E$9="FANTRAX",VLOOKUP(B583,'ADP'!A1:E731,4,FALSE),VLOOKUP(B583,'ADP'!A1:E731,5,FALSE))))</f>
        <v>329</v>
      </c>
      <c r="N583" t="s" s="61">
        <f>_xlfn.IFERROR(M583-A583,"N/A")</f>
        <v>158</v>
      </c>
      <c r="O583" s="46"/>
      <c r="P583" t="s" s="47">
        <f>IF('Settings'!$E$27="ON",VLOOKUP(B583,'ADP'!A1:H731,8,FALSE)," ")</f>
        <v>109</v>
      </c>
      <c r="Q583" s="48">
        <f>IF('Settings'!$E$12="YES",VLOOKUP(B583,'Player Data'!A1:E734,5,FALSE),82)</f>
        <v>76.2839285714286</v>
      </c>
      <c r="R583" s="46">
        <f>VLOOKUP(B583,'Player Data'!$A1:$AE734,6,FALSE)</f>
        <v>10.2182777321764</v>
      </c>
      <c r="S583" s="48">
        <f>VLOOKUP(B583,'Player Data'!$A1:$AE734,7,FALSE)*$Q583*_xlfn.IFERROR((VLOOKUP(P583,'Settings'!$E$28:$F$33,2,FALSE)+1),1)</f>
        <v>9.72695002417805</v>
      </c>
      <c r="T583" s="48">
        <f>VLOOKUP(B583,'Player Data'!$A1:$AE734,8,FALSE)*$Q583*_xlfn.IFERROR((VLOOKUP(P583,'Settings'!$E$28:$F$33,2,FALSE)+1),1)</f>
        <v>12.7030426512207</v>
      </c>
      <c r="U583" s="48">
        <f>SUM(S583:T583)</f>
        <v>22.4299926753988</v>
      </c>
      <c r="V583" s="48">
        <f>VLOOKUP(B583,'Player Data'!$A1:$AE734,10,FALSE)*$Q583*_xlfn.IFERROR(((VLOOKUP(P583,'Settings'!$E$28:$F$33,2,FALSE)/2)+1),1)</f>
        <v>102.698921197539</v>
      </c>
      <c r="W583" s="48">
        <f>VLOOKUP(B583,'Player Data'!$A1:$AE734,11,FALSE)*$Q583*_xlfn.IFERROR((VLOOKUP(P583,'Settings'!$E$28:$F$33,2,FALSE)+1),1)</f>
        <v>0.437986794708535</v>
      </c>
      <c r="X583" s="48">
        <f>VLOOKUP(B583,'Player Data'!$A1:$AE734,12,FALSE)*$Q583*_xlfn.IFERROR((VLOOKUP(P583,'Settings'!$E$28:$F$33,2,FALSE)+1),1)</f>
        <v>0.779393154699437</v>
      </c>
      <c r="Y583" s="48">
        <f>VLOOKUP(B583,'Player Data'!$A1:$AE734,13,FALSE)*$Q583</f>
        <v>0</v>
      </c>
      <c r="Z583" s="48">
        <f>VLOOKUP(B583,'Player Data'!$A1:$AE734,14,FALSE)*$Q583</f>
        <v>0</v>
      </c>
      <c r="AA583" s="48">
        <f>VLOOKUP(B583,'Player Data'!$A1:$AE734,15,FALSE)*$Q583</f>
        <v>30.0975709993708</v>
      </c>
      <c r="AB583" s="48">
        <f>VLOOKUP(B583,'Player Data'!$A1:$AE734,16,FALSE)*$Q583</f>
        <v>82.413688873794</v>
      </c>
      <c r="AC583" s="48">
        <f>VLOOKUP(B583,'Player Data'!$A1:$AE734,17,FALSE)*$Q583*_xlfn.IFERROR((VLOOKUP(P583,'Settings'!$E$28:$F$33,2,FALSE)+1),1)</f>
        <v>0.426555802790956</v>
      </c>
      <c r="AD583" s="48">
        <f>VLOOKUP(B583,'Player Data'!$A1:$AE734,18,FALSE)*$Q583</f>
        <v>12.6147030781875</v>
      </c>
      <c r="AE583" s="48">
        <f>VLOOKUP(B583,'Player Data'!$A1:$AE734,19,FALSE)*$Q583*_xlfn.IFERROR((VLOOKUP(P583,'Settings'!$E$28:$F$33,2,FALSE)+1),1)</f>
        <v>0</v>
      </c>
      <c r="AF583" s="48">
        <f>VLOOKUP(B583,'Player Data'!$A1:$AE734,20,FALSE)*$Q583</f>
        <v>0.978091264607382</v>
      </c>
      <c r="AG583" s="48">
        <f>VLOOKUP(B583,'Player Data'!$A1:$AE734,21,FALSE)*$Q583</f>
        <v>4.52575041492303</v>
      </c>
      <c r="AH583" s="49">
        <f>VLOOKUP(B583,'Player Data'!$A1:$AE734,22,FALSE)</f>
        <v>0.177710646773335</v>
      </c>
      <c r="AI583" s="46"/>
      <c r="AJ583" s="50"/>
      <c r="AK583" s="48"/>
      <c r="AL583" s="48"/>
      <c r="AM583" s="48"/>
      <c r="AN583" s="48"/>
      <c r="AO583" s="48"/>
      <c r="AP583" s="48"/>
      <c r="AQ583" s="51"/>
      <c r="AR583" s="52"/>
      <c r="AS583" s="46"/>
    </row>
    <row r="584" ht="21.25" customHeight="1">
      <c r="A584" s="53">
        <f>RANK(K584,K2:K730)</f>
        <v>609</v>
      </c>
      <c r="B584" t="s" s="8">
        <v>736</v>
      </c>
      <c r="C584" t="s" s="39">
        <v>106</v>
      </c>
      <c r="D584" t="s" s="40">
        <f>VLOOKUP(B584,'Player Data'!A1:D734,4,FALSE)</f>
        <v>107</v>
      </c>
      <c r="E584" s="41">
        <f>VLOOKUP(B584,'C'!A1:C218,3,FALSE)</f>
        <v>160</v>
      </c>
      <c r="F584" t="s" s="42">
        <f>VLOOKUP(B584,'Player Data'!A1:B734,2,FALSE)</f>
        <v>119</v>
      </c>
      <c r="G584" s="9">
        <f>VLOOKUP(B584,'Player Data'!A1:D734,3,FALSE)</f>
        <v>30</v>
      </c>
      <c r="H584" s="43">
        <f>_xlfn.IFERROR(VLOOKUP(B584,'ADP'!A1:G731,7,FALSE)/1000000,VLOOKUP(B584,'ADP'!A1:G731,7,FALSE))</f>
        <v>1.1</v>
      </c>
      <c r="I584" s="44">
        <f>IF('Settings'!$E$15="POINTS",((R584*Q584)*'Settings'!$B$12)+(S584*'Settings'!$B$2)+(T584*'Settings'!$B$3)+(U584*'Settings'!$B$4)+(V584*'Settings'!$B$5)+(X584*'Settings'!$B$9)+(AA584*'Settings'!$B$6)+(W584*'Settings'!$B$8)+(AB584*'Settings'!$B$7)+(AC584*'Settings'!$B$14)+(AD584*'Settings'!$B$15)+(AE584*'Settings'!$B$16)+(AF584*'Settings'!$B$17)+(AG584*'Settings'!$B$18)+(Y584*'Settings'!$B$10)+(Z584*'Settings'!$B$11),VLOOKUP(B584,'Standard Deviations'!A1:C731,3,FALSE))</f>
        <v>176.440582237669</v>
      </c>
      <c r="J584" s="45">
        <f>IF(D584="G",I584/AJ584,I584/Q584)</f>
        <v>2.23379873787873</v>
      </c>
      <c r="K584" s="44">
        <f>IF('Settings'!$E$18="C/LW/RW",VLOOKUP(B584,'C'!A1:F218,6,FALSE),VLOOKUP(B584,'F'!A1:F432,6,FALSE))</f>
        <v>-219.333619398346</v>
      </c>
      <c r="L584" s="44">
        <f>_xlfn.IFERROR(K584/H584,"N/A")</f>
        <v>-199.394199453042</v>
      </c>
      <c r="M584" t="s" s="61">
        <f>IF('Settings'!$E$9="YAHOO",VLOOKUP(B584,'ADP'!A1:E731,2,FALSE),IF('Settings'!$E$9="ESPN",VLOOKUP(B584,'ADP'!A1:E731,3,FALSE),IF('Settings'!$E$9="FANTRAX",VLOOKUP(B584,'ADP'!A1:E731,4,FALSE),VLOOKUP(B584,'ADP'!A1:E731,5,FALSE))))</f>
        <v>329</v>
      </c>
      <c r="N584" t="s" s="61">
        <f>_xlfn.IFERROR(M584-A584,"N/A")</f>
        <v>158</v>
      </c>
      <c r="O584" s="46"/>
      <c r="P584" t="s" s="47">
        <f>IF('Settings'!$E$27="ON",VLOOKUP(B584,'ADP'!A1:H731,8,FALSE)," ")</f>
        <v>109</v>
      </c>
      <c r="Q584" s="48">
        <f>IF('Settings'!$E$12="YES",VLOOKUP(B584,'Player Data'!A1:E734,5,FALSE),82)</f>
        <v>78.9867857142857</v>
      </c>
      <c r="R584" s="46">
        <f>VLOOKUP(B584,'Player Data'!$A1:$AE734,6,FALSE)</f>
        <v>11.3859451406717</v>
      </c>
      <c r="S584" s="48">
        <f>VLOOKUP(B584,'Player Data'!$A1:$AE734,7,FALSE)*$Q584*_xlfn.IFERROR((VLOOKUP(P584,'Settings'!$E$28:$F$33,2,FALSE)+1),1)</f>
        <v>8.149505452774489</v>
      </c>
      <c r="T584" s="48">
        <f>VLOOKUP(B584,'Player Data'!$A1:$AE734,8,FALSE)*$Q584*_xlfn.IFERROR((VLOOKUP(P584,'Settings'!$E$28:$F$33,2,FALSE)+1),1)</f>
        <v>15.9327804870089</v>
      </c>
      <c r="U584" s="48">
        <f>SUM(S584:T584)</f>
        <v>24.0822859397834</v>
      </c>
      <c r="V584" s="48">
        <f>VLOOKUP(B584,'Player Data'!$A1:$AE734,10,FALSE)*$Q584*_xlfn.IFERROR(((VLOOKUP(P584,'Settings'!$E$28:$F$33,2,FALSE)/2)+1),1)</f>
        <v>103.884399855489</v>
      </c>
      <c r="W584" s="48">
        <f>VLOOKUP(B584,'Player Data'!$A1:$AE734,11,FALSE)*$Q584*_xlfn.IFERROR((VLOOKUP(P584,'Settings'!$E$28:$F$33,2,FALSE)+1),1)</f>
        <v>0.0621718247128225</v>
      </c>
      <c r="X584" s="48">
        <f>VLOOKUP(B584,'Player Data'!$A1:$AE734,12,FALSE)*$Q584*_xlfn.IFERROR((VLOOKUP(P584,'Settings'!$E$28:$F$33,2,FALSE)+1),1)</f>
        <v>0.138328070665284</v>
      </c>
      <c r="Y584" s="48">
        <f>VLOOKUP(B584,'Player Data'!$A1:$AE734,13,FALSE)*$Q584</f>
        <v>0.0118117677130079</v>
      </c>
      <c r="Z584" s="48">
        <f>VLOOKUP(B584,'Player Data'!$A1:$AE734,14,FALSE)*$Q584</f>
        <v>0.0222092117654368</v>
      </c>
      <c r="AA584" s="48">
        <f>VLOOKUP(B584,'Player Data'!$A1:$AE734,15,FALSE)*$Q584</f>
        <v>35.5911189493032</v>
      </c>
      <c r="AB584" s="48">
        <f>VLOOKUP(B584,'Player Data'!$A1:$AE734,16,FALSE)*$Q584</f>
        <v>88.7491536529223</v>
      </c>
      <c r="AC584" s="48">
        <f>VLOOKUP(B584,'Player Data'!$A1:$AE734,17,FALSE)*$Q584*_xlfn.IFERROR((VLOOKUP(P584,'Settings'!$E$28:$F$33,2,FALSE)+1),1)</f>
        <v>2.04490922114805</v>
      </c>
      <c r="AD584" s="48">
        <f>VLOOKUP(B584,'Player Data'!$A1:$AE734,18,FALSE)*$Q584</f>
        <v>34.0297535005139</v>
      </c>
      <c r="AE584" s="48">
        <f>VLOOKUP(B584,'Player Data'!$A1:$AE734,19,FALSE)*$Q584*_xlfn.IFERROR((VLOOKUP(P584,'Settings'!$E$28:$F$33,2,FALSE)+1),1)</f>
        <v>1.16906514608195</v>
      </c>
      <c r="AF584" s="48">
        <f>VLOOKUP(B584,'Player Data'!$A1:$AE734,20,FALSE)*$Q584</f>
        <v>60.0966710787325</v>
      </c>
      <c r="AG584" s="48">
        <f>VLOOKUP(B584,'Player Data'!$A1:$AE734,21,FALSE)*$Q584</f>
        <v>62.0961839993446</v>
      </c>
      <c r="AH584" s="49">
        <f>VLOOKUP(B584,'Player Data'!$A1:$AE734,22,FALSE)</f>
        <v>0.491818208522362</v>
      </c>
      <c r="AI584" s="46"/>
      <c r="AJ584" s="50"/>
      <c r="AK584" s="48"/>
      <c r="AL584" s="48"/>
      <c r="AM584" s="48"/>
      <c r="AN584" s="48"/>
      <c r="AO584" s="48"/>
      <c r="AP584" s="48"/>
      <c r="AQ584" s="51"/>
      <c r="AR584" s="52"/>
      <c r="AS584" s="46"/>
    </row>
    <row r="585" ht="21.25" customHeight="1">
      <c r="A585" s="53">
        <f>RANK(K585,K2:K730)</f>
        <v>333</v>
      </c>
      <c r="B585" t="s" s="8">
        <v>737</v>
      </c>
      <c r="C585" t="s" s="39">
        <v>106</v>
      </c>
      <c r="D585" t="s" s="40">
        <f>VLOOKUP(B585,'Player Data'!A1:D734,4,FALSE)</f>
        <v>146</v>
      </c>
      <c r="E585" s="58">
        <f>VLOOKUP(B585,'G'!A1:D75,3,FALSE)</f>
        <v>44</v>
      </c>
      <c r="F585" t="s" s="42">
        <f>VLOOKUP(B585,'Player Data'!A1:B734,2,FALSE)</f>
        <v>115</v>
      </c>
      <c r="G585" s="9">
        <f>VLOOKUP(B585,'Player Data'!A1:D734,3,FALSE)</f>
        <v>25</v>
      </c>
      <c r="H585" s="43">
        <f>_xlfn.IFERROR(VLOOKUP(B585,'ADP'!A1:G731,7,FALSE)/1000000,VLOOKUP(B585,'ADP'!A1:G731,7,FALSE))</f>
        <v>0</v>
      </c>
      <c r="I585" s="44">
        <f>IF('Settings'!$E$15="POINTS",(AJ585*'Settings'!$B$29)+(AK585*'Settings'!$B$21)+(AL585*'Settings'!$B$22)+(AN585*'Settings'!$B$24)+(AO585*'Settings'!$B$25)+(AP585*'Settings'!$B$27)+(AM585*'Settings'!$B$23),VLOOKUP(B585,'Standard Deviations'!A1:C731,3,FALSE))</f>
        <v>140.588108898553</v>
      </c>
      <c r="J585" s="45">
        <f>IF(D585="G",I585/AJ585,I585/Q585)</f>
        <v>5.85783787077304</v>
      </c>
      <c r="K585" s="44">
        <f>VLOOKUP(B585,'G'!A1:F75,6,FALSE)</f>
        <v>-124.715112601135</v>
      </c>
      <c r="L585" t="s" s="60">
        <f>_xlfn.IFERROR(K585/H585,"N/A")</f>
        <v>158</v>
      </c>
      <c r="M585" s="46">
        <f>IF('Settings'!$E$9="YAHOO",VLOOKUP(B585,'ADP'!A1:E731,2,FALSE),IF('Settings'!$E$9="ESPN",VLOOKUP(B585,'ADP'!A1:E731,3,FALSE),IF('Settings'!$E$9="FANTRAX",VLOOKUP(B585,'ADP'!A1:E731,4,FALSE),VLOOKUP(B585,'ADP'!A1:E731,5,FALSE))))</f>
        <v>315.78</v>
      </c>
      <c r="N585" s="46">
        <f>_xlfn.IFERROR(M585-A585,"N/A")</f>
        <v>-17.22</v>
      </c>
      <c r="O585" s="46"/>
      <c r="P585" t="s" s="47">
        <f>IF('Settings'!$E$27="ON",VLOOKUP(B585,'ADP'!A1:H731,8,FALSE)," ")</f>
        <v>109</v>
      </c>
      <c r="Q585" s="48"/>
      <c r="R585" s="59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9"/>
      <c r="AI585" s="46"/>
      <c r="AJ585" s="50">
        <f>VLOOKUP(B585,'Player Data'!$A1:$AE734,24,FALSE)</f>
        <v>24</v>
      </c>
      <c r="AK585" s="48">
        <f>VLOOKUP(B585,'Player Data'!$A1:$AE734,25,FALSE)*$AJ585*_xlfn.IFERROR((VLOOKUP(P585,'Settings'!$E$28:$F$33,2,FALSE)+1),1)</f>
        <v>13.6992665712942</v>
      </c>
      <c r="AL585" s="48">
        <f>AJ585-AK585-AM585</f>
        <v>7.3007334287058</v>
      </c>
      <c r="AM585" s="48">
        <f>VLOOKUP(B585,'Player Data'!$A1:$AE734,27,FALSE)*$AJ585</f>
        <v>3</v>
      </c>
      <c r="AN585" s="48">
        <f>VLOOKUP(B585,'Player Data'!$A1:$AE734,28,FALSE)*AJ585</f>
        <v>1.02538314716676</v>
      </c>
      <c r="AO585" s="48">
        <f>VLOOKUP(B585,'Player Data'!$A1:$AE734,29,FALSE)*$AJ585*_xlfn.IFERROR((VLOOKUP(P585,'Settings'!$E$28:$F$33,2,FALSE)/4)+1,1)</f>
        <v>679.614619704540</v>
      </c>
      <c r="AP585" s="48">
        <f>VLOOKUP(B585,'Player Data'!$A1:$AE734,31,FALSE)*$AJ585*(_xlfn.IFERROR(1-(VLOOKUP(P585,'Settings'!$E$28:$F$33,2,FALSE)/4),1))</f>
        <v>71.6468174454612</v>
      </c>
      <c r="AQ585" s="51">
        <f>1-(AP585/(AO585+AP585))</f>
        <v>0.904631312213679</v>
      </c>
      <c r="AR585" s="52">
        <f>AP585/AJ585</f>
        <v>2.98528406022755</v>
      </c>
      <c r="AS585" s="46"/>
    </row>
    <row r="586" ht="21.25" customHeight="1">
      <c r="A586" s="53">
        <f>RANK(K586,K2:K730)</f>
        <v>550</v>
      </c>
      <c r="B586" t="s" s="8">
        <v>738</v>
      </c>
      <c r="C586" t="s" s="39">
        <v>106</v>
      </c>
      <c r="D586" t="s" s="40">
        <f>VLOOKUP(B586,'Player Data'!A1:D734,4,FALSE)</f>
        <v>107</v>
      </c>
      <c r="E586" s="41">
        <f>VLOOKUP(B586,'C'!A1:C218,3,FALSE)</f>
        <v>148</v>
      </c>
      <c r="F586" t="s" s="42">
        <f>VLOOKUP(B586,'Player Data'!A1:B734,2,FALSE)</f>
        <v>115</v>
      </c>
      <c r="G586" s="9">
        <f>VLOOKUP(B586,'Player Data'!A1:D734,3,FALSE)</f>
        <v>28</v>
      </c>
      <c r="H586" s="43">
        <f>_xlfn.IFERROR(VLOOKUP(B586,'ADP'!A1:G731,7,FALSE)/1000000,VLOOKUP(B586,'ADP'!A1:G731,7,FALSE))</f>
        <v>1.15</v>
      </c>
      <c r="I586" s="44">
        <f>IF('Settings'!$E$15="POINTS",((R586*Q586)*'Settings'!$B$12)+(S586*'Settings'!$B$2)+(T586*'Settings'!$B$3)+(U586*'Settings'!$B$4)+(V586*'Settings'!$B$5)+(X586*'Settings'!$B$9)+(AA586*'Settings'!$B$6)+(W586*'Settings'!$B$8)+(AB586*'Settings'!$B$7)+(AC586*'Settings'!$B$14)+(AD586*'Settings'!$B$15)+(AE586*'Settings'!$B$16)+(AF586*'Settings'!$B$17)+(AG586*'Settings'!$B$18)+(Y586*'Settings'!$B$10)+(Z586*'Settings'!$B$11),VLOOKUP(B586,'Standard Deviations'!A1:C731,3,FALSE))</f>
        <v>195.433075328662</v>
      </c>
      <c r="J586" s="45">
        <f>IF(D586="G",I586/AJ586,I586/Q586)</f>
        <v>2.67337247017565</v>
      </c>
      <c r="K586" s="44">
        <f>IF('Settings'!$E$18="C/LW/RW",VLOOKUP(B586,'C'!A1:F218,6,FALSE),VLOOKUP(B586,'F'!A1:F432,6,FALSE))</f>
        <v>-200.341126307353</v>
      </c>
      <c r="L586" s="44">
        <f>_xlfn.IFERROR(K586/H586,"N/A")</f>
        <v>-174.209675049872</v>
      </c>
      <c r="M586" t="s" s="61">
        <f>IF('Settings'!$E$9="YAHOO",VLOOKUP(B586,'ADP'!A1:E731,2,FALSE),IF('Settings'!$E$9="ESPN",VLOOKUP(B586,'ADP'!A1:E731,3,FALSE),IF('Settings'!$E$9="FANTRAX",VLOOKUP(B586,'ADP'!A1:E731,4,FALSE),VLOOKUP(B586,'ADP'!A1:E731,5,FALSE))))</f>
        <v>329</v>
      </c>
      <c r="N586" t="s" s="61">
        <f>_xlfn.IFERROR(M586-A586,"N/A")</f>
        <v>158</v>
      </c>
      <c r="O586" s="46"/>
      <c r="P586" t="s" s="47">
        <f>IF('Settings'!$E$27="ON",VLOOKUP(B586,'ADP'!A1:H731,8,FALSE)," ")</f>
        <v>109</v>
      </c>
      <c r="Q586" s="48">
        <f>IF('Settings'!$E$12="YES",VLOOKUP(B586,'Player Data'!A1:E734,5,FALSE),82)</f>
        <v>73.1035714285714</v>
      </c>
      <c r="R586" s="46">
        <f>VLOOKUP(B586,'Player Data'!$A1:$AE734,6,FALSE)</f>
        <v>13.7581917839745</v>
      </c>
      <c r="S586" s="48">
        <f>VLOOKUP(B586,'Player Data'!$A1:$AE734,7,FALSE)*$Q586*_xlfn.IFERROR((VLOOKUP(P586,'Settings'!$E$28:$F$33,2,FALSE)+1),1)</f>
        <v>9.88018686868925</v>
      </c>
      <c r="T586" s="48">
        <f>VLOOKUP(B586,'Player Data'!$A1:$AE734,8,FALSE)*$Q586*_xlfn.IFERROR((VLOOKUP(P586,'Settings'!$E$28:$F$33,2,FALSE)+1),1)</f>
        <v>13.9862352557896</v>
      </c>
      <c r="U586" s="48">
        <f>SUM(S586:T586)</f>
        <v>23.8664221244789</v>
      </c>
      <c r="V586" s="48">
        <f>VLOOKUP(B586,'Player Data'!$A1:$AE734,10,FALSE)*$Q586*_xlfn.IFERROR(((VLOOKUP(P586,'Settings'!$E$28:$F$33,2,FALSE)/2)+1),1)</f>
        <v>103.242023160064</v>
      </c>
      <c r="W586" s="48">
        <f>VLOOKUP(B586,'Player Data'!$A1:$AE734,11,FALSE)*$Q586*_xlfn.IFERROR((VLOOKUP(P586,'Settings'!$E$28:$F$33,2,FALSE)+1),1)</f>
        <v>0.162187998343934</v>
      </c>
      <c r="X586" s="48">
        <f>VLOOKUP(B586,'Player Data'!$A1:$AE734,12,FALSE)*$Q586*_xlfn.IFERROR((VLOOKUP(P586,'Settings'!$E$28:$F$33,2,FALSE)+1),1)</f>
        <v>0.414681082564148</v>
      </c>
      <c r="Y586" s="48">
        <f>VLOOKUP(B586,'Player Data'!$A1:$AE734,13,FALSE)*$Q586</f>
        <v>2.55174383083564</v>
      </c>
      <c r="Z586" s="48">
        <f>VLOOKUP(B586,'Player Data'!$A1:$AE734,14,FALSE)*$Q586</f>
        <v>3.31358309061911</v>
      </c>
      <c r="AA586" s="48">
        <f>VLOOKUP(B586,'Player Data'!$A1:$AE734,15,FALSE)*$Q586</f>
        <v>34.7540402390286</v>
      </c>
      <c r="AB586" s="48">
        <f>VLOOKUP(B586,'Player Data'!$A1:$AE734,16,FALSE)*$Q586</f>
        <v>133.553323085629</v>
      </c>
      <c r="AC586" s="48">
        <f>VLOOKUP(B586,'Player Data'!$A1:$AE734,17,FALSE)*$Q586*_xlfn.IFERROR((VLOOKUP(P586,'Settings'!$E$28:$F$33,2,FALSE)+1),1)</f>
        <v>1.91623785831521</v>
      </c>
      <c r="AD586" s="48">
        <f>VLOOKUP(B586,'Player Data'!$A1:$AE734,18,FALSE)*$Q586</f>
        <v>38.7563361990036</v>
      </c>
      <c r="AE586" s="48">
        <f>VLOOKUP(B586,'Player Data'!$A1:$AE734,19,FALSE)*$Q586*_xlfn.IFERROR((VLOOKUP(P586,'Settings'!$E$28:$F$33,2,FALSE)+1),1)</f>
        <v>1.58724939434107</v>
      </c>
      <c r="AF586" s="48">
        <f>VLOOKUP(B586,'Player Data'!$A1:$AE734,20,FALSE)*$Q586</f>
        <v>216.273912075262</v>
      </c>
      <c r="AG586" s="48">
        <f>VLOOKUP(B586,'Player Data'!$A1:$AE734,21,FALSE)*$Q586</f>
        <v>235.880678008667</v>
      </c>
      <c r="AH586" s="49">
        <f>VLOOKUP(B586,'Player Data'!$A1:$AE734,22,FALSE)</f>
        <v>0.478318514990896</v>
      </c>
      <c r="AI586" s="46"/>
      <c r="AJ586" s="50"/>
      <c r="AK586" s="48"/>
      <c r="AL586" s="48"/>
      <c r="AM586" s="48"/>
      <c r="AN586" s="48"/>
      <c r="AO586" s="48"/>
      <c r="AP586" s="48"/>
      <c r="AQ586" s="51"/>
      <c r="AR586" s="52"/>
      <c r="AS586" s="46"/>
    </row>
    <row r="587" ht="21.25" customHeight="1">
      <c r="A587" s="53">
        <f>RANK(K587,K2:K730)</f>
        <v>666</v>
      </c>
      <c r="B587" t="s" s="8">
        <v>739</v>
      </c>
      <c r="C587" t="s" s="39">
        <v>106</v>
      </c>
      <c r="D587" t="s" s="40">
        <f>VLOOKUP(B587,'Player Data'!A1:D734,4,FALSE)</f>
        <v>107</v>
      </c>
      <c r="E587" s="41">
        <f>VLOOKUP(B587,'C'!A1:C218,3,FALSE)</f>
        <v>179</v>
      </c>
      <c r="F587" t="s" s="42">
        <f>VLOOKUP(B587,'Player Data'!A1:B734,2,FALSE)</f>
        <v>238</v>
      </c>
      <c r="G587" s="9">
        <f>VLOOKUP(B587,'Player Data'!A1:D734,3,FALSE)</f>
        <v>24</v>
      </c>
      <c r="H587" s="43">
        <f>_xlfn.IFERROR(VLOOKUP(B587,'ADP'!A1:G731,7,FALSE)/1000000,VLOOKUP(B587,'ADP'!A1:G731,7,FALSE))</f>
        <v>0.7652</v>
      </c>
      <c r="I587" s="44">
        <f>IF('Settings'!$E$15="POINTS",((R587*Q587)*'Settings'!$B$12)+(S587*'Settings'!$B$2)+(T587*'Settings'!$B$3)+(U587*'Settings'!$B$4)+(V587*'Settings'!$B$5)+(X587*'Settings'!$B$9)+(AA587*'Settings'!$B$6)+(W587*'Settings'!$B$8)+(AB587*'Settings'!$B$7)+(AC587*'Settings'!$B$14)+(AD587*'Settings'!$B$15)+(AE587*'Settings'!$B$16)+(AF587*'Settings'!$B$17)+(AG587*'Settings'!$B$18)+(Y587*'Settings'!$B$10)+(Z587*'Settings'!$B$11),VLOOKUP(B587,'Standard Deviations'!A1:C731,3,FALSE))</f>
        <v>155.418355686176</v>
      </c>
      <c r="J587" s="45">
        <f>IF(D587="G",I587/AJ587,I587/Q587)</f>
        <v>2.58602666968524</v>
      </c>
      <c r="K587" s="44">
        <f>IF('Settings'!$E$18="C/LW/RW",VLOOKUP(B587,'C'!A1:F218,6,FALSE),VLOOKUP(B587,'F'!A1:F432,6,FALSE))</f>
        <v>-240.355845949839</v>
      </c>
      <c r="L587" s="44">
        <f>_xlfn.IFERROR(K587/H587,"N/A")</f>
        <v>-314.108528423731</v>
      </c>
      <c r="M587" t="s" s="61">
        <f>IF('Settings'!$E$9="YAHOO",VLOOKUP(B587,'ADP'!A1:E731,2,FALSE),IF('Settings'!$E$9="ESPN",VLOOKUP(B587,'ADP'!A1:E731,3,FALSE),IF('Settings'!$E$9="FANTRAX",VLOOKUP(B587,'ADP'!A1:E731,4,FALSE),VLOOKUP(B587,'ADP'!A1:E731,5,FALSE))))</f>
        <v>329</v>
      </c>
      <c r="N587" t="s" s="61">
        <f>_xlfn.IFERROR(M587-A587,"N/A")</f>
        <v>158</v>
      </c>
      <c r="O587" s="46"/>
      <c r="P587" t="s" s="47">
        <f>IF('Settings'!$E$27="ON",VLOOKUP(B587,'ADP'!A1:H731,8,FALSE)," ")</f>
        <v>109</v>
      </c>
      <c r="Q587" s="48">
        <f>IF('Settings'!$E$12="YES",VLOOKUP(B587,'Player Data'!A1:E734,5,FALSE),82)</f>
        <v>60.0992857142857</v>
      </c>
      <c r="R587" s="46">
        <f>VLOOKUP(B587,'Player Data'!$A1:$AE734,6,FALSE)</f>
        <v>12.123398372696</v>
      </c>
      <c r="S587" s="48">
        <f>VLOOKUP(B587,'Player Data'!$A1:$AE734,7,FALSE)*$Q587*_xlfn.IFERROR((VLOOKUP(P587,'Settings'!$E$28:$F$33,2,FALSE)+1),1)</f>
        <v>9.48476833643744</v>
      </c>
      <c r="T587" s="48">
        <f>VLOOKUP(B587,'Player Data'!$A1:$AE734,8,FALSE)*$Q587*_xlfn.IFERROR((VLOOKUP(P587,'Settings'!$E$28:$F$33,2,FALSE)+1),1)</f>
        <v>15.9070881033228</v>
      </c>
      <c r="U587" s="48">
        <f>SUM(S587:T587)</f>
        <v>25.3918564397602</v>
      </c>
      <c r="V587" s="48">
        <f>VLOOKUP(B587,'Player Data'!$A1:$AE734,10,FALSE)*$Q587*_xlfn.IFERROR(((VLOOKUP(P587,'Settings'!$E$28:$F$33,2,FALSE)/2)+1),1)</f>
        <v>87.239212894758</v>
      </c>
      <c r="W587" s="48">
        <f>VLOOKUP(B587,'Player Data'!$A1:$AE734,11,FALSE)*$Q587*_xlfn.IFERROR((VLOOKUP(P587,'Settings'!$E$28:$F$33,2,FALSE)+1),1)</f>
        <v>1.39755032546394</v>
      </c>
      <c r="X587" s="48">
        <f>VLOOKUP(B587,'Player Data'!$A1:$AE734,12,FALSE)*$Q587*_xlfn.IFERROR((VLOOKUP(P587,'Settings'!$E$28:$F$33,2,FALSE)+1),1)</f>
        <v>3.96112998836417</v>
      </c>
      <c r="Y587" s="48">
        <f>VLOOKUP(B587,'Player Data'!$A1:$AE734,13,FALSE)*$Q587</f>
        <v>0.00538551481753678</v>
      </c>
      <c r="Z587" s="48">
        <f>VLOOKUP(B587,'Player Data'!$A1:$AE734,14,FALSE)*$Q587</f>
        <v>0.00975295990939107</v>
      </c>
      <c r="AA587" s="48">
        <f>VLOOKUP(B587,'Player Data'!$A1:$AE734,15,FALSE)*$Q587</f>
        <v>16.1817179410477</v>
      </c>
      <c r="AB587" s="48">
        <f>VLOOKUP(B587,'Player Data'!$A1:$AE734,16,FALSE)*$Q587</f>
        <v>53.1426500980685</v>
      </c>
      <c r="AC587" s="48">
        <f>VLOOKUP(B587,'Player Data'!$A1:$AE734,17,FALSE)*$Q587*_xlfn.IFERROR((VLOOKUP(P587,'Settings'!$E$28:$F$33,2,FALSE)+1),1)</f>
        <v>1.93871925364459</v>
      </c>
      <c r="AD587" s="48">
        <f>VLOOKUP(B587,'Player Data'!$A1:$AE734,18,FALSE)*$Q587</f>
        <v>17.0010765337681</v>
      </c>
      <c r="AE587" s="48">
        <f>VLOOKUP(B587,'Player Data'!$A1:$AE734,19,FALSE)*$Q587*_xlfn.IFERROR((VLOOKUP(P587,'Settings'!$E$28:$F$33,2,FALSE)+1),1)</f>
        <v>1.58488819124917</v>
      </c>
      <c r="AF587" s="48">
        <f>VLOOKUP(B587,'Player Data'!$A1:$AE734,20,FALSE)*$Q587</f>
        <v>134.964204764583</v>
      </c>
      <c r="AG587" s="48">
        <f>VLOOKUP(B587,'Player Data'!$A1:$AE734,21,FALSE)*$Q587</f>
        <v>150.692258310870</v>
      </c>
      <c r="AH587" s="49">
        <f>VLOOKUP(B587,'Player Data'!$A1:$AE734,22,FALSE)</f>
        <v>0.472470334861402</v>
      </c>
      <c r="AI587" s="46"/>
      <c r="AJ587" s="50"/>
      <c r="AK587" s="48"/>
      <c r="AL587" s="48"/>
      <c r="AM587" s="48"/>
      <c r="AN587" s="48"/>
      <c r="AO587" s="48"/>
      <c r="AP587" s="48"/>
      <c r="AQ587" s="51"/>
      <c r="AR587" s="52"/>
      <c r="AS587" s="46"/>
    </row>
    <row r="588" ht="21.25" customHeight="1">
      <c r="A588" s="53">
        <f>RANK(K588,K2:K730)</f>
        <v>622</v>
      </c>
      <c r="B588" t="s" s="8">
        <v>740</v>
      </c>
      <c r="C588" t="s" s="39">
        <v>106</v>
      </c>
      <c r="D588" t="s" s="40">
        <f>VLOOKUP(B588,'Player Data'!A1:D734,4,FALSE)</f>
        <v>107</v>
      </c>
      <c r="E588" s="41">
        <f>VLOOKUP(B588,'C'!A1:C218,3,FALSE)</f>
        <v>164</v>
      </c>
      <c r="F588" t="s" s="42">
        <f>VLOOKUP(B588,'Player Data'!A1:B734,2,FALSE)</f>
        <v>218</v>
      </c>
      <c r="G588" s="9">
        <f>VLOOKUP(B588,'Player Data'!A1:D734,3,FALSE)</f>
        <v>27</v>
      </c>
      <c r="H588" s="43">
        <f>_xlfn.IFERROR(VLOOKUP(B588,'ADP'!A1:G731,7,FALSE)/1000000,VLOOKUP(B588,'ADP'!A1:G731,7,FALSE))</f>
        <v>0.7625</v>
      </c>
      <c r="I588" s="44">
        <f>IF('Settings'!$E$15="POINTS",((R588*Q588)*'Settings'!$B$12)+(S588*'Settings'!$B$2)+(T588*'Settings'!$B$3)+(U588*'Settings'!$B$4)+(V588*'Settings'!$B$5)+(X588*'Settings'!$B$9)+(AA588*'Settings'!$B$6)+(W588*'Settings'!$B$8)+(AB588*'Settings'!$B$7)+(AC588*'Settings'!$B$14)+(AD588*'Settings'!$B$15)+(AE588*'Settings'!$B$16)+(AF588*'Settings'!$B$17)+(AG588*'Settings'!$B$18)+(Y588*'Settings'!$B$10)+(Z588*'Settings'!$B$11),VLOOKUP(B588,'Standard Deviations'!A1:C731,3,FALSE))</f>
        <v>172.075896153492</v>
      </c>
      <c r="J588" s="45">
        <f>IF(D588="G",I588/AJ588,I588/Q588)</f>
        <v>2.41499134991292</v>
      </c>
      <c r="K588" s="44">
        <f>IF('Settings'!$E$18="C/LW/RW",VLOOKUP(B588,'C'!A1:F218,6,FALSE),VLOOKUP(B588,'F'!A1:F432,6,FALSE))</f>
        <v>-223.698305482523</v>
      </c>
      <c r="L588" s="44">
        <f>_xlfn.IFERROR(K588/H588,"N/A")</f>
        <v>-293.374826862325</v>
      </c>
      <c r="M588" t="s" s="61">
        <f>IF('Settings'!$E$9="YAHOO",VLOOKUP(B588,'ADP'!A1:E731,2,FALSE),IF('Settings'!$E$9="ESPN",VLOOKUP(B588,'ADP'!A1:E731,3,FALSE),IF('Settings'!$E$9="FANTRAX",VLOOKUP(B588,'ADP'!A1:E731,4,FALSE),VLOOKUP(B588,'ADP'!A1:E731,5,FALSE))))</f>
        <v>329</v>
      </c>
      <c r="N588" t="s" s="61">
        <f>_xlfn.IFERROR(M588-A588,"N/A")</f>
        <v>158</v>
      </c>
      <c r="O588" s="46"/>
      <c r="P588" t="s" s="47">
        <f>IF('Settings'!$E$27="ON",VLOOKUP(B588,'ADP'!A1:H731,8,FALSE)," ")</f>
        <v>109</v>
      </c>
      <c r="Q588" s="48">
        <f>IF('Settings'!$E$12="YES",VLOOKUP(B588,'Player Data'!A1:E734,5,FALSE),82)</f>
        <v>71.25321428571429</v>
      </c>
      <c r="R588" s="46">
        <f>VLOOKUP(B588,'Player Data'!$A1:$AE734,6,FALSE)</f>
        <v>12.1030655044139</v>
      </c>
      <c r="S588" s="48">
        <f>VLOOKUP(B588,'Player Data'!$A1:$AE734,7,FALSE)*$Q588*_xlfn.IFERROR((VLOOKUP(P588,'Settings'!$E$28:$F$33,2,FALSE)+1),1)</f>
        <v>13.4532195866308</v>
      </c>
      <c r="T588" s="48">
        <f>VLOOKUP(B588,'Player Data'!$A1:$AE734,8,FALSE)*$Q588*_xlfn.IFERROR((VLOOKUP(P588,'Settings'!$E$28:$F$33,2,FALSE)+1),1)</f>
        <v>11.2049818290542</v>
      </c>
      <c r="U588" s="48">
        <f>SUM(S588:T588)</f>
        <v>24.658201415685</v>
      </c>
      <c r="V588" s="48">
        <f>VLOOKUP(B588,'Player Data'!$A1:$AE734,10,FALSE)*$Q588*_xlfn.IFERROR(((VLOOKUP(P588,'Settings'!$E$28:$F$33,2,FALSE)/2)+1),1)</f>
        <v>97.02540896611229</v>
      </c>
      <c r="W588" s="48">
        <f>VLOOKUP(B588,'Player Data'!$A1:$AE734,11,FALSE)*$Q588*_xlfn.IFERROR((VLOOKUP(P588,'Settings'!$E$28:$F$33,2,FALSE)+1),1)</f>
        <v>0.5948008294150821</v>
      </c>
      <c r="X588" s="48">
        <f>VLOOKUP(B588,'Player Data'!$A1:$AE734,12,FALSE)*$Q588*_xlfn.IFERROR((VLOOKUP(P588,'Settings'!$E$28:$F$33,2,FALSE)+1),1)</f>
        <v>1.45781231864022</v>
      </c>
      <c r="Y588" s="48">
        <f>VLOOKUP(B588,'Player Data'!$A1:$AE734,13,FALSE)*$Q588</f>
        <v>0</v>
      </c>
      <c r="Z588" s="48">
        <f>VLOOKUP(B588,'Player Data'!$A1:$AE734,14,FALSE)*$Q588</f>
        <v>0</v>
      </c>
      <c r="AA588" s="48">
        <f>VLOOKUP(B588,'Player Data'!$A1:$AE734,15,FALSE)*$Q588</f>
        <v>27.5046688996271</v>
      </c>
      <c r="AB588" s="48">
        <f>VLOOKUP(B588,'Player Data'!$A1:$AE734,16,FALSE)*$Q588</f>
        <v>62.6256943744859</v>
      </c>
      <c r="AC588" s="48">
        <f>VLOOKUP(B588,'Player Data'!$A1:$AE734,17,FALSE)*$Q588*_xlfn.IFERROR((VLOOKUP(P588,'Settings'!$E$28:$F$33,2,FALSE)+1),1)</f>
        <v>4.12925471416361</v>
      </c>
      <c r="AD588" s="48">
        <f>VLOOKUP(B588,'Player Data'!$A1:$AE734,18,FALSE)*$Q588</f>
        <v>16.5056980265393</v>
      </c>
      <c r="AE588" s="48">
        <f>VLOOKUP(B588,'Player Data'!$A1:$AE734,19,FALSE)*$Q588*_xlfn.IFERROR((VLOOKUP(P588,'Settings'!$E$28:$F$33,2,FALSE)+1),1)</f>
        <v>2.19862314829507</v>
      </c>
      <c r="AF588" s="48">
        <f>VLOOKUP(B588,'Player Data'!$A1:$AE734,20,FALSE)*$Q588</f>
        <v>45.7659075761648</v>
      </c>
      <c r="AG588" s="48">
        <f>VLOOKUP(B588,'Player Data'!$A1:$AE734,21,FALSE)*$Q588</f>
        <v>52.4817957440596</v>
      </c>
      <c r="AH588" s="49">
        <f>VLOOKUP(B588,'Player Data'!$A1:$AE734,22,FALSE)</f>
        <v>0.465821653122998</v>
      </c>
      <c r="AI588" s="46"/>
      <c r="AJ588" s="50"/>
      <c r="AK588" s="48"/>
      <c r="AL588" s="48"/>
      <c r="AM588" s="48"/>
      <c r="AN588" s="48"/>
      <c r="AO588" s="48"/>
      <c r="AP588" s="48"/>
      <c r="AQ588" s="51"/>
      <c r="AR588" s="52"/>
      <c r="AS588" s="46"/>
    </row>
    <row r="589" ht="21.25" customHeight="1">
      <c r="A589" s="53">
        <f>RANK(K589,K2:K730)</f>
        <v>530</v>
      </c>
      <c r="B589" t="s" s="8">
        <v>741</v>
      </c>
      <c r="C589" t="s" s="39">
        <v>106</v>
      </c>
      <c r="D589" t="s" s="40">
        <f>VLOOKUP(B589,'Player Data'!A1:D734,4,FALSE)</f>
        <v>121</v>
      </c>
      <c r="E589" s="55">
        <f>VLOOKUP(B589,'RW'!A1:F132,3,FALSE)</f>
        <v>98</v>
      </c>
      <c r="F589" t="s" s="42">
        <f>VLOOKUP(B589,'Player Data'!A1:B734,2,FALSE)</f>
        <v>127</v>
      </c>
      <c r="G589" s="9">
        <f>VLOOKUP(B589,'Player Data'!A1:D734,3,FALSE)</f>
        <v>25</v>
      </c>
      <c r="H589" s="43">
        <f>_xlfn.IFERROR(VLOOKUP(B589,'ADP'!A1:G731,7,FALSE)/1000000,VLOOKUP(B589,'ADP'!A1:G731,7,FALSE))</f>
        <v>1.35</v>
      </c>
      <c r="I589" s="44">
        <f>IF('Settings'!$E$15="POINTS",((R589*Q589)*'Settings'!$B$12)+(S589*'Settings'!$B$2)+(T589*'Settings'!$B$3)+(U589*'Settings'!$B$4)+(V589*'Settings'!$B$5)+(X589*'Settings'!$B$9)+(AA589*'Settings'!$B$6)+(W589*'Settings'!$B$8)+(AB589*'Settings'!$B$7)+(AC589*'Settings'!$B$14)+(AD589*'Settings'!$B$15)+(AE589*'Settings'!$B$16)+(AF589*'Settings'!$B$17)+(AG589*'Settings'!$B$18)+(Y589*'Settings'!$B$10)+(Z589*'Settings'!$B$11),VLOOKUP(B589,'Standard Deviations'!A1:C731,3,FALSE))</f>
        <v>189.767667827023</v>
      </c>
      <c r="J589" s="45">
        <f>IF(D589="G",I589/AJ589,I589/Q589)</f>
        <v>2.6356620531531</v>
      </c>
      <c r="K589" s="44">
        <f>IF('Settings'!$E$18="C/LW/RW",VLOOKUP(B589,'RW'!A1:F132,6,FALSE),VLOOKUP(B589,'F'!A1:F432,6,FALSE))</f>
        <v>-191.860895879333</v>
      </c>
      <c r="L589" s="44">
        <f>_xlfn.IFERROR(K589/H589,"N/A")</f>
        <v>-142.119182132839</v>
      </c>
      <c r="M589" t="s" s="61">
        <f>IF('Settings'!$E$9="YAHOO",VLOOKUP(B589,'ADP'!A1:E731,2,FALSE),IF('Settings'!$E$9="ESPN",VLOOKUP(B589,'ADP'!A1:E731,3,FALSE),IF('Settings'!$E$9="FANTRAX",VLOOKUP(B589,'ADP'!A1:E731,4,FALSE),VLOOKUP(B589,'ADP'!A1:E731,5,FALSE))))</f>
        <v>329</v>
      </c>
      <c r="N589" t="s" s="61">
        <f>_xlfn.IFERROR(M589-A589,"N/A")</f>
        <v>158</v>
      </c>
      <c r="O589" s="46"/>
      <c r="P589" t="s" s="47">
        <f>IF('Settings'!$E$27="ON",VLOOKUP(B589,'ADP'!A1:H731,8,FALSE)," ")</f>
        <v>109</v>
      </c>
      <c r="Q589" s="48">
        <f>IF('Settings'!$E$12="YES",VLOOKUP(B589,'Player Data'!A1:E734,5,FALSE),82)</f>
        <v>72</v>
      </c>
      <c r="R589" s="46">
        <f>VLOOKUP(B589,'Player Data'!$A1:$AE734,6,FALSE)</f>
        <v>11.973523432279</v>
      </c>
      <c r="S589" s="48">
        <f>VLOOKUP(B589,'Player Data'!$A1:$AE734,7,FALSE)*$Q589*_xlfn.IFERROR((VLOOKUP(P589,'Settings'!$E$28:$F$33,2,FALSE)+1),1)</f>
        <v>9.436588560922679</v>
      </c>
      <c r="T589" s="48">
        <f>VLOOKUP(B589,'Player Data'!$A1:$AE734,8,FALSE)*$Q589*_xlfn.IFERROR((VLOOKUP(P589,'Settings'!$E$28:$F$33,2,FALSE)+1),1)</f>
        <v>10.5777096022717</v>
      </c>
      <c r="U589" s="48">
        <f>SUM(S589:T589)</f>
        <v>20.0142981631944</v>
      </c>
      <c r="V589" s="48">
        <f>VLOOKUP(B589,'Player Data'!$A1:$AE734,10,FALSE)*$Q589*_xlfn.IFERROR(((VLOOKUP(P589,'Settings'!$E$28:$F$33,2,FALSE)/2)+1),1)</f>
        <v>91.4274430306956</v>
      </c>
      <c r="W589" s="48">
        <f>VLOOKUP(B589,'Player Data'!$A1:$AE734,11,FALSE)*$Q589*_xlfn.IFERROR((VLOOKUP(P589,'Settings'!$E$28:$F$33,2,FALSE)+1),1)</f>
        <v>0.452423982727641</v>
      </c>
      <c r="X589" s="48">
        <f>VLOOKUP(B589,'Player Data'!$A1:$AE734,12,FALSE)*$Q589*_xlfn.IFERROR((VLOOKUP(P589,'Settings'!$E$28:$F$33,2,FALSE)+1),1)</f>
        <v>0.806576243090789</v>
      </c>
      <c r="Y589" s="48">
        <f>VLOOKUP(B589,'Player Data'!$A1:$AE734,13,FALSE)*$Q589</f>
        <v>0.191773384665641</v>
      </c>
      <c r="Z589" s="48">
        <f>VLOOKUP(B589,'Player Data'!$A1:$AE734,14,FALSE)*$Q589</f>
        <v>0.352505822583019</v>
      </c>
      <c r="AA589" s="48">
        <f>VLOOKUP(B589,'Player Data'!$A1:$AE734,15,FALSE)*$Q589</f>
        <v>52.9600483858087</v>
      </c>
      <c r="AB589" s="48">
        <f>VLOOKUP(B589,'Player Data'!$A1:$AE734,16,FALSE)*$Q589</f>
        <v>170.684532570550</v>
      </c>
      <c r="AC589" s="48">
        <f>VLOOKUP(B589,'Player Data'!$A1:$AE734,17,FALSE)*$Q589*_xlfn.IFERROR((VLOOKUP(P589,'Settings'!$E$28:$F$33,2,FALSE)+1),1)</f>
        <v>0.545186247490524</v>
      </c>
      <c r="AD589" s="48">
        <f>VLOOKUP(B589,'Player Data'!$A1:$AE734,18,FALSE)*$Q589</f>
        <v>38.4726085527619</v>
      </c>
      <c r="AE589" s="48">
        <f>VLOOKUP(B589,'Player Data'!$A1:$AE734,19,FALSE)*$Q589*_xlfn.IFERROR((VLOOKUP(P589,'Settings'!$E$28:$F$33,2,FALSE)+1),1)</f>
        <v>1.38697073417606</v>
      </c>
      <c r="AF589" s="48">
        <f>VLOOKUP(B589,'Player Data'!$A1:$AE734,20,FALSE)*$Q589</f>
        <v>22.2796228525163</v>
      </c>
      <c r="AG589" s="48">
        <f>VLOOKUP(B589,'Player Data'!$A1:$AE734,21,FALSE)*$Q589</f>
        <v>34.3052150549928</v>
      </c>
      <c r="AH589" s="49">
        <f>VLOOKUP(B589,'Player Data'!$A1:$AE734,22,FALSE)</f>
        <v>0.393738387815717</v>
      </c>
      <c r="AI589" s="46"/>
      <c r="AJ589" s="48"/>
      <c r="AK589" s="48"/>
      <c r="AL589" s="48"/>
      <c r="AM589" s="48"/>
      <c r="AN589" s="48"/>
      <c r="AO589" s="48"/>
      <c r="AP589" s="48"/>
      <c r="AQ589" s="51"/>
      <c r="AR589" s="52"/>
      <c r="AS589" s="46"/>
    </row>
    <row r="590" ht="21.25" customHeight="1">
      <c r="A590" s="53">
        <f>RANK(K590,K2:K730)</f>
        <v>595</v>
      </c>
      <c r="B590" t="s" s="8">
        <v>742</v>
      </c>
      <c r="C590" t="s" s="39">
        <v>106</v>
      </c>
      <c r="D590" t="s" s="40">
        <f>VLOOKUP(B590,'Player Data'!A1:D734,4,FALSE)</f>
        <v>107</v>
      </c>
      <c r="E590" s="41">
        <f>VLOOKUP(B590,'C'!A1:C218,3,FALSE)</f>
        <v>156</v>
      </c>
      <c r="F590" t="s" s="42">
        <f>VLOOKUP(B590,'Player Data'!A1:B734,2,FALSE)</f>
        <v>164</v>
      </c>
      <c r="G590" s="9">
        <f>VLOOKUP(B590,'Player Data'!A1:D734,3,FALSE)</f>
        <v>30</v>
      </c>
      <c r="H590" s="43">
        <f>_xlfn.IFERROR(VLOOKUP(B590,'ADP'!A1:G731,7,FALSE)/1000000,VLOOKUP(B590,'ADP'!A1:G731,7,FALSE))</f>
        <v>2</v>
      </c>
      <c r="I590" s="44">
        <f>IF('Settings'!$E$15="POINTS",((R590*Q590)*'Settings'!$B$12)+(S590*'Settings'!$B$2)+(T590*'Settings'!$B$3)+(U590*'Settings'!$B$4)+(V590*'Settings'!$B$5)+(X590*'Settings'!$B$9)+(AA590*'Settings'!$B$6)+(W590*'Settings'!$B$8)+(AB590*'Settings'!$B$7)+(AC590*'Settings'!$B$14)+(AD590*'Settings'!$B$15)+(AE590*'Settings'!$B$16)+(AF590*'Settings'!$B$17)+(AG590*'Settings'!$B$18)+(Y590*'Settings'!$B$10)+(Z590*'Settings'!$B$11),VLOOKUP(B590,'Standard Deviations'!A1:C731,3,FALSE))</f>
        <v>178.816936606785</v>
      </c>
      <c r="J590" s="45">
        <f>IF(D590="G",I590/AJ590,I590/Q590)</f>
        <v>2.24247974461423</v>
      </c>
      <c r="K590" s="44">
        <f>IF('Settings'!$E$18="C/LW/RW",VLOOKUP(B590,'C'!A1:F218,6,FALSE),VLOOKUP(B590,'F'!A1:F432,6,FALSE))</f>
        <v>-216.957265029230</v>
      </c>
      <c r="L590" s="44">
        <f>_xlfn.IFERROR(K590/H590,"N/A")</f>
        <v>-108.478632514615</v>
      </c>
      <c r="M590" t="s" s="61">
        <f>IF('Settings'!$E$9="YAHOO",VLOOKUP(B590,'ADP'!A1:E731,2,FALSE),IF('Settings'!$E$9="ESPN",VLOOKUP(B590,'ADP'!A1:E731,3,FALSE),IF('Settings'!$E$9="FANTRAX",VLOOKUP(B590,'ADP'!A1:E731,4,FALSE),VLOOKUP(B590,'ADP'!A1:E731,5,FALSE))))</f>
        <v>329</v>
      </c>
      <c r="N590" t="s" s="61">
        <f>_xlfn.IFERROR(M590-A590,"N/A")</f>
        <v>158</v>
      </c>
      <c r="O590" s="46"/>
      <c r="P590" t="s" s="47">
        <f>IF('Settings'!$E$27="ON",VLOOKUP(B590,'ADP'!A1:H731,8,FALSE)," ")</f>
        <v>109</v>
      </c>
      <c r="Q590" s="48">
        <f>IF('Settings'!$E$12="YES",VLOOKUP(B590,'Player Data'!A1:E734,5,FALSE),82)</f>
        <v>79.7407142857143</v>
      </c>
      <c r="R590" s="46">
        <f>VLOOKUP(B590,'Player Data'!$A1:$AE734,6,FALSE)</f>
        <v>11.9358102439024</v>
      </c>
      <c r="S590" s="48">
        <f>VLOOKUP(B590,'Player Data'!$A1:$AE734,7,FALSE)*$Q590*_xlfn.IFERROR((VLOOKUP(P590,'Settings'!$E$28:$F$33,2,FALSE)+1),1)</f>
        <v>9.688065543375441</v>
      </c>
      <c r="T590" s="48">
        <f>VLOOKUP(B590,'Player Data'!$A1:$AE734,8,FALSE)*$Q590*_xlfn.IFERROR((VLOOKUP(P590,'Settings'!$E$28:$F$33,2,FALSE)+1),1)</f>
        <v>13.4677263531078</v>
      </c>
      <c r="U590" s="48">
        <f>SUM(S590:T590)</f>
        <v>23.1557918964832</v>
      </c>
      <c r="V590" s="48">
        <f>VLOOKUP(B590,'Player Data'!$A1:$AE734,10,FALSE)*$Q590*_xlfn.IFERROR(((VLOOKUP(P590,'Settings'!$E$28:$F$33,2,FALSE)/2)+1),1)</f>
        <v>102.072028478983</v>
      </c>
      <c r="W590" s="48">
        <f>VLOOKUP(B590,'Player Data'!$A1:$AE734,11,FALSE)*$Q590*_xlfn.IFERROR((VLOOKUP(P590,'Settings'!$E$28:$F$33,2,FALSE)+1),1)</f>
        <v>0.250130814236021</v>
      </c>
      <c r="X590" s="48">
        <f>VLOOKUP(B590,'Player Data'!$A1:$AE734,12,FALSE)*$Q590*_xlfn.IFERROR((VLOOKUP(P590,'Settings'!$E$28:$F$33,2,FALSE)+1),1)</f>
        <v>1.32034134332166</v>
      </c>
      <c r="Y590" s="48">
        <f>VLOOKUP(B590,'Player Data'!$A1:$AE734,13,FALSE)*$Q590</f>
        <v>0.140168822113161</v>
      </c>
      <c r="Z590" s="48">
        <f>VLOOKUP(B590,'Player Data'!$A1:$AE734,14,FALSE)*$Q590</f>
        <v>0.279841240440253</v>
      </c>
      <c r="AA590" s="48">
        <f>VLOOKUP(B590,'Player Data'!$A1:$AE734,15,FALSE)*$Q590</f>
        <v>36.9270456647135</v>
      </c>
      <c r="AB590" s="48">
        <f>VLOOKUP(B590,'Player Data'!$A1:$AE734,16,FALSE)*$Q590</f>
        <v>99.0329721981723</v>
      </c>
      <c r="AC590" s="48">
        <f>VLOOKUP(B590,'Player Data'!$A1:$AE734,17,FALSE)*$Q590*_xlfn.IFERROR((VLOOKUP(P590,'Settings'!$E$28:$F$33,2,FALSE)+1),1)</f>
        <v>2.17903010917723</v>
      </c>
      <c r="AD590" s="48">
        <f>VLOOKUP(B590,'Player Data'!$A1:$AE734,18,FALSE)*$Q590</f>
        <v>32.9074919170249</v>
      </c>
      <c r="AE590" s="48">
        <f>VLOOKUP(B590,'Player Data'!$A1:$AE734,19,FALSE)*$Q590*_xlfn.IFERROR((VLOOKUP(P590,'Settings'!$E$28:$F$33,2,FALSE)+1),1)</f>
        <v>1.51137065248536</v>
      </c>
      <c r="AF590" s="48">
        <f>VLOOKUP(B590,'Player Data'!$A1:$AE734,20,FALSE)*$Q590</f>
        <v>81.6389890552488</v>
      </c>
      <c r="AG590" s="48">
        <f>VLOOKUP(B590,'Player Data'!$A1:$AE734,21,FALSE)*$Q590</f>
        <v>117.641881605898</v>
      </c>
      <c r="AH590" s="49">
        <f>VLOOKUP(B590,'Player Data'!$A1:$AE734,22,FALSE)</f>
        <v>0.409667966545901</v>
      </c>
      <c r="AI590" s="46"/>
      <c r="AJ590" s="50"/>
      <c r="AK590" s="48"/>
      <c r="AL590" s="48"/>
      <c r="AM590" s="48"/>
      <c r="AN590" s="48"/>
      <c r="AO590" s="48"/>
      <c r="AP590" s="48"/>
      <c r="AQ590" s="51"/>
      <c r="AR590" s="52"/>
      <c r="AS590" s="46"/>
    </row>
    <row r="591" ht="21.25" customHeight="1">
      <c r="A591" s="53">
        <f>RANK(K591,K2:K730)</f>
        <v>555</v>
      </c>
      <c r="B591" t="s" s="8">
        <v>743</v>
      </c>
      <c r="C591" t="s" s="39">
        <v>106</v>
      </c>
      <c r="D591" t="s" s="40">
        <f>VLOOKUP(B591,'Player Data'!A1:D734,4,FALSE)</f>
        <v>133</v>
      </c>
      <c r="E591" s="57">
        <f>VLOOKUP(B591,'LW'!A1:C156,3,FALSE)</f>
        <v>117</v>
      </c>
      <c r="F591" t="s" s="42">
        <f>VLOOKUP(B591,'Player Data'!A1:B734,2,FALSE)</f>
        <v>139</v>
      </c>
      <c r="G591" s="9">
        <f>VLOOKUP(B591,'Player Data'!A1:D734,3,FALSE)</f>
        <v>26</v>
      </c>
      <c r="H591" s="43">
        <f>_xlfn.IFERROR(VLOOKUP(B591,'ADP'!A1:G731,7,FALSE)/1000000,VLOOKUP(B591,'ADP'!A1:G731,7,FALSE))</f>
        <v>3</v>
      </c>
      <c r="I591" s="44">
        <f>IF('Settings'!$E$15="POINTS",((R591*Q591)*'Settings'!$B$12)+(S591*'Settings'!$B$2)+(T591*'Settings'!$B$3)+(U591*'Settings'!$B$4)+(V591*'Settings'!$B$5)+(X591*'Settings'!$B$9)+(AA591*'Settings'!$B$6)+(W591*'Settings'!$B$8)+(AB591*'Settings'!$B$7)+(AC591*'Settings'!$B$14)+(AD591*'Settings'!$B$15)+(AE591*'Settings'!$B$16)+(AF591*'Settings'!$B$17)+(AG591*'Settings'!$B$18)+(Y591*'Settings'!$B$10)+(Z591*'Settings'!$B$11),VLOOKUP(B591,'Standard Deviations'!A1:C731,3,FALSE))</f>
        <v>179.072733785086</v>
      </c>
      <c r="J591" s="45">
        <f>IF(D591="G",I591/AJ591,I591/Q591)</f>
        <v>2.36462080793722</v>
      </c>
      <c r="K591" s="44">
        <f>IF('Settings'!$E$18="C/LW/RW",VLOOKUP(B591,'LW'!A1:F156,6,FALSE),VLOOKUP(B591,'F'!A1:F432,6,FALSE))</f>
        <v>-202.555829921270</v>
      </c>
      <c r="L591" s="44">
        <f>_xlfn.IFERROR(K591/H591,"N/A")</f>
        <v>-67.5186099737567</v>
      </c>
      <c r="M591" t="s" s="61">
        <f>IF('Settings'!$E$9="YAHOO",VLOOKUP(B591,'ADP'!A1:E731,2,FALSE),IF('Settings'!$E$9="ESPN",VLOOKUP(B591,'ADP'!A1:E731,3,FALSE),IF('Settings'!$E$9="FANTRAX",VLOOKUP(B591,'ADP'!A1:E731,4,FALSE),VLOOKUP(B591,'ADP'!A1:E731,5,FALSE))))</f>
        <v>329</v>
      </c>
      <c r="N591" t="s" s="61">
        <f>_xlfn.IFERROR(M591-A591,"N/A")</f>
        <v>158</v>
      </c>
      <c r="O591" s="46"/>
      <c r="P591" t="s" s="47">
        <f>IF('Settings'!$E$27="ON",VLOOKUP(B591,'ADP'!A1:H731,8,FALSE)," ")</f>
        <v>109</v>
      </c>
      <c r="Q591" s="48">
        <f>IF('Settings'!$E$12="YES",VLOOKUP(B591,'Player Data'!A1:E734,5,FALSE),82)</f>
        <v>75.73</v>
      </c>
      <c r="R591" s="46">
        <f>VLOOKUP(B591,'Player Data'!$A1:$AE734,6,FALSE)</f>
        <v>11.5148429454089</v>
      </c>
      <c r="S591" s="48">
        <f>VLOOKUP(B591,'Player Data'!$A1:$AE734,7,FALSE)*$Q591*_xlfn.IFERROR((VLOOKUP(P591,'Settings'!$E$28:$F$33,2,FALSE)+1),1)</f>
        <v>8.05796940269464</v>
      </c>
      <c r="T591" s="48">
        <f>VLOOKUP(B591,'Player Data'!$A1:$AE734,8,FALSE)*$Q591*_xlfn.IFERROR((VLOOKUP(P591,'Settings'!$E$28:$F$33,2,FALSE)+1),1)</f>
        <v>13.6195248503862</v>
      </c>
      <c r="U591" s="48">
        <f>SUM(S591:T591)</f>
        <v>21.6774942530808</v>
      </c>
      <c r="V591" s="48">
        <f>VLOOKUP(B591,'Player Data'!$A1:$AE734,10,FALSE)*$Q591*_xlfn.IFERROR(((VLOOKUP(P591,'Settings'!$E$28:$F$33,2,FALSE)/2)+1),1)</f>
        <v>103.804855675580</v>
      </c>
      <c r="W591" s="48">
        <f>VLOOKUP(B591,'Player Data'!$A1:$AE734,11,FALSE)*$Q591*_xlfn.IFERROR((VLOOKUP(P591,'Settings'!$E$28:$F$33,2,FALSE)+1),1)</f>
        <v>0.0970032167173898</v>
      </c>
      <c r="X591" s="48">
        <f>VLOOKUP(B591,'Player Data'!$A1:$AE734,12,FALSE)*$Q591*_xlfn.IFERROR((VLOOKUP(P591,'Settings'!$E$28:$F$33,2,FALSE)+1),1)</f>
        <v>0.249372783979845</v>
      </c>
      <c r="Y591" s="48">
        <f>VLOOKUP(B591,'Player Data'!$A1:$AE734,13,FALSE)*$Q591</f>
        <v>0.0260893510529766</v>
      </c>
      <c r="Z591" s="48">
        <f>VLOOKUP(B591,'Player Data'!$A1:$AE734,14,FALSE)*$Q591</f>
        <v>0.0477822539573898</v>
      </c>
      <c r="AA591" s="48">
        <f>VLOOKUP(B591,'Player Data'!$A1:$AE734,15,FALSE)*$Q591</f>
        <v>36.6683630068755</v>
      </c>
      <c r="AB591" s="48">
        <f>VLOOKUP(B591,'Player Data'!$A1:$AE734,16,FALSE)*$Q591</f>
        <v>126.484492290634</v>
      </c>
      <c r="AC591" s="48">
        <f>VLOOKUP(B591,'Player Data'!$A1:$AE734,17,FALSE)*$Q591*_xlfn.IFERROR((VLOOKUP(P591,'Settings'!$E$28:$F$33,2,FALSE)+1),1)</f>
        <v>-1.14915775696113</v>
      </c>
      <c r="AD591" s="48">
        <f>VLOOKUP(B591,'Player Data'!$A1:$AE734,18,FALSE)*$Q591</f>
        <v>41.0044508317291</v>
      </c>
      <c r="AE591" s="48">
        <f>VLOOKUP(B591,'Player Data'!$A1:$AE734,19,FALSE)*$Q591*_xlfn.IFERROR((VLOOKUP(P591,'Settings'!$E$28:$F$33,2,FALSE)+1),1)</f>
        <v>1.0315736402978</v>
      </c>
      <c r="AF591" s="48">
        <f>VLOOKUP(B591,'Player Data'!$A1:$AE734,20,FALSE)*$Q591</f>
        <v>6.86268534302298</v>
      </c>
      <c r="AG591" s="48">
        <f>VLOOKUP(B591,'Player Data'!$A1:$AE734,21,FALSE)*$Q591</f>
        <v>15.4813491635372</v>
      </c>
      <c r="AH591" s="49">
        <f>VLOOKUP(B591,'Player Data'!$A1:$AE734,22,FALSE)</f>
        <v>0.307137251377235</v>
      </c>
      <c r="AI591" s="46"/>
      <c r="AJ591" s="48"/>
      <c r="AK591" s="48"/>
      <c r="AL591" s="48"/>
      <c r="AM591" s="48"/>
      <c r="AN591" s="48"/>
      <c r="AO591" s="48"/>
      <c r="AP591" s="48"/>
      <c r="AQ591" s="51"/>
      <c r="AR591" s="52"/>
      <c r="AS591" s="46"/>
    </row>
    <row r="592" ht="21.25" customHeight="1">
      <c r="A592" s="53">
        <f>RANK(K592,K2:K730)</f>
        <v>545</v>
      </c>
      <c r="B592" t="s" s="8">
        <v>744</v>
      </c>
      <c r="C592" t="s" s="39">
        <v>106</v>
      </c>
      <c r="D592" t="s" s="40">
        <f>VLOOKUP(B592,'Player Data'!A1:D734,4,FALSE)</f>
        <v>121</v>
      </c>
      <c r="E592" s="55">
        <f>VLOOKUP(B592,'RW'!A1:F132,3,FALSE)</f>
        <v>101</v>
      </c>
      <c r="F592" t="s" s="42">
        <f>VLOOKUP(B592,'Player Data'!A1:B734,2,FALSE)</f>
        <v>204</v>
      </c>
      <c r="G592" s="9">
        <f>VLOOKUP(B592,'Player Data'!A1:D734,3,FALSE)</f>
        <v>25</v>
      </c>
      <c r="H592" s="43">
        <f>_xlfn.IFERROR(VLOOKUP(B592,'ADP'!A1:G731,7,FALSE)/1000000,VLOOKUP(B592,'ADP'!A1:G731,7,FALSE))</f>
        <v>1.3</v>
      </c>
      <c r="I592" s="44">
        <f>IF('Settings'!$E$15="POINTS",((R592*Q592)*'Settings'!$B$12)+(S592*'Settings'!$B$2)+(T592*'Settings'!$B$3)+(U592*'Settings'!$B$4)+(V592*'Settings'!$B$5)+(X592*'Settings'!$B$9)+(AA592*'Settings'!$B$6)+(W592*'Settings'!$B$8)+(AB592*'Settings'!$B$7)+(AC592*'Settings'!$B$14)+(AD592*'Settings'!$B$15)+(AE592*'Settings'!$B$16)+(AF592*'Settings'!$B$17)+(AG592*'Settings'!$B$18)+(Y592*'Settings'!$B$10)+(Z592*'Settings'!$B$11),VLOOKUP(B592,'Standard Deviations'!A1:C731,3,FALSE))</f>
        <v>183.166822888756</v>
      </c>
      <c r="J592" s="45">
        <f>IF(D592="G",I592/AJ592,I592/Q592)</f>
        <v>2.52906767175989</v>
      </c>
      <c r="K592" s="44">
        <f>IF('Settings'!$E$18="C/LW/RW",VLOOKUP(B592,'RW'!A1:F132,6,FALSE),VLOOKUP(B592,'F'!A1:F432,6,FALSE))</f>
        <v>-198.4617408176</v>
      </c>
      <c r="L592" s="44">
        <f>_xlfn.IFERROR(K592/H592,"N/A")</f>
        <v>-152.662877552</v>
      </c>
      <c r="M592" t="s" s="61">
        <f>IF('Settings'!$E$9="YAHOO",VLOOKUP(B592,'ADP'!A1:E731,2,FALSE),IF('Settings'!$E$9="ESPN",VLOOKUP(B592,'ADP'!A1:E731,3,FALSE),IF('Settings'!$E$9="FANTRAX",VLOOKUP(B592,'ADP'!A1:E731,4,FALSE),VLOOKUP(B592,'ADP'!A1:E731,5,FALSE))))</f>
        <v>329</v>
      </c>
      <c r="N592" t="s" s="61">
        <f>_xlfn.IFERROR(M592-A592,"N/A")</f>
        <v>158</v>
      </c>
      <c r="O592" s="46"/>
      <c r="P592" t="s" s="47">
        <f>IF('Settings'!$E$27="ON",VLOOKUP(B592,'ADP'!A1:H731,8,FALSE)," ")</f>
        <v>109</v>
      </c>
      <c r="Q592" s="48">
        <f>IF('Settings'!$E$12="YES",VLOOKUP(B592,'Player Data'!A1:E734,5,FALSE),82)</f>
        <v>72.4246428571429</v>
      </c>
      <c r="R592" s="46">
        <f>VLOOKUP(B592,'Player Data'!$A1:$AE734,6,FALSE)</f>
        <v>10.693561218536</v>
      </c>
      <c r="S592" s="48">
        <f>VLOOKUP(B592,'Player Data'!$A1:$AE734,7,FALSE)*$Q592*_xlfn.IFERROR((VLOOKUP(P592,'Settings'!$E$28:$F$33,2,FALSE)+1),1)</f>
        <v>11.534241042786</v>
      </c>
      <c r="T592" s="48">
        <f>VLOOKUP(B592,'Player Data'!$A1:$AE734,8,FALSE)*$Q592*_xlfn.IFERROR((VLOOKUP(P592,'Settings'!$E$28:$F$33,2,FALSE)+1),1)</f>
        <v>8.69942488019424</v>
      </c>
      <c r="U592" s="48">
        <f>SUM(S592:T592)</f>
        <v>20.2336659229802</v>
      </c>
      <c r="V592" s="48">
        <f>VLOOKUP(B592,'Player Data'!$A1:$AE734,10,FALSE)*$Q592*_xlfn.IFERROR(((VLOOKUP(P592,'Settings'!$E$28:$F$33,2,FALSE)/2)+1),1)</f>
        <v>102.033926980835</v>
      </c>
      <c r="W592" s="48">
        <f>VLOOKUP(B592,'Player Data'!$A1:$AE734,11,FALSE)*$Q592*_xlfn.IFERROR((VLOOKUP(P592,'Settings'!$E$28:$F$33,2,FALSE)+1),1)</f>
        <v>0.08357401243996861</v>
      </c>
      <c r="X592" s="48">
        <f>VLOOKUP(B592,'Player Data'!$A1:$AE734,12,FALSE)*$Q592*_xlfn.IFERROR((VLOOKUP(P592,'Settings'!$E$28:$F$33,2,FALSE)+1),1)</f>
        <v>0.177993783677901</v>
      </c>
      <c r="Y592" s="48">
        <f>VLOOKUP(B592,'Player Data'!$A1:$AE734,13,FALSE)*$Q592</f>
        <v>0.142126032149171</v>
      </c>
      <c r="Z592" s="48">
        <f>VLOOKUP(B592,'Player Data'!$A1:$AE734,14,FALSE)*$Q592</f>
        <v>0.261907301932222</v>
      </c>
      <c r="AA592" s="48">
        <f>VLOOKUP(B592,'Player Data'!$A1:$AE734,15,FALSE)*$Q592</f>
        <v>24.998392935564</v>
      </c>
      <c r="AB592" s="48">
        <f>VLOOKUP(B592,'Player Data'!$A1:$AE734,16,FALSE)*$Q592</f>
        <v>164.497955974291</v>
      </c>
      <c r="AC592" s="48">
        <f>VLOOKUP(B592,'Player Data'!$A1:$AE734,17,FALSE)*$Q592*_xlfn.IFERROR((VLOOKUP(P592,'Settings'!$E$28:$F$33,2,FALSE)+1),1)</f>
        <v>0.0769997115272933</v>
      </c>
      <c r="AD592" s="48">
        <f>VLOOKUP(B592,'Player Data'!$A1:$AE734,18,FALSE)*$Q592</f>
        <v>23.264253503960</v>
      </c>
      <c r="AE592" s="48">
        <f>VLOOKUP(B592,'Player Data'!$A1:$AE734,19,FALSE)*$Q592*_xlfn.IFERROR((VLOOKUP(P592,'Settings'!$E$28:$F$33,2,FALSE)+1),1)</f>
        <v>1.70777190558958</v>
      </c>
      <c r="AF592" s="48">
        <f>VLOOKUP(B592,'Player Data'!$A1:$AE734,20,FALSE)*$Q592</f>
        <v>5.16630369053155</v>
      </c>
      <c r="AG592" s="48">
        <f>VLOOKUP(B592,'Player Data'!$A1:$AE734,21,FALSE)*$Q592</f>
        <v>7.83888244111734</v>
      </c>
      <c r="AH592" s="49">
        <f>VLOOKUP(B592,'Player Data'!$A1:$AE734,22,FALSE)</f>
        <v>0.397249500178936</v>
      </c>
      <c r="AI592" s="46"/>
      <c r="AJ592" s="50"/>
      <c r="AK592" s="48"/>
      <c r="AL592" s="48"/>
      <c r="AM592" s="48"/>
      <c r="AN592" s="48"/>
      <c r="AO592" s="48"/>
      <c r="AP592" s="48"/>
      <c r="AQ592" s="51"/>
      <c r="AR592" s="52"/>
      <c r="AS592" s="46"/>
    </row>
    <row r="593" ht="21.25" customHeight="1">
      <c r="A593" s="53">
        <f>RANK(K593,K2:K730)</f>
        <v>678</v>
      </c>
      <c r="B593" t="s" s="8">
        <v>745</v>
      </c>
      <c r="C593" t="s" s="39">
        <v>106</v>
      </c>
      <c r="D593" t="s" s="40">
        <f>VLOOKUP(B593,'Player Data'!A1:D734,4,FALSE)</f>
        <v>129</v>
      </c>
      <c r="E593" s="56">
        <f>VLOOKUP(B593,'D'!A1:C228,3,FALSE)</f>
        <v>225</v>
      </c>
      <c r="F593" t="s" s="42">
        <f>VLOOKUP(B593,'Player Data'!A1:B734,2,FALSE)</f>
        <v>204</v>
      </c>
      <c r="G593" s="9">
        <f>VLOOKUP(B593,'Player Data'!A1:D734,3,FALSE)</f>
        <v>27</v>
      </c>
      <c r="H593" s="43">
        <f>_xlfn.IFERROR(VLOOKUP(B593,'ADP'!A1:G731,7,FALSE)/1000000,VLOOKUP(B593,'ADP'!A1:G731,7,FALSE))</f>
        <v>1</v>
      </c>
      <c r="I593" s="44">
        <f>IF('Settings'!$E$15="POINTS",((R593*Q593)*'Settings'!$B$12)+(S593*'Settings'!$B$2)+(T593*'Settings'!$B$3)+(U593*'Settings'!$B$4)+(V593*'Settings'!$B$5)+(X593*'Settings'!$B$9)+(AA593*'Settings'!$B$6)+(W593*'Settings'!$B$8)+(AB593*'Settings'!$B$7)+(AC593*'Settings'!$B$14)+(AD593*'Settings'!$B$15)+(AE593*'Settings'!$B$16)+(AF593*'Settings'!$B$17)+(AG593*'Settings'!$B$18)+(U593*'Settings'!$B$13)+(Y593*'Settings'!$B$10)+(Z593*'Settings'!$B$11),VLOOKUP(B593,'Standard Deviations'!A1:C731,3,FALSE))</f>
        <v>92.19823404320471</v>
      </c>
      <c r="J593" s="45">
        <f>IF(D593="G",I593/AJ593,I593/Q593)</f>
        <v>1.63638876590859</v>
      </c>
      <c r="K593" s="44">
        <f>VLOOKUP(B593,'D'!A1:F228,6,FALSE)</f>
        <v>-248.536904603318</v>
      </c>
      <c r="L593" s="44">
        <f>_xlfn.IFERROR(K593/H593,"N/A")</f>
        <v>-248.536904603318</v>
      </c>
      <c r="M593" t="s" s="61">
        <f>IF('Settings'!$E$9="YAHOO",VLOOKUP(B593,'ADP'!A1:E731,2,FALSE),IF('Settings'!$E$9="ESPN",VLOOKUP(B593,'ADP'!A1:E731,3,FALSE),IF('Settings'!$E$9="FANTRAX",VLOOKUP(B593,'ADP'!A1:E731,4,FALSE),VLOOKUP(B593,'ADP'!A1:E731,5,FALSE))))</f>
        <v>329</v>
      </c>
      <c r="N593" t="s" s="61">
        <f>_xlfn.IFERROR(M593-A593,"N/A")</f>
        <v>158</v>
      </c>
      <c r="O593" s="46"/>
      <c r="P593" t="s" s="47">
        <f>IF('Settings'!$E$27="ON",VLOOKUP(B593,'ADP'!A1:H731,8,FALSE)," ")</f>
        <v>109</v>
      </c>
      <c r="Q593" s="48">
        <f>IF('Settings'!$E$12="YES",VLOOKUP(B593,'Player Data'!A1:E734,5,FALSE),82)</f>
        <v>56.3425</v>
      </c>
      <c r="R593" s="46">
        <f>VLOOKUP(B593,'Player Data'!$A1:$AE734,6,FALSE)</f>
        <v>12.1771539165153</v>
      </c>
      <c r="S593" s="48">
        <f>VLOOKUP(B593,'Player Data'!$A1:$AE734,7,FALSE)*$Q593*_xlfn.IFERROR((VLOOKUP(P593,'Settings'!$E$28:$F$33,2,FALSE)+1),1)</f>
        <v>0.9496839561567429</v>
      </c>
      <c r="T593" s="48">
        <f>VLOOKUP(B593,'Player Data'!$A1:$AE734,8,FALSE)*$Q593*_xlfn.IFERROR((VLOOKUP(P593,'Settings'!$E$28:$F$33,2,FALSE)+1),1)</f>
        <v>5.59154444402477</v>
      </c>
      <c r="U593" s="48">
        <f>SUM(S593:T593)</f>
        <v>6.54122840018151</v>
      </c>
      <c r="V593" s="48">
        <f>VLOOKUP(B593,'Player Data'!$A1:$AE734,10,FALSE)*$Q593*_xlfn.IFERROR(((VLOOKUP(P593,'Settings'!$E$28:$F$33,2,FALSE)/2)+1),1)</f>
        <v>39.838155599841</v>
      </c>
      <c r="W593" s="48">
        <f>VLOOKUP(B593,'Player Data'!$A1:$AE734,11,FALSE)*$Q593*_xlfn.IFERROR((VLOOKUP(P593,'Settings'!$E$28:$F$33,2,FALSE)+1),1)</f>
        <v>0.00303809077789327</v>
      </c>
      <c r="X593" s="48">
        <f>VLOOKUP(B593,'Player Data'!$A1:$AE734,12,FALSE)*$Q593*_xlfn.IFERROR((VLOOKUP(P593,'Settings'!$E$28:$F$33,2,FALSE)+1),1)</f>
        <v>0.0210238882666489</v>
      </c>
      <c r="Y593" s="48">
        <f>VLOOKUP(B593,'Player Data'!$A1:$AE734,13,FALSE)*$Q593</f>
        <v>0.029847234448249</v>
      </c>
      <c r="Z593" s="48">
        <f>VLOOKUP(B593,'Player Data'!$A1:$AE734,14,FALSE)*$Q593</f>
        <v>0.112888687421477</v>
      </c>
      <c r="AA593" s="48">
        <f>VLOOKUP(B593,'Player Data'!$A1:$AE734,15,FALSE)*$Q593</f>
        <v>45.8845815734607</v>
      </c>
      <c r="AB593" s="48">
        <f>VLOOKUP(B593,'Player Data'!$A1:$AE734,16,FALSE)*$Q593</f>
        <v>112.251507787725</v>
      </c>
      <c r="AC593" s="48">
        <f>VLOOKUP(B593,'Player Data'!$A1:$AE734,17,FALSE)*$Q593*_xlfn.IFERROR((VLOOKUP(P593,'Settings'!$E$28:$F$33,2,FALSE)+1),1)</f>
        <v>-0.0278222315376804</v>
      </c>
      <c r="AD593" s="48">
        <f>VLOOKUP(B593,'Player Data'!$A1:$AE734,18,FALSE)*$Q593</f>
        <v>29.8923608940719</v>
      </c>
      <c r="AE593" s="48">
        <f>VLOOKUP(B593,'Player Data'!$A1:$AE734,19,FALSE)*$Q593*_xlfn.IFERROR((VLOOKUP(P593,'Settings'!$E$28:$F$33,2,FALSE)+1),1)</f>
        <v>0.140611209137857</v>
      </c>
      <c r="AF593" s="48">
        <f>VLOOKUP(B593,'Player Data'!$A1:$AE734,20,FALSE)*$Q593</f>
        <v>0</v>
      </c>
      <c r="AG593" s="48">
        <f>VLOOKUP(B593,'Player Data'!$A1:$AE734,21,FALSE)*$Q593</f>
        <v>0</v>
      </c>
      <c r="AH593" s="49">
        <f>VLOOKUP(B593,'Player Data'!$A1:$AE734,22,FALSE)</f>
        <v>0</v>
      </c>
      <c r="AI593" s="46"/>
      <c r="AJ593" s="50"/>
      <c r="AK593" s="48"/>
      <c r="AL593" s="48"/>
      <c r="AM593" s="48"/>
      <c r="AN593" s="48"/>
      <c r="AO593" s="48"/>
      <c r="AP593" s="48"/>
      <c r="AQ593" s="51"/>
      <c r="AR593" s="52"/>
      <c r="AS593" s="46"/>
    </row>
    <row r="594" ht="21.25" customHeight="1">
      <c r="A594" s="53">
        <f>RANK(K594,K2:K730)</f>
        <v>499</v>
      </c>
      <c r="B594" t="s" s="8">
        <v>746</v>
      </c>
      <c r="C594" t="s" s="39">
        <v>106</v>
      </c>
      <c r="D594" t="s" s="40">
        <f>VLOOKUP(B594,'Player Data'!A1:D734,4,FALSE)</f>
        <v>133</v>
      </c>
      <c r="E594" s="57">
        <f>VLOOKUP(B594,'LW'!A1:C156,3,FALSE)</f>
        <v>109</v>
      </c>
      <c r="F594" t="s" s="42">
        <f>VLOOKUP(B594,'Player Data'!A1:B734,2,FALSE)</f>
        <v>194</v>
      </c>
      <c r="G594" s="9">
        <f>VLOOKUP(B594,'Player Data'!A1:D734,3,FALSE)</f>
        <v>27</v>
      </c>
      <c r="H594" s="43">
        <f>_xlfn.IFERROR(VLOOKUP(B594,'ADP'!A1:G731,7,FALSE)/1000000,VLOOKUP(B594,'ADP'!A1:G731,7,FALSE))</f>
        <v>1</v>
      </c>
      <c r="I594" s="44">
        <f>IF('Settings'!$E$15="POINTS",((R594*Q594)*'Settings'!$B$12)+(S594*'Settings'!$B$2)+(T594*'Settings'!$B$3)+(U594*'Settings'!$B$4)+(V594*'Settings'!$B$5)+(X594*'Settings'!$B$9)+(AA594*'Settings'!$B$6)+(W594*'Settings'!$B$8)+(AB594*'Settings'!$B$7)+(AC594*'Settings'!$B$14)+(AD594*'Settings'!$B$15)+(AE594*'Settings'!$B$16)+(AF594*'Settings'!$B$17)+(AG594*'Settings'!$B$18)+(Y594*'Settings'!$B$10)+(Z594*'Settings'!$B$11),VLOOKUP(B594,'Standard Deviations'!A1:C731,3,FALSE))</f>
        <v>199.266010038760</v>
      </c>
      <c r="J594" s="45">
        <f>IF(D594="G",I594/AJ594,I594/Q594)</f>
        <v>2.78649181004299</v>
      </c>
      <c r="K594" s="44">
        <f>IF('Settings'!$E$18="C/LW/RW",VLOOKUP(B594,'LW'!A1:F156,6,FALSE),VLOOKUP(B594,'F'!A1:F432,6,FALSE))</f>
        <v>-182.362553667596</v>
      </c>
      <c r="L594" s="44">
        <f>_xlfn.IFERROR(K594/H594,"N/A")</f>
        <v>-182.362553667596</v>
      </c>
      <c r="M594" s="46">
        <f>IF('Settings'!$E$9="YAHOO",VLOOKUP(B594,'ADP'!A1:E731,2,FALSE),IF('Settings'!$E$9="ESPN",VLOOKUP(B594,'ADP'!A1:E731,3,FALSE),IF('Settings'!$E$9="FANTRAX",VLOOKUP(B594,'ADP'!A1:E731,4,FALSE),VLOOKUP(B594,'ADP'!A1:E731,5,FALSE))))</f>
        <v>225.91</v>
      </c>
      <c r="N594" s="46">
        <f>_xlfn.IFERROR(M594-A594,"N/A")</f>
        <v>-273.09</v>
      </c>
      <c r="O594" s="46"/>
      <c r="P594" t="s" s="47">
        <f>IF('Settings'!$E$27="ON",VLOOKUP(B594,'ADP'!A1:H731,8,FALSE)," ")</f>
        <v>109</v>
      </c>
      <c r="Q594" s="48">
        <f>IF('Settings'!$E$12="YES",VLOOKUP(B594,'Player Data'!A1:E734,5,FALSE),82)</f>
        <v>71.5114285714286</v>
      </c>
      <c r="R594" s="46">
        <f>VLOOKUP(B594,'Player Data'!$A1:$AE734,6,FALSE)</f>
        <v>12.1292917207309</v>
      </c>
      <c r="S594" s="48">
        <f>VLOOKUP(B594,'Player Data'!$A1:$AE734,7,FALSE)*$Q594*_xlfn.IFERROR((VLOOKUP(P594,'Settings'!$E$28:$F$33,2,FALSE)+1),1)</f>
        <v>9.636009206762671</v>
      </c>
      <c r="T594" s="48">
        <f>VLOOKUP(B594,'Player Data'!$A1:$AE734,8,FALSE)*$Q594*_xlfn.IFERROR((VLOOKUP(P594,'Settings'!$E$28:$F$33,2,FALSE)+1),1)</f>
        <v>15.9487662476094</v>
      </c>
      <c r="U594" s="48">
        <f>SUM(S594:T594)</f>
        <v>25.5847754543721</v>
      </c>
      <c r="V594" s="48">
        <f>VLOOKUP(B594,'Player Data'!$A1:$AE734,10,FALSE)*$Q594*_xlfn.IFERROR(((VLOOKUP(P594,'Settings'!$E$28:$F$33,2,FALSE)/2)+1),1)</f>
        <v>75.26739293278941</v>
      </c>
      <c r="W594" s="48">
        <f>VLOOKUP(B594,'Player Data'!$A1:$AE734,11,FALSE)*$Q594*_xlfn.IFERROR((VLOOKUP(P594,'Settings'!$E$28:$F$33,2,FALSE)+1),1)</f>
        <v>0.326023220098817</v>
      </c>
      <c r="X594" s="48">
        <f>VLOOKUP(B594,'Player Data'!$A1:$AE734,12,FALSE)*$Q594*_xlfn.IFERROR((VLOOKUP(P594,'Settings'!$E$28:$F$33,2,FALSE)+1),1)</f>
        <v>1.16798828986006</v>
      </c>
      <c r="Y594" s="48">
        <f>VLOOKUP(B594,'Player Data'!$A1:$AE734,13,FALSE)*$Q594</f>
        <v>0.00234080285355761</v>
      </c>
      <c r="Z594" s="48">
        <f>VLOOKUP(B594,'Player Data'!$A1:$AE734,14,FALSE)*$Q594</f>
        <v>0.00429903605488099</v>
      </c>
      <c r="AA594" s="48">
        <f>VLOOKUP(B594,'Player Data'!$A1:$AE734,15,FALSE)*$Q594</f>
        <v>35.061902875230</v>
      </c>
      <c r="AB594" s="48">
        <f>VLOOKUP(B594,'Player Data'!$A1:$AE734,16,FALSE)*$Q594</f>
        <v>211.537695557523</v>
      </c>
      <c r="AC594" s="48">
        <f>VLOOKUP(B594,'Player Data'!$A1:$AE734,17,FALSE)*$Q594*_xlfn.IFERROR((VLOOKUP(P594,'Settings'!$E$28:$F$33,2,FALSE)+1),1)</f>
        <v>-2.94796358485695</v>
      </c>
      <c r="AD594" s="48">
        <f>VLOOKUP(B594,'Player Data'!$A1:$AE734,18,FALSE)*$Q594</f>
        <v>30.8046408094865</v>
      </c>
      <c r="AE594" s="48">
        <f>VLOOKUP(B594,'Player Data'!$A1:$AE734,19,FALSE)*$Q594*_xlfn.IFERROR((VLOOKUP(P594,'Settings'!$E$28:$F$33,2,FALSE)+1),1)</f>
        <v>1.10884190176225</v>
      </c>
      <c r="AF594" s="48">
        <f>VLOOKUP(B594,'Player Data'!$A1:$AE734,20,FALSE)*$Q594</f>
        <v>2.94208432228067</v>
      </c>
      <c r="AG594" s="48">
        <f>VLOOKUP(B594,'Player Data'!$A1:$AE734,21,FALSE)*$Q594</f>
        <v>5.0094348646539</v>
      </c>
      <c r="AH594" s="49">
        <f>VLOOKUP(B594,'Player Data'!$A1:$AE734,22,FALSE)</f>
        <v>0.370002794826291</v>
      </c>
      <c r="AI594" s="46"/>
      <c r="AJ594" s="50"/>
      <c r="AK594" s="48"/>
      <c r="AL594" s="48"/>
      <c r="AM594" s="48"/>
      <c r="AN594" s="48"/>
      <c r="AO594" s="48"/>
      <c r="AP594" s="48"/>
      <c r="AQ594" s="51"/>
      <c r="AR594" s="52"/>
      <c r="AS594" s="46"/>
    </row>
    <row r="595" ht="21.25" customHeight="1">
      <c r="A595" s="53">
        <f>RANK(K595,K2:K730)</f>
        <v>628</v>
      </c>
      <c r="B595" t="s" s="8">
        <v>747</v>
      </c>
      <c r="C595" t="s" s="39">
        <v>106</v>
      </c>
      <c r="D595" t="s" s="40">
        <f>VLOOKUP(B595,'Player Data'!A1:D734,4,FALSE)</f>
        <v>107</v>
      </c>
      <c r="E595" s="41">
        <f>VLOOKUP(B595,'C'!A1:C218,3,FALSE)</f>
        <v>165</v>
      </c>
      <c r="F595" t="s" s="42">
        <f>VLOOKUP(B595,'Player Data'!A1:B734,2,FALSE)</f>
        <v>136</v>
      </c>
      <c r="G595" s="9">
        <f>VLOOKUP(B595,'Player Data'!A1:D734,3,FALSE)</f>
        <v>33</v>
      </c>
      <c r="H595" s="43">
        <f>_xlfn.IFERROR(VLOOKUP(B595,'ADP'!A1:G731,7,FALSE)/1000000,VLOOKUP(B595,'ADP'!A1:G731,7,FALSE))</f>
        <v>1</v>
      </c>
      <c r="I595" s="44">
        <f>IF('Settings'!$E$15="POINTS",((R595*Q595)*'Settings'!$B$12)+(S595*'Settings'!$B$2)+(T595*'Settings'!$B$3)+(U595*'Settings'!$B$4)+(V595*'Settings'!$B$5)+(X595*'Settings'!$B$9)+(AA595*'Settings'!$B$6)+(W595*'Settings'!$B$8)+(AB595*'Settings'!$B$7)+(AC595*'Settings'!$B$14)+(AD595*'Settings'!$B$15)+(AE595*'Settings'!$B$16)+(AF595*'Settings'!$B$17)+(AG595*'Settings'!$B$18)+(Y595*'Settings'!$B$10)+(Z595*'Settings'!$B$11),VLOOKUP(B595,'Standard Deviations'!A1:C731,3,FALSE))</f>
        <v>170.855535245220</v>
      </c>
      <c r="J595" s="45">
        <f>IF(D595="G",I595/AJ595,I595/Q595)</f>
        <v>2.20623460226813</v>
      </c>
      <c r="K595" s="44">
        <f>IF('Settings'!$E$18="C/LW/RW",VLOOKUP(B595,'C'!A1:F218,6,FALSE),VLOOKUP(B595,'F'!A1:F432,6,FALSE))</f>
        <v>-224.918666390795</v>
      </c>
      <c r="L595" s="44">
        <f>_xlfn.IFERROR(K595/H595,"N/A")</f>
        <v>-224.918666390795</v>
      </c>
      <c r="M595" t="s" s="61">
        <f>IF('Settings'!$E$9="YAHOO",VLOOKUP(B595,'ADP'!A1:E731,2,FALSE),IF('Settings'!$E$9="ESPN",VLOOKUP(B595,'ADP'!A1:E731,3,FALSE),IF('Settings'!$E$9="FANTRAX",VLOOKUP(B595,'ADP'!A1:E731,4,FALSE),VLOOKUP(B595,'ADP'!A1:E731,5,FALSE))))</f>
        <v>329</v>
      </c>
      <c r="N595" t="s" s="61">
        <f>_xlfn.IFERROR(M595-A595,"N/A")</f>
        <v>158</v>
      </c>
      <c r="O595" s="46"/>
      <c r="P595" t="s" s="47">
        <f>IF('Settings'!$E$27="ON",VLOOKUP(B595,'ADP'!A1:H731,8,FALSE)," ")</f>
        <v>109</v>
      </c>
      <c r="Q595" s="48">
        <f>IF('Settings'!$E$12="YES",VLOOKUP(B595,'Player Data'!A1:E734,5,FALSE),82)</f>
        <v>77.4421428571429</v>
      </c>
      <c r="R595" s="46">
        <f>VLOOKUP(B595,'Player Data'!$A1:$AE734,6,FALSE)</f>
        <v>10.7256716758765</v>
      </c>
      <c r="S595" s="48">
        <f>VLOOKUP(B595,'Player Data'!$A1:$AE734,7,FALSE)*$Q595*_xlfn.IFERROR((VLOOKUP(P595,'Settings'!$E$28:$F$33,2,FALSE)+1),1)</f>
        <v>10.2952728303667</v>
      </c>
      <c r="T595" s="48">
        <f>VLOOKUP(B595,'Player Data'!$A1:$AE734,8,FALSE)*$Q595*_xlfn.IFERROR((VLOOKUP(P595,'Settings'!$E$28:$F$33,2,FALSE)+1),1)</f>
        <v>10.3937037304615</v>
      </c>
      <c r="U595" s="48">
        <f>SUM(S595:T595)</f>
        <v>20.6889765608282</v>
      </c>
      <c r="V595" s="48">
        <f>VLOOKUP(B595,'Player Data'!$A1:$AE734,10,FALSE)*$Q595*_xlfn.IFERROR(((VLOOKUP(P595,'Settings'!$E$28:$F$33,2,FALSE)/2)+1),1)</f>
        <v>123.440572659964</v>
      </c>
      <c r="W595" s="48">
        <f>VLOOKUP(B595,'Player Data'!$A1:$AE734,11,FALSE)*$Q595*_xlfn.IFERROR((VLOOKUP(P595,'Settings'!$E$28:$F$33,2,FALSE)+1),1)</f>
        <v>0.0480285863874999</v>
      </c>
      <c r="X595" s="48">
        <f>VLOOKUP(B595,'Player Data'!$A1:$AE734,12,FALSE)*$Q595*_xlfn.IFERROR((VLOOKUP(P595,'Settings'!$E$28:$F$33,2,FALSE)+1),1)</f>
        <v>0.160592851502351</v>
      </c>
      <c r="Y595" s="48">
        <f>VLOOKUP(B595,'Player Data'!$A1:$AE734,13,FALSE)*$Q595</f>
        <v>0.00123739865809471</v>
      </c>
      <c r="Z595" s="48">
        <f>VLOOKUP(B595,'Player Data'!$A1:$AE734,14,FALSE)*$Q595</f>
        <v>0.00226917373803129</v>
      </c>
      <c r="AA595" s="48">
        <f>VLOOKUP(B595,'Player Data'!$A1:$AE734,15,FALSE)*$Q595</f>
        <v>25.2608245427478</v>
      </c>
      <c r="AB595" s="48">
        <f>VLOOKUP(B595,'Player Data'!$A1:$AE734,16,FALSE)*$Q595</f>
        <v>75.9618374734145</v>
      </c>
      <c r="AC595" s="48">
        <f>VLOOKUP(B595,'Player Data'!$A1:$AE734,17,FALSE)*$Q595*_xlfn.IFERROR((VLOOKUP(P595,'Settings'!$E$28:$F$33,2,FALSE)+1),1)</f>
        <v>4.75129869245537</v>
      </c>
      <c r="AD595" s="48">
        <f>VLOOKUP(B595,'Player Data'!$A1:$AE734,18,FALSE)*$Q595</f>
        <v>21.5293945424581</v>
      </c>
      <c r="AE595" s="48">
        <f>VLOOKUP(B595,'Player Data'!$A1:$AE734,19,FALSE)*$Q595*_xlfn.IFERROR((VLOOKUP(P595,'Settings'!$E$28:$F$33,2,FALSE)+1),1)</f>
        <v>1.64717066910892</v>
      </c>
      <c r="AF595" s="48">
        <f>VLOOKUP(B595,'Player Data'!$A1:$AE734,20,FALSE)*$Q595</f>
        <v>3.941240343662</v>
      </c>
      <c r="AG595" s="48">
        <f>VLOOKUP(B595,'Player Data'!$A1:$AE734,21,FALSE)*$Q595</f>
        <v>8.426459163478841</v>
      </c>
      <c r="AH595" s="49">
        <f>VLOOKUP(B595,'Player Data'!$A1:$AE734,22,FALSE)</f>
        <v>0.318672065195828</v>
      </c>
      <c r="AI595" s="46"/>
      <c r="AJ595" s="50"/>
      <c r="AK595" s="48"/>
      <c r="AL595" s="48"/>
      <c r="AM595" s="48"/>
      <c r="AN595" s="48"/>
      <c r="AO595" s="48"/>
      <c r="AP595" s="48"/>
      <c r="AQ595" s="51"/>
      <c r="AR595" s="52"/>
      <c r="AS595" s="46"/>
    </row>
    <row r="596" ht="21.25" customHeight="1">
      <c r="A596" s="53">
        <f>RANK(K596,K2:K730)</f>
        <v>568</v>
      </c>
      <c r="B596" t="s" s="8">
        <v>748</v>
      </c>
      <c r="C596" t="s" s="39">
        <v>106</v>
      </c>
      <c r="D596" t="s" s="40">
        <f>VLOOKUP(B596,'Player Data'!A1:D734,4,FALSE)</f>
        <v>121</v>
      </c>
      <c r="E596" s="55">
        <f>VLOOKUP(B596,'RW'!A1:F132,3,FALSE)</f>
        <v>105</v>
      </c>
      <c r="F596" t="s" s="42">
        <f>VLOOKUP(B596,'Player Data'!A1:B734,2,FALSE)</f>
        <v>166</v>
      </c>
      <c r="G596" s="9">
        <f>VLOOKUP(B596,'Player Data'!A1:D734,3,FALSE)</f>
        <v>27</v>
      </c>
      <c r="H596" s="43">
        <f>_xlfn.IFERROR(VLOOKUP(B596,'ADP'!A1:G731,7,FALSE)/1000000,VLOOKUP(B596,'ADP'!A1:G731,7,FALSE))</f>
        <v>1.25</v>
      </c>
      <c r="I596" s="44">
        <f>IF('Settings'!$E$15="POINTS",((R596*Q596)*'Settings'!$B$12)+(S596*'Settings'!$B$2)+(T596*'Settings'!$B$3)+(U596*'Settings'!$B$4)+(V596*'Settings'!$B$5)+(X596*'Settings'!$B$9)+(AA596*'Settings'!$B$6)+(W596*'Settings'!$B$8)+(AB596*'Settings'!$B$7)+(AC596*'Settings'!$B$14)+(AD596*'Settings'!$B$15)+(AE596*'Settings'!$B$16)+(AF596*'Settings'!$B$17)+(AG596*'Settings'!$B$18)+(Y596*'Settings'!$B$10)+(Z596*'Settings'!$B$11),VLOOKUP(B596,'Standard Deviations'!A1:C731,3,FALSE))</f>
        <v>173.780449945236</v>
      </c>
      <c r="J596" s="45">
        <f>IF(D596="G",I596/AJ596,I596/Q596)</f>
        <v>2.32004453250431</v>
      </c>
      <c r="K596" s="44">
        <f>IF('Settings'!$E$18="C/LW/RW",VLOOKUP(B596,'RW'!A1:F132,6,FALSE),VLOOKUP(B596,'F'!A1:F432,6,FALSE))</f>
        <v>-207.848113761120</v>
      </c>
      <c r="L596" s="44">
        <f>_xlfn.IFERROR(K596/H596,"N/A")</f>
        <v>-166.278491008896</v>
      </c>
      <c r="M596" t="s" s="61">
        <f>IF('Settings'!$E$9="YAHOO",VLOOKUP(B596,'ADP'!A1:E731,2,FALSE),IF('Settings'!$E$9="ESPN",VLOOKUP(B596,'ADP'!A1:E731,3,FALSE),IF('Settings'!$E$9="FANTRAX",VLOOKUP(B596,'ADP'!A1:E731,4,FALSE),VLOOKUP(B596,'ADP'!A1:E731,5,FALSE))))</f>
        <v>329</v>
      </c>
      <c r="N596" t="s" s="61">
        <f>_xlfn.IFERROR(M596-A596,"N/A")</f>
        <v>158</v>
      </c>
      <c r="O596" s="46"/>
      <c r="P596" t="s" s="47">
        <f>IF('Settings'!$E$27="ON",VLOOKUP(B596,'ADP'!A1:H731,8,FALSE)," ")</f>
        <v>109</v>
      </c>
      <c r="Q596" s="48">
        <f>IF('Settings'!$E$12="YES",VLOOKUP(B596,'Player Data'!A1:E734,5,FALSE),82)</f>
        <v>74.90392857142859</v>
      </c>
      <c r="R596" s="46">
        <f>VLOOKUP(B596,'Player Data'!$A1:$AE734,6,FALSE)</f>
        <v>11.6591043865379</v>
      </c>
      <c r="S596" s="48">
        <f>VLOOKUP(B596,'Player Data'!$A1:$AE734,7,FALSE)*$Q596*_xlfn.IFERROR((VLOOKUP(P596,'Settings'!$E$28:$F$33,2,FALSE)+1),1)</f>
        <v>8.46008569820188</v>
      </c>
      <c r="T596" s="48">
        <f>VLOOKUP(B596,'Player Data'!$A1:$AE734,8,FALSE)*$Q596*_xlfn.IFERROR((VLOOKUP(P596,'Settings'!$E$28:$F$33,2,FALSE)+1),1)</f>
        <v>12.9527642382683</v>
      </c>
      <c r="U596" s="48">
        <f>SUM(S596:T596)</f>
        <v>21.4128499364702</v>
      </c>
      <c r="V596" s="48">
        <f>VLOOKUP(B596,'Player Data'!$A1:$AE734,10,FALSE)*$Q596*_xlfn.IFERROR(((VLOOKUP(P596,'Settings'!$E$28:$F$33,2,FALSE)/2)+1),1)</f>
        <v>96.0790080992648</v>
      </c>
      <c r="W596" s="48">
        <f>VLOOKUP(B596,'Player Data'!$A1:$AE734,11,FALSE)*$Q596*_xlfn.IFERROR((VLOOKUP(P596,'Settings'!$E$28:$F$33,2,FALSE)+1),1)</f>
        <v>0.0233532915615355</v>
      </c>
      <c r="X596" s="48">
        <f>VLOOKUP(B596,'Player Data'!$A1:$AE734,12,FALSE)*$Q596*_xlfn.IFERROR((VLOOKUP(P596,'Settings'!$E$28:$F$33,2,FALSE)+1),1)</f>
        <v>0.0594986606034267</v>
      </c>
      <c r="Y596" s="48">
        <f>VLOOKUP(B596,'Player Data'!$A1:$AE734,13,FALSE)*$Q596</f>
        <v>0.186404792949448</v>
      </c>
      <c r="Z596" s="48">
        <f>VLOOKUP(B596,'Player Data'!$A1:$AE734,14,FALSE)*$Q596</f>
        <v>0.343068746780352</v>
      </c>
      <c r="AA596" s="48">
        <f>VLOOKUP(B596,'Player Data'!$A1:$AE734,15,FALSE)*$Q596</f>
        <v>19.8637206814568</v>
      </c>
      <c r="AB596" s="48">
        <f>VLOOKUP(B596,'Player Data'!$A1:$AE734,16,FALSE)*$Q596</f>
        <v>152.777078818406</v>
      </c>
      <c r="AC596" s="48">
        <f>VLOOKUP(B596,'Player Data'!$A1:$AE734,17,FALSE)*$Q596*_xlfn.IFERROR((VLOOKUP(P596,'Settings'!$E$28:$F$33,2,FALSE)+1),1)</f>
        <v>-2.20112348019057</v>
      </c>
      <c r="AD596" s="48">
        <f>VLOOKUP(B596,'Player Data'!$A1:$AE734,18,FALSE)*$Q596</f>
        <v>49.4147008664998</v>
      </c>
      <c r="AE596" s="48">
        <f>VLOOKUP(B596,'Player Data'!$A1:$AE734,19,FALSE)*$Q596*_xlfn.IFERROR((VLOOKUP(P596,'Settings'!$E$28:$F$33,2,FALSE)+1),1)</f>
        <v>1.04064034280111</v>
      </c>
      <c r="AF596" s="48">
        <f>VLOOKUP(B596,'Player Data'!$A1:$AE734,20,FALSE)*$Q596</f>
        <v>6.51554356980946</v>
      </c>
      <c r="AG596" s="48">
        <f>VLOOKUP(B596,'Player Data'!$A1:$AE734,21,FALSE)*$Q596</f>
        <v>10.9200041373175</v>
      </c>
      <c r="AH596" s="49">
        <f>VLOOKUP(B596,'Player Data'!$A1:$AE734,22,FALSE)</f>
        <v>0.373693082618</v>
      </c>
      <c r="AI596" s="46"/>
      <c r="AJ596" s="50"/>
      <c r="AK596" s="48"/>
      <c r="AL596" s="48"/>
      <c r="AM596" s="48"/>
      <c r="AN596" s="48"/>
      <c r="AO596" s="48"/>
      <c r="AP596" s="48"/>
      <c r="AQ596" s="51"/>
      <c r="AR596" s="52"/>
      <c r="AS596" s="46"/>
    </row>
    <row r="597" ht="21.25" customHeight="1">
      <c r="A597" s="53">
        <f>RANK(K597,K2:K730)</f>
        <v>343</v>
      </c>
      <c r="B597" t="s" s="8">
        <v>749</v>
      </c>
      <c r="C597" t="s" s="39">
        <v>106</v>
      </c>
      <c r="D597" t="s" s="40">
        <f>VLOOKUP(B597,'Player Data'!A1:D734,4,FALSE)</f>
        <v>146</v>
      </c>
      <c r="E597" s="58">
        <f>VLOOKUP(B597,'G'!A1:D75,3,FALSE)</f>
        <v>45</v>
      </c>
      <c r="F597" t="s" s="42">
        <f>VLOOKUP(B597,'Player Data'!A1:B734,2,FALSE)</f>
        <v>189</v>
      </c>
      <c r="G597" s="9">
        <f>VLOOKUP(B597,'Player Data'!A1:D734,3,FALSE)</f>
        <v>24</v>
      </c>
      <c r="H597" s="43">
        <f>_xlfn.IFERROR(VLOOKUP(B597,'ADP'!A1:G731,7,FALSE)/1000000,VLOOKUP(B597,'ADP'!A1:G731,7,FALSE))</f>
        <v>0</v>
      </c>
      <c r="I597" s="44">
        <f>IF('Settings'!$E$15="POINTS",(AJ597*'Settings'!$B$29)+(AK597*'Settings'!$B$21)+(AL597*'Settings'!$B$22)+(AN597*'Settings'!$B$24)+(AO597*'Settings'!$B$25)+(AP597*'Settings'!$B$27)+(AM597*'Settings'!$B$23),VLOOKUP(B597,'Standard Deviations'!A1:C731,3,FALSE))</f>
        <v>134.988791031934</v>
      </c>
      <c r="J597" s="45">
        <f>IF(D597="G",I597/AJ597,I597/Q597)</f>
        <v>5.39955164127736</v>
      </c>
      <c r="K597" s="44">
        <f>VLOOKUP(B597,'G'!A1:F75,6,FALSE)</f>
        <v>-130.314430467754</v>
      </c>
      <c r="L597" t="s" s="60">
        <f>_xlfn.IFERROR(K597/H597,"N/A")</f>
        <v>158</v>
      </c>
      <c r="M597" t="s" s="61">
        <f>IF('Settings'!$E$9="YAHOO",VLOOKUP(B597,'ADP'!A1:E731,2,FALSE),IF('Settings'!$E$9="ESPN",VLOOKUP(B597,'ADP'!A1:E731,3,FALSE),IF('Settings'!$E$9="FANTRAX",VLOOKUP(B597,'ADP'!A1:E731,4,FALSE),VLOOKUP(B597,'ADP'!A1:E731,5,FALSE))))</f>
        <v>329</v>
      </c>
      <c r="N597" t="s" s="61">
        <f>_xlfn.IFERROR(M597-A597,"N/A")</f>
        <v>158</v>
      </c>
      <c r="O597" s="46"/>
      <c r="P597" t="s" s="47">
        <f>IF('Settings'!$E$27="ON",VLOOKUP(B597,'ADP'!A1:H731,8,FALSE)," ")</f>
        <v>109</v>
      </c>
      <c r="Q597" s="48"/>
      <c r="R597" s="59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9"/>
      <c r="AI597" s="46"/>
      <c r="AJ597" s="50">
        <f>VLOOKUP(B597,'Player Data'!$A1:$AE734,24,FALSE)</f>
        <v>25</v>
      </c>
      <c r="AK597" s="48">
        <f>VLOOKUP(B597,'Player Data'!$A1:$AE734,25,FALSE)*$AJ597*_xlfn.IFERROR((VLOOKUP(P597,'Settings'!$E$28:$F$33,2,FALSE)+1),1)</f>
        <v>9.567063898134579</v>
      </c>
      <c r="AL597" s="48">
        <f>AJ597-AK597-AM597</f>
        <v>12.3079361018654</v>
      </c>
      <c r="AM597" s="48">
        <f>VLOOKUP(B597,'Player Data'!$A1:$AE734,27,FALSE)*$AJ597</f>
        <v>3.125</v>
      </c>
      <c r="AN597" s="48">
        <f>VLOOKUP(B597,'Player Data'!$A1:$AE734,28,FALSE)*AJ597</f>
        <v>0.600485853652223</v>
      </c>
      <c r="AO597" s="48">
        <f>VLOOKUP(B597,'Player Data'!$A1:$AE734,29,FALSE)*$AJ597*_xlfn.IFERROR((VLOOKUP(P597,'Settings'!$E$28:$F$33,2,FALSE)/4)+1,1)</f>
        <v>752.0511540685829</v>
      </c>
      <c r="AP597" s="48">
        <f>VLOOKUP(B597,'Player Data'!$A1:$AE734,31,FALSE)*$AJ597*(_xlfn.IFERROR(1-(VLOOKUP(P597,'Settings'!$E$28:$F$33,2,FALSE)/4),1))</f>
        <v>80.7528029626673</v>
      </c>
      <c r="AQ597" s="51">
        <f>1-(AP597/(AO597+AP597))</f>
        <v>0.903035039302008</v>
      </c>
      <c r="AR597" s="52">
        <f>AP597/AJ597</f>
        <v>3.23011211850669</v>
      </c>
      <c r="AS597" s="46"/>
    </row>
    <row r="598" ht="21.25" customHeight="1">
      <c r="A598" s="53">
        <f>RANK(K598,K2:K730)</f>
        <v>634</v>
      </c>
      <c r="B598" t="s" s="8">
        <v>750</v>
      </c>
      <c r="C598" t="s" s="39">
        <v>106</v>
      </c>
      <c r="D598" t="s" s="40">
        <f>VLOOKUP(B598,'Player Data'!A1:D734,4,FALSE)</f>
        <v>107</v>
      </c>
      <c r="E598" s="41">
        <f>VLOOKUP(B598,'C'!A1:C218,3,FALSE)</f>
        <v>168</v>
      </c>
      <c r="F598" t="s" s="42">
        <f>VLOOKUP(B598,'Player Data'!A1:B734,2,FALSE)</f>
        <v>258</v>
      </c>
      <c r="G598" s="9">
        <f>VLOOKUP(B598,'Player Data'!A1:D734,3,FALSE)</f>
        <v>27</v>
      </c>
      <c r="H598" s="43">
        <f>_xlfn.IFERROR(VLOOKUP(B598,'ADP'!A1:G731,7,FALSE)/1000000,VLOOKUP(B598,'ADP'!A1:G731,7,FALSE))</f>
        <v>1.7</v>
      </c>
      <c r="I598" s="44">
        <f>IF('Settings'!$E$15="POINTS",((R598*Q598)*'Settings'!$B$12)+(S598*'Settings'!$B$2)+(T598*'Settings'!$B$3)+(U598*'Settings'!$B$4)+(V598*'Settings'!$B$5)+(X598*'Settings'!$B$9)+(AA598*'Settings'!$B$6)+(W598*'Settings'!$B$8)+(AB598*'Settings'!$B$7)+(AC598*'Settings'!$B$14)+(AD598*'Settings'!$B$15)+(AE598*'Settings'!$B$16)+(AF598*'Settings'!$B$17)+(AG598*'Settings'!$B$18)+(Y598*'Settings'!$B$10)+(Z598*'Settings'!$B$11),VLOOKUP(B598,'Standard Deviations'!A1:C731,3,FALSE))</f>
        <v>169.323815551499</v>
      </c>
      <c r="J598" s="45">
        <f>IF(D598="G",I598/AJ598,I598/Q598)</f>
        <v>2.27686326307796</v>
      </c>
      <c r="K598" s="44">
        <f>IF('Settings'!$E$18="C/LW/RW",VLOOKUP(B598,'C'!A1:F218,6,FALSE),VLOOKUP(B598,'F'!A1:F432,6,FALSE))</f>
        <v>-226.450386084516</v>
      </c>
      <c r="L598" s="44">
        <f>_xlfn.IFERROR(K598/H598,"N/A")</f>
        <v>-133.206109461480</v>
      </c>
      <c r="M598" t="s" s="61">
        <f>IF('Settings'!$E$9="YAHOO",VLOOKUP(B598,'ADP'!A1:E731,2,FALSE),IF('Settings'!$E$9="ESPN",VLOOKUP(B598,'ADP'!A1:E731,3,FALSE),IF('Settings'!$E$9="FANTRAX",VLOOKUP(B598,'ADP'!A1:E731,4,FALSE),VLOOKUP(B598,'ADP'!A1:E731,5,FALSE))))</f>
        <v>329</v>
      </c>
      <c r="N598" t="s" s="61">
        <f>_xlfn.IFERROR(M598-A598,"N/A")</f>
        <v>158</v>
      </c>
      <c r="O598" s="46"/>
      <c r="P598" t="s" s="47">
        <f>IF('Settings'!$E$27="ON",VLOOKUP(B598,'ADP'!A1:H731,8,FALSE)," ")</f>
        <v>109</v>
      </c>
      <c r="Q598" s="48">
        <f>IF('Settings'!$E$12="YES",VLOOKUP(B598,'Player Data'!A1:E734,5,FALSE),82)</f>
        <v>74.36714285714289</v>
      </c>
      <c r="R598" s="46">
        <f>VLOOKUP(B598,'Player Data'!$A1:$AE734,6,FALSE)</f>
        <v>13.5374809113221</v>
      </c>
      <c r="S598" s="48">
        <f>VLOOKUP(B598,'Player Data'!$A1:$AE734,7,FALSE)*$Q598*_xlfn.IFERROR((VLOOKUP(P598,'Settings'!$E$28:$F$33,2,FALSE)+1),1)</f>
        <v>6.77161953264028</v>
      </c>
      <c r="T598" s="48">
        <f>VLOOKUP(B598,'Player Data'!$A1:$AE734,8,FALSE)*$Q598*_xlfn.IFERROR((VLOOKUP(P598,'Settings'!$E$28:$F$33,2,FALSE)+1),1)</f>
        <v>17.6035417941272</v>
      </c>
      <c r="U598" s="48">
        <f>SUM(S598:T598)</f>
        <v>24.3751613267675</v>
      </c>
      <c r="V598" s="48">
        <f>VLOOKUP(B598,'Player Data'!$A1:$AE734,10,FALSE)*$Q598*_xlfn.IFERROR(((VLOOKUP(P598,'Settings'!$E$28:$F$33,2,FALSE)/2)+1),1)</f>
        <v>86.7902167825447</v>
      </c>
      <c r="W598" s="48">
        <f>VLOOKUP(B598,'Player Data'!$A1:$AE734,11,FALSE)*$Q598*_xlfn.IFERROR((VLOOKUP(P598,'Settings'!$E$28:$F$33,2,FALSE)+1),1)</f>
        <v>0.0933023572266907</v>
      </c>
      <c r="X598" s="48">
        <f>VLOOKUP(B598,'Player Data'!$A1:$AE734,12,FALSE)*$Q598*_xlfn.IFERROR((VLOOKUP(P598,'Settings'!$E$28:$F$33,2,FALSE)+1),1)</f>
        <v>0.16617888422188</v>
      </c>
      <c r="Y598" s="48">
        <f>VLOOKUP(B598,'Player Data'!$A1:$AE734,13,FALSE)*$Q598</f>
        <v>0.310032656060808</v>
      </c>
      <c r="Z598" s="48">
        <f>VLOOKUP(B598,'Player Data'!$A1:$AE734,14,FALSE)*$Q598</f>
        <v>2.26929560164357</v>
      </c>
      <c r="AA598" s="48">
        <f>VLOOKUP(B598,'Player Data'!$A1:$AE734,15,FALSE)*$Q598</f>
        <v>45.8646781065335</v>
      </c>
      <c r="AB598" s="48">
        <f>VLOOKUP(B598,'Player Data'!$A1:$AE734,16,FALSE)*$Q598</f>
        <v>60.6994544976407</v>
      </c>
      <c r="AC598" s="48">
        <f>VLOOKUP(B598,'Player Data'!$A1:$AE734,17,FALSE)*$Q598*_xlfn.IFERROR((VLOOKUP(P598,'Settings'!$E$28:$F$33,2,FALSE)+1),1)</f>
        <v>-6.52828636497702</v>
      </c>
      <c r="AD598" s="48">
        <f>VLOOKUP(B598,'Player Data'!$A1:$AE734,18,FALSE)*$Q598</f>
        <v>28.0817734798048</v>
      </c>
      <c r="AE598" s="48">
        <f>VLOOKUP(B598,'Player Data'!$A1:$AE734,19,FALSE)*$Q598*_xlfn.IFERROR((VLOOKUP(P598,'Settings'!$E$28:$F$33,2,FALSE)+1),1)</f>
        <v>0.693699024077608</v>
      </c>
      <c r="AF598" s="48">
        <f>VLOOKUP(B598,'Player Data'!$A1:$AE734,20,FALSE)*$Q598</f>
        <v>417.952175534886</v>
      </c>
      <c r="AG598" s="48">
        <f>VLOOKUP(B598,'Player Data'!$A1:$AE734,21,FALSE)*$Q598</f>
        <v>406.607235814531</v>
      </c>
      <c r="AH598" s="49">
        <f>VLOOKUP(B598,'Player Data'!$A1:$AE734,22,FALSE)</f>
        <v>0.506879394961843</v>
      </c>
      <c r="AI598" s="46"/>
      <c r="AJ598" s="50"/>
      <c r="AK598" s="48"/>
      <c r="AL598" s="48"/>
      <c r="AM598" s="48"/>
      <c r="AN598" s="48"/>
      <c r="AO598" s="48"/>
      <c r="AP598" s="48"/>
      <c r="AQ598" s="51"/>
      <c r="AR598" s="52"/>
      <c r="AS598" s="46"/>
    </row>
    <row r="599" ht="21.25" customHeight="1">
      <c r="A599" s="53">
        <f>RANK(K599,K2:K730)</f>
        <v>619</v>
      </c>
      <c r="B599" t="s" s="8">
        <v>751</v>
      </c>
      <c r="C599" t="s" s="39">
        <v>106</v>
      </c>
      <c r="D599" t="s" s="40">
        <f>VLOOKUP(B599,'Player Data'!A1:D734,4,FALSE)</f>
        <v>121</v>
      </c>
      <c r="E599" s="55">
        <f>VLOOKUP(B599,'RW'!A1:F132,3,FALSE)</f>
        <v>117</v>
      </c>
      <c r="F599" t="s" s="42">
        <f>VLOOKUP(B599,'Player Data'!A1:B734,2,FALSE)</f>
        <v>258</v>
      </c>
      <c r="G599" s="9">
        <f>VLOOKUP(B599,'Player Data'!A1:D734,3,FALSE)</f>
        <v>30</v>
      </c>
      <c r="H599" s="43">
        <f>_xlfn.IFERROR(VLOOKUP(B599,'ADP'!A1:G731,7,FALSE)/1000000,VLOOKUP(B599,'ADP'!A1:G731,7,FALSE))</f>
        <v>3.4</v>
      </c>
      <c r="I599" s="44">
        <f>IF('Settings'!$E$15="POINTS",((R599*Q599)*'Settings'!$B$12)+(S599*'Settings'!$B$2)+(T599*'Settings'!$B$3)+(U599*'Settings'!$B$4)+(V599*'Settings'!$B$5)+(X599*'Settings'!$B$9)+(AA599*'Settings'!$B$6)+(W599*'Settings'!$B$8)+(AB599*'Settings'!$B$7)+(AC599*'Settings'!$B$14)+(AD599*'Settings'!$B$15)+(AE599*'Settings'!$B$16)+(AF599*'Settings'!$B$17)+(AG599*'Settings'!$B$18)+(Y599*'Settings'!$B$10)+(Z599*'Settings'!$B$11),VLOOKUP(B599,'Standard Deviations'!A1:C731,3,FALSE))</f>
        <v>158.733083853085</v>
      </c>
      <c r="J599" s="45">
        <f>IF(D599="G",I599/AJ599,I599/Q599)</f>
        <v>2.27131216003924</v>
      </c>
      <c r="K599" s="44">
        <f>IF('Settings'!$E$18="C/LW/RW",VLOOKUP(B599,'RW'!A1:F132,6,FALSE),VLOOKUP(B599,'F'!A1:F432,6,FALSE))</f>
        <v>-222.895479853271</v>
      </c>
      <c r="L599" s="44">
        <f>_xlfn.IFERROR(K599/H599,"N/A")</f>
        <v>-65.5574940744915</v>
      </c>
      <c r="M599" t="s" s="61">
        <f>IF('Settings'!$E$9="YAHOO",VLOOKUP(B599,'ADP'!A1:E731,2,FALSE),IF('Settings'!$E$9="ESPN",VLOOKUP(B599,'ADP'!A1:E731,3,FALSE),IF('Settings'!$E$9="FANTRAX",VLOOKUP(B599,'ADP'!A1:E731,4,FALSE),VLOOKUP(B599,'ADP'!A1:E731,5,FALSE))))</f>
        <v>329</v>
      </c>
      <c r="N599" t="s" s="61">
        <f>_xlfn.IFERROR(M599-A599,"N/A")</f>
        <v>158</v>
      </c>
      <c r="O599" s="46"/>
      <c r="P599" t="s" s="47">
        <f>IF('Settings'!$E$27="ON",VLOOKUP(B599,'ADP'!A1:H731,8,FALSE)," ")</f>
        <v>109</v>
      </c>
      <c r="Q599" s="48">
        <f>IF('Settings'!$E$12="YES",VLOOKUP(B599,'Player Data'!A1:E734,5,FALSE),82)</f>
        <v>69.8860714285714</v>
      </c>
      <c r="R599" s="46">
        <f>VLOOKUP(B599,'Player Data'!$A1:$AE734,6,FALSE)</f>
        <v>13.1914524512245</v>
      </c>
      <c r="S599" s="48">
        <f>VLOOKUP(B599,'Player Data'!$A1:$AE734,7,FALSE)*$Q599*_xlfn.IFERROR((VLOOKUP(P599,'Settings'!$E$28:$F$33,2,FALSE)+1),1)</f>
        <v>8.44440962911419</v>
      </c>
      <c r="T599" s="48">
        <f>VLOOKUP(B599,'Player Data'!$A1:$AE734,8,FALSE)*$Q599*_xlfn.IFERROR((VLOOKUP(P599,'Settings'!$E$28:$F$33,2,FALSE)+1),1)</f>
        <v>9.528024462985551</v>
      </c>
      <c r="U599" s="48">
        <f>SUM(S599:T599)</f>
        <v>17.9724340920997</v>
      </c>
      <c r="V599" s="48">
        <f>VLOOKUP(B599,'Player Data'!$A1:$AE734,10,FALSE)*$Q599*_xlfn.IFERROR(((VLOOKUP(P599,'Settings'!$E$28:$F$33,2,FALSE)/2)+1),1)</f>
        <v>102.247959036731</v>
      </c>
      <c r="W599" s="48">
        <f>VLOOKUP(B599,'Player Data'!$A1:$AE734,11,FALSE)*$Q599*_xlfn.IFERROR((VLOOKUP(P599,'Settings'!$E$28:$F$33,2,FALSE)+1),1)</f>
        <v>0.221150502417625</v>
      </c>
      <c r="X599" s="48">
        <f>VLOOKUP(B599,'Player Data'!$A1:$AE734,12,FALSE)*$Q599*_xlfn.IFERROR((VLOOKUP(P599,'Settings'!$E$28:$F$33,2,FALSE)+1),1)</f>
        <v>0.655391853665932</v>
      </c>
      <c r="Y599" s="48">
        <f>VLOOKUP(B599,'Player Data'!$A1:$AE734,13,FALSE)*$Q599</f>
        <v>1.16070383263815</v>
      </c>
      <c r="Z599" s="48">
        <f>VLOOKUP(B599,'Player Data'!$A1:$AE734,14,FALSE)*$Q599</f>
        <v>1.46500637350401</v>
      </c>
      <c r="AA599" s="48">
        <f>VLOOKUP(B599,'Player Data'!$A1:$AE734,15,FALSE)*$Q599</f>
        <v>34.5991652139578</v>
      </c>
      <c r="AB599" s="48">
        <f>VLOOKUP(B599,'Player Data'!$A1:$AE734,16,FALSE)*$Q599</f>
        <v>83.1823690430469</v>
      </c>
      <c r="AC599" s="48">
        <f>VLOOKUP(B599,'Player Data'!$A1:$AE734,17,FALSE)*$Q599*_xlfn.IFERROR((VLOOKUP(P599,'Settings'!$E$28:$F$33,2,FALSE)+1),1)</f>
        <v>-6.91738205412513</v>
      </c>
      <c r="AD599" s="48">
        <f>VLOOKUP(B599,'Player Data'!$A1:$AE734,18,FALSE)*$Q599</f>
        <v>22.3416288271887</v>
      </c>
      <c r="AE599" s="48">
        <f>VLOOKUP(B599,'Player Data'!$A1:$AE734,19,FALSE)*$Q599*_xlfn.IFERROR((VLOOKUP(P599,'Settings'!$E$28:$F$33,2,FALSE)+1),1)</f>
        <v>0.865063178814486</v>
      </c>
      <c r="AF599" s="48">
        <f>VLOOKUP(B599,'Player Data'!$A1:$AE734,20,FALSE)*$Q599</f>
        <v>4.30560776733392</v>
      </c>
      <c r="AG599" s="48">
        <f>VLOOKUP(B599,'Player Data'!$A1:$AE734,21,FALSE)*$Q599</f>
        <v>12.4615363369999</v>
      </c>
      <c r="AH599" s="49">
        <f>VLOOKUP(B599,'Player Data'!$A1:$AE734,22,FALSE)</f>
        <v>0.256788379734928</v>
      </c>
      <c r="AI599" s="46"/>
      <c r="AJ599" s="50"/>
      <c r="AK599" s="48"/>
      <c r="AL599" s="48"/>
      <c r="AM599" s="48"/>
      <c r="AN599" s="48"/>
      <c r="AO599" s="48"/>
      <c r="AP599" s="48"/>
      <c r="AQ599" s="51"/>
      <c r="AR599" s="52"/>
      <c r="AS599" s="46"/>
    </row>
    <row r="600" ht="21.25" customHeight="1">
      <c r="A600" s="53">
        <f>RANK(K600,K2:K730)</f>
        <v>552</v>
      </c>
      <c r="B600" t="s" s="8">
        <v>752</v>
      </c>
      <c r="C600" t="s" s="39">
        <v>106</v>
      </c>
      <c r="D600" t="s" s="40">
        <f>VLOOKUP(B600,'Player Data'!A1:D734,4,FALSE)</f>
        <v>133</v>
      </c>
      <c r="E600" s="57">
        <f>VLOOKUP(B600,'LW'!A1:C156,3,FALSE)</f>
        <v>115</v>
      </c>
      <c r="F600" t="s" s="42">
        <f>VLOOKUP(B600,'Player Data'!A1:B734,2,FALSE)</f>
        <v>292</v>
      </c>
      <c r="G600" s="9">
        <f>VLOOKUP(B600,'Player Data'!A1:D734,3,FALSE)</f>
        <v>28</v>
      </c>
      <c r="H600" s="43">
        <f>_xlfn.IFERROR(VLOOKUP(B600,'ADP'!A1:G731,7,FALSE)/1000000,VLOOKUP(B600,'ADP'!A1:G731,7,FALSE))</f>
        <v>1.701</v>
      </c>
      <c r="I600" s="44">
        <f>IF('Settings'!$E$15="POINTS",((R600*Q600)*'Settings'!$B$12)+(S600*'Settings'!$B$2)+(T600*'Settings'!$B$3)+(U600*'Settings'!$B$4)+(V600*'Settings'!$B$5)+(X600*'Settings'!$B$9)+(AA600*'Settings'!$B$6)+(W600*'Settings'!$B$8)+(AB600*'Settings'!$B$7)+(AC600*'Settings'!$B$14)+(AD600*'Settings'!$B$15)+(AE600*'Settings'!$B$16)+(AF600*'Settings'!$B$17)+(AG600*'Settings'!$B$18)+(Y600*'Settings'!$B$10)+(Z600*'Settings'!$B$11),VLOOKUP(B600,'Standard Deviations'!A1:C731,3,FALSE))</f>
        <v>180.529235211060</v>
      </c>
      <c r="J600" s="45">
        <f>IF(D600="G",I600/AJ600,I600/Q600)</f>
        <v>2.56090594268516</v>
      </c>
      <c r="K600" s="44">
        <f>IF('Settings'!$E$18="C/LW/RW",VLOOKUP(B600,'LW'!A1:F156,6,FALSE),VLOOKUP(B600,'F'!A1:F432,6,FALSE))</f>
        <v>-201.099328495296</v>
      </c>
      <c r="L600" s="44">
        <f>_xlfn.IFERROR(K600/H600,"N/A")</f>
        <v>-118.224179009580</v>
      </c>
      <c r="M600" t="s" s="61">
        <f>IF('Settings'!$E$9="YAHOO",VLOOKUP(B600,'ADP'!A1:E731,2,FALSE),IF('Settings'!$E$9="ESPN",VLOOKUP(B600,'ADP'!A1:E731,3,FALSE),IF('Settings'!$E$9="FANTRAX",VLOOKUP(B600,'ADP'!A1:E731,4,FALSE),VLOOKUP(B600,'ADP'!A1:E731,5,FALSE))))</f>
        <v>329</v>
      </c>
      <c r="N600" t="s" s="61">
        <f>_xlfn.IFERROR(M600-A600,"N/A")</f>
        <v>158</v>
      </c>
      <c r="O600" s="46"/>
      <c r="P600" t="s" s="47">
        <f>IF('Settings'!$E$27="ON",VLOOKUP(B600,'ADP'!A1:H731,8,FALSE)," ")</f>
        <v>109</v>
      </c>
      <c r="Q600" s="48">
        <f>IF('Settings'!$E$12="YES",VLOOKUP(B600,'Player Data'!A1:E734,5,FALSE),82)</f>
        <v>70.4942857142857</v>
      </c>
      <c r="R600" s="46">
        <f>VLOOKUP(B600,'Player Data'!$A1:$AE734,6,FALSE)</f>
        <v>10.853233615277</v>
      </c>
      <c r="S600" s="48">
        <f>VLOOKUP(B600,'Player Data'!$A1:$AE734,7,FALSE)*$Q600*_xlfn.IFERROR((VLOOKUP(P600,'Settings'!$E$28:$F$33,2,FALSE)+1),1)</f>
        <v>7.83591311781322</v>
      </c>
      <c r="T600" s="48">
        <f>VLOOKUP(B600,'Player Data'!$A1:$AE734,8,FALSE)*$Q600*_xlfn.IFERROR((VLOOKUP(P600,'Settings'!$E$28:$F$33,2,FALSE)+1),1)</f>
        <v>10.5436611278654</v>
      </c>
      <c r="U600" s="48">
        <f>SUM(S600:T600)</f>
        <v>18.3795742456786</v>
      </c>
      <c r="V600" s="48">
        <f>VLOOKUP(B600,'Player Data'!$A1:$AE734,10,FALSE)*$Q600*_xlfn.IFERROR(((VLOOKUP(P600,'Settings'!$E$28:$F$33,2,FALSE)/2)+1),1)</f>
        <v>108.478437259154</v>
      </c>
      <c r="W600" s="48">
        <f>VLOOKUP(B600,'Player Data'!$A1:$AE734,11,FALSE)*$Q600*_xlfn.IFERROR((VLOOKUP(P600,'Settings'!$E$28:$F$33,2,FALSE)+1),1)</f>
        <v>0.0429481716594941</v>
      </c>
      <c r="X600" s="48">
        <f>VLOOKUP(B600,'Player Data'!$A1:$AE734,12,FALSE)*$Q600*_xlfn.IFERROR((VLOOKUP(P600,'Settings'!$E$28:$F$33,2,FALSE)+1),1)</f>
        <v>0.109817960417841</v>
      </c>
      <c r="Y600" s="48">
        <f>VLOOKUP(B600,'Player Data'!$A1:$AE734,13,FALSE)*$Q600</f>
        <v>0</v>
      </c>
      <c r="Z600" s="48">
        <f>VLOOKUP(B600,'Player Data'!$A1:$AE734,14,FALSE)*$Q600</f>
        <v>0</v>
      </c>
      <c r="AA600" s="48">
        <f>VLOOKUP(B600,'Player Data'!$A1:$AE734,15,FALSE)*$Q600</f>
        <v>51.9750765823626</v>
      </c>
      <c r="AB600" s="48">
        <f>VLOOKUP(B600,'Player Data'!$A1:$AE734,16,FALSE)*$Q600</f>
        <v>133.639543506186</v>
      </c>
      <c r="AC600" s="48">
        <f>VLOOKUP(B600,'Player Data'!$A1:$AE734,17,FALSE)*$Q600*_xlfn.IFERROR((VLOOKUP(P600,'Settings'!$E$28:$F$33,2,FALSE)+1),1)</f>
        <v>-0.082534618795386</v>
      </c>
      <c r="AD600" s="48">
        <f>VLOOKUP(B600,'Player Data'!$A1:$AE734,18,FALSE)*$Q600</f>
        <v>15.7184474771587</v>
      </c>
      <c r="AE600" s="48">
        <f>VLOOKUP(B600,'Player Data'!$A1:$AE734,19,FALSE)*$Q600*_xlfn.IFERROR((VLOOKUP(P600,'Settings'!$E$28:$F$33,2,FALSE)+1),1)</f>
        <v>0</v>
      </c>
      <c r="AF600" s="48">
        <f>VLOOKUP(B600,'Player Data'!$A1:$AE734,20,FALSE)*$Q600</f>
        <v>21.7391998393666</v>
      </c>
      <c r="AG600" s="48">
        <f>VLOOKUP(B600,'Player Data'!$A1:$AE734,21,FALSE)*$Q600</f>
        <v>24.2802066236483</v>
      </c>
      <c r="AH600" s="49">
        <f>VLOOKUP(B600,'Player Data'!$A1:$AE734,22,FALSE)</f>
        <v>0.472392008289765</v>
      </c>
      <c r="AI600" s="46"/>
      <c r="AJ600" s="50"/>
      <c r="AK600" s="48"/>
      <c r="AL600" s="48"/>
      <c r="AM600" s="48"/>
      <c r="AN600" s="48"/>
      <c r="AO600" s="48"/>
      <c r="AP600" s="48"/>
      <c r="AQ600" s="51"/>
      <c r="AR600" s="52"/>
      <c r="AS600" s="46"/>
    </row>
    <row r="601" ht="21.25" customHeight="1">
      <c r="A601" s="53">
        <f>RANK(K601,K2:K730)</f>
        <v>593</v>
      </c>
      <c r="B601" t="s" s="8">
        <v>753</v>
      </c>
      <c r="C601" t="s" s="39">
        <v>106</v>
      </c>
      <c r="D601" t="s" s="40">
        <f>VLOOKUP(B601,'Player Data'!A1:D734,4,FALSE)</f>
        <v>133</v>
      </c>
      <c r="E601" s="57">
        <f>VLOOKUP(B601,'LW'!A1:C156,3,FALSE)</f>
        <v>127</v>
      </c>
      <c r="F601" t="s" s="42">
        <f>VLOOKUP(B601,'Player Data'!A1:B734,2,FALSE)</f>
        <v>194</v>
      </c>
      <c r="G601" s="9">
        <f>VLOOKUP(B601,'Player Data'!A1:D734,3,FALSE)</f>
        <v>21</v>
      </c>
      <c r="H601" s="43">
        <f>_xlfn.IFERROR(VLOOKUP(B601,'ADP'!A1:G731,7,FALSE)/1000000,VLOOKUP(B601,'ADP'!A1:G731,7,FALSE))</f>
        <v>0.835833</v>
      </c>
      <c r="I601" s="44">
        <f>IF('Settings'!$E$15="POINTS",((R601*Q601)*'Settings'!$B$12)+(S601*'Settings'!$B$2)+(T601*'Settings'!$B$3)+(U601*'Settings'!$B$4)+(V601*'Settings'!$B$5)+(X601*'Settings'!$B$9)+(AA601*'Settings'!$B$6)+(W601*'Settings'!$B$8)+(AB601*'Settings'!$B$7)+(AC601*'Settings'!$B$14)+(AD601*'Settings'!$B$15)+(AE601*'Settings'!$B$16)+(AF601*'Settings'!$B$17)+(AG601*'Settings'!$B$18)+(Y601*'Settings'!$B$10)+(Z601*'Settings'!$B$11),VLOOKUP(B601,'Standard Deviations'!A1:C731,3,FALSE))</f>
        <v>165.4507235523</v>
      </c>
      <c r="J601" s="45">
        <f>IF(D601="G",I601/AJ601,I601/Q601)</f>
        <v>2.33786524731242</v>
      </c>
      <c r="K601" s="44">
        <f>IF('Settings'!$E$18="C/LW/RW",VLOOKUP(B601,'LW'!A1:F156,6,FALSE),VLOOKUP(B601,'F'!A1:F432,6,FALSE))</f>
        <v>-216.177840154056</v>
      </c>
      <c r="L601" s="44">
        <f>_xlfn.IFERROR(K601/H601,"N/A")</f>
        <v>-258.637598843377</v>
      </c>
      <c r="M601" t="s" s="61">
        <f>IF('Settings'!$E$9="YAHOO",VLOOKUP(B601,'ADP'!A1:E731,2,FALSE),IF('Settings'!$E$9="ESPN",VLOOKUP(B601,'ADP'!A1:E731,3,FALSE),IF('Settings'!$E$9="FANTRAX",VLOOKUP(B601,'ADP'!A1:E731,4,FALSE),VLOOKUP(B601,'ADP'!A1:E731,5,FALSE))))</f>
        <v>329</v>
      </c>
      <c r="N601" t="s" s="61">
        <f>_xlfn.IFERROR(M601-A601,"N/A")</f>
        <v>158</v>
      </c>
      <c r="O601" s="46"/>
      <c r="P601" t="s" s="47">
        <f>IF('Settings'!$E$27="ON",VLOOKUP(B601,'ADP'!A1:H731,8,FALSE)," ")</f>
        <v>109</v>
      </c>
      <c r="Q601" s="48">
        <f>IF('Settings'!$E$12="YES",VLOOKUP(B601,'Player Data'!A1:E734,5,FALSE),82)</f>
        <v>70.77</v>
      </c>
      <c r="R601" s="46">
        <f>VLOOKUP(B601,'Player Data'!$A1:$AE734,6,FALSE)</f>
        <v>12.1848979404717</v>
      </c>
      <c r="S601" s="48">
        <f>VLOOKUP(B601,'Player Data'!$A1:$AE734,7,FALSE)*$Q601*_xlfn.IFERROR((VLOOKUP(P601,'Settings'!$E$28:$F$33,2,FALSE)+1),1)</f>
        <v>10.6783557213699</v>
      </c>
      <c r="T601" s="48">
        <f>VLOOKUP(B601,'Player Data'!$A1:$AE734,8,FALSE)*$Q601*_xlfn.IFERROR((VLOOKUP(P601,'Settings'!$E$28:$F$33,2,FALSE)+1),1)</f>
        <v>10.5490160188428</v>
      </c>
      <c r="U601" s="48">
        <f>SUM(S601:T601)</f>
        <v>21.2273717402127</v>
      </c>
      <c r="V601" s="48">
        <f>VLOOKUP(B601,'Player Data'!$A1:$AE734,10,FALSE)*$Q601*_xlfn.IFERROR(((VLOOKUP(P601,'Settings'!$E$28:$F$33,2,FALSE)/2)+1),1)</f>
        <v>89.1408633775733</v>
      </c>
      <c r="W601" s="48">
        <f>VLOOKUP(B601,'Player Data'!$A1:$AE734,11,FALSE)*$Q601*_xlfn.IFERROR((VLOOKUP(P601,'Settings'!$E$28:$F$33,2,FALSE)+1),1)</f>
        <v>1.13757316779898</v>
      </c>
      <c r="X601" s="48">
        <f>VLOOKUP(B601,'Player Data'!$A1:$AE734,12,FALSE)*$Q601*_xlfn.IFERROR((VLOOKUP(P601,'Settings'!$E$28:$F$33,2,FALSE)+1),1)</f>
        <v>2.6070921326168</v>
      </c>
      <c r="Y601" s="48">
        <f>VLOOKUP(B601,'Player Data'!$A1:$AE734,13,FALSE)*$Q601</f>
        <v>0.0619163434133159</v>
      </c>
      <c r="Z601" s="48">
        <f>VLOOKUP(B601,'Player Data'!$A1:$AE734,14,FALSE)*$Q601</f>
        <v>0.114321571968899</v>
      </c>
      <c r="AA601" s="48">
        <f>VLOOKUP(B601,'Player Data'!$A1:$AE734,15,FALSE)*$Q601</f>
        <v>32.248523266613</v>
      </c>
      <c r="AB601" s="48">
        <f>VLOOKUP(B601,'Player Data'!$A1:$AE734,16,FALSE)*$Q601</f>
        <v>99.3109531343039</v>
      </c>
      <c r="AC601" s="48">
        <f>VLOOKUP(B601,'Player Data'!$A1:$AE734,17,FALSE)*$Q601*_xlfn.IFERROR((VLOOKUP(P601,'Settings'!$E$28:$F$33,2,FALSE)+1),1)</f>
        <v>-5.41813070329396</v>
      </c>
      <c r="AD601" s="48">
        <f>VLOOKUP(B601,'Player Data'!$A1:$AE734,18,FALSE)*$Q601</f>
        <v>29.5767642399265</v>
      </c>
      <c r="AE601" s="48">
        <f>VLOOKUP(B601,'Player Data'!$A1:$AE734,19,FALSE)*$Q601*_xlfn.IFERROR((VLOOKUP(P601,'Settings'!$E$28:$F$33,2,FALSE)+1),1)</f>
        <v>1.22878756253861</v>
      </c>
      <c r="AF601" s="48">
        <f>VLOOKUP(B601,'Player Data'!$A1:$AE734,20,FALSE)*$Q601</f>
        <v>11.1740448696281</v>
      </c>
      <c r="AG601" s="48">
        <f>VLOOKUP(B601,'Player Data'!$A1:$AE734,21,FALSE)*$Q601</f>
        <v>19.4919096221316</v>
      </c>
      <c r="AH601" s="49">
        <f>VLOOKUP(B601,'Player Data'!$A1:$AE734,22,FALSE)</f>
        <v>0.364379490376883</v>
      </c>
      <c r="AI601" s="46"/>
      <c r="AJ601" s="50"/>
      <c r="AK601" s="48"/>
      <c r="AL601" s="48"/>
      <c r="AM601" s="48"/>
      <c r="AN601" s="48"/>
      <c r="AO601" s="48"/>
      <c r="AP601" s="48"/>
      <c r="AQ601" s="51"/>
      <c r="AR601" s="52"/>
      <c r="AS601" s="46"/>
    </row>
    <row r="602" ht="21.25" customHeight="1">
      <c r="A602" s="53">
        <f>RANK(K602,K2:K730)</f>
        <v>639</v>
      </c>
      <c r="B602" t="s" s="8">
        <v>754</v>
      </c>
      <c r="C602" t="s" s="39">
        <v>106</v>
      </c>
      <c r="D602" t="s" s="40">
        <f>VLOOKUP(B602,'Player Data'!A1:D734,4,FALSE)</f>
        <v>121</v>
      </c>
      <c r="E602" s="55">
        <f>VLOOKUP(B602,'RW'!A1:F132,3,FALSE)</f>
        <v>120</v>
      </c>
      <c r="F602" t="s" s="42">
        <f>VLOOKUP(B602,'Player Data'!A1:B734,2,FALSE)</f>
        <v>156</v>
      </c>
      <c r="G602" s="9">
        <f>VLOOKUP(B602,'Player Data'!A1:D734,3,FALSE)</f>
        <v>22</v>
      </c>
      <c r="H602" s="43">
        <f>_xlfn.IFERROR(VLOOKUP(B602,'ADP'!A1:G731,7,FALSE)/1000000,VLOOKUP(B602,'ADP'!A1:G731,7,FALSE))</f>
        <v>0.925</v>
      </c>
      <c r="I602" s="44">
        <f>IF('Settings'!$E$15="POINTS",((R602*Q602)*'Settings'!$B$12)+(S602*'Settings'!$B$2)+(T602*'Settings'!$B$3)+(U602*'Settings'!$B$4)+(V602*'Settings'!$B$5)+(X602*'Settings'!$B$9)+(AA602*'Settings'!$B$6)+(W602*'Settings'!$B$8)+(AB602*'Settings'!$B$7)+(AC602*'Settings'!$B$14)+(AD602*'Settings'!$B$15)+(AE602*'Settings'!$B$16)+(AF602*'Settings'!$B$17)+(AG602*'Settings'!$B$18)+(Y602*'Settings'!$B$10)+(Z602*'Settings'!$B$11),VLOOKUP(B602,'Standard Deviations'!A1:C731,3,FALSE))</f>
        <v>153.997148309494</v>
      </c>
      <c r="J602" s="45">
        <f>IF(D602="G",I602/AJ602,I602/Q602)</f>
        <v>2.3409158365812</v>
      </c>
      <c r="K602" s="44">
        <f>IF('Settings'!$E$18="C/LW/RW",VLOOKUP(B602,'RW'!A1:F132,6,FALSE),VLOOKUP(B602,'F'!A1:F432,6,FALSE))</f>
        <v>-227.631415396862</v>
      </c>
      <c r="L602" s="44">
        <f>_xlfn.IFERROR(K602/H602,"N/A")</f>
        <v>-246.088016645256</v>
      </c>
      <c r="M602" t="s" s="61">
        <f>IF('Settings'!$E$9="YAHOO",VLOOKUP(B602,'ADP'!A1:E731,2,FALSE),IF('Settings'!$E$9="ESPN",VLOOKUP(B602,'ADP'!A1:E731,3,FALSE),IF('Settings'!$E$9="FANTRAX",VLOOKUP(B602,'ADP'!A1:E731,4,FALSE),VLOOKUP(B602,'ADP'!A1:E731,5,FALSE))))</f>
        <v>329</v>
      </c>
      <c r="N602" t="s" s="61">
        <f>_xlfn.IFERROR(M602-A602,"N/A")</f>
        <v>158</v>
      </c>
      <c r="O602" s="46"/>
      <c r="P602" t="s" s="47">
        <f>IF('Settings'!$E$27="ON",VLOOKUP(B602,'ADP'!A1:H731,8,FALSE)," ")</f>
        <v>109</v>
      </c>
      <c r="Q602" s="48">
        <f>IF('Settings'!$E$12="YES",VLOOKUP(B602,'Player Data'!A1:E734,5,FALSE),82)</f>
        <v>65.785</v>
      </c>
      <c r="R602" s="46">
        <f>VLOOKUP(B602,'Player Data'!$A1:$AE734,6,FALSE)</f>
        <v>12.5426561495525</v>
      </c>
      <c r="S602" s="48">
        <f>VLOOKUP(B602,'Player Data'!$A1:$AE734,7,FALSE)*$Q602*_xlfn.IFERROR((VLOOKUP(P602,'Settings'!$E$28:$F$33,2,FALSE)+1),1)</f>
        <v>10.3059967855007</v>
      </c>
      <c r="T602" s="48">
        <f>VLOOKUP(B602,'Player Data'!$A1:$AE734,8,FALSE)*$Q602*_xlfn.IFERROR((VLOOKUP(P602,'Settings'!$E$28:$F$33,2,FALSE)+1),1)</f>
        <v>10.3019970343111</v>
      </c>
      <c r="U602" s="48">
        <f>SUM(S602:T602)</f>
        <v>20.6079938198118</v>
      </c>
      <c r="V602" s="48">
        <f>VLOOKUP(B602,'Player Data'!$A1:$AE734,10,FALSE)*$Q602*_xlfn.IFERROR(((VLOOKUP(P602,'Settings'!$E$28:$F$33,2,FALSE)/2)+1),1)</f>
        <v>84.8011144666515</v>
      </c>
      <c r="W602" s="48">
        <f>VLOOKUP(B602,'Player Data'!$A1:$AE734,11,FALSE)*$Q602*_xlfn.IFERROR((VLOOKUP(P602,'Settings'!$E$28:$F$33,2,FALSE)+1),1)</f>
        <v>0.770576765040114</v>
      </c>
      <c r="X602" s="48">
        <f>VLOOKUP(B602,'Player Data'!$A1:$AE734,12,FALSE)*$Q602*_xlfn.IFERROR((VLOOKUP(P602,'Settings'!$E$28:$F$33,2,FALSE)+1),1)</f>
        <v>1.5379502731376</v>
      </c>
      <c r="Y602" s="48">
        <f>VLOOKUP(B602,'Player Data'!$A1:$AE734,13,FALSE)*$Q602</f>
        <v>0.00696707408941181</v>
      </c>
      <c r="Z602" s="48">
        <f>VLOOKUP(B602,'Player Data'!$A1:$AE734,14,FALSE)*$Q602</f>
        <v>0.0128392943535284</v>
      </c>
      <c r="AA602" s="48">
        <f>VLOOKUP(B602,'Player Data'!$A1:$AE734,15,FALSE)*$Q602</f>
        <v>26.9958033476994</v>
      </c>
      <c r="AB602" s="48">
        <f>VLOOKUP(B602,'Player Data'!$A1:$AE734,16,FALSE)*$Q602</f>
        <v>83.1601367036982</v>
      </c>
      <c r="AC602" s="48">
        <f>VLOOKUP(B602,'Player Data'!$A1:$AE734,17,FALSE)*$Q602*_xlfn.IFERROR((VLOOKUP(P602,'Settings'!$E$28:$F$33,2,FALSE)+1),1)</f>
        <v>0.247980491079485</v>
      </c>
      <c r="AD602" s="48">
        <f>VLOOKUP(B602,'Player Data'!$A1:$AE734,18,FALSE)*$Q602</f>
        <v>19.744243913102</v>
      </c>
      <c r="AE602" s="48">
        <f>VLOOKUP(B602,'Player Data'!$A1:$AE734,19,FALSE)*$Q602*_xlfn.IFERROR((VLOOKUP(P602,'Settings'!$E$28:$F$33,2,FALSE)+1),1)</f>
        <v>1.45891328707644</v>
      </c>
      <c r="AF602" s="48">
        <f>VLOOKUP(B602,'Player Data'!$A1:$AE734,20,FALSE)*$Q602</f>
        <v>10.4721426637915</v>
      </c>
      <c r="AG602" s="48">
        <f>VLOOKUP(B602,'Player Data'!$A1:$AE734,21,FALSE)*$Q602</f>
        <v>14.0588647922916</v>
      </c>
      <c r="AH602" s="49">
        <f>VLOOKUP(B602,'Player Data'!$A1:$AE734,22,FALSE)</f>
        <v>0.426894112789266</v>
      </c>
      <c r="AI602" s="46"/>
      <c r="AJ602" s="50"/>
      <c r="AK602" s="48"/>
      <c r="AL602" s="48"/>
      <c r="AM602" s="48"/>
      <c r="AN602" s="48"/>
      <c r="AO602" s="48"/>
      <c r="AP602" s="48"/>
      <c r="AQ602" s="51"/>
      <c r="AR602" s="52"/>
      <c r="AS602" s="46"/>
    </row>
    <row r="603" ht="21.25" customHeight="1">
      <c r="A603" s="53">
        <f>RANK(K603,K2:K730)</f>
        <v>615</v>
      </c>
      <c r="B603" t="s" s="8">
        <v>755</v>
      </c>
      <c r="C603" t="s" s="39">
        <v>106</v>
      </c>
      <c r="D603" t="s" s="40">
        <f>VLOOKUP(B603,'Player Data'!A1:D734,4,FALSE)</f>
        <v>107</v>
      </c>
      <c r="E603" s="41">
        <f>VLOOKUP(B603,'C'!A1:C218,3,FALSE)</f>
        <v>162</v>
      </c>
      <c r="F603" t="s" s="42">
        <f>VLOOKUP(B603,'Player Data'!A1:B734,2,FALSE)</f>
        <v>156</v>
      </c>
      <c r="G603" s="9">
        <f>VLOOKUP(B603,'Player Data'!A1:D734,3,FALSE)</f>
        <v>29</v>
      </c>
      <c r="H603" s="43">
        <f>_xlfn.IFERROR(VLOOKUP(B603,'ADP'!A1:G731,7,FALSE)/1000000,VLOOKUP(B603,'ADP'!A1:G731,7,FALSE))</f>
        <v>1.9</v>
      </c>
      <c r="I603" s="44">
        <f>IF('Settings'!$E$15="POINTS",((R603*Q603)*'Settings'!$B$12)+(S603*'Settings'!$B$2)+(T603*'Settings'!$B$3)+(U603*'Settings'!$B$4)+(V603*'Settings'!$B$5)+(X603*'Settings'!$B$9)+(AA603*'Settings'!$B$6)+(W603*'Settings'!$B$8)+(AB603*'Settings'!$B$7)+(AC603*'Settings'!$B$14)+(AD603*'Settings'!$B$15)+(AE603*'Settings'!$B$16)+(AF603*'Settings'!$B$17)+(AG603*'Settings'!$B$18)+(Y603*'Settings'!$B$10)+(Z603*'Settings'!$B$11),VLOOKUP(B603,'Standard Deviations'!A1:C731,3,FALSE))</f>
        <v>174.995011760962</v>
      </c>
      <c r="J603" s="45">
        <f>IF(D603="G",I603/AJ603,I603/Q603)</f>
        <v>2.35156423279563</v>
      </c>
      <c r="K603" s="44">
        <f>IF('Settings'!$E$18="C/LW/RW",VLOOKUP(B603,'C'!A1:F218,6,FALSE),VLOOKUP(B603,'F'!A1:F432,6,FALSE))</f>
        <v>-220.779189875053</v>
      </c>
      <c r="L603" s="44">
        <f>_xlfn.IFERROR(K603/H603,"N/A")</f>
        <v>-116.199573618449</v>
      </c>
      <c r="M603" t="s" s="61">
        <f>IF('Settings'!$E$9="YAHOO",VLOOKUP(B603,'ADP'!A1:E731,2,FALSE),IF('Settings'!$E$9="ESPN",VLOOKUP(B603,'ADP'!A1:E731,3,FALSE),IF('Settings'!$E$9="FANTRAX",VLOOKUP(B603,'ADP'!A1:E731,4,FALSE),VLOOKUP(B603,'ADP'!A1:E731,5,FALSE))))</f>
        <v>329</v>
      </c>
      <c r="N603" t="s" s="61">
        <f>_xlfn.IFERROR(M603-A603,"N/A")</f>
        <v>158</v>
      </c>
      <c r="O603" s="46"/>
      <c r="P603" t="s" s="47">
        <f>IF('Settings'!$E$27="ON",VLOOKUP(B603,'ADP'!A1:H731,8,FALSE)," ")</f>
        <v>109</v>
      </c>
      <c r="Q603" s="48">
        <f>IF('Settings'!$E$12="YES",VLOOKUP(B603,'Player Data'!A1:E734,5,FALSE),82)</f>
        <v>74.4164285714286</v>
      </c>
      <c r="R603" s="46">
        <f>VLOOKUP(B603,'Player Data'!$A1:$AE734,6,FALSE)</f>
        <v>12.9686443299337</v>
      </c>
      <c r="S603" s="48">
        <f>VLOOKUP(B603,'Player Data'!$A1:$AE734,7,FALSE)*$Q603*_xlfn.IFERROR((VLOOKUP(P603,'Settings'!$E$28:$F$33,2,FALSE)+1),1)</f>
        <v>6.85918516980129</v>
      </c>
      <c r="T603" s="48">
        <f>VLOOKUP(B603,'Player Data'!$A1:$AE734,8,FALSE)*$Q603*_xlfn.IFERROR((VLOOKUP(P603,'Settings'!$E$28:$F$33,2,FALSE)+1),1)</f>
        <v>15.5552439230438</v>
      </c>
      <c r="U603" s="48">
        <f>SUM(S603:T603)</f>
        <v>22.4144290928451</v>
      </c>
      <c r="V603" s="48">
        <f>VLOOKUP(B603,'Player Data'!$A1:$AE734,10,FALSE)*$Q603*_xlfn.IFERROR(((VLOOKUP(P603,'Settings'!$E$28:$F$33,2,FALSE)/2)+1),1)</f>
        <v>95.504122007288</v>
      </c>
      <c r="W603" s="48">
        <f>VLOOKUP(B603,'Player Data'!$A1:$AE734,11,FALSE)*$Q603*_xlfn.IFERROR((VLOOKUP(P603,'Settings'!$E$28:$F$33,2,FALSE)+1),1)</f>
        <v>0.0526740123544007</v>
      </c>
      <c r="X603" s="48">
        <f>VLOOKUP(B603,'Player Data'!$A1:$AE734,12,FALSE)*$Q603*_xlfn.IFERROR((VLOOKUP(P603,'Settings'!$E$28:$F$33,2,FALSE)+1),1)</f>
        <v>0.138096978969983</v>
      </c>
      <c r="Y603" s="48">
        <f>VLOOKUP(B603,'Player Data'!$A1:$AE734,13,FALSE)*$Q603</f>
        <v>0.950880656614989</v>
      </c>
      <c r="Z603" s="48">
        <f>VLOOKUP(B603,'Player Data'!$A1:$AE734,14,FALSE)*$Q603</f>
        <v>1.96480441052631</v>
      </c>
      <c r="AA603" s="48">
        <f>VLOOKUP(B603,'Player Data'!$A1:$AE734,15,FALSE)*$Q603</f>
        <v>46.7589478407193</v>
      </c>
      <c r="AB603" s="48">
        <f>VLOOKUP(B603,'Player Data'!$A1:$AE734,16,FALSE)*$Q603</f>
        <v>89.60721193067219</v>
      </c>
      <c r="AC603" s="48">
        <f>VLOOKUP(B603,'Player Data'!$A1:$AE734,17,FALSE)*$Q603*_xlfn.IFERROR((VLOOKUP(P603,'Settings'!$E$28:$F$33,2,FALSE)+1),1)</f>
        <v>-0.487817915613628</v>
      </c>
      <c r="AD603" s="48">
        <f>VLOOKUP(B603,'Player Data'!$A1:$AE734,18,FALSE)*$Q603</f>
        <v>16.0139630052464</v>
      </c>
      <c r="AE603" s="48">
        <f>VLOOKUP(B603,'Player Data'!$A1:$AE734,19,FALSE)*$Q603*_xlfn.IFERROR((VLOOKUP(P603,'Settings'!$E$28:$F$33,2,FALSE)+1),1)</f>
        <v>0.97098384474749</v>
      </c>
      <c r="AF603" s="48">
        <f>VLOOKUP(B603,'Player Data'!$A1:$AE734,20,FALSE)*$Q603</f>
        <v>348.744735597001</v>
      </c>
      <c r="AG603" s="48">
        <f>VLOOKUP(B603,'Player Data'!$A1:$AE734,21,FALSE)*$Q603</f>
        <v>324.598436325861</v>
      </c>
      <c r="AH603" s="49">
        <f>VLOOKUP(B603,'Player Data'!$A1:$AE734,22,FALSE)</f>
        <v>0.517930158259559</v>
      </c>
      <c r="AI603" s="46"/>
      <c r="AJ603" s="50"/>
      <c r="AK603" s="48"/>
      <c r="AL603" s="48"/>
      <c r="AM603" s="48"/>
      <c r="AN603" s="48"/>
      <c r="AO603" s="48"/>
      <c r="AP603" s="48"/>
      <c r="AQ603" s="51"/>
      <c r="AR603" s="52"/>
      <c r="AS603" s="46"/>
    </row>
    <row r="604" ht="21.25" customHeight="1">
      <c r="A604" s="53">
        <f>RANK(K604,K2:K730)</f>
        <v>650</v>
      </c>
      <c r="B604" t="s" s="8">
        <v>756</v>
      </c>
      <c r="C604" t="s" s="39">
        <v>106</v>
      </c>
      <c r="D604" t="s" s="40">
        <f>VLOOKUP(B604,'Player Data'!A1:D734,4,FALSE)</f>
        <v>107</v>
      </c>
      <c r="E604" s="41">
        <f>VLOOKUP(B604,'C'!A1:C218,3,FALSE)</f>
        <v>171</v>
      </c>
      <c r="F604" t="s" s="42">
        <f>VLOOKUP(B604,'Player Data'!A1:B734,2,FALSE)</f>
        <v>139</v>
      </c>
      <c r="G604" s="9">
        <f>VLOOKUP(B604,'Player Data'!A1:D734,3,FALSE)</f>
        <v>25</v>
      </c>
      <c r="H604" s="43">
        <f>_xlfn.IFERROR(VLOOKUP(B604,'ADP'!A1:G731,7,FALSE)/1000000,VLOOKUP(B604,'ADP'!A1:G731,7,FALSE))</f>
        <v>2</v>
      </c>
      <c r="I604" s="44">
        <f>IF('Settings'!$E$15="POINTS",((R604*Q604)*'Settings'!$B$12)+(S604*'Settings'!$B$2)+(T604*'Settings'!$B$3)+(U604*'Settings'!$B$4)+(V604*'Settings'!$B$5)+(X604*'Settings'!$B$9)+(AA604*'Settings'!$B$6)+(W604*'Settings'!$B$8)+(AB604*'Settings'!$B$7)+(AC604*'Settings'!$B$14)+(AD604*'Settings'!$B$15)+(AE604*'Settings'!$B$16)+(AF604*'Settings'!$B$17)+(AG604*'Settings'!$B$18)+(Y604*'Settings'!$B$10)+(Z604*'Settings'!$B$11),VLOOKUP(B604,'Standard Deviations'!A1:C731,3,FALSE))</f>
        <v>163.913184241338</v>
      </c>
      <c r="J604" s="45">
        <f>IF(D604="G",I604/AJ604,I604/Q604)</f>
        <v>2.09607652482529</v>
      </c>
      <c r="K604" s="44">
        <f>IF('Settings'!$E$18="C/LW/RW",VLOOKUP(B604,'C'!A1:F218,6,FALSE),VLOOKUP(B604,'F'!A1:F432,6,FALSE))</f>
        <v>-231.861017394677</v>
      </c>
      <c r="L604" s="44">
        <f>_xlfn.IFERROR(K604/H604,"N/A")</f>
        <v>-115.930508697339</v>
      </c>
      <c r="M604" t="s" s="61">
        <f>IF('Settings'!$E$9="YAHOO",VLOOKUP(B604,'ADP'!A1:E731,2,FALSE),IF('Settings'!$E$9="ESPN",VLOOKUP(B604,'ADP'!A1:E731,3,FALSE),IF('Settings'!$E$9="FANTRAX",VLOOKUP(B604,'ADP'!A1:E731,4,FALSE),VLOOKUP(B604,'ADP'!A1:E731,5,FALSE))))</f>
        <v>329</v>
      </c>
      <c r="N604" t="s" s="61">
        <f>_xlfn.IFERROR(M604-A604,"N/A")</f>
        <v>158</v>
      </c>
      <c r="O604" s="46"/>
      <c r="P604" t="s" s="47">
        <f>IF('Settings'!$E$27="ON",VLOOKUP(B604,'ADP'!A1:H731,8,FALSE)," ")</f>
        <v>109</v>
      </c>
      <c r="Q604" s="48">
        <f>IF('Settings'!$E$12="YES",VLOOKUP(B604,'Player Data'!A1:E734,5,FALSE),82)</f>
        <v>78.2</v>
      </c>
      <c r="R604" s="46">
        <f>VLOOKUP(B604,'Player Data'!$A1:$AE734,6,FALSE)</f>
        <v>11.7994350472961</v>
      </c>
      <c r="S604" s="48">
        <f>VLOOKUP(B604,'Player Data'!$A1:$AE734,7,FALSE)*$Q604*_xlfn.IFERROR((VLOOKUP(P604,'Settings'!$E$28:$F$33,2,FALSE)+1),1)</f>
        <v>8.0235608966945</v>
      </c>
      <c r="T604" s="48">
        <f>VLOOKUP(B604,'Player Data'!$A1:$AE734,8,FALSE)*$Q604*_xlfn.IFERROR((VLOOKUP(P604,'Settings'!$E$28:$F$33,2,FALSE)+1),1)</f>
        <v>14.8494745907773</v>
      </c>
      <c r="U604" s="48">
        <f>SUM(S604:T604)</f>
        <v>22.8730354874718</v>
      </c>
      <c r="V604" s="48">
        <f>VLOOKUP(B604,'Player Data'!$A1:$AE734,10,FALSE)*$Q604*_xlfn.IFERROR(((VLOOKUP(P604,'Settings'!$E$28:$F$33,2,FALSE)/2)+1),1)</f>
        <v>98.5209458414238</v>
      </c>
      <c r="W604" s="48">
        <f>VLOOKUP(B604,'Player Data'!$A1:$AE734,11,FALSE)*$Q604*_xlfn.IFERROR((VLOOKUP(P604,'Settings'!$E$28:$F$33,2,FALSE)+1),1)</f>
        <v>0.0448998803377991</v>
      </c>
      <c r="X604" s="48">
        <f>VLOOKUP(B604,'Player Data'!$A1:$AE734,12,FALSE)*$Q604*_xlfn.IFERROR((VLOOKUP(P604,'Settings'!$E$28:$F$33,2,FALSE)+1),1)</f>
        <v>0.113195790006885</v>
      </c>
      <c r="Y604" s="48">
        <f>VLOOKUP(B604,'Player Data'!$A1:$AE734,13,FALSE)*$Q604</f>
        <v>0.06947228969666</v>
      </c>
      <c r="Z604" s="48">
        <f>VLOOKUP(B604,'Player Data'!$A1:$AE734,14,FALSE)*$Q604</f>
        <v>0.314094908428076</v>
      </c>
      <c r="AA604" s="48">
        <f>VLOOKUP(B604,'Player Data'!$A1:$AE734,15,FALSE)*$Q604</f>
        <v>32.1885393285431</v>
      </c>
      <c r="AB604" s="48">
        <f>VLOOKUP(B604,'Player Data'!$A1:$AE734,16,FALSE)*$Q604</f>
        <v>69.1032161281654</v>
      </c>
      <c r="AC604" s="48">
        <f>VLOOKUP(B604,'Player Data'!$A1:$AE734,17,FALSE)*$Q604*_xlfn.IFERROR((VLOOKUP(P604,'Settings'!$E$28:$F$33,2,FALSE)+1),1)</f>
        <v>-2.4456531225442</v>
      </c>
      <c r="AD604" s="48">
        <f>VLOOKUP(B604,'Player Data'!$A1:$AE734,18,FALSE)*$Q604</f>
        <v>29.7951431977311</v>
      </c>
      <c r="AE604" s="48">
        <f>VLOOKUP(B604,'Player Data'!$A1:$AE734,19,FALSE)*$Q604*_xlfn.IFERROR((VLOOKUP(P604,'Settings'!$E$28:$F$33,2,FALSE)+1),1)</f>
        <v>1.02716869582382</v>
      </c>
      <c r="AF604" s="48">
        <f>VLOOKUP(B604,'Player Data'!$A1:$AE734,20,FALSE)*$Q604</f>
        <v>176.389249516719</v>
      </c>
      <c r="AG604" s="48">
        <f>VLOOKUP(B604,'Player Data'!$A1:$AE734,21,FALSE)*$Q604</f>
        <v>253.772518414093</v>
      </c>
      <c r="AH604" s="49">
        <f>VLOOKUP(B604,'Player Data'!$A1:$AE734,22,FALSE)</f>
        <v>0.410053293125505</v>
      </c>
      <c r="AI604" s="46"/>
      <c r="AJ604" s="50"/>
      <c r="AK604" s="48"/>
      <c r="AL604" s="48"/>
      <c r="AM604" s="48"/>
      <c r="AN604" s="48"/>
      <c r="AO604" s="48"/>
      <c r="AP604" s="48"/>
      <c r="AQ604" s="51"/>
      <c r="AR604" s="52"/>
      <c r="AS604" s="46"/>
    </row>
    <row r="605" ht="21.25" customHeight="1">
      <c r="A605" s="53">
        <f>RANK(K605,K2:K730)</f>
        <v>511</v>
      </c>
      <c r="B605" t="s" s="8">
        <v>757</v>
      </c>
      <c r="C605" t="s" s="39">
        <v>106</v>
      </c>
      <c r="D605" t="s" s="40">
        <f>VLOOKUP(B605,'Player Data'!A1:D734,4,FALSE)</f>
        <v>121</v>
      </c>
      <c r="E605" s="55">
        <f>VLOOKUP(B605,'RW'!A1:F132,3,FALSE)</f>
        <v>95</v>
      </c>
      <c r="F605" t="s" s="42">
        <f>VLOOKUP(B605,'Player Data'!A1:B734,2,FALSE)</f>
        <v>218</v>
      </c>
      <c r="G605" s="9">
        <f>VLOOKUP(B605,'Player Data'!A1:D734,3,FALSE)</f>
        <v>26</v>
      </c>
      <c r="H605" s="43">
        <f>_xlfn.IFERROR(VLOOKUP(B605,'ADP'!A1:G731,7,FALSE)/1000000,VLOOKUP(B605,'ADP'!A1:G731,7,FALSE))</f>
        <v>1.4</v>
      </c>
      <c r="I605" s="44">
        <f>IF('Settings'!$E$15="POINTS",((R605*Q605)*'Settings'!$B$12)+(S605*'Settings'!$B$2)+(T605*'Settings'!$B$3)+(U605*'Settings'!$B$4)+(V605*'Settings'!$B$5)+(X605*'Settings'!$B$9)+(AA605*'Settings'!$B$6)+(W605*'Settings'!$B$8)+(AB605*'Settings'!$B$7)+(AC605*'Settings'!$B$14)+(AD605*'Settings'!$B$15)+(AE605*'Settings'!$B$16)+(AF605*'Settings'!$B$17)+(AG605*'Settings'!$B$18)+(Y605*'Settings'!$B$10)+(Z605*'Settings'!$B$11),VLOOKUP(B605,'Standard Deviations'!A1:C731,3,FALSE))</f>
        <v>196.561629761911</v>
      </c>
      <c r="J605" s="45">
        <f>IF(D605="G",I605/AJ605,I605/Q605)</f>
        <v>2.51468984402732</v>
      </c>
      <c r="K605" s="44">
        <f>IF('Settings'!$E$18="C/LW/RW",VLOOKUP(B605,'RW'!A1:F132,6,FALSE),VLOOKUP(B605,'F'!A1:F432,6,FALSE))</f>
        <v>-185.066933944445</v>
      </c>
      <c r="L605" s="44">
        <f>_xlfn.IFERROR(K605/H605,"N/A")</f>
        <v>-132.190667103175</v>
      </c>
      <c r="M605" t="s" s="61">
        <f>IF('Settings'!$E$9="YAHOO",VLOOKUP(B605,'ADP'!A1:E731,2,FALSE),IF('Settings'!$E$9="ESPN",VLOOKUP(B605,'ADP'!A1:E731,3,FALSE),IF('Settings'!$E$9="FANTRAX",VLOOKUP(B605,'ADP'!A1:E731,4,FALSE),VLOOKUP(B605,'ADP'!A1:E731,5,FALSE))))</f>
        <v>329</v>
      </c>
      <c r="N605" t="s" s="61">
        <f>_xlfn.IFERROR(M605-A605,"N/A")</f>
        <v>158</v>
      </c>
      <c r="O605" s="46"/>
      <c r="P605" t="s" s="47">
        <f>IF('Settings'!$E$27="ON",VLOOKUP(B605,'ADP'!A1:H731,8,FALSE)," ")</f>
        <v>109</v>
      </c>
      <c r="Q605" s="48">
        <f>IF('Settings'!$E$12="YES",VLOOKUP(B605,'Player Data'!A1:E734,5,FALSE),82)</f>
        <v>78.1653571428571</v>
      </c>
      <c r="R605" s="46">
        <f>VLOOKUP(B605,'Player Data'!$A1:$AE734,6,FALSE)</f>
        <v>11.4904814081791</v>
      </c>
      <c r="S605" s="48">
        <f>VLOOKUP(B605,'Player Data'!$A1:$AE734,7,FALSE)*$Q605*_xlfn.IFERROR((VLOOKUP(P605,'Settings'!$E$28:$F$33,2,FALSE)+1),1)</f>
        <v>7.74535646776138</v>
      </c>
      <c r="T605" s="48">
        <f>VLOOKUP(B605,'Player Data'!$A1:$AE734,8,FALSE)*$Q605*_xlfn.IFERROR((VLOOKUP(P605,'Settings'!$E$28:$F$33,2,FALSE)+1),1)</f>
        <v>14.2299315656788</v>
      </c>
      <c r="U605" s="48">
        <f>SUM(S605:T605)</f>
        <v>21.9752880334402</v>
      </c>
      <c r="V605" s="48">
        <f>VLOOKUP(B605,'Player Data'!$A1:$AE734,10,FALSE)*$Q605*_xlfn.IFERROR(((VLOOKUP(P605,'Settings'!$E$28:$F$33,2,FALSE)/2)+1),1)</f>
        <v>76.5542122569904</v>
      </c>
      <c r="W605" s="48">
        <f>VLOOKUP(B605,'Player Data'!$A1:$AE734,11,FALSE)*$Q605*_xlfn.IFERROR((VLOOKUP(P605,'Settings'!$E$28:$F$33,2,FALSE)+1),1)</f>
        <v>0.041645633464178</v>
      </c>
      <c r="X605" s="48">
        <f>VLOOKUP(B605,'Player Data'!$A1:$AE734,12,FALSE)*$Q605*_xlfn.IFERROR((VLOOKUP(P605,'Settings'!$E$28:$F$33,2,FALSE)+1),1)</f>
        <v>0.0820362569532323</v>
      </c>
      <c r="Y605" s="48">
        <f>VLOOKUP(B605,'Player Data'!$A1:$AE734,13,FALSE)*$Q605</f>
        <v>0.100736417748929</v>
      </c>
      <c r="Z605" s="48">
        <f>VLOOKUP(B605,'Player Data'!$A1:$AE734,14,FALSE)*$Q605</f>
        <v>0.124056851031141</v>
      </c>
      <c r="AA605" s="48">
        <f>VLOOKUP(B605,'Player Data'!$A1:$AE734,15,FALSE)*$Q605</f>
        <v>35.4387349795313</v>
      </c>
      <c r="AB605" s="48">
        <f>VLOOKUP(B605,'Player Data'!$A1:$AE734,16,FALSE)*$Q605</f>
        <v>251.092574558502</v>
      </c>
      <c r="AC605" s="48">
        <f>VLOOKUP(B605,'Player Data'!$A1:$AE734,17,FALSE)*$Q605*_xlfn.IFERROR((VLOOKUP(P605,'Settings'!$E$28:$F$33,2,FALSE)+1),1)</f>
        <v>4.39863860695012</v>
      </c>
      <c r="AD605" s="48">
        <f>VLOOKUP(B605,'Player Data'!$A1:$AE734,18,FALSE)*$Q605</f>
        <v>52.9014822490784</v>
      </c>
      <c r="AE605" s="48">
        <f>VLOOKUP(B605,'Player Data'!$A1:$AE734,19,FALSE)*$Q605*_xlfn.IFERROR((VLOOKUP(P605,'Settings'!$E$28:$F$33,2,FALSE)+1),1)</f>
        <v>1.2658025770084</v>
      </c>
      <c r="AF605" s="48">
        <f>VLOOKUP(B605,'Player Data'!$A1:$AE734,20,FALSE)*$Q605</f>
        <v>27.1724111819522</v>
      </c>
      <c r="AG605" s="48">
        <f>VLOOKUP(B605,'Player Data'!$A1:$AE734,21,FALSE)*$Q605</f>
        <v>44.377771007759</v>
      </c>
      <c r="AH605" s="49">
        <f>VLOOKUP(B605,'Player Data'!$A1:$AE734,22,FALSE)</f>
        <v>0.379767183679646</v>
      </c>
      <c r="AI605" s="46"/>
      <c r="AJ605" s="50"/>
      <c r="AK605" s="48"/>
      <c r="AL605" s="48"/>
      <c r="AM605" s="48"/>
      <c r="AN605" s="48"/>
      <c r="AO605" s="48"/>
      <c r="AP605" s="48"/>
      <c r="AQ605" s="51"/>
      <c r="AR605" s="52"/>
      <c r="AS605" s="46"/>
    </row>
    <row r="606" ht="21.25" customHeight="1">
      <c r="A606" s="53">
        <f>RANK(K606,K2:K730)</f>
        <v>347</v>
      </c>
      <c r="B606" t="s" s="8">
        <v>758</v>
      </c>
      <c r="C606" t="s" s="39">
        <v>106</v>
      </c>
      <c r="D606" t="s" s="40">
        <f>VLOOKUP(B606,'Player Data'!A1:D734,4,FALSE)</f>
        <v>146</v>
      </c>
      <c r="E606" s="58">
        <f>VLOOKUP(B606,'G'!A1:D75,3,FALSE)</f>
        <v>47</v>
      </c>
      <c r="F606" t="s" s="42">
        <f>VLOOKUP(B606,'Player Data'!A1:B734,2,FALSE)</f>
        <v>170</v>
      </c>
      <c r="G606" s="9">
        <f>VLOOKUP(B606,'Player Data'!A1:D734,3,FALSE)</f>
        <v>27</v>
      </c>
      <c r="H606" s="43">
        <f>_xlfn.IFERROR(VLOOKUP(B606,'ADP'!A1:G731,7,FALSE)/1000000,VLOOKUP(B606,'ADP'!A1:G731,7,FALSE))</f>
        <v>1.5</v>
      </c>
      <c r="I606" s="44">
        <f>IF('Settings'!$E$15="POINTS",(AJ606*'Settings'!$B$29)+(AK606*'Settings'!$B$21)+(AL606*'Settings'!$B$22)+(AN606*'Settings'!$B$24)+(AO606*'Settings'!$B$25)+(AP606*'Settings'!$B$27)+(AM606*'Settings'!$B$23),VLOOKUP(B606,'Standard Deviations'!A1:C731,3,FALSE))</f>
        <v>133.815834944129</v>
      </c>
      <c r="J606" s="45">
        <f>IF(D606="G",I606/AJ606,I606/Q606)</f>
        <v>5.57565978933871</v>
      </c>
      <c r="K606" s="44">
        <f>VLOOKUP(B606,'G'!A1:F75,6,FALSE)</f>
        <v>-131.487386555559</v>
      </c>
      <c r="L606" s="44">
        <f>_xlfn.IFERROR(K606/H606,"N/A")</f>
        <v>-87.658257703706</v>
      </c>
      <c r="M606" t="s" s="61">
        <f>IF('Settings'!$E$9="YAHOO",VLOOKUP(B606,'ADP'!A1:E731,2,FALSE),IF('Settings'!$E$9="ESPN",VLOOKUP(B606,'ADP'!A1:E731,3,FALSE),IF('Settings'!$E$9="FANTRAX",VLOOKUP(B606,'ADP'!A1:E731,4,FALSE),VLOOKUP(B606,'ADP'!A1:E731,5,FALSE))))</f>
        <v>329</v>
      </c>
      <c r="N606" t="s" s="61">
        <f>_xlfn.IFERROR(M606-A606,"N/A")</f>
        <v>158</v>
      </c>
      <c r="O606" s="46"/>
      <c r="P606" t="s" s="47">
        <f>IF('Settings'!$E$27="ON",VLOOKUP(B606,'ADP'!A1:H731,8,FALSE)," ")</f>
        <v>109</v>
      </c>
      <c r="Q606" s="48"/>
      <c r="R606" s="59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9"/>
      <c r="AI606" s="46"/>
      <c r="AJ606" s="50">
        <f>VLOOKUP(B606,'Player Data'!$A1:$AE734,24,FALSE)</f>
        <v>24</v>
      </c>
      <c r="AK606" s="48">
        <f>VLOOKUP(B606,'Player Data'!$A1:$AE734,25,FALSE)*$AJ606*_xlfn.IFERROR((VLOOKUP(P606,'Settings'!$E$28:$F$33,2,FALSE)+1),1)</f>
        <v>12.2195684107562</v>
      </c>
      <c r="AL606" s="48">
        <f>AJ606-AK606-AM606</f>
        <v>8.780431589243801</v>
      </c>
      <c r="AM606" s="48">
        <f>VLOOKUP(B606,'Player Data'!$A1:$AE734,27,FALSE)*$AJ606</f>
        <v>3</v>
      </c>
      <c r="AN606" s="48">
        <f>VLOOKUP(B606,'Player Data'!$A1:$AE734,28,FALSE)*AJ606</f>
        <v>1.10622866810768</v>
      </c>
      <c r="AO606" s="48">
        <f>VLOOKUP(B606,'Player Data'!$A1:$AE734,29,FALSE)*$AJ606*_xlfn.IFERROR((VLOOKUP(P606,'Settings'!$E$28:$F$33,2,FALSE)/4)+1,1)</f>
        <v>665.737962351410</v>
      </c>
      <c r="AP606" s="48">
        <f>VLOOKUP(B606,'Player Data'!$A1:$AE734,31,FALSE)*$AJ606*(_xlfn.IFERROR(1-(VLOOKUP(P606,'Settings'!$E$28:$F$33,2,FALSE)/4),1))</f>
        <v>70.5886299985906</v>
      </c>
      <c r="AQ606" s="51">
        <f>1-(AP606/(AO606+AP606))</f>
        <v>0.9041340748358609</v>
      </c>
      <c r="AR606" s="52">
        <f>AP606/AJ606</f>
        <v>2.94119291660794</v>
      </c>
      <c r="AS606" s="46"/>
    </row>
    <row r="607" ht="21.25" customHeight="1">
      <c r="A607" s="53">
        <f>RANK(K607,K2:K730)</f>
        <v>620</v>
      </c>
      <c r="B607" t="s" s="8">
        <v>759</v>
      </c>
      <c r="C607" t="s" s="39">
        <v>106</v>
      </c>
      <c r="D607" t="s" s="40">
        <f>VLOOKUP(B607,'Player Data'!A1:D734,4,FALSE)</f>
        <v>121</v>
      </c>
      <c r="E607" s="55">
        <f>VLOOKUP(B607,'RW'!A1:F132,3,FALSE)</f>
        <v>118</v>
      </c>
      <c r="F607" t="s" s="42">
        <f>VLOOKUP(B607,'Player Data'!A1:B734,2,FALSE)</f>
        <v>184</v>
      </c>
      <c r="G607" s="9">
        <f>VLOOKUP(B607,'Player Data'!A1:D734,3,FALSE)</f>
        <v>26</v>
      </c>
      <c r="H607" s="43">
        <f>_xlfn.IFERROR(VLOOKUP(B607,'ADP'!A1:G731,7,FALSE)/1000000,VLOOKUP(B607,'ADP'!A1:G731,7,FALSE))</f>
        <v>1.125</v>
      </c>
      <c r="I607" s="44">
        <f>IF('Settings'!$E$15="POINTS",((R607*Q607)*'Settings'!$B$12)+(S607*'Settings'!$B$2)+(T607*'Settings'!$B$3)+(U607*'Settings'!$B$4)+(V607*'Settings'!$B$5)+(X607*'Settings'!$B$9)+(AA607*'Settings'!$B$6)+(W607*'Settings'!$B$8)+(AB607*'Settings'!$B$7)+(AC607*'Settings'!$B$14)+(AD607*'Settings'!$B$15)+(AE607*'Settings'!$B$16)+(AF607*'Settings'!$B$17)+(AG607*'Settings'!$B$18)+(Y607*'Settings'!$B$10)+(Z607*'Settings'!$B$11),VLOOKUP(B607,'Standard Deviations'!A1:C731,3,FALSE))</f>
        <v>158.378106393561</v>
      </c>
      <c r="J607" s="45">
        <f>IF(D607="G",I607/AJ607,I607/Q607)</f>
        <v>2.26254437705087</v>
      </c>
      <c r="K607" s="44">
        <f>IF('Settings'!$E$18="C/LW/RW",VLOOKUP(B607,'RW'!A1:F132,6,FALSE),VLOOKUP(B607,'F'!A1:F432,6,FALSE))</f>
        <v>-223.250457312795</v>
      </c>
      <c r="L607" s="44">
        <f>_xlfn.IFERROR(K607/H607,"N/A")</f>
        <v>-198.444850944707</v>
      </c>
      <c r="M607" t="s" s="61">
        <f>IF('Settings'!$E$9="YAHOO",VLOOKUP(B607,'ADP'!A1:E731,2,FALSE),IF('Settings'!$E$9="ESPN",VLOOKUP(B607,'ADP'!A1:E731,3,FALSE),IF('Settings'!$E$9="FANTRAX",VLOOKUP(B607,'ADP'!A1:E731,4,FALSE),VLOOKUP(B607,'ADP'!A1:E731,5,FALSE))))</f>
        <v>329</v>
      </c>
      <c r="N607" t="s" s="61">
        <f>_xlfn.IFERROR(M607-A607,"N/A")</f>
        <v>158</v>
      </c>
      <c r="O607" s="46"/>
      <c r="P607" t="s" s="47">
        <f>IF('Settings'!$E$27="ON",VLOOKUP(B607,'ADP'!A1:H731,8,FALSE)," ")</f>
        <v>109</v>
      </c>
      <c r="Q607" s="48">
        <f>IF('Settings'!$E$12="YES",VLOOKUP(B607,'Player Data'!A1:E734,5,FALSE),82)</f>
        <v>70</v>
      </c>
      <c r="R607" s="46">
        <f>VLOOKUP(B607,'Player Data'!$A1:$AE734,6,FALSE)</f>
        <v>12.5239868422081</v>
      </c>
      <c r="S607" s="48">
        <f>VLOOKUP(B607,'Player Data'!$A1:$AE734,7,FALSE)*$Q607*_xlfn.IFERROR((VLOOKUP(P607,'Settings'!$E$28:$F$33,2,FALSE)+1),1)</f>
        <v>8.64246191977357</v>
      </c>
      <c r="T607" s="48">
        <f>VLOOKUP(B607,'Player Data'!$A1:$AE734,8,FALSE)*$Q607*_xlfn.IFERROR((VLOOKUP(P607,'Settings'!$E$28:$F$33,2,FALSE)+1),1)</f>
        <v>10.5593669311124</v>
      </c>
      <c r="U607" s="48">
        <f>SUM(S607:T607)</f>
        <v>19.201828850886</v>
      </c>
      <c r="V607" s="48">
        <f>VLOOKUP(B607,'Player Data'!$A1:$AE734,10,FALSE)*$Q607*_xlfn.IFERROR(((VLOOKUP(P607,'Settings'!$E$28:$F$33,2,FALSE)/2)+1),1)</f>
        <v>93.1394546466377</v>
      </c>
      <c r="W607" s="48">
        <f>VLOOKUP(B607,'Player Data'!$A1:$AE734,11,FALSE)*$Q607*_xlfn.IFERROR((VLOOKUP(P607,'Settings'!$E$28:$F$33,2,FALSE)+1),1)</f>
        <v>0.0965942673824058</v>
      </c>
      <c r="X607" s="48">
        <f>VLOOKUP(B607,'Player Data'!$A1:$AE734,12,FALSE)*$Q607*_xlfn.IFERROR((VLOOKUP(P607,'Settings'!$E$28:$F$33,2,FALSE)+1),1)</f>
        <v>0.276331258395256</v>
      </c>
      <c r="Y607" s="48">
        <f>VLOOKUP(B607,'Player Data'!$A1:$AE734,13,FALSE)*$Q607</f>
        <v>0.317266550920994</v>
      </c>
      <c r="Z607" s="48">
        <f>VLOOKUP(B607,'Player Data'!$A1:$AE734,14,FALSE)*$Q607</f>
        <v>0.367152555415606</v>
      </c>
      <c r="AA607" s="48">
        <f>VLOOKUP(B607,'Player Data'!$A1:$AE734,15,FALSE)*$Q607</f>
        <v>27.9346639069895</v>
      </c>
      <c r="AB607" s="48">
        <f>VLOOKUP(B607,'Player Data'!$A1:$AE734,16,FALSE)*$Q607</f>
        <v>106.150250294390</v>
      </c>
      <c r="AC607" s="48">
        <f>VLOOKUP(B607,'Player Data'!$A1:$AE734,17,FALSE)*$Q607*_xlfn.IFERROR((VLOOKUP(P607,'Settings'!$E$28:$F$33,2,FALSE)+1),1)</f>
        <v>-2.77069263084947</v>
      </c>
      <c r="AD607" s="48">
        <f>VLOOKUP(B607,'Player Data'!$A1:$AE734,18,FALSE)*$Q607</f>
        <v>15.8713835574445</v>
      </c>
      <c r="AE607" s="48">
        <f>VLOOKUP(B607,'Player Data'!$A1:$AE734,19,FALSE)*$Q607*_xlfn.IFERROR((VLOOKUP(P607,'Settings'!$E$28:$F$33,2,FALSE)+1),1)</f>
        <v>1.14370762883464</v>
      </c>
      <c r="AF607" s="48">
        <f>VLOOKUP(B607,'Player Data'!$A1:$AE734,20,FALSE)*$Q607</f>
        <v>16.8864494397565</v>
      </c>
      <c r="AG607" s="48">
        <f>VLOOKUP(B607,'Player Data'!$A1:$AE734,21,FALSE)*$Q607</f>
        <v>42.7839516462723</v>
      </c>
      <c r="AH607" s="49">
        <f>VLOOKUP(B607,'Player Data'!$A1:$AE734,22,FALSE)</f>
        <v>0.282995406975909</v>
      </c>
      <c r="AI607" s="46"/>
      <c r="AJ607" s="50"/>
      <c r="AK607" s="48"/>
      <c r="AL607" s="48"/>
      <c r="AM607" s="48"/>
      <c r="AN607" s="48"/>
      <c r="AO607" s="48"/>
      <c r="AP607" s="48"/>
      <c r="AQ607" s="51"/>
      <c r="AR607" s="52"/>
      <c r="AS607" s="46"/>
    </row>
    <row r="608" ht="21.25" customHeight="1">
      <c r="A608" s="53">
        <f>RANK(K608,K2:K730)</f>
        <v>541</v>
      </c>
      <c r="B608" t="s" s="8">
        <v>760</v>
      </c>
      <c r="C608" t="s" s="39">
        <v>106</v>
      </c>
      <c r="D608" t="s" s="40">
        <f>VLOOKUP(B608,'Player Data'!A1:D734,4,FALSE)</f>
        <v>107</v>
      </c>
      <c r="E608" s="41">
        <f>VLOOKUP(B608,'C'!A1:C218,3,FALSE)</f>
        <v>145</v>
      </c>
      <c r="F608" t="s" s="42">
        <f>VLOOKUP(B608,'Player Data'!A1:B734,2,FALSE)</f>
        <v>166</v>
      </c>
      <c r="G608" s="9">
        <f>VLOOKUP(B608,'Player Data'!A1:D734,3,FALSE)</f>
        <v>33</v>
      </c>
      <c r="H608" s="43">
        <f>_xlfn.IFERROR(VLOOKUP(B608,'ADP'!A1:G731,7,FALSE)/1000000,VLOOKUP(B608,'ADP'!A1:G731,7,FALSE))</f>
        <v>1.3</v>
      </c>
      <c r="I608" s="44">
        <f>IF('Settings'!$E$15="POINTS",((R608*Q608)*'Settings'!$B$12)+(S608*'Settings'!$B$2)+(T608*'Settings'!$B$3)+(U608*'Settings'!$B$4)+(V608*'Settings'!$B$5)+(X608*'Settings'!$B$9)+(AA608*'Settings'!$B$6)+(W608*'Settings'!$B$8)+(AB608*'Settings'!$B$7)+(AC608*'Settings'!$B$14)+(AD608*'Settings'!$B$15)+(AE608*'Settings'!$B$16)+(AF608*'Settings'!$B$17)+(AG608*'Settings'!$B$18)+(Y608*'Settings'!$B$10)+(Z608*'Settings'!$B$11),VLOOKUP(B608,'Standard Deviations'!A1:C731,3,FALSE))</f>
        <v>198.873919148314</v>
      </c>
      <c r="J608" s="45">
        <f>IF(D608="G",I608/AJ608,I608/Q608)</f>
        <v>2.59838535552264</v>
      </c>
      <c r="K608" s="44">
        <f>IF('Settings'!$E$18="C/LW/RW",VLOOKUP(B608,'C'!A1:F218,6,FALSE),VLOOKUP(B608,'F'!A1:F432,6,FALSE))</f>
        <v>-196.900282487701</v>
      </c>
      <c r="L608" s="44">
        <f>_xlfn.IFERROR(K608/H608,"N/A")</f>
        <v>-151.461755759770</v>
      </c>
      <c r="M608" t="s" s="61">
        <f>IF('Settings'!$E$9="YAHOO",VLOOKUP(B608,'ADP'!A1:E731,2,FALSE),IF('Settings'!$E$9="ESPN",VLOOKUP(B608,'ADP'!A1:E731,3,FALSE),IF('Settings'!$E$9="FANTRAX",VLOOKUP(B608,'ADP'!A1:E731,4,FALSE),VLOOKUP(B608,'ADP'!A1:E731,5,FALSE))))</f>
        <v>329</v>
      </c>
      <c r="N608" t="s" s="61">
        <f>_xlfn.IFERROR(M608-A608,"N/A")</f>
        <v>158</v>
      </c>
      <c r="O608" s="46"/>
      <c r="P608" t="s" s="47">
        <f>IF('Settings'!$E$27="ON",VLOOKUP(B608,'ADP'!A1:H731,8,FALSE)," ")</f>
        <v>109</v>
      </c>
      <c r="Q608" s="48">
        <f>IF('Settings'!$E$12="YES",VLOOKUP(B608,'Player Data'!A1:E734,5,FALSE),82)</f>
        <v>76.53749999999999</v>
      </c>
      <c r="R608" s="46">
        <f>VLOOKUP(B608,'Player Data'!$A1:$AE734,6,FALSE)</f>
        <v>13.3773149622479</v>
      </c>
      <c r="S608" s="48">
        <f>VLOOKUP(B608,'Player Data'!$A1:$AE734,7,FALSE)*$Q608*_xlfn.IFERROR((VLOOKUP(P608,'Settings'!$E$28:$F$33,2,FALSE)+1),1)</f>
        <v>11.0926834075691</v>
      </c>
      <c r="T608" s="48">
        <f>VLOOKUP(B608,'Player Data'!$A1:$AE734,8,FALSE)*$Q608*_xlfn.IFERROR((VLOOKUP(P608,'Settings'!$E$28:$F$33,2,FALSE)+1),1)</f>
        <v>11.6624334065119</v>
      </c>
      <c r="U608" s="48">
        <f>SUM(S608:T608)</f>
        <v>22.755116814081</v>
      </c>
      <c r="V608" s="48">
        <f>VLOOKUP(B608,'Player Data'!$A1:$AE734,10,FALSE)*$Q608*_xlfn.IFERROR(((VLOOKUP(P608,'Settings'!$E$28:$F$33,2,FALSE)/2)+1),1)</f>
        <v>82.8641223606395</v>
      </c>
      <c r="W608" s="48">
        <f>VLOOKUP(B608,'Player Data'!$A1:$AE734,11,FALSE)*$Q608*_xlfn.IFERROR((VLOOKUP(P608,'Settings'!$E$28:$F$33,2,FALSE)+1),1)</f>
        <v>0.0243894957405328</v>
      </c>
      <c r="X608" s="48">
        <f>VLOOKUP(B608,'Player Data'!$A1:$AE734,12,FALSE)*$Q608*_xlfn.IFERROR((VLOOKUP(P608,'Settings'!$E$28:$F$33,2,FALSE)+1),1)</f>
        <v>0.07665011670950909</v>
      </c>
      <c r="Y608" s="48">
        <f>VLOOKUP(B608,'Player Data'!$A1:$AE734,13,FALSE)*$Q608</f>
        <v>0.394676217672973</v>
      </c>
      <c r="Z608" s="48">
        <f>VLOOKUP(B608,'Player Data'!$A1:$AE734,14,FALSE)*$Q608</f>
        <v>1.04081829500961</v>
      </c>
      <c r="AA608" s="48">
        <f>VLOOKUP(B608,'Player Data'!$A1:$AE734,15,FALSE)*$Q608</f>
        <v>64.8389944092454</v>
      </c>
      <c r="AB608" s="48">
        <f>VLOOKUP(B608,'Player Data'!$A1:$AE734,16,FALSE)*$Q608</f>
        <v>152.145394479022</v>
      </c>
      <c r="AC608" s="48">
        <f>VLOOKUP(B608,'Player Data'!$A1:$AE734,17,FALSE)*$Q608*_xlfn.IFERROR((VLOOKUP(P608,'Settings'!$E$28:$F$33,2,FALSE)+1),1)</f>
        <v>-2.21253377739515</v>
      </c>
      <c r="AD608" s="48">
        <f>VLOOKUP(B608,'Player Data'!$A1:$AE734,18,FALSE)*$Q608</f>
        <v>36.0567071050613</v>
      </c>
      <c r="AE608" s="48">
        <f>VLOOKUP(B608,'Player Data'!$A1:$AE734,19,FALSE)*$Q608*_xlfn.IFERROR((VLOOKUP(P608,'Settings'!$E$28:$F$33,2,FALSE)+1),1)</f>
        <v>1.36446535834622</v>
      </c>
      <c r="AF608" s="48">
        <f>VLOOKUP(B608,'Player Data'!$A1:$AE734,20,FALSE)*$Q608</f>
        <v>535.691722530755</v>
      </c>
      <c r="AG608" s="48">
        <f>VLOOKUP(B608,'Player Data'!$A1:$AE734,21,FALSE)*$Q608</f>
        <v>473.718483505751</v>
      </c>
      <c r="AH608" s="49">
        <f>VLOOKUP(B608,'Player Data'!$A1:$AE734,22,FALSE)</f>
        <v>0.5306977473847549</v>
      </c>
      <c r="AI608" s="46"/>
      <c r="AJ608" s="50"/>
      <c r="AK608" s="48"/>
      <c r="AL608" s="48"/>
      <c r="AM608" s="48"/>
      <c r="AN608" s="48"/>
      <c r="AO608" s="48"/>
      <c r="AP608" s="48"/>
      <c r="AQ608" s="51"/>
      <c r="AR608" s="52"/>
      <c r="AS608" s="46"/>
    </row>
    <row r="609" ht="21.25" customHeight="1">
      <c r="A609" s="53">
        <f>RANK(K609,K2:K730)</f>
        <v>549</v>
      </c>
      <c r="B609" t="s" s="8">
        <v>761</v>
      </c>
      <c r="C609" t="s" s="39">
        <v>106</v>
      </c>
      <c r="D609" t="s" s="40">
        <f>VLOOKUP(B609,'Player Data'!A1:D734,4,FALSE)</f>
        <v>107</v>
      </c>
      <c r="E609" s="41">
        <f>VLOOKUP(B609,'C'!A1:C218,3,FALSE)</f>
        <v>147</v>
      </c>
      <c r="F609" t="s" s="42">
        <f>VLOOKUP(B609,'Player Data'!A1:B734,2,FALSE)</f>
        <v>189</v>
      </c>
      <c r="G609" s="9">
        <f>VLOOKUP(B609,'Player Data'!A1:D734,3,FALSE)</f>
        <v>30</v>
      </c>
      <c r="H609" s="43">
        <f>_xlfn.IFERROR(VLOOKUP(B609,'ADP'!A1:G731,7,FALSE)/1000000,VLOOKUP(B609,'ADP'!A1:G731,7,FALSE))</f>
        <v>2.5</v>
      </c>
      <c r="I609" s="44">
        <f>IF('Settings'!$E$15="POINTS",((R609*Q609)*'Settings'!$B$12)+(S609*'Settings'!$B$2)+(T609*'Settings'!$B$3)+(U609*'Settings'!$B$4)+(V609*'Settings'!$B$5)+(X609*'Settings'!$B$9)+(AA609*'Settings'!$B$6)+(W609*'Settings'!$B$8)+(AB609*'Settings'!$B$7)+(AC609*'Settings'!$B$14)+(AD609*'Settings'!$B$15)+(AE609*'Settings'!$B$16)+(AF609*'Settings'!$B$17)+(AG609*'Settings'!$B$18)+(Y609*'Settings'!$B$10)+(Z609*'Settings'!$B$11),VLOOKUP(B609,'Standard Deviations'!A1:C731,3,FALSE))</f>
        <v>196.241880376873</v>
      </c>
      <c r="J609" s="45">
        <f>IF(D609="G",I609/AJ609,I609/Q609)</f>
        <v>2.5135966965318</v>
      </c>
      <c r="K609" s="44">
        <f>IF('Settings'!$E$18="C/LW/RW",VLOOKUP(B609,'C'!A1:F218,6,FALSE),VLOOKUP(B609,'F'!A1:F432,6,FALSE))</f>
        <v>-199.532321259142</v>
      </c>
      <c r="L609" s="44">
        <f>_xlfn.IFERROR(K609/H609,"N/A")</f>
        <v>-79.81292850365681</v>
      </c>
      <c r="M609" t="s" s="61">
        <f>IF('Settings'!$E$9="YAHOO",VLOOKUP(B609,'ADP'!A1:E731,2,FALSE),IF('Settings'!$E$9="ESPN",VLOOKUP(B609,'ADP'!A1:E731,3,FALSE),IF('Settings'!$E$9="FANTRAX",VLOOKUP(B609,'ADP'!A1:E731,4,FALSE),VLOOKUP(B609,'ADP'!A1:E731,5,FALSE))))</f>
        <v>329</v>
      </c>
      <c r="N609" t="s" s="61">
        <f>_xlfn.IFERROR(M609-A609,"N/A")</f>
        <v>158</v>
      </c>
      <c r="O609" s="46"/>
      <c r="P609" t="s" s="47">
        <f>IF('Settings'!$E$27="ON",VLOOKUP(B609,'ADP'!A1:H731,8,FALSE)," ")</f>
        <v>109</v>
      </c>
      <c r="Q609" s="48">
        <f>IF('Settings'!$E$12="YES",VLOOKUP(B609,'Player Data'!A1:E734,5,FALSE),82)</f>
        <v>78.07214285714289</v>
      </c>
      <c r="R609" s="46">
        <f>VLOOKUP(B609,'Player Data'!$A1:$AE734,6,FALSE)</f>
        <v>13.5901760926185</v>
      </c>
      <c r="S609" s="48">
        <f>VLOOKUP(B609,'Player Data'!$A1:$AE734,7,FALSE)*$Q609*_xlfn.IFERROR((VLOOKUP(P609,'Settings'!$E$28:$F$33,2,FALSE)+1),1)</f>
        <v>9.651583796902409</v>
      </c>
      <c r="T609" s="48">
        <f>VLOOKUP(B609,'Player Data'!$A1:$AE734,8,FALSE)*$Q609*_xlfn.IFERROR((VLOOKUP(P609,'Settings'!$E$28:$F$33,2,FALSE)+1),1)</f>
        <v>10.6670736256071</v>
      </c>
      <c r="U609" s="48">
        <f>SUM(S609:T609)</f>
        <v>20.3186574225095</v>
      </c>
      <c r="V609" s="48">
        <f>VLOOKUP(B609,'Player Data'!$A1:$AE734,10,FALSE)*$Q609*_xlfn.IFERROR(((VLOOKUP(P609,'Settings'!$E$28:$F$33,2,FALSE)/2)+1),1)</f>
        <v>104.546632657840</v>
      </c>
      <c r="W609" s="48">
        <f>VLOOKUP(B609,'Player Data'!$A1:$AE734,11,FALSE)*$Q609*_xlfn.IFERROR((VLOOKUP(P609,'Settings'!$E$28:$F$33,2,FALSE)+1),1)</f>
        <v>0.09037111667052861</v>
      </c>
      <c r="X609" s="48">
        <f>VLOOKUP(B609,'Player Data'!$A1:$AE734,12,FALSE)*$Q609*_xlfn.IFERROR((VLOOKUP(P609,'Settings'!$E$28:$F$33,2,FALSE)+1),1)</f>
        <v>0.16059961665061</v>
      </c>
      <c r="Y609" s="48">
        <f>VLOOKUP(B609,'Player Data'!$A1:$AE734,13,FALSE)*$Q609</f>
        <v>0.563457687510512</v>
      </c>
      <c r="Z609" s="48">
        <f>VLOOKUP(B609,'Player Data'!$A1:$AE734,14,FALSE)*$Q609</f>
        <v>0.936409886321328</v>
      </c>
      <c r="AA609" s="48">
        <f>VLOOKUP(B609,'Player Data'!$A1:$AE734,15,FALSE)*$Q609</f>
        <v>44.4900818752418</v>
      </c>
      <c r="AB609" s="48">
        <f>VLOOKUP(B609,'Player Data'!$A1:$AE734,16,FALSE)*$Q609</f>
        <v>177.669421499228</v>
      </c>
      <c r="AC609" s="48">
        <f>VLOOKUP(B609,'Player Data'!$A1:$AE734,17,FALSE)*$Q609*_xlfn.IFERROR((VLOOKUP(P609,'Settings'!$E$28:$F$33,2,FALSE)+1),1)</f>
        <v>-6.90185719208814</v>
      </c>
      <c r="AD609" s="48">
        <f>VLOOKUP(B609,'Player Data'!$A1:$AE734,18,FALSE)*$Q609</f>
        <v>40.5310259677489</v>
      </c>
      <c r="AE609" s="48">
        <f>VLOOKUP(B609,'Player Data'!$A1:$AE734,19,FALSE)*$Q609*_xlfn.IFERROR((VLOOKUP(P609,'Settings'!$E$28:$F$33,2,FALSE)+1),1)</f>
        <v>1.03423365679996</v>
      </c>
      <c r="AF609" s="48">
        <f>VLOOKUP(B609,'Player Data'!$A1:$AE734,20,FALSE)*$Q609</f>
        <v>549.186808199445</v>
      </c>
      <c r="AG609" s="48">
        <f>VLOOKUP(B609,'Player Data'!$A1:$AE734,21,FALSE)*$Q609</f>
        <v>532.2212131682491</v>
      </c>
      <c r="AH609" s="49">
        <f>VLOOKUP(B609,'Player Data'!$A1:$AE734,22,FALSE)</f>
        <v>0.507844215456132</v>
      </c>
      <c r="AI609" s="46"/>
      <c r="AJ609" s="50"/>
      <c r="AK609" s="48"/>
      <c r="AL609" s="48"/>
      <c r="AM609" s="48"/>
      <c r="AN609" s="48"/>
      <c r="AO609" s="48"/>
      <c r="AP609" s="48"/>
      <c r="AQ609" s="51"/>
      <c r="AR609" s="52"/>
      <c r="AS609" s="46"/>
    </row>
    <row r="610" ht="21.25" customHeight="1">
      <c r="A610" s="53">
        <f>RANK(K610,K2:K730)</f>
        <v>344</v>
      </c>
      <c r="B610" t="s" s="8">
        <v>762</v>
      </c>
      <c r="C610" t="s" s="39">
        <v>106</v>
      </c>
      <c r="D610" t="s" s="40">
        <f>VLOOKUP(B610,'Player Data'!A1:D734,4,FALSE)</f>
        <v>146</v>
      </c>
      <c r="E610" s="58">
        <f>VLOOKUP(B610,'G'!A1:D75,3,FALSE)</f>
        <v>46</v>
      </c>
      <c r="F610" t="s" s="42">
        <f>VLOOKUP(B610,'Player Data'!A1:B734,2,FALSE)</f>
        <v>113</v>
      </c>
      <c r="G610" s="9">
        <f>VLOOKUP(B610,'Player Data'!A1:D734,3,FALSE)</f>
        <v>33</v>
      </c>
      <c r="H610" s="43">
        <f>_xlfn.IFERROR(VLOOKUP(B610,'ADP'!A1:G731,7,FALSE)/1000000,VLOOKUP(B610,'ADP'!A1:G731,7,FALSE))</f>
        <v>2</v>
      </c>
      <c r="I610" s="44">
        <f>IF('Settings'!$E$15="POINTS",(AJ610*'Settings'!$B$29)+(AK610*'Settings'!$B$21)+(AL610*'Settings'!$B$22)+(AN610*'Settings'!$B$24)+(AO610*'Settings'!$B$25)+(AP610*'Settings'!$B$27)+(AM610*'Settings'!$B$23),VLOOKUP(B610,'Standard Deviations'!A1:C731,3,FALSE))</f>
        <v>134.541599485923</v>
      </c>
      <c r="J610" s="45">
        <f>IF(D610="G",I610/AJ610,I610/Q610)</f>
        <v>5.60589997858013</v>
      </c>
      <c r="K610" s="44">
        <f>VLOOKUP(B610,'G'!A1:F75,6,FALSE)</f>
        <v>-130.761622013765</v>
      </c>
      <c r="L610" s="44">
        <f>_xlfn.IFERROR(K610/H610,"N/A")</f>
        <v>-65.3808110068825</v>
      </c>
      <c r="M610" s="46">
        <f>IF('Settings'!$E$9="YAHOO",VLOOKUP(B610,'ADP'!A1:E731,2,FALSE),IF('Settings'!$E$9="ESPN",VLOOKUP(B610,'ADP'!A1:E731,3,FALSE),IF('Settings'!$E$9="FANTRAX",VLOOKUP(B610,'ADP'!A1:E731,4,FALSE),VLOOKUP(B610,'ADP'!A1:E731,5,FALSE))))</f>
        <v>424.12</v>
      </c>
      <c r="N610" s="46">
        <f>_xlfn.IFERROR(M610-A610,"N/A")</f>
        <v>80.12</v>
      </c>
      <c r="O610" s="46"/>
      <c r="P610" t="s" s="47">
        <f>IF('Settings'!$E$27="ON",VLOOKUP(B610,'ADP'!A1:H731,8,FALSE)," ")</f>
        <v>109</v>
      </c>
      <c r="Q610" s="48"/>
      <c r="R610" s="59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9"/>
      <c r="AI610" s="46"/>
      <c r="AJ610" s="50">
        <f>VLOOKUP(B610,'Player Data'!$A1:$AE734,24,FALSE)</f>
        <v>24</v>
      </c>
      <c r="AK610" s="48">
        <f>VLOOKUP(B610,'Player Data'!$A1:$AE734,25,FALSE)*$AJ610*_xlfn.IFERROR((VLOOKUP(P610,'Settings'!$E$28:$F$33,2,FALSE)+1),1)</f>
        <v>13.2472091621353</v>
      </c>
      <c r="AL610" s="48">
        <f>AJ610-AK610-AM610</f>
        <v>7.7527908378647</v>
      </c>
      <c r="AM610" s="48">
        <f>VLOOKUP(B610,'Player Data'!$A1:$AE734,27,FALSE)*$AJ610</f>
        <v>3</v>
      </c>
      <c r="AN610" s="48">
        <f>VLOOKUP(B610,'Player Data'!$A1:$AE734,28,FALSE)*AJ610</f>
        <v>1.09285848315646</v>
      </c>
      <c r="AO610" s="48">
        <f>VLOOKUP(B610,'Player Data'!$A1:$AE734,29,FALSE)*$AJ610*_xlfn.IFERROR((VLOOKUP(P610,'Settings'!$E$28:$F$33,2,FALSE)/4)+1,1)</f>
        <v>658.8894839305819</v>
      </c>
      <c r="AP610" s="48">
        <f>VLOOKUP(B610,'Player Data'!$A1:$AE734,31,FALSE)*$AJ610*(_xlfn.IFERROR(1-(VLOOKUP(P610,'Settings'!$E$28:$F$33,2,FALSE)/4),1))</f>
        <v>70.7636324194181</v>
      </c>
      <c r="AQ610" s="51">
        <f>1-(AP610/(AO610+AP610))</f>
        <v>0.903017432758453</v>
      </c>
      <c r="AR610" s="52">
        <f>AP610/AJ610</f>
        <v>2.94848468414242</v>
      </c>
      <c r="AS610" s="46"/>
    </row>
    <row r="611" ht="21.25" customHeight="1">
      <c r="A611" s="53">
        <f>RANK(K611,K2:K730)</f>
        <v>608</v>
      </c>
      <c r="B611" t="s" s="8">
        <v>763</v>
      </c>
      <c r="C611" t="s" s="39">
        <v>106</v>
      </c>
      <c r="D611" t="s" s="40">
        <f>VLOOKUP(B611,'Player Data'!A1:D734,4,FALSE)</f>
        <v>107</v>
      </c>
      <c r="E611" s="41">
        <f>VLOOKUP(B611,'C'!A1:C218,3,FALSE)</f>
        <v>159</v>
      </c>
      <c r="F611" t="s" s="42">
        <f>VLOOKUP(B611,'Player Data'!A1:B734,2,FALSE)</f>
        <v>136</v>
      </c>
      <c r="G611" s="9">
        <f>VLOOKUP(B611,'Player Data'!A1:D734,3,FALSE)</f>
        <v>23</v>
      </c>
      <c r="H611" s="43">
        <f>_xlfn.IFERROR(VLOOKUP(B611,'ADP'!A1:G731,7,FALSE)/1000000,VLOOKUP(B611,'ADP'!A1:G731,7,FALSE))</f>
        <v>0.9</v>
      </c>
      <c r="I611" s="44">
        <f>IF('Settings'!$E$15="POINTS",((R611*Q611)*'Settings'!$B$12)+(S611*'Settings'!$B$2)+(T611*'Settings'!$B$3)+(U611*'Settings'!$B$4)+(V611*'Settings'!$B$5)+(X611*'Settings'!$B$9)+(AA611*'Settings'!$B$6)+(W611*'Settings'!$B$8)+(AB611*'Settings'!$B$7)+(AC611*'Settings'!$B$14)+(AD611*'Settings'!$B$15)+(AE611*'Settings'!$B$16)+(AF611*'Settings'!$B$17)+(AG611*'Settings'!$B$18)+(Y611*'Settings'!$B$10)+(Z611*'Settings'!$B$11),VLOOKUP(B611,'Standard Deviations'!A1:C731,3,FALSE))</f>
        <v>176.701814438074</v>
      </c>
      <c r="J611" s="45">
        <f>IF(D611="G",I611/AJ611,I611/Q611)</f>
        <v>2.45889987986227</v>
      </c>
      <c r="K611" s="44">
        <f>IF('Settings'!$E$18="C/LW/RW",VLOOKUP(B611,'C'!A1:F218,6,FALSE),VLOOKUP(B611,'F'!A1:F432,6,FALSE))</f>
        <v>-219.072387197941</v>
      </c>
      <c r="L611" s="44">
        <f>_xlfn.IFERROR(K611/H611,"N/A")</f>
        <v>-243.413763553268</v>
      </c>
      <c r="M611" t="s" s="61">
        <f>IF('Settings'!$E$9="YAHOO",VLOOKUP(B611,'ADP'!A1:E731,2,FALSE),IF('Settings'!$E$9="ESPN",VLOOKUP(B611,'ADP'!A1:E731,3,FALSE),IF('Settings'!$E$9="FANTRAX",VLOOKUP(B611,'ADP'!A1:E731,4,FALSE),VLOOKUP(B611,'ADP'!A1:E731,5,FALSE))))</f>
        <v>329</v>
      </c>
      <c r="N611" t="s" s="61">
        <f>_xlfn.IFERROR(M611-A611,"N/A")</f>
        <v>158</v>
      </c>
      <c r="O611" s="46"/>
      <c r="P611" t="s" s="47">
        <f>IF('Settings'!$E$27="ON",VLOOKUP(B611,'ADP'!A1:H731,8,FALSE)," ")</f>
        <v>109</v>
      </c>
      <c r="Q611" s="48">
        <f>IF('Settings'!$E$12="YES",VLOOKUP(B611,'Player Data'!A1:E734,5,FALSE),82)</f>
        <v>71.8621428571429</v>
      </c>
      <c r="R611" s="46">
        <f>VLOOKUP(B611,'Player Data'!$A1:$AE734,6,FALSE)</f>
        <v>13.8714016209192</v>
      </c>
      <c r="S611" s="48">
        <f>VLOOKUP(B611,'Player Data'!$A1:$AE734,7,FALSE)*$Q611*_xlfn.IFERROR((VLOOKUP(P611,'Settings'!$E$28:$F$33,2,FALSE)+1),1)</f>
        <v>8.592667190636011</v>
      </c>
      <c r="T611" s="48">
        <f>VLOOKUP(B611,'Player Data'!$A1:$AE734,8,FALSE)*$Q611*_xlfn.IFERROR((VLOOKUP(P611,'Settings'!$E$28:$F$33,2,FALSE)+1),1)</f>
        <v>16.2219966980832</v>
      </c>
      <c r="U611" s="48">
        <f>SUM(S611:T611)</f>
        <v>24.8146638887192</v>
      </c>
      <c r="V611" s="48">
        <f>VLOOKUP(B611,'Player Data'!$A1:$AE734,10,FALSE)*$Q611*_xlfn.IFERROR(((VLOOKUP(P611,'Settings'!$E$28:$F$33,2,FALSE)/2)+1),1)</f>
        <v>80.7914355009781</v>
      </c>
      <c r="W611" s="48">
        <f>VLOOKUP(B611,'Player Data'!$A1:$AE734,11,FALSE)*$Q611*_xlfn.IFERROR((VLOOKUP(P611,'Settings'!$E$28:$F$33,2,FALSE)+1),1)</f>
        <v>0.0672148649839187</v>
      </c>
      <c r="X611" s="48">
        <f>VLOOKUP(B611,'Player Data'!$A1:$AE734,12,FALSE)*$Q611*_xlfn.IFERROR((VLOOKUP(P611,'Settings'!$E$28:$F$33,2,FALSE)+1),1)</f>
        <v>0.138660244529187</v>
      </c>
      <c r="Y611" s="48">
        <f>VLOOKUP(B611,'Player Data'!$A1:$AE734,13,FALSE)*$Q611</f>
        <v>0.133344001003753</v>
      </c>
      <c r="Z611" s="48">
        <f>VLOOKUP(B611,'Player Data'!$A1:$AE734,14,FALSE)*$Q611</f>
        <v>2.8801000591704</v>
      </c>
      <c r="AA611" s="48">
        <f>VLOOKUP(B611,'Player Data'!$A1:$AE734,15,FALSE)*$Q611</f>
        <v>33.9045756085892</v>
      </c>
      <c r="AB611" s="48">
        <f>VLOOKUP(B611,'Player Data'!$A1:$AE734,16,FALSE)*$Q611</f>
        <v>105.042465251351</v>
      </c>
      <c r="AC611" s="48">
        <f>VLOOKUP(B611,'Player Data'!$A1:$AE734,17,FALSE)*$Q611*_xlfn.IFERROR((VLOOKUP(P611,'Settings'!$E$28:$F$33,2,FALSE)+1),1)</f>
        <v>3.45659986497398</v>
      </c>
      <c r="AD611" s="48">
        <f>VLOOKUP(B611,'Player Data'!$A1:$AE734,18,FALSE)*$Q611</f>
        <v>42.3395871651197</v>
      </c>
      <c r="AE611" s="48">
        <f>VLOOKUP(B611,'Player Data'!$A1:$AE734,19,FALSE)*$Q611*_xlfn.IFERROR((VLOOKUP(P611,'Settings'!$E$28:$F$33,2,FALSE)+1),1)</f>
        <v>1.3747658366161</v>
      </c>
      <c r="AF611" s="48">
        <f>VLOOKUP(B611,'Player Data'!$A1:$AE734,20,FALSE)*$Q611</f>
        <v>89.48293223596551</v>
      </c>
      <c r="AG611" s="48">
        <f>VLOOKUP(B611,'Player Data'!$A1:$AE734,21,FALSE)*$Q611</f>
        <v>90.09537792872359</v>
      </c>
      <c r="AH611" s="49">
        <f>VLOOKUP(B611,'Player Data'!$A1:$AE734,22,FALSE)</f>
        <v>0.498294767079063</v>
      </c>
      <c r="AI611" s="46"/>
      <c r="AJ611" s="50"/>
      <c r="AK611" s="48"/>
      <c r="AL611" s="48"/>
      <c r="AM611" s="48"/>
      <c r="AN611" s="48"/>
      <c r="AO611" s="48"/>
      <c r="AP611" s="48"/>
      <c r="AQ611" s="51"/>
      <c r="AR611" s="52"/>
      <c r="AS611" s="46"/>
    </row>
    <row r="612" ht="21.25" customHeight="1">
      <c r="A612" s="53">
        <f>RANK(K612,K2:K730)</f>
        <v>667</v>
      </c>
      <c r="B612" t="s" s="8">
        <v>764</v>
      </c>
      <c r="C612" t="s" s="39">
        <v>106</v>
      </c>
      <c r="D612" t="s" s="40">
        <f>VLOOKUP(B612,'Player Data'!A1:D734,4,FALSE)</f>
        <v>107</v>
      </c>
      <c r="E612" s="41">
        <f>VLOOKUP(B612,'C'!A1:C218,3,FALSE)</f>
        <v>180</v>
      </c>
      <c r="F612" t="s" s="42">
        <f>VLOOKUP(B612,'Player Data'!A1:B734,2,FALSE)</f>
        <v>139</v>
      </c>
      <c r="G612" s="9">
        <f>VLOOKUP(B612,'Player Data'!A1:D734,3,FALSE)</f>
        <v>22</v>
      </c>
      <c r="H612" s="43">
        <f>_xlfn.IFERROR(VLOOKUP(B612,'ADP'!A1:G731,7,FALSE)/1000000,VLOOKUP(B612,'ADP'!A1:G731,7,FALSE))</f>
        <v>0.863333</v>
      </c>
      <c r="I612" s="44">
        <f>IF('Settings'!$E$15="POINTS",((R612*Q612)*'Settings'!$B$12)+(S612*'Settings'!$B$2)+(T612*'Settings'!$B$3)+(U612*'Settings'!$B$4)+(V612*'Settings'!$B$5)+(X612*'Settings'!$B$9)+(AA612*'Settings'!$B$6)+(W612*'Settings'!$B$8)+(AB612*'Settings'!$B$7)+(AC612*'Settings'!$B$14)+(AD612*'Settings'!$B$15)+(AE612*'Settings'!$B$16)+(AF612*'Settings'!$B$17)+(AG612*'Settings'!$B$18)+(Y612*'Settings'!$B$10)+(Z612*'Settings'!$B$11),VLOOKUP(B612,'Standard Deviations'!A1:C731,3,FALSE))</f>
        <v>152.998788494761</v>
      </c>
      <c r="J612" s="45">
        <f>IF(D612="G",I612/AJ612,I612/Q612)</f>
        <v>2.19957901544611</v>
      </c>
      <c r="K612" s="44">
        <f>IF('Settings'!$E$18="C/LW/RW",VLOOKUP(B612,'C'!A1:F218,6,FALSE),VLOOKUP(B612,'F'!A1:F432,6,FALSE))</f>
        <v>-242.775413141254</v>
      </c>
      <c r="L612" s="44">
        <f>_xlfn.IFERROR(K612/H612,"N/A")</f>
        <v>-281.207150822746</v>
      </c>
      <c r="M612" t="s" s="61">
        <f>IF('Settings'!$E$9="YAHOO",VLOOKUP(B612,'ADP'!A1:E731,2,FALSE),IF('Settings'!$E$9="ESPN",VLOOKUP(B612,'ADP'!A1:E731,3,FALSE),IF('Settings'!$E$9="FANTRAX",VLOOKUP(B612,'ADP'!A1:E731,4,FALSE),VLOOKUP(B612,'ADP'!A1:E731,5,FALSE))))</f>
        <v>329</v>
      </c>
      <c r="N612" t="s" s="61">
        <f>_xlfn.IFERROR(M612-A612,"N/A")</f>
        <v>158</v>
      </c>
      <c r="O612" s="46"/>
      <c r="P612" t="s" s="47">
        <f>IF('Settings'!$E$27="ON",VLOOKUP(B612,'ADP'!A1:H731,8,FALSE)," ")</f>
        <v>109</v>
      </c>
      <c r="Q612" s="48">
        <f>IF('Settings'!$E$12="YES",VLOOKUP(B612,'Player Data'!A1:E734,5,FALSE),82)</f>
        <v>69.5582142857143</v>
      </c>
      <c r="R612" s="46">
        <f>VLOOKUP(B612,'Player Data'!$A1:$AE734,6,FALSE)</f>
        <v>13.1284601920609</v>
      </c>
      <c r="S612" s="48">
        <f>VLOOKUP(B612,'Player Data'!$A1:$AE734,7,FALSE)*$Q612*_xlfn.IFERROR((VLOOKUP(P612,'Settings'!$E$28:$F$33,2,FALSE)+1),1)</f>
        <v>9.323115293454959</v>
      </c>
      <c r="T612" s="48">
        <f>VLOOKUP(B612,'Player Data'!$A1:$AE734,8,FALSE)*$Q612*_xlfn.IFERROR((VLOOKUP(P612,'Settings'!$E$28:$F$33,2,FALSE)+1),1)</f>
        <v>15.2056134031635</v>
      </c>
      <c r="U612" s="48">
        <f>SUM(S612:T612)</f>
        <v>24.5287286966185</v>
      </c>
      <c r="V612" s="48">
        <f>VLOOKUP(B612,'Player Data'!$A1:$AE734,10,FALSE)*$Q612*_xlfn.IFERROR(((VLOOKUP(P612,'Settings'!$E$28:$F$33,2,FALSE)/2)+1),1)</f>
        <v>72.68179377590209</v>
      </c>
      <c r="W612" s="48">
        <f>VLOOKUP(B612,'Player Data'!$A1:$AE734,11,FALSE)*$Q612*_xlfn.IFERROR((VLOOKUP(P612,'Settings'!$E$28:$F$33,2,FALSE)+1),1)</f>
        <v>0.709025110421767</v>
      </c>
      <c r="X612" s="48">
        <f>VLOOKUP(B612,'Player Data'!$A1:$AE734,12,FALSE)*$Q612*_xlfn.IFERROR((VLOOKUP(P612,'Settings'!$E$28:$F$33,2,FALSE)+1),1)</f>
        <v>3.97647136585317</v>
      </c>
      <c r="Y612" s="48">
        <f>VLOOKUP(B612,'Player Data'!$A1:$AE734,13,FALSE)*$Q612</f>
        <v>0.6256775877783201</v>
      </c>
      <c r="Z612" s="48">
        <f>VLOOKUP(B612,'Player Data'!$A1:$AE734,14,FALSE)*$Q612</f>
        <v>0.708981952188424</v>
      </c>
      <c r="AA612" s="48">
        <f>VLOOKUP(B612,'Player Data'!$A1:$AE734,15,FALSE)*$Q612</f>
        <v>18.4861077045171</v>
      </c>
      <c r="AB612" s="48">
        <f>VLOOKUP(B612,'Player Data'!$A1:$AE734,16,FALSE)*$Q612</f>
        <v>73.7040592805463</v>
      </c>
      <c r="AC612" s="48">
        <f>VLOOKUP(B612,'Player Data'!$A1:$AE734,17,FALSE)*$Q612*_xlfn.IFERROR((VLOOKUP(P612,'Settings'!$E$28:$F$33,2,FALSE)+1),1)</f>
        <v>-3.35634309449484</v>
      </c>
      <c r="AD612" s="48">
        <f>VLOOKUP(B612,'Player Data'!$A1:$AE734,18,FALSE)*$Q612</f>
        <v>33.0891766202958</v>
      </c>
      <c r="AE612" s="48">
        <f>VLOOKUP(B612,'Player Data'!$A1:$AE734,19,FALSE)*$Q612*_xlfn.IFERROR((VLOOKUP(P612,'Settings'!$E$28:$F$33,2,FALSE)+1),1)</f>
        <v>1.19353642357703</v>
      </c>
      <c r="AF612" s="48">
        <f>VLOOKUP(B612,'Player Data'!$A1:$AE734,20,FALSE)*$Q612</f>
        <v>187.040853612758</v>
      </c>
      <c r="AG612" s="48">
        <f>VLOOKUP(B612,'Player Data'!$A1:$AE734,21,FALSE)*$Q612</f>
        <v>262.906336088039</v>
      </c>
      <c r="AH612" s="49">
        <f>VLOOKUP(B612,'Player Data'!$A1:$AE734,22,FALSE)</f>
        <v>0.415695125770505</v>
      </c>
      <c r="AI612" s="46"/>
      <c r="AJ612" s="50"/>
      <c r="AK612" s="48"/>
      <c r="AL612" s="48"/>
      <c r="AM612" s="48"/>
      <c r="AN612" s="48"/>
      <c r="AO612" s="48"/>
      <c r="AP612" s="48"/>
      <c r="AQ612" s="51"/>
      <c r="AR612" s="52"/>
      <c r="AS612" s="46"/>
    </row>
    <row r="613" ht="21.25" customHeight="1">
      <c r="A613" s="53">
        <f>RANK(K613,K2:K730)</f>
        <v>513</v>
      </c>
      <c r="B613" t="s" s="8">
        <v>765</v>
      </c>
      <c r="C613" t="s" s="39">
        <v>106</v>
      </c>
      <c r="D613" t="s" s="40">
        <f>VLOOKUP(B613,'Player Data'!A1:D734,4,FALSE)</f>
        <v>107</v>
      </c>
      <c r="E613" s="41">
        <f>VLOOKUP(B613,'C'!A1:C218,3,FALSE)</f>
        <v>133</v>
      </c>
      <c r="F613" t="s" s="42">
        <f>VLOOKUP(B613,'Player Data'!A1:B734,2,FALSE)</f>
        <v>196</v>
      </c>
      <c r="G613" s="9">
        <f>VLOOKUP(B613,'Player Data'!A1:D734,3,FALSE)</f>
        <v>23</v>
      </c>
      <c r="H613" s="43">
        <f>_xlfn.IFERROR(VLOOKUP(B613,'ADP'!A1:G731,7,FALSE)/1000000,VLOOKUP(B613,'ADP'!A1:G731,7,FALSE))</f>
        <v>0</v>
      </c>
      <c r="I613" s="44">
        <f>IF('Settings'!$E$15="POINTS",((R613*Q613)*'Settings'!$B$12)+(S613*'Settings'!$B$2)+(T613*'Settings'!$B$3)+(U613*'Settings'!$B$4)+(V613*'Settings'!$B$5)+(X613*'Settings'!$B$9)+(AA613*'Settings'!$B$6)+(W613*'Settings'!$B$8)+(AB613*'Settings'!$B$7)+(AC613*'Settings'!$B$14)+(AD613*'Settings'!$B$15)+(AE613*'Settings'!$B$16)+(AF613*'Settings'!$B$17)+(AG613*'Settings'!$B$18)+(Y613*'Settings'!$B$10)+(Z613*'Settings'!$B$11),VLOOKUP(B613,'Standard Deviations'!A1:C731,3,FALSE))</f>
        <v>210.125507001176</v>
      </c>
      <c r="J613" s="45">
        <f>IF(D613="G",I613/AJ613,I613/Q613)</f>
        <v>2.72890268832696</v>
      </c>
      <c r="K613" s="44">
        <f>IF('Settings'!$E$18="C/LW/RW",VLOOKUP(B613,'C'!A1:F218,6,FALSE),VLOOKUP(B613,'F'!A1:F432,6,FALSE))</f>
        <v>-185.648694634839</v>
      </c>
      <c r="L613" t="s" s="60">
        <f>_xlfn.IFERROR(K613/H613,"N/A")</f>
        <v>158</v>
      </c>
      <c r="M613" t="s" s="61">
        <f>IF('Settings'!$E$9="YAHOO",VLOOKUP(B613,'ADP'!A1:E731,2,FALSE),IF('Settings'!$E$9="ESPN",VLOOKUP(B613,'ADP'!A1:E731,3,FALSE),IF('Settings'!$E$9="FANTRAX",VLOOKUP(B613,'ADP'!A1:E731,4,FALSE),VLOOKUP(B613,'ADP'!A1:E731,5,FALSE))))</f>
        <v>329</v>
      </c>
      <c r="N613" t="s" s="61">
        <f>_xlfn.IFERROR(M613-A613,"N/A")</f>
        <v>158</v>
      </c>
      <c r="O613" s="46"/>
      <c r="P613" t="s" s="47">
        <f>IF('Settings'!$E$27="ON",VLOOKUP(B613,'ADP'!A1:H731,8,FALSE)," ")</f>
        <v>109</v>
      </c>
      <c r="Q613" s="48">
        <f>IF('Settings'!$E$12="YES",VLOOKUP(B613,'Player Data'!A1:E734,5,FALSE),82)</f>
        <v>77</v>
      </c>
      <c r="R613" s="46">
        <f>VLOOKUP(B613,'Player Data'!$A1:$AE734,6,FALSE)</f>
        <v>13.0415059605106</v>
      </c>
      <c r="S613" s="48">
        <f>VLOOKUP(B613,'Player Data'!$A1:$AE734,7,FALSE)*$Q613*_xlfn.IFERROR((VLOOKUP(P613,'Settings'!$E$28:$F$33,2,FALSE)+1),1)</f>
        <v>11.6745555524827</v>
      </c>
      <c r="T613" s="48">
        <f>VLOOKUP(B613,'Player Data'!$A1:$AE734,8,FALSE)*$Q613*_xlfn.IFERROR((VLOOKUP(P613,'Settings'!$E$28:$F$33,2,FALSE)+1),1)</f>
        <v>13.0213870684655</v>
      </c>
      <c r="U613" s="48">
        <f>SUM(S613:T613)</f>
        <v>24.6959426209482</v>
      </c>
      <c r="V613" s="48">
        <f>VLOOKUP(B613,'Player Data'!$A1:$AE734,10,FALSE)*$Q613*_xlfn.IFERROR(((VLOOKUP(P613,'Settings'!$E$28:$F$33,2,FALSE)/2)+1),1)</f>
        <v>75.4602583520312</v>
      </c>
      <c r="W613" s="48">
        <f>VLOOKUP(B613,'Player Data'!$A1:$AE734,11,FALSE)*$Q613*_xlfn.IFERROR((VLOOKUP(P613,'Settings'!$E$28:$F$33,2,FALSE)+1),1)</f>
        <v>0.108212451920076</v>
      </c>
      <c r="X613" s="48">
        <f>VLOOKUP(B613,'Player Data'!$A1:$AE734,12,FALSE)*$Q613*_xlfn.IFERROR((VLOOKUP(P613,'Settings'!$E$28:$F$33,2,FALSE)+1),1)</f>
        <v>0.391002486451347</v>
      </c>
      <c r="Y613" s="48">
        <f>VLOOKUP(B613,'Player Data'!$A1:$AE734,13,FALSE)*$Q613</f>
        <v>0.198089062568252</v>
      </c>
      <c r="Z613" s="48">
        <f>VLOOKUP(B613,'Player Data'!$A1:$AE734,14,FALSE)*$Q613</f>
        <v>0.340476924240762</v>
      </c>
      <c r="AA613" s="48">
        <f>VLOOKUP(B613,'Player Data'!$A1:$AE734,15,FALSE)*$Q613</f>
        <v>43.0980352518777</v>
      </c>
      <c r="AB613" s="48">
        <f>VLOOKUP(B613,'Player Data'!$A1:$AE734,16,FALSE)*$Q613</f>
        <v>234.262980636686</v>
      </c>
      <c r="AC613" s="48">
        <f>VLOOKUP(B613,'Player Data'!$A1:$AE734,17,FALSE)*$Q613*_xlfn.IFERROR((VLOOKUP(P613,'Settings'!$E$28:$F$33,2,FALSE)+1),1)</f>
        <v>-4.69725435070057</v>
      </c>
      <c r="AD613" s="48">
        <f>VLOOKUP(B613,'Player Data'!$A1:$AE734,18,FALSE)*$Q613</f>
        <v>45.8228680436967</v>
      </c>
      <c r="AE613" s="48">
        <f>VLOOKUP(B613,'Player Data'!$A1:$AE734,19,FALSE)*$Q613*_xlfn.IFERROR((VLOOKUP(P613,'Settings'!$E$28:$F$33,2,FALSE)+1),1)</f>
        <v>1.47328919265711</v>
      </c>
      <c r="AF613" s="48">
        <f>VLOOKUP(B613,'Player Data'!$A1:$AE734,20,FALSE)*$Q613</f>
        <v>317.129451728523</v>
      </c>
      <c r="AG613" s="48">
        <f>VLOOKUP(B613,'Player Data'!$A1:$AE734,21,FALSE)*$Q613</f>
        <v>418.477758929483</v>
      </c>
      <c r="AH613" s="49">
        <f>VLOOKUP(B613,'Player Data'!$A1:$AE734,22,FALSE)</f>
        <v>0.431112483855138</v>
      </c>
      <c r="AI613" s="46"/>
      <c r="AJ613" s="50"/>
      <c r="AK613" s="48"/>
      <c r="AL613" s="48"/>
      <c r="AM613" s="48"/>
      <c r="AN613" s="48"/>
      <c r="AO613" s="48"/>
      <c r="AP613" s="48"/>
      <c r="AQ613" s="51"/>
      <c r="AR613" s="52"/>
      <c r="AS613" s="46"/>
    </row>
    <row r="614" ht="21.25" customHeight="1">
      <c r="A614" s="53">
        <f>RANK(K614,K2:K730)</f>
        <v>582</v>
      </c>
      <c r="B614" t="s" s="8">
        <v>766</v>
      </c>
      <c r="C614" t="s" s="39">
        <v>106</v>
      </c>
      <c r="D614" t="s" s="40">
        <f>VLOOKUP(B614,'Player Data'!A1:D734,4,FALSE)</f>
        <v>133</v>
      </c>
      <c r="E614" s="57">
        <f>VLOOKUP(B614,'LW'!A1:C156,3,FALSE)</f>
        <v>124</v>
      </c>
      <c r="F614" t="s" s="42">
        <f>VLOOKUP(B614,'Player Data'!A1:B734,2,FALSE)</f>
        <v>119</v>
      </c>
      <c r="G614" s="9">
        <f>VLOOKUP(B614,'Player Data'!A1:D734,3,FALSE)</f>
        <v>28</v>
      </c>
      <c r="H614" s="43">
        <f>_xlfn.IFERROR(VLOOKUP(B614,'ADP'!A1:G731,7,FALSE)/1000000,VLOOKUP(B614,'ADP'!A1:G731,7,FALSE))</f>
        <v>0.8</v>
      </c>
      <c r="I614" s="44">
        <f>IF('Settings'!$E$15="POINTS",((R614*Q614)*'Settings'!$B$12)+(S614*'Settings'!$B$2)+(T614*'Settings'!$B$3)+(U614*'Settings'!$B$4)+(V614*'Settings'!$B$5)+(X614*'Settings'!$B$9)+(AA614*'Settings'!$B$6)+(W614*'Settings'!$B$8)+(AB614*'Settings'!$B$7)+(AC614*'Settings'!$B$14)+(AD614*'Settings'!$B$15)+(AE614*'Settings'!$B$16)+(AF614*'Settings'!$B$17)+(AG614*'Settings'!$B$18)+(Y614*'Settings'!$B$10)+(Z614*'Settings'!$B$11),VLOOKUP(B614,'Standard Deviations'!A1:C731,3,FALSE))</f>
        <v>169.808358066948</v>
      </c>
      <c r="J614" s="45">
        <f>IF(D614="G",I614/AJ614,I614/Q614)</f>
        <v>2.3584494175965</v>
      </c>
      <c r="K614" s="44">
        <f>IF('Settings'!$E$18="C/LW/RW",VLOOKUP(B614,'LW'!A1:F156,6,FALSE),VLOOKUP(B614,'F'!A1:F432,6,FALSE))</f>
        <v>-211.820205639408</v>
      </c>
      <c r="L614" s="44">
        <f>_xlfn.IFERROR(K614/H614,"N/A")</f>
        <v>-264.775257049260</v>
      </c>
      <c r="M614" t="s" s="61">
        <f>IF('Settings'!$E$9="YAHOO",VLOOKUP(B614,'ADP'!A1:E731,2,FALSE),IF('Settings'!$E$9="ESPN",VLOOKUP(B614,'ADP'!A1:E731,3,FALSE),IF('Settings'!$E$9="FANTRAX",VLOOKUP(B614,'ADP'!A1:E731,4,FALSE),VLOOKUP(B614,'ADP'!A1:E731,5,FALSE))))</f>
        <v>329</v>
      </c>
      <c r="N614" t="s" s="61">
        <f>_xlfn.IFERROR(M614-A614,"N/A")</f>
        <v>158</v>
      </c>
      <c r="O614" s="46"/>
      <c r="P614" t="s" s="47">
        <f>IF('Settings'!$E$27="ON",VLOOKUP(B614,'ADP'!A1:H731,8,FALSE)," ")</f>
        <v>109</v>
      </c>
      <c r="Q614" s="48">
        <f>IF('Settings'!$E$12="YES",VLOOKUP(B614,'Player Data'!A1:E734,5,FALSE),82)</f>
        <v>72</v>
      </c>
      <c r="R614" s="46">
        <f>VLOOKUP(B614,'Player Data'!$A1:$AE734,6,FALSE)</f>
        <v>11.2058985095275</v>
      </c>
      <c r="S614" s="48">
        <f>VLOOKUP(B614,'Player Data'!$A1:$AE734,7,FALSE)*$Q614*_xlfn.IFERROR((VLOOKUP(P614,'Settings'!$E$28:$F$33,2,FALSE)+1),1)</f>
        <v>9.71930172383129</v>
      </c>
      <c r="T614" s="48">
        <f>VLOOKUP(B614,'Player Data'!$A1:$AE734,8,FALSE)*$Q614*_xlfn.IFERROR((VLOOKUP(P614,'Settings'!$E$28:$F$33,2,FALSE)+1),1)</f>
        <v>8.40153690668261</v>
      </c>
      <c r="U614" s="48">
        <f>SUM(S614:T614)</f>
        <v>18.1208386305139</v>
      </c>
      <c r="V614" s="48">
        <f>VLOOKUP(B614,'Player Data'!$A1:$AE734,10,FALSE)*$Q614*_xlfn.IFERROR(((VLOOKUP(P614,'Settings'!$E$28:$F$33,2,FALSE)/2)+1),1)</f>
        <v>113.478134864414</v>
      </c>
      <c r="W614" s="48">
        <f>VLOOKUP(B614,'Player Data'!$A1:$AE734,11,FALSE)*$Q614*_xlfn.IFERROR((VLOOKUP(P614,'Settings'!$E$28:$F$33,2,FALSE)+1),1)</f>
        <v>0.0521169192552304</v>
      </c>
      <c r="X614" s="48">
        <f>VLOOKUP(B614,'Player Data'!$A1:$AE734,12,FALSE)*$Q614*_xlfn.IFERROR((VLOOKUP(P614,'Settings'!$E$28:$F$33,2,FALSE)+1),1)</f>
        <v>0.132396811312191</v>
      </c>
      <c r="Y614" s="48">
        <f>VLOOKUP(B614,'Player Data'!$A1:$AE734,13,FALSE)*$Q614</f>
        <v>0.0490881457558007</v>
      </c>
      <c r="Z614" s="48">
        <f>VLOOKUP(B614,'Player Data'!$A1:$AE734,14,FALSE)*$Q614</f>
        <v>0.223634915502584</v>
      </c>
      <c r="AA614" s="48">
        <f>VLOOKUP(B614,'Player Data'!$A1:$AE734,15,FALSE)*$Q614</f>
        <v>19.6102387926111</v>
      </c>
      <c r="AB614" s="48">
        <f>VLOOKUP(B614,'Player Data'!$A1:$AE734,16,FALSE)*$Q614</f>
        <v>135.501731720567</v>
      </c>
      <c r="AC614" s="48">
        <f>VLOOKUP(B614,'Player Data'!$A1:$AE734,17,FALSE)*$Q614*_xlfn.IFERROR((VLOOKUP(P614,'Settings'!$E$28:$F$33,2,FALSE)+1),1)</f>
        <v>2.58932999543768</v>
      </c>
      <c r="AD614" s="48">
        <f>VLOOKUP(B614,'Player Data'!$A1:$AE734,18,FALSE)*$Q614</f>
        <v>55.6999497230377</v>
      </c>
      <c r="AE614" s="48">
        <f>VLOOKUP(B614,'Player Data'!$A1:$AE734,19,FALSE)*$Q614*_xlfn.IFERROR((VLOOKUP(P614,'Settings'!$E$28:$F$33,2,FALSE)+1),1)</f>
        <v>1.39425600184328</v>
      </c>
      <c r="AF614" s="48">
        <f>VLOOKUP(B614,'Player Data'!$A1:$AE734,20,FALSE)*$Q614</f>
        <v>7.44020169423494</v>
      </c>
      <c r="AG614" s="48">
        <f>VLOOKUP(B614,'Player Data'!$A1:$AE734,21,FALSE)*$Q614</f>
        <v>15.2665807109536</v>
      </c>
      <c r="AH614" s="49">
        <f>VLOOKUP(B614,'Player Data'!$A1:$AE734,22,FALSE)</f>
        <v>0.327664288205574</v>
      </c>
      <c r="AI614" s="46"/>
      <c r="AJ614" s="50"/>
      <c r="AK614" s="48"/>
      <c r="AL614" s="48"/>
      <c r="AM614" s="48"/>
      <c r="AN614" s="48"/>
      <c r="AO614" s="48"/>
      <c r="AP614" s="48"/>
      <c r="AQ614" s="51"/>
      <c r="AR614" s="52"/>
      <c r="AS614" s="46"/>
    </row>
    <row r="615" ht="21.25" customHeight="1">
      <c r="A615" s="53">
        <f>RANK(K615,K2:K730)</f>
        <v>577</v>
      </c>
      <c r="B615" t="s" s="8">
        <v>767</v>
      </c>
      <c r="C615" t="s" s="39">
        <v>106</v>
      </c>
      <c r="D615" t="s" s="40">
        <f>VLOOKUP(B615,'Player Data'!A1:D734,4,FALSE)</f>
        <v>133</v>
      </c>
      <c r="E615" s="57">
        <f>VLOOKUP(B615,'LW'!A1:C156,3,FALSE)</f>
        <v>122</v>
      </c>
      <c r="F615" t="s" s="42">
        <f>VLOOKUP(B615,'Player Data'!A1:B734,2,FALSE)</f>
        <v>234</v>
      </c>
      <c r="G615" s="9">
        <f>VLOOKUP(B615,'Player Data'!A1:D734,3,FALSE)</f>
        <v>29</v>
      </c>
      <c r="H615" s="43">
        <f>_xlfn.IFERROR(VLOOKUP(B615,'ADP'!A1:G731,7,FALSE)/1000000,VLOOKUP(B615,'ADP'!A1:G731,7,FALSE))</f>
        <v>2.75</v>
      </c>
      <c r="I615" s="44">
        <f>IF('Settings'!$E$15="POINTS",((R615*Q615)*'Settings'!$B$12)+(S615*'Settings'!$B$2)+(T615*'Settings'!$B$3)+(U615*'Settings'!$B$4)+(V615*'Settings'!$B$5)+(X615*'Settings'!$B$9)+(AA615*'Settings'!$B$6)+(W615*'Settings'!$B$8)+(AB615*'Settings'!$B$7)+(AC615*'Settings'!$B$14)+(AD615*'Settings'!$B$15)+(AE615*'Settings'!$B$16)+(AF615*'Settings'!$B$17)+(AG615*'Settings'!$B$18)+(Y615*'Settings'!$B$10)+(Z615*'Settings'!$B$11),VLOOKUP(B615,'Standard Deviations'!A1:C731,3,FALSE))</f>
        <v>171.285241159840</v>
      </c>
      <c r="J615" s="45">
        <f>IF(D615="G",I615/AJ615,I615/Q615)</f>
        <v>2.29297511592825</v>
      </c>
      <c r="K615" s="44">
        <f>IF('Settings'!$E$18="C/LW/RW",VLOOKUP(B615,'LW'!A1:F156,6,FALSE),VLOOKUP(B615,'F'!A1:F432,6,FALSE))</f>
        <v>-210.343322546516</v>
      </c>
      <c r="L615" s="44">
        <f>_xlfn.IFERROR(K615/H615,"N/A")</f>
        <v>-76.48848092600581</v>
      </c>
      <c r="M615" t="s" s="61">
        <f>IF('Settings'!$E$9="YAHOO",VLOOKUP(B615,'ADP'!A1:E731,2,FALSE),IF('Settings'!$E$9="ESPN",VLOOKUP(B615,'ADP'!A1:E731,3,FALSE),IF('Settings'!$E$9="FANTRAX",VLOOKUP(B615,'ADP'!A1:E731,4,FALSE),VLOOKUP(B615,'ADP'!A1:E731,5,FALSE))))</f>
        <v>329</v>
      </c>
      <c r="N615" t="s" s="61">
        <f>_xlfn.IFERROR(M615-A615,"N/A")</f>
        <v>158</v>
      </c>
      <c r="O615" s="46"/>
      <c r="P615" t="s" s="47">
        <f>IF('Settings'!$E$27="ON",VLOOKUP(B615,'ADP'!A1:H731,8,FALSE)," ")</f>
        <v>109</v>
      </c>
      <c r="Q615" s="48">
        <f>IF('Settings'!$E$12="YES",VLOOKUP(B615,'Player Data'!A1:E734,5,FALSE),82)</f>
        <v>74.7</v>
      </c>
      <c r="R615" s="46">
        <f>VLOOKUP(B615,'Player Data'!$A1:$AE734,6,FALSE)</f>
        <v>13.2202528699822</v>
      </c>
      <c r="S615" s="48">
        <f>VLOOKUP(B615,'Player Data'!$A1:$AE734,7,FALSE)*$Q615*_xlfn.IFERROR((VLOOKUP(P615,'Settings'!$E$28:$F$33,2,FALSE)+1),1)</f>
        <v>11.143013017038</v>
      </c>
      <c r="T615" s="48">
        <f>VLOOKUP(B615,'Player Data'!$A1:$AE734,8,FALSE)*$Q615*_xlfn.IFERROR((VLOOKUP(P615,'Settings'!$E$28:$F$33,2,FALSE)+1),1)</f>
        <v>8.211752790721929</v>
      </c>
      <c r="U615" s="48">
        <f>SUM(S615:T615)</f>
        <v>19.3547658077599</v>
      </c>
      <c r="V615" s="48">
        <f>VLOOKUP(B615,'Player Data'!$A1:$AE734,10,FALSE)*$Q615*_xlfn.IFERROR(((VLOOKUP(P615,'Settings'!$E$28:$F$33,2,FALSE)/2)+1),1)</f>
        <v>95.4904552656304</v>
      </c>
      <c r="W615" s="48">
        <f>VLOOKUP(B615,'Player Data'!$A1:$AE734,11,FALSE)*$Q615*_xlfn.IFERROR((VLOOKUP(P615,'Settings'!$E$28:$F$33,2,FALSE)+1),1)</f>
        <v>0.0164754255408496</v>
      </c>
      <c r="X615" s="48">
        <f>VLOOKUP(B615,'Player Data'!$A1:$AE734,12,FALSE)*$Q615*_xlfn.IFERROR((VLOOKUP(P615,'Settings'!$E$28:$F$33,2,FALSE)+1),1)</f>
        <v>0.0416952249335263</v>
      </c>
      <c r="Y615" s="48">
        <f>VLOOKUP(B615,'Player Data'!$A1:$AE734,13,FALSE)*$Q615</f>
        <v>1.46094214756293</v>
      </c>
      <c r="Z615" s="48">
        <f>VLOOKUP(B615,'Player Data'!$A1:$AE734,14,FALSE)*$Q615</f>
        <v>1.56401629387803</v>
      </c>
      <c r="AA615" s="48">
        <f>VLOOKUP(B615,'Player Data'!$A1:$AE734,15,FALSE)*$Q615</f>
        <v>45.6624948677134</v>
      </c>
      <c r="AB615" s="48">
        <f>VLOOKUP(B615,'Player Data'!$A1:$AE734,16,FALSE)*$Q615</f>
        <v>91.2076662263011</v>
      </c>
      <c r="AC615" s="48">
        <f>VLOOKUP(B615,'Player Data'!$A1:$AE734,17,FALSE)*$Q615*_xlfn.IFERROR((VLOOKUP(P615,'Settings'!$E$28:$F$33,2,FALSE)+1),1)</f>
        <v>-7.76124039682852</v>
      </c>
      <c r="AD615" s="48">
        <f>VLOOKUP(B615,'Player Data'!$A1:$AE734,18,FALSE)*$Q615</f>
        <v>18.8415452446544</v>
      </c>
      <c r="AE615" s="48">
        <f>VLOOKUP(B615,'Player Data'!$A1:$AE734,19,FALSE)*$Q615*_xlfn.IFERROR((VLOOKUP(P615,'Settings'!$E$28:$F$33,2,FALSE)+1),1)</f>
        <v>1.06820294287167</v>
      </c>
      <c r="AF615" s="48">
        <f>VLOOKUP(B615,'Player Data'!$A1:$AE734,20,FALSE)*$Q615</f>
        <v>6.04393178165876</v>
      </c>
      <c r="AG615" s="48">
        <f>VLOOKUP(B615,'Player Data'!$A1:$AE734,21,FALSE)*$Q615</f>
        <v>13.8270233700898</v>
      </c>
      <c r="AH615" s="49">
        <f>VLOOKUP(B615,'Player Data'!$A1:$AE734,22,FALSE)</f>
        <v>0.304159097310775</v>
      </c>
      <c r="AI615" s="46"/>
      <c r="AJ615" s="50"/>
      <c r="AK615" s="48"/>
      <c r="AL615" s="48"/>
      <c r="AM615" s="48"/>
      <c r="AN615" s="48"/>
      <c r="AO615" s="48"/>
      <c r="AP615" s="48"/>
      <c r="AQ615" s="51"/>
      <c r="AR615" s="52"/>
      <c r="AS615" s="46"/>
    </row>
    <row r="616" ht="21.25" customHeight="1">
      <c r="A616" s="53">
        <f>RANK(K616,K2:K730)</f>
        <v>611</v>
      </c>
      <c r="B616" t="s" s="8">
        <v>768</v>
      </c>
      <c r="C616" t="s" s="39">
        <v>106</v>
      </c>
      <c r="D616" t="s" s="40">
        <f>VLOOKUP(B616,'Player Data'!A1:D734,4,FALSE)</f>
        <v>107</v>
      </c>
      <c r="E616" s="41">
        <f>VLOOKUP(B616,'C'!A1:C218,3,FALSE)</f>
        <v>161</v>
      </c>
      <c r="F616" t="s" s="42">
        <f>VLOOKUP(B616,'Player Data'!A1:B734,2,FALSE)</f>
        <v>127</v>
      </c>
      <c r="G616" s="9">
        <f>VLOOKUP(B616,'Player Data'!A1:D734,3,FALSE)</f>
        <v>25</v>
      </c>
      <c r="H616" s="43">
        <f>_xlfn.IFERROR(VLOOKUP(B616,'ADP'!A1:G731,7,FALSE)/1000000,VLOOKUP(B616,'ADP'!A1:G731,7,FALSE))</f>
        <v>1.4</v>
      </c>
      <c r="I616" s="44">
        <f>IF('Settings'!$E$15="POINTS",((R616*Q616)*'Settings'!$B$12)+(S616*'Settings'!$B$2)+(T616*'Settings'!$B$3)+(U616*'Settings'!$B$4)+(V616*'Settings'!$B$5)+(X616*'Settings'!$B$9)+(AA616*'Settings'!$B$6)+(W616*'Settings'!$B$8)+(AB616*'Settings'!$B$7)+(AC616*'Settings'!$B$14)+(AD616*'Settings'!$B$15)+(AE616*'Settings'!$B$16)+(AF616*'Settings'!$B$17)+(AG616*'Settings'!$B$18)+(Y616*'Settings'!$B$10)+(Z616*'Settings'!$B$11),VLOOKUP(B616,'Standard Deviations'!A1:C731,3,FALSE))</f>
        <v>176.223810461842</v>
      </c>
      <c r="J616" s="45">
        <f>IF(D616="G",I616/AJ616,I616/Q616)</f>
        <v>2.25927962130567</v>
      </c>
      <c r="K616" s="44">
        <f>IF('Settings'!$E$18="C/LW/RW",VLOOKUP(B616,'C'!A1:F218,6,FALSE),VLOOKUP(B616,'F'!A1:F432,6,FALSE))</f>
        <v>-219.550391174173</v>
      </c>
      <c r="L616" s="44">
        <f>_xlfn.IFERROR(K616/H616,"N/A")</f>
        <v>-156.821707981552</v>
      </c>
      <c r="M616" t="s" s="61">
        <f>IF('Settings'!$E$9="YAHOO",VLOOKUP(B616,'ADP'!A1:E731,2,FALSE),IF('Settings'!$E$9="ESPN",VLOOKUP(B616,'ADP'!A1:E731,3,FALSE),IF('Settings'!$E$9="FANTRAX",VLOOKUP(B616,'ADP'!A1:E731,4,FALSE),VLOOKUP(B616,'ADP'!A1:E731,5,FALSE))))</f>
        <v>329</v>
      </c>
      <c r="N616" t="s" s="61">
        <f>_xlfn.IFERROR(M616-A616,"N/A")</f>
        <v>158</v>
      </c>
      <c r="O616" s="46"/>
      <c r="P616" t="s" s="47">
        <f>IF('Settings'!$E$27="ON",VLOOKUP(B616,'ADP'!A1:H731,8,FALSE)," ")</f>
        <v>109</v>
      </c>
      <c r="Q616" s="48">
        <f>IF('Settings'!$E$12="YES",VLOOKUP(B616,'Player Data'!A1:E734,5,FALSE),82)</f>
        <v>78</v>
      </c>
      <c r="R616" s="46">
        <f>VLOOKUP(B616,'Player Data'!$A1:$AE734,6,FALSE)</f>
        <v>12.2412363922256</v>
      </c>
      <c r="S616" s="48">
        <f>VLOOKUP(B616,'Player Data'!$A1:$AE734,7,FALSE)*$Q616*_xlfn.IFERROR((VLOOKUP(P616,'Settings'!$E$28:$F$33,2,FALSE)+1),1)</f>
        <v>6.35321818122195</v>
      </c>
      <c r="T616" s="48">
        <f>VLOOKUP(B616,'Player Data'!$A1:$AE734,8,FALSE)*$Q616*_xlfn.IFERROR((VLOOKUP(P616,'Settings'!$E$28:$F$33,2,FALSE)+1),1)</f>
        <v>16.7394361471652</v>
      </c>
      <c r="U616" s="48">
        <f>SUM(S616:T616)</f>
        <v>23.0926543283872</v>
      </c>
      <c r="V616" s="48">
        <f>VLOOKUP(B616,'Player Data'!$A1:$AE734,10,FALSE)*$Q616*_xlfn.IFERROR(((VLOOKUP(P616,'Settings'!$E$28:$F$33,2,FALSE)/2)+1),1)</f>
        <v>84.4822936689896</v>
      </c>
      <c r="W616" s="48">
        <f>VLOOKUP(B616,'Player Data'!$A1:$AE734,11,FALSE)*$Q616*_xlfn.IFERROR((VLOOKUP(P616,'Settings'!$E$28:$F$33,2,FALSE)+1),1)</f>
        <v>0.0506266711632572</v>
      </c>
      <c r="X616" s="48">
        <f>VLOOKUP(B616,'Player Data'!$A1:$AE734,12,FALSE)*$Q616*_xlfn.IFERROR((VLOOKUP(P616,'Settings'!$E$28:$F$33,2,FALSE)+1),1)</f>
        <v>0.126450381994312</v>
      </c>
      <c r="Y616" s="48">
        <f>VLOOKUP(B616,'Player Data'!$A1:$AE734,13,FALSE)*$Q616</f>
        <v>0.0865620497990492</v>
      </c>
      <c r="Z616" s="48">
        <f>VLOOKUP(B616,'Player Data'!$A1:$AE734,14,FALSE)*$Q616</f>
        <v>0.792945179869526</v>
      </c>
      <c r="AA616" s="48">
        <f>VLOOKUP(B616,'Player Data'!$A1:$AE734,15,FALSE)*$Q616</f>
        <v>42.707794070117</v>
      </c>
      <c r="AB616" s="48">
        <f>VLOOKUP(B616,'Player Data'!$A1:$AE734,16,FALSE)*$Q616</f>
        <v>128.940343902223</v>
      </c>
      <c r="AC616" s="48">
        <f>VLOOKUP(B616,'Player Data'!$A1:$AE734,17,FALSE)*$Q616*_xlfn.IFERROR((VLOOKUP(P616,'Settings'!$E$28:$F$33,2,FALSE)+1),1)</f>
        <v>-0.615158040820348</v>
      </c>
      <c r="AD616" s="48">
        <f>VLOOKUP(B616,'Player Data'!$A1:$AE734,18,FALSE)*$Q616</f>
        <v>38.6301408541766</v>
      </c>
      <c r="AE616" s="48">
        <f>VLOOKUP(B616,'Player Data'!$A1:$AE734,19,FALSE)*$Q616*_xlfn.IFERROR((VLOOKUP(P616,'Settings'!$E$28:$F$33,2,FALSE)+1),1)</f>
        <v>0.933783181104228</v>
      </c>
      <c r="AF616" s="48">
        <f>VLOOKUP(B616,'Player Data'!$A1:$AE734,20,FALSE)*$Q616</f>
        <v>540.669069833719</v>
      </c>
      <c r="AG616" s="48">
        <f>VLOOKUP(B616,'Player Data'!$A1:$AE734,21,FALSE)*$Q616</f>
        <v>397.225342611447</v>
      </c>
      <c r="AH616" s="49">
        <f>VLOOKUP(B616,'Player Data'!$A1:$AE734,22,FALSE)</f>
        <v>0.57647114926738</v>
      </c>
      <c r="AI616" s="46"/>
      <c r="AJ616" s="50"/>
      <c r="AK616" s="48"/>
      <c r="AL616" s="48"/>
      <c r="AM616" s="48"/>
      <c r="AN616" s="48"/>
      <c r="AO616" s="48"/>
      <c r="AP616" s="48"/>
      <c r="AQ616" s="51"/>
      <c r="AR616" s="52"/>
      <c r="AS616" s="46"/>
    </row>
    <row r="617" ht="21.25" customHeight="1">
      <c r="A617" s="53">
        <f>RANK(K617,K2:K730)</f>
        <v>654</v>
      </c>
      <c r="B617" t="s" s="8">
        <v>769</v>
      </c>
      <c r="C617" t="s" s="39">
        <v>106</v>
      </c>
      <c r="D617" t="s" s="40">
        <f>VLOOKUP(B617,'Player Data'!A1:D734,4,FALSE)</f>
        <v>107</v>
      </c>
      <c r="E617" s="41">
        <f>VLOOKUP(B617,'C'!A1:C218,3,FALSE)</f>
        <v>172</v>
      </c>
      <c r="F617" t="s" s="42">
        <f>VLOOKUP(B617,'Player Data'!A1:B734,2,FALSE)</f>
        <v>234</v>
      </c>
      <c r="G617" s="9">
        <f>VLOOKUP(B617,'Player Data'!A1:D734,3,FALSE)</f>
        <v>23</v>
      </c>
      <c r="H617" s="43">
        <f>_xlfn.IFERROR(VLOOKUP(B617,'ADP'!A1:G731,7,FALSE)/1000000,VLOOKUP(B617,'ADP'!A1:G731,7,FALSE))</f>
        <v>1.8</v>
      </c>
      <c r="I617" s="44">
        <f>IF('Settings'!$E$15="POINTS",((R617*Q617)*'Settings'!$B$12)+(S617*'Settings'!$B$2)+(T617*'Settings'!$B$3)+(U617*'Settings'!$B$4)+(V617*'Settings'!$B$5)+(X617*'Settings'!$B$9)+(AA617*'Settings'!$B$6)+(W617*'Settings'!$B$8)+(AB617*'Settings'!$B$7)+(AC617*'Settings'!$B$14)+(AD617*'Settings'!$B$15)+(AE617*'Settings'!$B$16)+(AF617*'Settings'!$B$17)+(AG617*'Settings'!$B$18)+(Y617*'Settings'!$B$10)+(Z617*'Settings'!$B$11),VLOOKUP(B617,'Standard Deviations'!A1:C731,3,FALSE))</f>
        <v>161.390150298691</v>
      </c>
      <c r="J617" s="45">
        <f>IF(D617="G",I617/AJ617,I617/Q617)</f>
        <v>2.18685840513131</v>
      </c>
      <c r="K617" s="44">
        <f>IF('Settings'!$E$18="C/LW/RW",VLOOKUP(B617,'C'!A1:F218,6,FALSE),VLOOKUP(B617,'F'!A1:F432,6,FALSE))</f>
        <v>-234.384051337324</v>
      </c>
      <c r="L617" s="44">
        <f>_xlfn.IFERROR(K617/H617,"N/A")</f>
        <v>-130.213361854069</v>
      </c>
      <c r="M617" t="s" s="61">
        <f>IF('Settings'!$E$9="YAHOO",VLOOKUP(B617,'ADP'!A1:E731,2,FALSE),IF('Settings'!$E$9="ESPN",VLOOKUP(B617,'ADP'!A1:E731,3,FALSE),IF('Settings'!$E$9="FANTRAX",VLOOKUP(B617,'ADP'!A1:E731,4,FALSE),VLOOKUP(B617,'ADP'!A1:E731,5,FALSE))))</f>
        <v>329</v>
      </c>
      <c r="N617" t="s" s="61">
        <f>_xlfn.IFERROR(M617-A617,"N/A")</f>
        <v>158</v>
      </c>
      <c r="O617" s="46"/>
      <c r="P617" t="s" s="47">
        <f>IF('Settings'!$E$27="ON",VLOOKUP(B617,'ADP'!A1:H731,8,FALSE)," ")</f>
        <v>109</v>
      </c>
      <c r="Q617" s="48">
        <f>IF('Settings'!$E$12="YES",VLOOKUP(B617,'Player Data'!A1:E734,5,FALSE),82)</f>
        <v>73.8</v>
      </c>
      <c r="R617" s="46">
        <f>VLOOKUP(B617,'Player Data'!$A1:$AE734,6,FALSE)</f>
        <v>14.3119135291102</v>
      </c>
      <c r="S617" s="48">
        <f>VLOOKUP(B617,'Player Data'!$A1:$AE734,7,FALSE)*$Q617*_xlfn.IFERROR((VLOOKUP(P617,'Settings'!$E$28:$F$33,2,FALSE)+1),1)</f>
        <v>10.5112601930979</v>
      </c>
      <c r="T617" s="48">
        <f>VLOOKUP(B617,'Player Data'!$A1:$AE734,8,FALSE)*$Q617*_xlfn.IFERROR((VLOOKUP(P617,'Settings'!$E$28:$F$33,2,FALSE)+1),1)</f>
        <v>12.8475400649666</v>
      </c>
      <c r="U617" s="48">
        <f>SUM(S617:T617)</f>
        <v>23.3588002580645</v>
      </c>
      <c r="V617" s="48">
        <f>VLOOKUP(B617,'Player Data'!$A1:$AE734,10,FALSE)*$Q617*_xlfn.IFERROR(((VLOOKUP(P617,'Settings'!$E$28:$F$33,2,FALSE)/2)+1),1)</f>
        <v>78.35532224413831</v>
      </c>
      <c r="W617" s="48">
        <f>VLOOKUP(B617,'Player Data'!$A1:$AE734,11,FALSE)*$Q617*_xlfn.IFERROR((VLOOKUP(P617,'Settings'!$E$28:$F$33,2,FALSE)+1),1)</f>
        <v>0.158292078311956</v>
      </c>
      <c r="X617" s="48">
        <f>VLOOKUP(B617,'Player Data'!$A1:$AE734,12,FALSE)*$Q617*_xlfn.IFERROR((VLOOKUP(P617,'Settings'!$E$28:$F$33,2,FALSE)+1),1)</f>
        <v>0.401136442280245</v>
      </c>
      <c r="Y617" s="48">
        <f>VLOOKUP(B617,'Player Data'!$A1:$AE734,13,FALSE)*$Q617</f>
        <v>1.17595352921004</v>
      </c>
      <c r="Z617" s="48">
        <f>VLOOKUP(B617,'Player Data'!$A1:$AE734,14,FALSE)*$Q617</f>
        <v>1.29105311281083</v>
      </c>
      <c r="AA617" s="48">
        <f>VLOOKUP(B617,'Player Data'!$A1:$AE734,15,FALSE)*$Q617</f>
        <v>48.2824470137841</v>
      </c>
      <c r="AB617" s="48">
        <f>VLOOKUP(B617,'Player Data'!$A1:$AE734,16,FALSE)*$Q617</f>
        <v>38.5834735210723</v>
      </c>
      <c r="AC617" s="48">
        <f>VLOOKUP(B617,'Player Data'!$A1:$AE734,17,FALSE)*$Q617*_xlfn.IFERROR((VLOOKUP(P617,'Settings'!$E$28:$F$33,2,FALSE)+1),1)</f>
        <v>-8.51349527361074</v>
      </c>
      <c r="AD617" s="48">
        <f>VLOOKUP(B617,'Player Data'!$A1:$AE734,18,FALSE)*$Q617</f>
        <v>11.7777778832398</v>
      </c>
      <c r="AE617" s="48">
        <f>VLOOKUP(B617,'Player Data'!$A1:$AE734,19,FALSE)*$Q617*_xlfn.IFERROR((VLOOKUP(P617,'Settings'!$E$28:$F$33,2,FALSE)+1),1)</f>
        <v>1.00764120569444</v>
      </c>
      <c r="AF617" s="48">
        <f>VLOOKUP(B617,'Player Data'!$A1:$AE734,20,FALSE)*$Q617</f>
        <v>334.998762054477</v>
      </c>
      <c r="AG617" s="48">
        <f>VLOOKUP(B617,'Player Data'!$A1:$AE734,21,FALSE)*$Q617</f>
        <v>391.129844191338</v>
      </c>
      <c r="AH617" s="49">
        <f>VLOOKUP(B617,'Player Data'!$A1:$AE734,22,FALSE)</f>
        <v>0.461349076696575</v>
      </c>
      <c r="AI617" s="46"/>
      <c r="AJ617" s="50"/>
      <c r="AK617" s="48"/>
      <c r="AL617" s="48"/>
      <c r="AM617" s="48"/>
      <c r="AN617" s="48"/>
      <c r="AO617" s="48"/>
      <c r="AP617" s="48"/>
      <c r="AQ617" s="51"/>
      <c r="AR617" s="52"/>
      <c r="AS617" s="46"/>
    </row>
    <row r="618" ht="21.25" customHeight="1">
      <c r="A618" s="53">
        <f>RANK(K618,K2:K730)</f>
        <v>612</v>
      </c>
      <c r="B618" t="s" s="8">
        <v>770</v>
      </c>
      <c r="C618" t="s" s="39">
        <v>106</v>
      </c>
      <c r="D618" t="s" s="40">
        <f>VLOOKUP(B618,'Player Data'!A1:D734,4,FALSE)</f>
        <v>133</v>
      </c>
      <c r="E618" s="57">
        <f>VLOOKUP(B618,'LW'!A1:C156,3,FALSE)</f>
        <v>129</v>
      </c>
      <c r="F618" t="s" s="42">
        <f>VLOOKUP(B618,'Player Data'!A1:B734,2,FALSE)</f>
        <v>151</v>
      </c>
      <c r="G618" s="9">
        <f>VLOOKUP(B618,'Player Data'!A1:D734,3,FALSE)</f>
        <v>30</v>
      </c>
      <c r="H618" s="43">
        <f>_xlfn.IFERROR(VLOOKUP(B618,'ADP'!A1:G731,7,FALSE)/1000000,VLOOKUP(B618,'ADP'!A1:G731,7,FALSE))</f>
        <v>0.8</v>
      </c>
      <c r="I618" s="44">
        <f>IF('Settings'!$E$15="POINTS",((R618*Q618)*'Settings'!$B$12)+(S618*'Settings'!$B$2)+(T618*'Settings'!$B$3)+(U618*'Settings'!$B$4)+(V618*'Settings'!$B$5)+(X618*'Settings'!$B$9)+(AA618*'Settings'!$B$6)+(W618*'Settings'!$B$8)+(AB618*'Settings'!$B$7)+(AC618*'Settings'!$B$14)+(AD618*'Settings'!$B$15)+(AE618*'Settings'!$B$16)+(AF618*'Settings'!$B$17)+(AG618*'Settings'!$B$18)+(Y618*'Settings'!$B$10)+(Z618*'Settings'!$B$11),VLOOKUP(B618,'Standard Deviations'!A1:C731,3,FALSE))</f>
        <v>161.621686010426</v>
      </c>
      <c r="J618" s="45">
        <f>IF(D618="G",I618/AJ618,I618/Q618)</f>
        <v>2.04457781947525</v>
      </c>
      <c r="K618" s="44">
        <f>IF('Settings'!$E$18="C/LW/RW",VLOOKUP(B618,'LW'!A1:F156,6,FALSE),VLOOKUP(B618,'F'!A1:F432,6,FALSE))</f>
        <v>-220.006877695930</v>
      </c>
      <c r="L618" s="44">
        <f>_xlfn.IFERROR(K618/H618,"N/A")</f>
        <v>-275.008597119913</v>
      </c>
      <c r="M618" t="s" s="61">
        <f>IF('Settings'!$E$9="YAHOO",VLOOKUP(B618,'ADP'!A1:E731,2,FALSE),IF('Settings'!$E$9="ESPN",VLOOKUP(B618,'ADP'!A1:E731,3,FALSE),IF('Settings'!$E$9="FANTRAX",VLOOKUP(B618,'ADP'!A1:E731,4,FALSE),VLOOKUP(B618,'ADP'!A1:E731,5,FALSE))))</f>
        <v>329</v>
      </c>
      <c r="N618" t="s" s="61">
        <f>_xlfn.IFERROR(M618-A618,"N/A")</f>
        <v>158</v>
      </c>
      <c r="O618" s="46"/>
      <c r="P618" t="s" s="47">
        <f>IF('Settings'!$E$27="ON",VLOOKUP(B618,'ADP'!A1:H731,8,FALSE)," ")</f>
        <v>109</v>
      </c>
      <c r="Q618" s="48">
        <f>IF('Settings'!$E$12="YES",VLOOKUP(B618,'Player Data'!A1:E734,5,FALSE),82)</f>
        <v>79.0489285714286</v>
      </c>
      <c r="R618" s="46">
        <f>VLOOKUP(B618,'Player Data'!$A1:$AE734,6,FALSE)</f>
        <v>12.1992773307617</v>
      </c>
      <c r="S618" s="48">
        <f>VLOOKUP(B618,'Player Data'!$A1:$AE734,7,FALSE)*$Q618*_xlfn.IFERROR((VLOOKUP(P618,'Settings'!$E$28:$F$33,2,FALSE)+1),1)</f>
        <v>8.16489223996596</v>
      </c>
      <c r="T618" s="48">
        <f>VLOOKUP(B618,'Player Data'!$A1:$AE734,8,FALSE)*$Q618*_xlfn.IFERROR((VLOOKUP(P618,'Settings'!$E$28:$F$33,2,FALSE)+1),1)</f>
        <v>9.92259132974957</v>
      </c>
      <c r="U618" s="48">
        <f>SUM(S618:T618)</f>
        <v>18.0874835697155</v>
      </c>
      <c r="V618" s="48">
        <f>VLOOKUP(B618,'Player Data'!$A1:$AE734,10,FALSE)*$Q618*_xlfn.IFERROR(((VLOOKUP(P618,'Settings'!$E$28:$F$33,2,FALSE)/2)+1),1)</f>
        <v>105.776033252967</v>
      </c>
      <c r="W618" s="48">
        <f>VLOOKUP(B618,'Player Data'!$A1:$AE734,11,FALSE)*$Q618*_xlfn.IFERROR((VLOOKUP(P618,'Settings'!$E$28:$F$33,2,FALSE)+1),1)</f>
        <v>0.0429266904846095</v>
      </c>
      <c r="X618" s="48">
        <f>VLOOKUP(B618,'Player Data'!$A1:$AE734,12,FALSE)*$Q618*_xlfn.IFERROR((VLOOKUP(P618,'Settings'!$E$28:$F$33,2,FALSE)+1),1)</f>
        <v>0.110392632717225</v>
      </c>
      <c r="Y618" s="48">
        <f>VLOOKUP(B618,'Player Data'!$A1:$AE734,13,FALSE)*$Q618</f>
        <v>0.822708228387685</v>
      </c>
      <c r="Z618" s="48">
        <f>VLOOKUP(B618,'Player Data'!$A1:$AE734,14,FALSE)*$Q618</f>
        <v>1.0280758763123</v>
      </c>
      <c r="AA618" s="48">
        <f>VLOOKUP(B618,'Player Data'!$A1:$AE734,15,FALSE)*$Q618</f>
        <v>34.0069535444171</v>
      </c>
      <c r="AB618" s="48">
        <f>VLOOKUP(B618,'Player Data'!$A1:$AE734,16,FALSE)*$Q618</f>
        <v>92.6570071600557</v>
      </c>
      <c r="AC618" s="48">
        <f>VLOOKUP(B618,'Player Data'!$A1:$AE734,17,FALSE)*$Q618*_xlfn.IFERROR((VLOOKUP(P618,'Settings'!$E$28:$F$33,2,FALSE)+1),1)</f>
        <v>3.88004780079508</v>
      </c>
      <c r="AD618" s="48">
        <f>VLOOKUP(B618,'Player Data'!$A1:$AE734,18,FALSE)*$Q618</f>
        <v>17.1003533382165</v>
      </c>
      <c r="AE618" s="48">
        <f>VLOOKUP(B618,'Player Data'!$A1:$AE734,19,FALSE)*$Q618*_xlfn.IFERROR((VLOOKUP(P618,'Settings'!$E$28:$F$33,2,FALSE)+1),1)</f>
        <v>1.39128239078705</v>
      </c>
      <c r="AF618" s="48">
        <f>VLOOKUP(B618,'Player Data'!$A1:$AE734,20,FALSE)*$Q618</f>
        <v>5.60720222330143</v>
      </c>
      <c r="AG618" s="48">
        <f>VLOOKUP(B618,'Player Data'!$A1:$AE734,21,FALSE)*$Q618</f>
        <v>16.5869505397484</v>
      </c>
      <c r="AH618" s="49">
        <f>VLOOKUP(B618,'Player Data'!$A1:$AE734,22,FALSE)</f>
        <v>0.2526432201835</v>
      </c>
      <c r="AI618" s="46"/>
      <c r="AJ618" s="50"/>
      <c r="AK618" s="48"/>
      <c r="AL618" s="48"/>
      <c r="AM618" s="48"/>
      <c r="AN618" s="48"/>
      <c r="AO618" s="48"/>
      <c r="AP618" s="48"/>
      <c r="AQ618" s="51"/>
      <c r="AR618" s="52"/>
      <c r="AS618" s="46"/>
    </row>
    <row r="619" ht="21.25" customHeight="1">
      <c r="A619" s="53">
        <f>RANK(K619,K2:K730)</f>
        <v>645</v>
      </c>
      <c r="B619" t="s" s="8">
        <v>771</v>
      </c>
      <c r="C619" t="s" s="39">
        <v>106</v>
      </c>
      <c r="D619" t="s" s="40">
        <f>VLOOKUP(B619,'Player Data'!A1:D734,4,FALSE)</f>
        <v>133</v>
      </c>
      <c r="E619" s="57">
        <f>VLOOKUP(B619,'LW'!A1:C156,3,FALSE)</f>
        <v>136</v>
      </c>
      <c r="F619" t="s" s="42">
        <f>VLOOKUP(B619,'Player Data'!A1:B734,2,FALSE)</f>
        <v>170</v>
      </c>
      <c r="G619" s="9">
        <f>VLOOKUP(B619,'Player Data'!A1:D734,3,FALSE)</f>
        <v>30</v>
      </c>
      <c r="H619" s="43">
        <f>_xlfn.IFERROR(VLOOKUP(B619,'ADP'!A1:G731,7,FALSE)/1000000,VLOOKUP(B619,'ADP'!A1:G731,7,FALSE))</f>
        <v>0.9</v>
      </c>
      <c r="I619" s="44">
        <f>IF('Settings'!$E$15="POINTS",((R619*Q619)*'Settings'!$B$12)+(S619*'Settings'!$B$2)+(T619*'Settings'!$B$3)+(U619*'Settings'!$B$4)+(V619*'Settings'!$B$5)+(X619*'Settings'!$B$9)+(AA619*'Settings'!$B$6)+(W619*'Settings'!$B$8)+(AB619*'Settings'!$B$7)+(AC619*'Settings'!$B$14)+(AD619*'Settings'!$B$15)+(AE619*'Settings'!$B$16)+(AF619*'Settings'!$B$17)+(AG619*'Settings'!$B$18)+(Y619*'Settings'!$B$10)+(Z619*'Settings'!$B$11),VLOOKUP(B619,'Standard Deviations'!A1:C731,3,FALSE))</f>
        <v>151.122018816606</v>
      </c>
      <c r="J619" s="45">
        <f>IF(D619="G",I619/AJ619,I619/Q619)</f>
        <v>1.98576944011834</v>
      </c>
      <c r="K619" s="44">
        <f>IF('Settings'!$E$18="C/LW/RW",VLOOKUP(B619,'LW'!A1:F156,6,FALSE),VLOOKUP(B619,'F'!A1:F432,6,FALSE))</f>
        <v>-230.506544889750</v>
      </c>
      <c r="L619" s="44">
        <f>_xlfn.IFERROR(K619/H619,"N/A")</f>
        <v>-256.118383210833</v>
      </c>
      <c r="M619" t="s" s="61">
        <f>IF('Settings'!$E$9="YAHOO",VLOOKUP(B619,'ADP'!A1:E731,2,FALSE),IF('Settings'!$E$9="ESPN",VLOOKUP(B619,'ADP'!A1:E731,3,FALSE),IF('Settings'!$E$9="FANTRAX",VLOOKUP(B619,'ADP'!A1:E731,4,FALSE),VLOOKUP(B619,'ADP'!A1:E731,5,FALSE))))</f>
        <v>329</v>
      </c>
      <c r="N619" t="s" s="61">
        <f>_xlfn.IFERROR(M619-A619,"N/A")</f>
        <v>158</v>
      </c>
      <c r="O619" s="46"/>
      <c r="P619" t="s" s="47">
        <f>IF('Settings'!$E$27="ON",VLOOKUP(B619,'ADP'!A1:H731,8,FALSE)," ")</f>
        <v>109</v>
      </c>
      <c r="Q619" s="48">
        <f>IF('Settings'!$E$12="YES",VLOOKUP(B619,'Player Data'!A1:E734,5,FALSE),82)</f>
        <v>76.10250000000001</v>
      </c>
      <c r="R619" s="46">
        <f>VLOOKUP(B619,'Player Data'!$A1:$AE734,6,FALSE)</f>
        <v>13.102413782124</v>
      </c>
      <c r="S619" s="48">
        <f>VLOOKUP(B619,'Player Data'!$A1:$AE734,7,FALSE)*$Q619*_xlfn.IFERROR((VLOOKUP(P619,'Settings'!$E$28:$F$33,2,FALSE)+1),1)</f>
        <v>8.385549740777231</v>
      </c>
      <c r="T619" s="48">
        <f>VLOOKUP(B619,'Player Data'!$A1:$AE734,8,FALSE)*$Q619*_xlfn.IFERROR((VLOOKUP(P619,'Settings'!$E$28:$F$33,2,FALSE)+1),1)</f>
        <v>9.8209339140725</v>
      </c>
      <c r="U619" s="48">
        <f>SUM(S619:T619)</f>
        <v>18.2064836548497</v>
      </c>
      <c r="V619" s="48">
        <f>VLOOKUP(B619,'Player Data'!$A1:$AE734,10,FALSE)*$Q619*_xlfn.IFERROR(((VLOOKUP(P619,'Settings'!$E$28:$F$33,2,FALSE)/2)+1),1)</f>
        <v>99.86143718340939</v>
      </c>
      <c r="W619" s="48">
        <f>VLOOKUP(B619,'Player Data'!$A1:$AE734,11,FALSE)*$Q619*_xlfn.IFERROR((VLOOKUP(P619,'Settings'!$E$28:$F$33,2,FALSE)+1),1)</f>
        <v>0.19552504190657</v>
      </c>
      <c r="X619" s="48">
        <f>VLOOKUP(B619,'Player Data'!$A1:$AE734,12,FALSE)*$Q619*_xlfn.IFERROR((VLOOKUP(P619,'Settings'!$E$28:$F$33,2,FALSE)+1),1)</f>
        <v>0.707707151237402</v>
      </c>
      <c r="Y619" s="48">
        <f>VLOOKUP(B619,'Player Data'!$A1:$AE734,13,FALSE)*$Q619</f>
        <v>0.0787117180000444</v>
      </c>
      <c r="Z619" s="48">
        <f>VLOOKUP(B619,'Player Data'!$A1:$AE734,14,FALSE)*$Q619</f>
        <v>0.163959243524326</v>
      </c>
      <c r="AA619" s="48">
        <f>VLOOKUP(B619,'Player Data'!$A1:$AE734,15,FALSE)*$Q619</f>
        <v>35.2556647895657</v>
      </c>
      <c r="AB619" s="48">
        <f>VLOOKUP(B619,'Player Data'!$A1:$AE734,16,FALSE)*$Q619</f>
        <v>64.15109506941759</v>
      </c>
      <c r="AC619" s="48">
        <f>VLOOKUP(B619,'Player Data'!$A1:$AE734,17,FALSE)*$Q619*_xlfn.IFERROR((VLOOKUP(P619,'Settings'!$E$28:$F$33,2,FALSE)+1),1)</f>
        <v>0.75327142428422</v>
      </c>
      <c r="AD619" s="48">
        <f>VLOOKUP(B619,'Player Data'!$A1:$AE734,18,FALSE)*$Q619</f>
        <v>17.620556809156</v>
      </c>
      <c r="AE619" s="48">
        <f>VLOOKUP(B619,'Player Data'!$A1:$AE734,19,FALSE)*$Q619*_xlfn.IFERROR((VLOOKUP(P619,'Settings'!$E$28:$F$33,2,FALSE)+1),1)</f>
        <v>1.3460486408573</v>
      </c>
      <c r="AF619" s="48">
        <f>VLOOKUP(B619,'Player Data'!$A1:$AE734,20,FALSE)*$Q619</f>
        <v>5.95512934695555</v>
      </c>
      <c r="AG619" s="48">
        <f>VLOOKUP(B619,'Player Data'!$A1:$AE734,21,FALSE)*$Q619</f>
        <v>9.977898779190101</v>
      </c>
      <c r="AH619" s="49">
        <f>VLOOKUP(B619,'Player Data'!$A1:$AE734,22,FALSE)</f>
        <v>0.373760047356181</v>
      </c>
      <c r="AI619" s="46"/>
      <c r="AJ619" s="50"/>
      <c r="AK619" s="48"/>
      <c r="AL619" s="48"/>
      <c r="AM619" s="48"/>
      <c r="AN619" s="48"/>
      <c r="AO619" s="48"/>
      <c r="AP619" s="48"/>
      <c r="AQ619" s="51"/>
      <c r="AR619" s="52"/>
      <c r="AS619" s="46"/>
    </row>
    <row r="620" ht="21.25" customHeight="1">
      <c r="A620" s="53">
        <f>RANK(K620,K2:K730)</f>
        <v>362</v>
      </c>
      <c r="B620" t="s" s="8">
        <v>772</v>
      </c>
      <c r="C620" t="s" s="39">
        <v>106</v>
      </c>
      <c r="D620" t="s" s="40">
        <f>VLOOKUP(B620,'Player Data'!A1:D734,4,FALSE)</f>
        <v>146</v>
      </c>
      <c r="E620" s="58">
        <f>VLOOKUP(B620,'G'!A1:D75,3,FALSE)</f>
        <v>48</v>
      </c>
      <c r="F620" t="s" s="42">
        <f>VLOOKUP(B620,'Player Data'!A1:B734,2,FALSE)</f>
        <v>166</v>
      </c>
      <c r="G620" s="9">
        <f>VLOOKUP(B620,'Player Data'!A1:D734,3,FALSE)</f>
        <v>29</v>
      </c>
      <c r="H620" s="43">
        <f>_xlfn.IFERROR(VLOOKUP(B620,'ADP'!A1:G731,7,FALSE)/1000000,VLOOKUP(B620,'ADP'!A1:G731,7,FALSE))</f>
        <v>1.1</v>
      </c>
      <c r="I620" s="44">
        <f>IF('Settings'!$E$15="POINTS",(AJ620*'Settings'!$B$29)+(AK620*'Settings'!$B$21)+(AL620*'Settings'!$B$22)+(AN620*'Settings'!$B$24)+(AO620*'Settings'!$B$25)+(AP620*'Settings'!$B$27)+(AM620*'Settings'!$B$23),VLOOKUP(B620,'Standard Deviations'!A1:C731,3,FALSE))</f>
        <v>128.731633829477</v>
      </c>
      <c r="J620" s="45">
        <f>IF(D620="G",I620/AJ620,I620/Q620)</f>
        <v>5.36381807622821</v>
      </c>
      <c r="K620" s="44">
        <f>VLOOKUP(B620,'G'!A1:F75,6,FALSE)</f>
        <v>-136.571587670211</v>
      </c>
      <c r="L620" s="44">
        <f>_xlfn.IFERROR(K620/H620,"N/A")</f>
        <v>-124.155988791101</v>
      </c>
      <c r="M620" t="s" s="61">
        <f>IF('Settings'!$E$9="YAHOO",VLOOKUP(B620,'ADP'!A1:E731,2,FALSE),IF('Settings'!$E$9="ESPN",VLOOKUP(B620,'ADP'!A1:E731,3,FALSE),IF('Settings'!$E$9="FANTRAX",VLOOKUP(B620,'ADP'!A1:E731,4,FALSE),VLOOKUP(B620,'ADP'!A1:E731,5,FALSE))))</f>
        <v>329</v>
      </c>
      <c r="N620" t="s" s="61">
        <f>_xlfn.IFERROR(M620-A620,"N/A")</f>
        <v>158</v>
      </c>
      <c r="O620" s="46"/>
      <c r="P620" t="s" s="47">
        <f>IF('Settings'!$E$27="ON",VLOOKUP(B620,'ADP'!A1:H731,8,FALSE)," ")</f>
        <v>109</v>
      </c>
      <c r="Q620" s="48"/>
      <c r="R620" s="59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9"/>
      <c r="AI620" s="46"/>
      <c r="AJ620" s="50">
        <f>VLOOKUP(B620,'Player Data'!$A1:$AE734,24,FALSE)</f>
        <v>24</v>
      </c>
      <c r="AK620" s="48">
        <f>VLOOKUP(B620,'Player Data'!$A1:$AE734,25,FALSE)*$AJ620*_xlfn.IFERROR((VLOOKUP(P620,'Settings'!$E$28:$F$33,2,FALSE)+1),1)</f>
        <v>9.79300719823255</v>
      </c>
      <c r="AL620" s="48">
        <f>AJ620-AK620-AM620</f>
        <v>11.2069928017675</v>
      </c>
      <c r="AM620" s="48">
        <f>VLOOKUP(B620,'Player Data'!$A1:$AE734,27,FALSE)*$AJ620</f>
        <v>3</v>
      </c>
      <c r="AN620" s="48">
        <f>VLOOKUP(B620,'Player Data'!$A1:$AE734,28,FALSE)*AJ620</f>
        <v>0.7733934627849191</v>
      </c>
      <c r="AO620" s="48">
        <f>VLOOKUP(B620,'Player Data'!$A1:$AE734,29,FALSE)*$AJ620*_xlfn.IFERROR((VLOOKUP(P620,'Settings'!$E$28:$F$33,2,FALSE)/4)+1,1)</f>
        <v>698.166998206346</v>
      </c>
      <c r="AP620" s="48">
        <f>VLOOKUP(B620,'Player Data'!$A1:$AE734,31,FALSE)*$AJ620*(_xlfn.IFERROR(1-(VLOOKUP(P620,'Settings'!$E$28:$F$33,2,FALSE)/4),1))</f>
        <v>74.9451117436529</v>
      </c>
      <c r="AQ620" s="51">
        <f>1-(AP620/(AO620+AP620))</f>
        <v>0.903060486598121</v>
      </c>
      <c r="AR620" s="52">
        <f>AP620/AJ620</f>
        <v>3.12271298931887</v>
      </c>
      <c r="AS620" s="46"/>
    </row>
    <row r="621" ht="21.25" customHeight="1">
      <c r="A621" s="53">
        <f>RANK(K621,K2:K730)</f>
        <v>662</v>
      </c>
      <c r="B621" t="s" s="8">
        <v>773</v>
      </c>
      <c r="C621" t="s" s="39">
        <v>106</v>
      </c>
      <c r="D621" t="s" s="40">
        <f>VLOOKUP(B621,'Player Data'!A1:D734,4,FALSE)</f>
        <v>107</v>
      </c>
      <c r="E621" s="41">
        <f>VLOOKUP(B621,'C'!A1:C218,3,FALSE)</f>
        <v>177</v>
      </c>
      <c r="F621" t="s" s="42">
        <f>VLOOKUP(B621,'Player Data'!A1:B734,2,FALSE)</f>
        <v>173</v>
      </c>
      <c r="G621" s="9">
        <f>VLOOKUP(B621,'Player Data'!A1:D734,3,FALSE)</f>
        <v>21</v>
      </c>
      <c r="H621" s="43">
        <f>_xlfn.IFERROR(VLOOKUP(B621,'ADP'!A1:G731,7,FALSE)/1000000,VLOOKUP(B621,'ADP'!A1:G731,7,FALSE))</f>
        <v>0.8633</v>
      </c>
      <c r="I621" s="44">
        <f>IF('Settings'!$E$15="POINTS",((R621*Q621)*'Settings'!$B$12)+(S621*'Settings'!$B$2)+(T621*'Settings'!$B$3)+(U621*'Settings'!$B$4)+(V621*'Settings'!$B$5)+(X621*'Settings'!$B$9)+(AA621*'Settings'!$B$6)+(W621*'Settings'!$B$8)+(AB621*'Settings'!$B$7)+(AC621*'Settings'!$B$14)+(AD621*'Settings'!$B$15)+(AE621*'Settings'!$B$16)+(AF621*'Settings'!$B$17)+(AG621*'Settings'!$B$18)+(Y621*'Settings'!$B$10)+(Z621*'Settings'!$B$11),VLOOKUP(B621,'Standard Deviations'!A1:C731,3,FALSE))</f>
        <v>155.803542157650</v>
      </c>
      <c r="J621" s="45">
        <f>IF(D621="G",I621/AJ621,I621/Q621)</f>
        <v>2.47307209774048</v>
      </c>
      <c r="K621" s="44">
        <f>IF('Settings'!$E$18="C/LW/RW",VLOOKUP(B621,'C'!A1:F218,6,FALSE),VLOOKUP(B621,'F'!A1:F432,6,FALSE))</f>
        <v>-239.970659478365</v>
      </c>
      <c r="L621" s="44">
        <f>_xlfn.IFERROR(K621/H621,"N/A")</f>
        <v>-277.969025226879</v>
      </c>
      <c r="M621" t="s" s="61">
        <f>IF('Settings'!$E$9="YAHOO",VLOOKUP(B621,'ADP'!A1:E731,2,FALSE),IF('Settings'!$E$9="ESPN",VLOOKUP(B621,'ADP'!A1:E731,3,FALSE),IF('Settings'!$E$9="FANTRAX",VLOOKUP(B621,'ADP'!A1:E731,4,FALSE),VLOOKUP(B621,'ADP'!A1:E731,5,FALSE))))</f>
        <v>329</v>
      </c>
      <c r="N621" t="s" s="61">
        <f>_xlfn.IFERROR(M621-A621,"N/A")</f>
        <v>158</v>
      </c>
      <c r="O621" s="46"/>
      <c r="P621" t="s" s="47">
        <f>IF('Settings'!$E$27="ON",VLOOKUP(B621,'ADP'!A1:H731,8,FALSE)," ")</f>
        <v>109</v>
      </c>
      <c r="Q621" s="48">
        <f>IF('Settings'!$E$12="YES",VLOOKUP(B621,'Player Data'!A1:E734,5,FALSE),82)</f>
        <v>63</v>
      </c>
      <c r="R621" s="46">
        <f>VLOOKUP(B621,'Player Data'!$A1:$AE734,6,FALSE)</f>
        <v>12.1263973818598</v>
      </c>
      <c r="S621" s="48">
        <f>VLOOKUP(B621,'Player Data'!$A1:$AE734,7,FALSE)*$Q621*_xlfn.IFERROR((VLOOKUP(P621,'Settings'!$E$28:$F$33,2,FALSE)+1),1)</f>
        <v>8.63905786479962</v>
      </c>
      <c r="T621" s="48">
        <f>VLOOKUP(B621,'Player Data'!$A1:$AE734,8,FALSE)*$Q621*_xlfn.IFERROR((VLOOKUP(P621,'Settings'!$E$28:$F$33,2,FALSE)+1),1)</f>
        <v>14.0587137045515</v>
      </c>
      <c r="U621" s="48">
        <f>SUM(S621:T621)</f>
        <v>22.6977715693511</v>
      </c>
      <c r="V621" s="48">
        <f>VLOOKUP(B621,'Player Data'!$A1:$AE734,10,FALSE)*$Q621*_xlfn.IFERROR(((VLOOKUP(P621,'Settings'!$E$28:$F$33,2,FALSE)/2)+1),1)</f>
        <v>85.76751120734539</v>
      </c>
      <c r="W621" s="48">
        <f>VLOOKUP(B621,'Player Data'!$A1:$AE734,11,FALSE)*$Q621*_xlfn.IFERROR((VLOOKUP(P621,'Settings'!$E$28:$F$33,2,FALSE)+1),1)</f>
        <v>0.318317571615912</v>
      </c>
      <c r="X621" s="48">
        <f>VLOOKUP(B621,'Player Data'!$A1:$AE734,12,FALSE)*$Q621*_xlfn.IFERROR((VLOOKUP(P621,'Settings'!$E$28:$F$33,2,FALSE)+1),1)</f>
        <v>1.75743924169075</v>
      </c>
      <c r="Y621" s="48">
        <f>VLOOKUP(B621,'Player Data'!$A1:$AE734,13,FALSE)*$Q621</f>
        <v>0.123758376409143</v>
      </c>
      <c r="Z621" s="48">
        <f>VLOOKUP(B621,'Player Data'!$A1:$AE734,14,FALSE)*$Q621</f>
        <v>0.221598858217574</v>
      </c>
      <c r="AA621" s="48">
        <f>VLOOKUP(B621,'Player Data'!$A1:$AE734,15,FALSE)*$Q621</f>
        <v>18.233644725675</v>
      </c>
      <c r="AB621" s="48">
        <f>VLOOKUP(B621,'Player Data'!$A1:$AE734,16,FALSE)*$Q621</f>
        <v>89.23145987780831</v>
      </c>
      <c r="AC621" s="48">
        <f>VLOOKUP(B621,'Player Data'!$A1:$AE734,17,FALSE)*$Q621*_xlfn.IFERROR((VLOOKUP(P621,'Settings'!$E$28:$F$33,2,FALSE)+1),1)</f>
        <v>1.84437728488265</v>
      </c>
      <c r="AD621" s="48">
        <f>VLOOKUP(B621,'Player Data'!$A1:$AE734,18,FALSE)*$Q621</f>
        <v>24.4322854168895</v>
      </c>
      <c r="AE621" s="48">
        <f>VLOOKUP(B621,'Player Data'!$A1:$AE734,19,FALSE)*$Q621*_xlfn.IFERROR((VLOOKUP(P621,'Settings'!$E$28:$F$33,2,FALSE)+1),1)</f>
        <v>1.29919256245047</v>
      </c>
      <c r="AF621" s="48">
        <f>VLOOKUP(B621,'Player Data'!$A1:$AE734,20,FALSE)*$Q621</f>
        <v>127.312368745720</v>
      </c>
      <c r="AG621" s="48">
        <f>VLOOKUP(B621,'Player Data'!$A1:$AE734,21,FALSE)*$Q621</f>
        <v>195.409682260873</v>
      </c>
      <c r="AH621" s="49">
        <f>VLOOKUP(B621,'Player Data'!$A1:$AE734,22,FALSE)</f>
        <v>0.394495412844037</v>
      </c>
      <c r="AI621" s="46"/>
      <c r="AJ621" s="50"/>
      <c r="AK621" s="48"/>
      <c r="AL621" s="48"/>
      <c r="AM621" s="48"/>
      <c r="AN621" s="48"/>
      <c r="AO621" s="48"/>
      <c r="AP621" s="48"/>
      <c r="AQ621" s="51"/>
      <c r="AR621" s="52"/>
      <c r="AS621" s="46"/>
    </row>
    <row r="622" ht="21.25" customHeight="1">
      <c r="A622" s="53">
        <f>RANK(K622,K2:K730)</f>
        <v>534</v>
      </c>
      <c r="B622" t="s" s="8">
        <v>774</v>
      </c>
      <c r="C622" t="s" s="39">
        <v>106</v>
      </c>
      <c r="D622" t="s" s="40">
        <f>VLOOKUP(B622,'Player Data'!A1:D734,4,FALSE)</f>
        <v>107</v>
      </c>
      <c r="E622" s="41">
        <f>VLOOKUP(B622,'C'!A1:C218,3,FALSE)</f>
        <v>142</v>
      </c>
      <c r="F622" t="s" s="42">
        <f>VLOOKUP(B622,'Player Data'!A1:B734,2,FALSE)</f>
        <v>170</v>
      </c>
      <c r="G622" s="9">
        <f>VLOOKUP(B622,'Player Data'!A1:D734,3,FALSE)</f>
        <v>31</v>
      </c>
      <c r="H622" s="43">
        <f>_xlfn.IFERROR(VLOOKUP(B622,'ADP'!A1:G731,7,FALSE)/1000000,VLOOKUP(B622,'ADP'!A1:G731,7,FALSE))</f>
        <v>1.937</v>
      </c>
      <c r="I622" s="44">
        <f>IF('Settings'!$E$15="POINTS",((R622*Q622)*'Settings'!$B$12)+(S622*'Settings'!$B$2)+(T622*'Settings'!$B$3)+(U622*'Settings'!$B$4)+(V622*'Settings'!$B$5)+(X622*'Settings'!$B$9)+(AA622*'Settings'!$B$6)+(W622*'Settings'!$B$8)+(AB622*'Settings'!$B$7)+(AC622*'Settings'!$B$14)+(AD622*'Settings'!$B$15)+(AE622*'Settings'!$B$16)+(AF622*'Settings'!$B$17)+(AG622*'Settings'!$B$18)+(Y622*'Settings'!$B$10)+(Z622*'Settings'!$B$11),VLOOKUP(B622,'Standard Deviations'!A1:C731,3,FALSE))</f>
        <v>202.396132521592</v>
      </c>
      <c r="J622" s="45">
        <f>IF(D622="G",I622/AJ622,I622/Q622)</f>
        <v>2.87408482171254</v>
      </c>
      <c r="K622" s="44">
        <f>IF('Settings'!$E$18="C/LW/RW",VLOOKUP(B622,'C'!A1:F218,6,FALSE),VLOOKUP(B622,'F'!A1:F432,6,FALSE))</f>
        <v>-193.378069114423</v>
      </c>
      <c r="L622" s="44">
        <f>_xlfn.IFERROR(K622/H622,"N/A")</f>
        <v>-99.8337992330527</v>
      </c>
      <c r="M622" s="46">
        <f>IF('Settings'!$E$9="YAHOO",VLOOKUP(B622,'ADP'!A1:E731,2,FALSE),IF('Settings'!$E$9="ESPN",VLOOKUP(B622,'ADP'!A1:E731,3,FALSE),IF('Settings'!$E$9="FANTRAX",VLOOKUP(B622,'ADP'!A1:E731,4,FALSE),VLOOKUP(B622,'ADP'!A1:E731,5,FALSE))))</f>
        <v>457.5</v>
      </c>
      <c r="N622" s="46">
        <f>_xlfn.IFERROR(M622-A622,"N/A")</f>
        <v>-76.5</v>
      </c>
      <c r="O622" s="46"/>
      <c r="P622" t="s" s="47">
        <f>IF('Settings'!$E$27="ON",VLOOKUP(B622,'ADP'!A1:H731,8,FALSE)," ")</f>
        <v>109</v>
      </c>
      <c r="Q622" s="48">
        <f>IF('Settings'!$E$12="YES",VLOOKUP(B622,'Player Data'!A1:E734,5,FALSE),82)</f>
        <v>70.42107142857139</v>
      </c>
      <c r="R622" s="46">
        <f>VLOOKUP(B622,'Player Data'!$A1:$AE734,6,FALSE)</f>
        <v>13.7087008661034</v>
      </c>
      <c r="S622" s="48">
        <f>VLOOKUP(B622,'Player Data'!$A1:$AE734,7,FALSE)*$Q622*_xlfn.IFERROR((VLOOKUP(P622,'Settings'!$E$28:$F$33,2,FALSE)+1),1)</f>
        <v>9.69047277463353</v>
      </c>
      <c r="T622" s="48">
        <f>VLOOKUP(B622,'Player Data'!$A1:$AE734,8,FALSE)*$Q622*_xlfn.IFERROR((VLOOKUP(P622,'Settings'!$E$28:$F$33,2,FALSE)+1),1)</f>
        <v>9.783558976600251</v>
      </c>
      <c r="U622" s="48">
        <f>SUM(S622:T622)</f>
        <v>19.4740317512338</v>
      </c>
      <c r="V622" s="48">
        <f>VLOOKUP(B622,'Player Data'!$A1:$AE734,10,FALSE)*$Q622*_xlfn.IFERROR(((VLOOKUP(P622,'Settings'!$E$28:$F$33,2,FALSE)/2)+1),1)</f>
        <v>90.9097827079141</v>
      </c>
      <c r="W622" s="48">
        <f>VLOOKUP(B622,'Player Data'!$A1:$AE734,11,FALSE)*$Q622*_xlfn.IFERROR((VLOOKUP(P622,'Settings'!$E$28:$F$33,2,FALSE)+1),1)</f>
        <v>0.0591061753964274</v>
      </c>
      <c r="X622" s="48">
        <f>VLOOKUP(B622,'Player Data'!$A1:$AE734,12,FALSE)*$Q622*_xlfn.IFERROR((VLOOKUP(P622,'Settings'!$E$28:$F$33,2,FALSE)+1),1)</f>
        <v>0.142359880883557</v>
      </c>
      <c r="Y622" s="48">
        <f>VLOOKUP(B622,'Player Data'!$A1:$AE734,13,FALSE)*$Q622</f>
        <v>0.0957627487875721</v>
      </c>
      <c r="Z622" s="48">
        <f>VLOOKUP(B622,'Player Data'!$A1:$AE734,14,FALSE)*$Q622</f>
        <v>1.7043845112558</v>
      </c>
      <c r="AA622" s="48">
        <f>VLOOKUP(B622,'Player Data'!$A1:$AE734,15,FALSE)*$Q622</f>
        <v>68.0003638859326</v>
      </c>
      <c r="AB622" s="48">
        <f>VLOOKUP(B622,'Player Data'!$A1:$AE734,16,FALSE)*$Q622</f>
        <v>186.297943146020</v>
      </c>
      <c r="AC622" s="48">
        <f>VLOOKUP(B622,'Player Data'!$A1:$AE734,17,FALSE)*$Q622*_xlfn.IFERROR((VLOOKUP(P622,'Settings'!$E$28:$F$33,2,FALSE)+1),1)</f>
        <v>1.03393953218684</v>
      </c>
      <c r="AD622" s="48">
        <f>VLOOKUP(B622,'Player Data'!$A1:$AE734,18,FALSE)*$Q622</f>
        <v>21.1722618982946</v>
      </c>
      <c r="AE622" s="48">
        <f>VLOOKUP(B622,'Player Data'!$A1:$AE734,19,FALSE)*$Q622*_xlfn.IFERROR((VLOOKUP(P622,'Settings'!$E$28:$F$33,2,FALSE)+1),1)</f>
        <v>1.55551491682538</v>
      </c>
      <c r="AF622" s="48">
        <f>VLOOKUP(B622,'Player Data'!$A1:$AE734,20,FALSE)*$Q622</f>
        <v>307.047585666780</v>
      </c>
      <c r="AG622" s="48">
        <f>VLOOKUP(B622,'Player Data'!$A1:$AE734,21,FALSE)*$Q622</f>
        <v>270.834921603766</v>
      </c>
      <c r="AH622" s="49">
        <f>VLOOKUP(B622,'Player Data'!$A1:$AE734,22,FALSE)</f>
        <v>0.531332203006156</v>
      </c>
      <c r="AI622" s="46"/>
      <c r="AJ622" s="50"/>
      <c r="AK622" s="48"/>
      <c r="AL622" s="48"/>
      <c r="AM622" s="48"/>
      <c r="AN622" s="48"/>
      <c r="AO622" s="48"/>
      <c r="AP622" s="48"/>
      <c r="AQ622" s="51"/>
      <c r="AR622" s="52"/>
      <c r="AS622" s="46"/>
    </row>
    <row r="623" ht="21.25" customHeight="1">
      <c r="A623" s="53">
        <f>RANK(K623,K2:K730)</f>
        <v>631</v>
      </c>
      <c r="B623" t="s" s="8">
        <v>775</v>
      </c>
      <c r="C623" t="s" s="39">
        <v>106</v>
      </c>
      <c r="D623" t="s" s="40">
        <f>VLOOKUP(B623,'Player Data'!A1:D734,4,FALSE)</f>
        <v>107</v>
      </c>
      <c r="E623" s="41">
        <f>VLOOKUP(B623,'C'!A1:C218,3,FALSE)</f>
        <v>167</v>
      </c>
      <c r="F623" t="s" s="42">
        <f>VLOOKUP(B623,'Player Data'!A1:B734,2,FALSE)</f>
        <v>164</v>
      </c>
      <c r="G623" s="9">
        <f>VLOOKUP(B623,'Player Data'!A1:D734,3,FALSE)</f>
        <v>24</v>
      </c>
      <c r="H623" s="43">
        <f>_xlfn.IFERROR(VLOOKUP(B623,'ADP'!A1:G731,7,FALSE)/1000000,VLOOKUP(B623,'ADP'!A1:G731,7,FALSE))</f>
        <v>1.35</v>
      </c>
      <c r="I623" s="44">
        <f>IF('Settings'!$E$15="POINTS",((R623*Q623)*'Settings'!$B$12)+(S623*'Settings'!$B$2)+(T623*'Settings'!$B$3)+(U623*'Settings'!$B$4)+(V623*'Settings'!$B$5)+(X623*'Settings'!$B$9)+(AA623*'Settings'!$B$6)+(W623*'Settings'!$B$8)+(AB623*'Settings'!$B$7)+(AC623*'Settings'!$B$14)+(AD623*'Settings'!$B$15)+(AE623*'Settings'!$B$16)+(AF623*'Settings'!$B$17)+(AG623*'Settings'!$B$18)+(Y623*'Settings'!$B$10)+(Z623*'Settings'!$B$11),VLOOKUP(B623,'Standard Deviations'!A1:C731,3,FALSE))</f>
        <v>170.244434283472</v>
      </c>
      <c r="J623" s="45">
        <f>IF(D623="G",I623/AJ623,I623/Q623)</f>
        <v>2.62440837940772</v>
      </c>
      <c r="K623" s="44">
        <f>IF('Settings'!$E$18="C/LW/RW",VLOOKUP(B623,'C'!A1:F218,6,FALSE),VLOOKUP(B623,'F'!A1:F432,6,FALSE))</f>
        <v>-225.529767352543</v>
      </c>
      <c r="L623" s="44">
        <f>_xlfn.IFERROR(K623/H623,"N/A")</f>
        <v>-167.059086927810</v>
      </c>
      <c r="M623" t="s" s="61">
        <f>IF('Settings'!$E$9="YAHOO",VLOOKUP(B623,'ADP'!A1:E731,2,FALSE),IF('Settings'!$E$9="ESPN",VLOOKUP(B623,'ADP'!A1:E731,3,FALSE),IF('Settings'!$E$9="FANTRAX",VLOOKUP(B623,'ADP'!A1:E731,4,FALSE),VLOOKUP(B623,'ADP'!A1:E731,5,FALSE))))</f>
        <v>329</v>
      </c>
      <c r="N623" t="s" s="61">
        <f>_xlfn.IFERROR(M623-A623,"N/A")</f>
        <v>158</v>
      </c>
      <c r="O623" s="46"/>
      <c r="P623" t="s" s="47">
        <f>IF('Settings'!$E$27="ON",VLOOKUP(B623,'ADP'!A1:H731,8,FALSE)," ")</f>
        <v>109</v>
      </c>
      <c r="Q623" s="48">
        <f>IF('Settings'!$E$12="YES",VLOOKUP(B623,'Player Data'!A1:E734,5,FALSE),82)</f>
        <v>64.86964285714291</v>
      </c>
      <c r="R623" s="46">
        <f>VLOOKUP(B623,'Player Data'!$A1:$AE734,6,FALSE)</f>
        <v>12.8830622816856</v>
      </c>
      <c r="S623" s="48">
        <f>VLOOKUP(B623,'Player Data'!$A1:$AE734,7,FALSE)*$Q623*_xlfn.IFERROR((VLOOKUP(P623,'Settings'!$E$28:$F$33,2,FALSE)+1),1)</f>
        <v>8.10253843447094</v>
      </c>
      <c r="T623" s="48">
        <f>VLOOKUP(B623,'Player Data'!$A1:$AE734,8,FALSE)*$Q623*_xlfn.IFERROR((VLOOKUP(P623,'Settings'!$E$28:$F$33,2,FALSE)+1),1)</f>
        <v>12.122520392510</v>
      </c>
      <c r="U623" s="48">
        <f>SUM(S623:T623)</f>
        <v>20.2250588269809</v>
      </c>
      <c r="V623" s="48">
        <f>VLOOKUP(B623,'Player Data'!$A1:$AE734,10,FALSE)*$Q623*_xlfn.IFERROR(((VLOOKUP(P623,'Settings'!$E$28:$F$33,2,FALSE)/2)+1),1)</f>
        <v>98.9424617460717</v>
      </c>
      <c r="W623" s="48">
        <f>VLOOKUP(B623,'Player Data'!$A1:$AE734,11,FALSE)*$Q623*_xlfn.IFERROR((VLOOKUP(P623,'Settings'!$E$28:$F$33,2,FALSE)+1),1)</f>
        <v>0.052613013476137</v>
      </c>
      <c r="X623" s="48">
        <f>VLOOKUP(B623,'Player Data'!$A1:$AE734,12,FALSE)*$Q623*_xlfn.IFERROR((VLOOKUP(P623,'Settings'!$E$28:$F$33,2,FALSE)+1),1)</f>
        <v>0.132443045575945</v>
      </c>
      <c r="Y623" s="48">
        <f>VLOOKUP(B623,'Player Data'!$A1:$AE734,13,FALSE)*$Q623</f>
        <v>0.129105488294995</v>
      </c>
      <c r="Z623" s="48">
        <f>VLOOKUP(B623,'Player Data'!$A1:$AE734,14,FALSE)*$Q623</f>
        <v>1.45298997729577</v>
      </c>
      <c r="AA623" s="48">
        <f>VLOOKUP(B623,'Player Data'!$A1:$AE734,15,FALSE)*$Q623</f>
        <v>36.185708844853</v>
      </c>
      <c r="AB623" s="48">
        <f>VLOOKUP(B623,'Player Data'!$A1:$AE734,16,FALSE)*$Q623</f>
        <v>107.781539603075</v>
      </c>
      <c r="AC623" s="48">
        <f>VLOOKUP(B623,'Player Data'!$A1:$AE734,17,FALSE)*$Q623*_xlfn.IFERROR((VLOOKUP(P623,'Settings'!$E$28:$F$33,2,FALSE)+1),1)</f>
        <v>1.0169967923453</v>
      </c>
      <c r="AD623" s="48">
        <f>VLOOKUP(B623,'Player Data'!$A1:$AE734,18,FALSE)*$Q623</f>
        <v>25.3538559953319</v>
      </c>
      <c r="AE623" s="48">
        <f>VLOOKUP(B623,'Player Data'!$A1:$AE734,19,FALSE)*$Q623*_xlfn.IFERROR((VLOOKUP(P623,'Settings'!$E$28:$F$33,2,FALSE)+1),1)</f>
        <v>1.26402311644843</v>
      </c>
      <c r="AF623" s="48">
        <f>VLOOKUP(B623,'Player Data'!$A1:$AE734,20,FALSE)*$Q623</f>
        <v>17.2980735892939</v>
      </c>
      <c r="AG623" s="48">
        <f>VLOOKUP(B623,'Player Data'!$A1:$AE734,21,FALSE)*$Q623</f>
        <v>19.5156061349402</v>
      </c>
      <c r="AH623" s="49">
        <f>VLOOKUP(B623,'Player Data'!$A1:$AE734,22,FALSE)</f>
        <v>0.469881677650026</v>
      </c>
      <c r="AI623" s="46"/>
      <c r="AJ623" s="48"/>
      <c r="AK623" s="48"/>
      <c r="AL623" s="48"/>
      <c r="AM623" s="48"/>
      <c r="AN623" s="48"/>
      <c r="AO623" s="48"/>
      <c r="AP623" s="48"/>
      <c r="AQ623" s="51"/>
      <c r="AR623" s="52"/>
      <c r="AS623" s="46"/>
    </row>
    <row r="624" ht="21.25" customHeight="1">
      <c r="A624" s="53">
        <f>RANK(K624,K2:K730)</f>
        <v>599</v>
      </c>
      <c r="B624" t="s" s="8">
        <v>776</v>
      </c>
      <c r="C624" t="s" s="39">
        <v>106</v>
      </c>
      <c r="D624" t="s" s="40">
        <f>VLOOKUP(B624,'Player Data'!A1:D734,4,FALSE)</f>
        <v>107</v>
      </c>
      <c r="E624" s="41">
        <f>VLOOKUP(B624,'C'!A1:C218,3,FALSE)</f>
        <v>157</v>
      </c>
      <c r="F624" t="s" s="42">
        <f>VLOOKUP(B624,'Player Data'!A1:B734,2,FALSE)</f>
        <v>218</v>
      </c>
      <c r="G624" s="9">
        <f>VLOOKUP(B624,'Player Data'!A1:D734,3,FALSE)</f>
        <v>25</v>
      </c>
      <c r="H624" s="43">
        <f>_xlfn.IFERROR(VLOOKUP(B624,'ADP'!A1:G731,7,FALSE)/1000000,VLOOKUP(B624,'ADP'!A1:G731,7,FALSE))</f>
        <v>1.9</v>
      </c>
      <c r="I624" s="44">
        <f>IF('Settings'!$E$15="POINTS",((R624*Q624)*'Settings'!$B$12)+(S624*'Settings'!$B$2)+(T624*'Settings'!$B$3)+(U624*'Settings'!$B$4)+(V624*'Settings'!$B$5)+(X624*'Settings'!$B$9)+(AA624*'Settings'!$B$6)+(W624*'Settings'!$B$8)+(AB624*'Settings'!$B$7)+(AC624*'Settings'!$B$14)+(AD624*'Settings'!$B$15)+(AE624*'Settings'!$B$16)+(AF624*'Settings'!$B$17)+(AG624*'Settings'!$B$18)+(Y624*'Settings'!$B$10)+(Z624*'Settings'!$B$11),VLOOKUP(B624,'Standard Deviations'!A1:C731,3,FALSE))</f>
        <v>178.559739347921</v>
      </c>
      <c r="J624" s="45">
        <f>IF(D624="G",I624/AJ624,I624/Q624)</f>
        <v>2.54367661737129</v>
      </c>
      <c r="K624" s="44">
        <f>IF('Settings'!$E$18="C/LW/RW",VLOOKUP(B624,'C'!A1:F218,6,FALSE),VLOOKUP(B624,'F'!A1:F432,6,FALSE))</f>
        <v>-217.214462288094</v>
      </c>
      <c r="L624" s="44">
        <f>_xlfn.IFERROR(K624/H624,"N/A")</f>
        <v>-114.323401204260</v>
      </c>
      <c r="M624" t="s" s="61">
        <f>IF('Settings'!$E$9="YAHOO",VLOOKUP(B624,'ADP'!A1:E731,2,FALSE),IF('Settings'!$E$9="ESPN",VLOOKUP(B624,'ADP'!A1:E731,3,FALSE),IF('Settings'!$E$9="FANTRAX",VLOOKUP(B624,'ADP'!A1:E731,4,FALSE),VLOOKUP(B624,'ADP'!A1:E731,5,FALSE))))</f>
        <v>329</v>
      </c>
      <c r="N624" t="s" s="61">
        <f>_xlfn.IFERROR(M624-A624,"N/A")</f>
        <v>158</v>
      </c>
      <c r="O624" s="46"/>
      <c r="P624" t="s" s="47">
        <f>IF('Settings'!$E$27="ON",VLOOKUP(B624,'ADP'!A1:H731,8,FALSE)," ")</f>
        <v>109</v>
      </c>
      <c r="Q624" s="48">
        <f>IF('Settings'!$E$12="YES",VLOOKUP(B624,'Player Data'!A1:E734,5,FALSE),82)</f>
        <v>70.19750000000001</v>
      </c>
      <c r="R624" s="46">
        <f>VLOOKUP(B624,'Player Data'!$A1:$AE734,6,FALSE)</f>
        <v>13.1735329653879</v>
      </c>
      <c r="S624" s="48">
        <f>VLOOKUP(B624,'Player Data'!$A1:$AE734,7,FALSE)*$Q624*_xlfn.IFERROR((VLOOKUP(P624,'Settings'!$E$28:$F$33,2,FALSE)+1),1)</f>
        <v>10.0458236754964</v>
      </c>
      <c r="T624" s="48">
        <f>VLOOKUP(B624,'Player Data'!$A1:$AE734,8,FALSE)*$Q624*_xlfn.IFERROR((VLOOKUP(P624,'Settings'!$E$28:$F$33,2,FALSE)+1),1)</f>
        <v>13.6430793426926</v>
      </c>
      <c r="U624" s="48">
        <f>SUM(S624:T624)</f>
        <v>23.688903018189</v>
      </c>
      <c r="V624" s="48">
        <f>VLOOKUP(B624,'Player Data'!$A1:$AE734,10,FALSE)*$Q624*_xlfn.IFERROR(((VLOOKUP(P624,'Settings'!$E$28:$F$33,2,FALSE)/2)+1),1)</f>
        <v>74.1433078169517</v>
      </c>
      <c r="W624" s="48">
        <f>VLOOKUP(B624,'Player Data'!$A1:$AE734,11,FALSE)*$Q624*_xlfn.IFERROR((VLOOKUP(P624,'Settings'!$E$28:$F$33,2,FALSE)+1),1)</f>
        <v>0.0322017361993716</v>
      </c>
      <c r="X624" s="48">
        <f>VLOOKUP(B624,'Player Data'!$A1:$AE734,12,FALSE)*$Q624*_xlfn.IFERROR((VLOOKUP(P624,'Settings'!$E$28:$F$33,2,FALSE)+1),1)</f>
        <v>0.0636206323496475</v>
      </c>
      <c r="Y624" s="48">
        <f>VLOOKUP(B624,'Player Data'!$A1:$AE734,13,FALSE)*$Q624</f>
        <v>0.12059116019664</v>
      </c>
      <c r="Z624" s="48">
        <f>VLOOKUP(B624,'Player Data'!$A1:$AE734,14,FALSE)*$Q624</f>
        <v>0.8779795486306869</v>
      </c>
      <c r="AA624" s="48">
        <f>VLOOKUP(B624,'Player Data'!$A1:$AE734,15,FALSE)*$Q624</f>
        <v>46.8024429224187</v>
      </c>
      <c r="AB624" s="48">
        <f>VLOOKUP(B624,'Player Data'!$A1:$AE734,16,FALSE)*$Q624</f>
        <v>120.781841252650</v>
      </c>
      <c r="AC624" s="48">
        <f>VLOOKUP(B624,'Player Data'!$A1:$AE734,17,FALSE)*$Q624*_xlfn.IFERROR((VLOOKUP(P624,'Settings'!$E$28:$F$33,2,FALSE)+1),1)</f>
        <v>3.91257009518415</v>
      </c>
      <c r="AD624" s="48">
        <f>VLOOKUP(B624,'Player Data'!$A1:$AE734,18,FALSE)*$Q624</f>
        <v>35.4997160186623</v>
      </c>
      <c r="AE624" s="48">
        <f>VLOOKUP(B624,'Player Data'!$A1:$AE734,19,FALSE)*$Q624*_xlfn.IFERROR((VLOOKUP(P624,'Settings'!$E$28:$F$33,2,FALSE)+1),1)</f>
        <v>1.64176168644314</v>
      </c>
      <c r="AF624" s="48">
        <f>VLOOKUP(B624,'Player Data'!$A1:$AE734,20,FALSE)*$Q624</f>
        <v>169.185641954465</v>
      </c>
      <c r="AG624" s="48">
        <f>VLOOKUP(B624,'Player Data'!$A1:$AE734,21,FALSE)*$Q624</f>
        <v>172.723693165723</v>
      </c>
      <c r="AH624" s="49">
        <f>VLOOKUP(B624,'Player Data'!$A1:$AE734,22,FALSE)</f>
        <v>0.49482603888248</v>
      </c>
      <c r="AI624" s="46"/>
      <c r="AJ624" s="50"/>
      <c r="AK624" s="48"/>
      <c r="AL624" s="48"/>
      <c r="AM624" s="48"/>
      <c r="AN624" s="48"/>
      <c r="AO624" s="48"/>
      <c r="AP624" s="48"/>
      <c r="AQ624" s="51"/>
      <c r="AR624" s="52"/>
      <c r="AS624" s="46"/>
    </row>
    <row r="625" ht="21.25" customHeight="1">
      <c r="A625" s="53">
        <f>RANK(K625,K2:K730)</f>
        <v>598</v>
      </c>
      <c r="B625" t="s" s="8">
        <v>777</v>
      </c>
      <c r="C625" t="s" s="39">
        <v>106</v>
      </c>
      <c r="D625" t="s" s="40">
        <f>VLOOKUP(B625,'Player Data'!A1:D734,4,FALSE)</f>
        <v>121</v>
      </c>
      <c r="E625" s="55">
        <f>VLOOKUP(B625,'RW'!A1:F132,3,FALSE)</f>
        <v>114</v>
      </c>
      <c r="F625" t="s" s="42">
        <f>VLOOKUP(B625,'Player Data'!A1:B734,2,FALSE)</f>
        <v>194</v>
      </c>
      <c r="G625" s="9">
        <f>VLOOKUP(B625,'Player Data'!A1:D734,3,FALSE)</f>
        <v>24</v>
      </c>
      <c r="H625" s="43">
        <f>_xlfn.IFERROR(VLOOKUP(B625,'ADP'!A1:G731,7,FALSE)/1000000,VLOOKUP(B625,'ADP'!A1:G731,7,FALSE))</f>
        <v>1.25</v>
      </c>
      <c r="I625" s="44">
        <f>IF('Settings'!$E$15="POINTS",((R625*Q625)*'Settings'!$B$12)+(S625*'Settings'!$B$2)+(T625*'Settings'!$B$3)+(U625*'Settings'!$B$4)+(V625*'Settings'!$B$5)+(X625*'Settings'!$B$9)+(AA625*'Settings'!$B$6)+(W625*'Settings'!$B$8)+(AB625*'Settings'!$B$7)+(AC625*'Settings'!$B$14)+(AD625*'Settings'!$B$15)+(AE625*'Settings'!$B$16)+(AF625*'Settings'!$B$17)+(AG625*'Settings'!$B$18)+(Y625*'Settings'!$B$10)+(Z625*'Settings'!$B$11),VLOOKUP(B625,'Standard Deviations'!A1:C731,3,FALSE))</f>
        <v>164.463495513221</v>
      </c>
      <c r="J625" s="45">
        <f>IF(D625="G",I625/AJ625,I625/Q625)</f>
        <v>2.38361528335405</v>
      </c>
      <c r="K625" s="44">
        <f>IF('Settings'!$E$18="C/LW/RW",VLOOKUP(B625,'RW'!A1:F132,6,FALSE),VLOOKUP(B625,'F'!A1:F432,6,FALSE))</f>
        <v>-217.165068193135</v>
      </c>
      <c r="L625" s="44">
        <f>_xlfn.IFERROR(K625/H625,"N/A")</f>
        <v>-173.732054554508</v>
      </c>
      <c r="M625" t="s" s="61">
        <f>IF('Settings'!$E$9="YAHOO",VLOOKUP(B625,'ADP'!A1:E731,2,FALSE),IF('Settings'!$E$9="ESPN",VLOOKUP(B625,'ADP'!A1:E731,3,FALSE),IF('Settings'!$E$9="FANTRAX",VLOOKUP(B625,'ADP'!A1:E731,4,FALSE),VLOOKUP(B625,'ADP'!A1:E731,5,FALSE))))</f>
        <v>329</v>
      </c>
      <c r="N625" t="s" s="61">
        <f>_xlfn.IFERROR(M625-A625,"N/A")</f>
        <v>158</v>
      </c>
      <c r="O625" s="46"/>
      <c r="P625" t="s" s="47">
        <f>IF('Settings'!$E$27="ON",VLOOKUP(B625,'ADP'!A1:H731,8,FALSE)," ")</f>
        <v>109</v>
      </c>
      <c r="Q625" s="48">
        <f>IF('Settings'!$E$12="YES",VLOOKUP(B625,'Player Data'!A1:E734,5,FALSE),82)</f>
        <v>68.9975</v>
      </c>
      <c r="R625" s="46">
        <f>VLOOKUP(B625,'Player Data'!$A1:$AE734,6,FALSE)</f>
        <v>11.8647816137548</v>
      </c>
      <c r="S625" s="48">
        <f>VLOOKUP(B625,'Player Data'!$A1:$AE734,7,FALSE)*$Q625*_xlfn.IFERROR((VLOOKUP(P625,'Settings'!$E$28:$F$33,2,FALSE)+1),1)</f>
        <v>9.037999929284251</v>
      </c>
      <c r="T625" s="48">
        <f>VLOOKUP(B625,'Player Data'!$A1:$AE734,8,FALSE)*$Q625*_xlfn.IFERROR((VLOOKUP(P625,'Settings'!$E$28:$F$33,2,FALSE)+1),1)</f>
        <v>8.3333095882858</v>
      </c>
      <c r="U625" s="48">
        <f>SUM(S625:T625)</f>
        <v>17.3713095175701</v>
      </c>
      <c r="V625" s="48">
        <f>VLOOKUP(B625,'Player Data'!$A1:$AE734,10,FALSE)*$Q625*_xlfn.IFERROR(((VLOOKUP(P625,'Settings'!$E$28:$F$33,2,FALSE)/2)+1),1)</f>
        <v>87.1045701486658</v>
      </c>
      <c r="W625" s="48">
        <f>VLOOKUP(B625,'Player Data'!$A1:$AE734,11,FALSE)*$Q625*_xlfn.IFERROR((VLOOKUP(P625,'Settings'!$E$28:$F$33,2,FALSE)+1),1)</f>
        <v>0.054814578765249</v>
      </c>
      <c r="X625" s="48">
        <f>VLOOKUP(B625,'Player Data'!$A1:$AE734,12,FALSE)*$Q625*_xlfn.IFERROR((VLOOKUP(P625,'Settings'!$E$28:$F$33,2,FALSE)+1),1)</f>
        <v>0.140274581922071</v>
      </c>
      <c r="Y625" s="48">
        <f>VLOOKUP(B625,'Player Data'!$A1:$AE734,13,FALSE)*$Q625</f>
        <v>0.769926246214314</v>
      </c>
      <c r="Z625" s="48">
        <f>VLOOKUP(B625,'Player Data'!$A1:$AE734,14,FALSE)*$Q625</f>
        <v>0.896205944469903</v>
      </c>
      <c r="AA625" s="48">
        <f>VLOOKUP(B625,'Player Data'!$A1:$AE734,15,FALSE)*$Q625</f>
        <v>43.6537723221035</v>
      </c>
      <c r="AB625" s="48">
        <f>VLOOKUP(B625,'Player Data'!$A1:$AE734,16,FALSE)*$Q625</f>
        <v>126.483935769041</v>
      </c>
      <c r="AC625" s="48">
        <f>VLOOKUP(B625,'Player Data'!$A1:$AE734,17,FALSE)*$Q625*_xlfn.IFERROR((VLOOKUP(P625,'Settings'!$E$28:$F$33,2,FALSE)+1),1)</f>
        <v>-3.44734960743759</v>
      </c>
      <c r="AD625" s="48">
        <f>VLOOKUP(B625,'Player Data'!$A1:$AE734,18,FALSE)*$Q625</f>
        <v>18.7944204854041</v>
      </c>
      <c r="AE625" s="48">
        <f>VLOOKUP(B625,'Player Data'!$A1:$AE734,19,FALSE)*$Q625*_xlfn.IFERROR((VLOOKUP(P625,'Settings'!$E$28:$F$33,2,FALSE)+1),1)</f>
        <v>1.04002734064235</v>
      </c>
      <c r="AF625" s="48">
        <f>VLOOKUP(B625,'Player Data'!$A1:$AE734,20,FALSE)*$Q625</f>
        <v>2.1215464094145</v>
      </c>
      <c r="AG625" s="48">
        <f>VLOOKUP(B625,'Player Data'!$A1:$AE734,21,FALSE)*$Q625</f>
        <v>5.76015898680279</v>
      </c>
      <c r="AH625" s="49">
        <f>VLOOKUP(B625,'Player Data'!$A1:$AE734,22,FALSE)</f>
        <v>0.269173523084573</v>
      </c>
      <c r="AI625" s="46"/>
      <c r="AJ625" s="48"/>
      <c r="AK625" s="48"/>
      <c r="AL625" s="48"/>
      <c r="AM625" s="48"/>
      <c r="AN625" s="48"/>
      <c r="AO625" s="48"/>
      <c r="AP625" s="48"/>
      <c r="AQ625" s="51"/>
      <c r="AR625" s="52"/>
      <c r="AS625" s="46"/>
    </row>
    <row r="626" ht="21.25" customHeight="1">
      <c r="A626" s="53">
        <f>RANK(K626,K2:K730)</f>
        <v>635</v>
      </c>
      <c r="B626" t="s" s="8">
        <v>778</v>
      </c>
      <c r="C626" t="s" s="39">
        <v>106</v>
      </c>
      <c r="D626" t="s" s="40">
        <f>VLOOKUP(B626,'Player Data'!A1:D734,4,FALSE)</f>
        <v>133</v>
      </c>
      <c r="E626" s="57">
        <f>VLOOKUP(B626,'LW'!A1:C156,3,FALSE)</f>
        <v>133</v>
      </c>
      <c r="F626" t="s" s="42">
        <f>VLOOKUP(B626,'Player Data'!A1:B734,2,FALSE)</f>
        <v>141</v>
      </c>
      <c r="G626" s="9">
        <f>VLOOKUP(B626,'Player Data'!A1:D734,3,FALSE)</f>
        <v>27</v>
      </c>
      <c r="H626" s="43">
        <f>_xlfn.IFERROR(VLOOKUP(B626,'ADP'!A1:G731,7,FALSE)/1000000,VLOOKUP(B626,'ADP'!A1:G731,7,FALSE))</f>
        <v>2.5</v>
      </c>
      <c r="I626" s="44">
        <f>IF('Settings'!$E$15="POINTS",((R626*Q626)*'Settings'!$B$12)+(S626*'Settings'!$B$2)+(T626*'Settings'!$B$3)+(U626*'Settings'!$B$4)+(V626*'Settings'!$B$5)+(X626*'Settings'!$B$9)+(AA626*'Settings'!$B$6)+(W626*'Settings'!$B$8)+(AB626*'Settings'!$B$7)+(AC626*'Settings'!$B$14)+(AD626*'Settings'!$B$15)+(AE626*'Settings'!$B$16)+(AF626*'Settings'!$B$17)+(AG626*'Settings'!$B$18)+(Y626*'Settings'!$B$10)+(Z626*'Settings'!$B$11),VLOOKUP(B626,'Standard Deviations'!A1:C731,3,FALSE))</f>
        <v>155.134869559410</v>
      </c>
      <c r="J626" s="45">
        <f>IF(D626="G",I626/AJ626,I626/Q626)</f>
        <v>1.96022326561106</v>
      </c>
      <c r="K626" s="44">
        <f>IF('Settings'!$E$18="C/LW/RW",VLOOKUP(B626,'LW'!A1:F156,6,FALSE),VLOOKUP(B626,'F'!A1:F432,6,FALSE))</f>
        <v>-226.493694146946</v>
      </c>
      <c r="L626" s="44">
        <f>_xlfn.IFERROR(K626/H626,"N/A")</f>
        <v>-90.5974776587784</v>
      </c>
      <c r="M626" t="s" s="61">
        <f>IF('Settings'!$E$9="YAHOO",VLOOKUP(B626,'ADP'!A1:E731,2,FALSE),IF('Settings'!$E$9="ESPN",VLOOKUP(B626,'ADP'!A1:E731,3,FALSE),IF('Settings'!$E$9="FANTRAX",VLOOKUP(B626,'ADP'!A1:E731,4,FALSE),VLOOKUP(B626,'ADP'!A1:E731,5,FALSE))))</f>
        <v>329</v>
      </c>
      <c r="N626" t="s" s="61">
        <f>_xlfn.IFERROR(M626-A626,"N/A")</f>
        <v>158</v>
      </c>
      <c r="O626" s="46"/>
      <c r="P626" t="s" s="47">
        <f>IF('Settings'!$E$27="ON",VLOOKUP(B626,'ADP'!A1:H731,8,FALSE)," ")</f>
        <v>109</v>
      </c>
      <c r="Q626" s="48">
        <f>IF('Settings'!$E$12="YES",VLOOKUP(B626,'Player Data'!A1:E734,5,FALSE),82)</f>
        <v>79.14142857142861</v>
      </c>
      <c r="R626" s="46">
        <f>VLOOKUP(B626,'Player Data'!$A1:$AE734,6,FALSE)</f>
        <v>11.2311320841553</v>
      </c>
      <c r="S626" s="48">
        <f>VLOOKUP(B626,'Player Data'!$A1:$AE734,7,FALSE)*$Q626*_xlfn.IFERROR((VLOOKUP(P626,'Settings'!$E$28:$F$33,2,FALSE)+1),1)</f>
        <v>8.958887661010721</v>
      </c>
      <c r="T626" s="48">
        <f>VLOOKUP(B626,'Player Data'!$A1:$AE734,8,FALSE)*$Q626*_xlfn.IFERROR((VLOOKUP(P626,'Settings'!$E$28:$F$33,2,FALSE)+1),1)</f>
        <v>10.6371969138887</v>
      </c>
      <c r="U626" s="48">
        <f>SUM(S626:T626)</f>
        <v>19.5960845748994</v>
      </c>
      <c r="V626" s="48">
        <f>VLOOKUP(B626,'Player Data'!$A1:$AE734,10,FALSE)*$Q626*_xlfn.IFERROR(((VLOOKUP(P626,'Settings'!$E$28:$F$33,2,FALSE)/2)+1),1)</f>
        <v>91.2410186275706</v>
      </c>
      <c r="W626" s="48">
        <f>VLOOKUP(B626,'Player Data'!$A1:$AE734,11,FALSE)*$Q626*_xlfn.IFERROR((VLOOKUP(P626,'Settings'!$E$28:$F$33,2,FALSE)+1),1)</f>
        <v>0.0904814533539522</v>
      </c>
      <c r="X626" s="48">
        <f>VLOOKUP(B626,'Player Data'!$A1:$AE734,12,FALSE)*$Q626*_xlfn.IFERROR((VLOOKUP(P626,'Settings'!$E$28:$F$33,2,FALSE)+1),1)</f>
        <v>0.379177586770929</v>
      </c>
      <c r="Y626" s="48">
        <f>VLOOKUP(B626,'Player Data'!$A1:$AE734,13,FALSE)*$Q626</f>
        <v>0.0571166324972697</v>
      </c>
      <c r="Z626" s="48">
        <f>VLOOKUP(B626,'Player Data'!$A1:$AE734,14,FALSE)*$Q626</f>
        <v>0.105244116889577</v>
      </c>
      <c r="AA626" s="48">
        <f>VLOOKUP(B626,'Player Data'!$A1:$AE734,15,FALSE)*$Q626</f>
        <v>32.9511760049512</v>
      </c>
      <c r="AB626" s="48">
        <f>VLOOKUP(B626,'Player Data'!$A1:$AE734,16,FALSE)*$Q626</f>
        <v>82.4067951726235</v>
      </c>
      <c r="AC626" s="48">
        <f>VLOOKUP(B626,'Player Data'!$A1:$AE734,17,FALSE)*$Q626*_xlfn.IFERROR((VLOOKUP(P626,'Settings'!$E$28:$F$33,2,FALSE)+1),1)</f>
        <v>-0.979474294476429</v>
      </c>
      <c r="AD626" s="48">
        <f>VLOOKUP(B626,'Player Data'!$A1:$AE734,18,FALSE)*$Q626</f>
        <v>18.9088774080818</v>
      </c>
      <c r="AE626" s="48">
        <f>VLOOKUP(B626,'Player Data'!$A1:$AE734,19,FALSE)*$Q626*_xlfn.IFERROR((VLOOKUP(P626,'Settings'!$E$28:$F$33,2,FALSE)+1),1)</f>
        <v>1.11229745634695</v>
      </c>
      <c r="AF626" s="48">
        <f>VLOOKUP(B626,'Player Data'!$A1:$AE734,20,FALSE)*$Q626</f>
        <v>8.66142515152869</v>
      </c>
      <c r="AG626" s="48">
        <f>VLOOKUP(B626,'Player Data'!$A1:$AE734,21,FALSE)*$Q626</f>
        <v>10.6207342724778</v>
      </c>
      <c r="AH626" s="49">
        <f>VLOOKUP(B626,'Player Data'!$A1:$AE734,22,FALSE)</f>
        <v>0.449193731939855</v>
      </c>
      <c r="AI626" s="46"/>
      <c r="AJ626" s="50"/>
      <c r="AK626" s="48"/>
      <c r="AL626" s="48"/>
      <c r="AM626" s="48"/>
      <c r="AN626" s="48"/>
      <c r="AO626" s="48"/>
      <c r="AP626" s="48"/>
      <c r="AQ626" s="51"/>
      <c r="AR626" s="52"/>
      <c r="AS626" s="46"/>
    </row>
    <row r="627" ht="21.25" customHeight="1">
      <c r="A627" s="53">
        <f>RANK(K627,K2:K730)</f>
        <v>580</v>
      </c>
      <c r="B627" t="s" s="8">
        <v>779</v>
      </c>
      <c r="C627" t="s" s="39">
        <v>106</v>
      </c>
      <c r="D627" t="s" s="40">
        <f>VLOOKUP(B627,'Player Data'!A1:D734,4,FALSE)</f>
        <v>107</v>
      </c>
      <c r="E627" s="41">
        <f>VLOOKUP(B627,'C'!A1:C218,3,FALSE)</f>
        <v>152</v>
      </c>
      <c r="F627" t="s" s="42">
        <f>VLOOKUP(B627,'Player Data'!A1:B734,2,FALSE)</f>
        <v>218</v>
      </c>
      <c r="G627" s="9">
        <f>VLOOKUP(B627,'Player Data'!A1:D734,3,FALSE)</f>
        <v>23</v>
      </c>
      <c r="H627" s="43">
        <f>_xlfn.IFERROR(VLOOKUP(B627,'ADP'!A1:G731,7,FALSE)/1000000,VLOOKUP(B627,'ADP'!A1:G731,7,FALSE))</f>
        <v>0.775</v>
      </c>
      <c r="I627" s="44">
        <f>IF('Settings'!$E$15="POINTS",((R627*Q627)*'Settings'!$B$12)+(S627*'Settings'!$B$2)+(T627*'Settings'!$B$3)+(U627*'Settings'!$B$4)+(V627*'Settings'!$B$5)+(X627*'Settings'!$B$9)+(AA627*'Settings'!$B$6)+(W627*'Settings'!$B$8)+(AB627*'Settings'!$B$7)+(AC627*'Settings'!$B$14)+(AD627*'Settings'!$B$15)+(AE627*'Settings'!$B$16)+(AF627*'Settings'!$B$17)+(AG627*'Settings'!$B$18)+(Y627*'Settings'!$B$10)+(Z627*'Settings'!$B$11),VLOOKUP(B627,'Standard Deviations'!A1:C731,3,FALSE))</f>
        <v>184.924186494692</v>
      </c>
      <c r="J627" s="45">
        <f>IF(D627="G",I627/AJ627,I627/Q627)</f>
        <v>2.74164842838683</v>
      </c>
      <c r="K627" s="44">
        <f>IF('Settings'!$E$18="C/LW/RW",VLOOKUP(B627,'C'!A1:F218,6,FALSE),VLOOKUP(B627,'F'!A1:F432,6,FALSE))</f>
        <v>-210.850015141323</v>
      </c>
      <c r="L627" s="44">
        <f>_xlfn.IFERROR(K627/H627,"N/A")</f>
        <v>-272.064535666223</v>
      </c>
      <c r="M627" t="s" s="61">
        <f>IF('Settings'!$E$9="YAHOO",VLOOKUP(B627,'ADP'!A1:E731,2,FALSE),IF('Settings'!$E$9="ESPN",VLOOKUP(B627,'ADP'!A1:E731,3,FALSE),IF('Settings'!$E$9="FANTRAX",VLOOKUP(B627,'ADP'!A1:E731,4,FALSE),VLOOKUP(B627,'ADP'!A1:E731,5,FALSE))))</f>
        <v>329</v>
      </c>
      <c r="N627" t="s" s="61">
        <f>_xlfn.IFERROR(M627-A627,"N/A")</f>
        <v>158</v>
      </c>
      <c r="O627" s="46"/>
      <c r="P627" t="s" s="47">
        <f>IF('Settings'!$E$27="ON",VLOOKUP(B627,'ADP'!A1:H731,8,FALSE)," ")</f>
        <v>109</v>
      </c>
      <c r="Q627" s="48">
        <f>IF('Settings'!$E$12="YES",VLOOKUP(B627,'Player Data'!A1:E734,5,FALSE),82)</f>
        <v>67.45</v>
      </c>
      <c r="R627" s="46">
        <f>VLOOKUP(B627,'Player Data'!$A1:$AE734,6,FALSE)</f>
        <v>11.811131444221</v>
      </c>
      <c r="S627" s="48">
        <f>VLOOKUP(B627,'Player Data'!$A1:$AE734,7,FALSE)*$Q627*_xlfn.IFERROR((VLOOKUP(P627,'Settings'!$E$28:$F$33,2,FALSE)+1),1)</f>
        <v>14.1407221988709</v>
      </c>
      <c r="T627" s="48">
        <f>VLOOKUP(B627,'Player Data'!$A1:$AE734,8,FALSE)*$Q627*_xlfn.IFERROR((VLOOKUP(P627,'Settings'!$E$28:$F$33,2,FALSE)+1),1)</f>
        <v>8.45656371324645</v>
      </c>
      <c r="U627" s="48">
        <f>SUM(S627:T627)</f>
        <v>22.5972859121174</v>
      </c>
      <c r="V627" s="48">
        <f>VLOOKUP(B627,'Player Data'!$A1:$AE734,10,FALSE)*$Q627*_xlfn.IFERROR(((VLOOKUP(P627,'Settings'!$E$28:$F$33,2,FALSE)/2)+1),1)</f>
        <v>87.62528414259459</v>
      </c>
      <c r="W627" s="48">
        <f>VLOOKUP(B627,'Player Data'!$A1:$AE734,11,FALSE)*$Q627*_xlfn.IFERROR((VLOOKUP(P627,'Settings'!$E$28:$F$33,2,FALSE)+1),1)</f>
        <v>0.208893774469131</v>
      </c>
      <c r="X627" s="48">
        <f>VLOOKUP(B627,'Player Data'!$A1:$AE734,12,FALSE)*$Q627*_xlfn.IFERROR((VLOOKUP(P627,'Settings'!$E$28:$F$33,2,FALSE)+1),1)</f>
        <v>0.536824569030576</v>
      </c>
      <c r="Y627" s="48">
        <f>VLOOKUP(B627,'Player Data'!$A1:$AE734,13,FALSE)*$Q627</f>
        <v>0.00643119911462429</v>
      </c>
      <c r="Z627" s="48">
        <f>VLOOKUP(B627,'Player Data'!$A1:$AE734,14,FALSE)*$Q627</f>
        <v>0.0119388868455208</v>
      </c>
      <c r="AA627" s="48">
        <f>VLOOKUP(B627,'Player Data'!$A1:$AE734,15,FALSE)*$Q627</f>
        <v>21.2241580200664</v>
      </c>
      <c r="AB627" s="48">
        <f>VLOOKUP(B627,'Player Data'!$A1:$AE734,16,FALSE)*$Q627</f>
        <v>165.890586420047</v>
      </c>
      <c r="AC627" s="48">
        <f>VLOOKUP(B627,'Player Data'!$A1:$AE734,17,FALSE)*$Q627*_xlfn.IFERROR((VLOOKUP(P627,'Settings'!$E$28:$F$33,2,FALSE)+1),1)</f>
        <v>2.09066563509789</v>
      </c>
      <c r="AD627" s="48">
        <f>VLOOKUP(B627,'Player Data'!$A1:$AE734,18,FALSE)*$Q627</f>
        <v>20.3560032988228</v>
      </c>
      <c r="AE627" s="48">
        <f>VLOOKUP(B627,'Player Data'!$A1:$AE734,19,FALSE)*$Q627*_xlfn.IFERROR((VLOOKUP(P627,'Settings'!$E$28:$F$33,2,FALSE)+1),1)</f>
        <v>2.31097983347746</v>
      </c>
      <c r="AF627" s="48">
        <f>VLOOKUP(B627,'Player Data'!$A1:$AE734,20,FALSE)*$Q627</f>
        <v>11.4746080422241</v>
      </c>
      <c r="AG627" s="48">
        <f>VLOOKUP(B627,'Player Data'!$A1:$AE734,21,FALSE)*$Q627</f>
        <v>15.3764204673976</v>
      </c>
      <c r="AH627" s="49">
        <f>VLOOKUP(B627,'Player Data'!$A1:$AE734,22,FALSE)</f>
        <v>0.427343333910368</v>
      </c>
      <c r="AI627" s="46"/>
      <c r="AJ627" s="50"/>
      <c r="AK627" s="48"/>
      <c r="AL627" s="48"/>
      <c r="AM627" s="48"/>
      <c r="AN627" s="48"/>
      <c r="AO627" s="48"/>
      <c r="AP627" s="48"/>
      <c r="AQ627" s="51"/>
      <c r="AR627" s="52"/>
      <c r="AS627" s="50"/>
    </row>
    <row r="628" ht="21.25" customHeight="1">
      <c r="A628" s="53">
        <f>RANK(K628,K2:K730)</f>
        <v>623</v>
      </c>
      <c r="B628" t="s" s="8">
        <v>780</v>
      </c>
      <c r="C628" t="s" s="39">
        <v>106</v>
      </c>
      <c r="D628" t="s" s="40">
        <f>VLOOKUP(B628,'Player Data'!A1:D734,4,FALSE)</f>
        <v>133</v>
      </c>
      <c r="E628" s="57">
        <f>VLOOKUP(B628,'LW'!A1:C156,3,FALSE)</f>
        <v>130</v>
      </c>
      <c r="F628" t="s" s="42">
        <f>VLOOKUP(B628,'Player Data'!A1:B734,2,FALSE)</f>
        <v>196</v>
      </c>
      <c r="G628" s="9">
        <f>VLOOKUP(B628,'Player Data'!A1:D734,3,FALSE)</f>
        <v>28</v>
      </c>
      <c r="H628" s="43">
        <f>_xlfn.IFERROR(VLOOKUP(B628,'ADP'!A1:G731,7,FALSE)/1000000,VLOOKUP(B628,'ADP'!A1:G731,7,FALSE))</f>
        <v>0.8</v>
      </c>
      <c r="I628" s="44">
        <f>IF('Settings'!$E$15="POINTS",((R628*Q628)*'Settings'!$B$12)+(S628*'Settings'!$B$2)+(T628*'Settings'!$B$3)+(U628*'Settings'!$B$4)+(V628*'Settings'!$B$5)+(X628*'Settings'!$B$9)+(AA628*'Settings'!$B$6)+(W628*'Settings'!$B$8)+(AB628*'Settings'!$B$7)+(AC628*'Settings'!$B$14)+(AD628*'Settings'!$B$15)+(AE628*'Settings'!$B$16)+(AF628*'Settings'!$B$17)+(AG628*'Settings'!$B$18)+(Y628*'Settings'!$B$10)+(Z628*'Settings'!$B$11),VLOOKUP(B628,'Standard Deviations'!A1:C731,3,FALSE))</f>
        <v>157.886315642549</v>
      </c>
      <c r="J628" s="45">
        <f>IF(D628="G",I628/AJ628,I628/Q628)</f>
        <v>2.54655347810563</v>
      </c>
      <c r="K628" s="44">
        <f>IF('Settings'!$E$18="C/LW/RW",VLOOKUP(B628,'LW'!A1:F156,6,FALSE),VLOOKUP(B628,'F'!A1:F432,6,FALSE))</f>
        <v>-223.742248063807</v>
      </c>
      <c r="L628" s="44">
        <f>_xlfn.IFERROR(K628/H628,"N/A")</f>
        <v>-279.677810079759</v>
      </c>
      <c r="M628" t="s" s="61">
        <f>IF('Settings'!$E$9="YAHOO",VLOOKUP(B628,'ADP'!A1:E731,2,FALSE),IF('Settings'!$E$9="ESPN",VLOOKUP(B628,'ADP'!A1:E731,3,FALSE),IF('Settings'!$E$9="FANTRAX",VLOOKUP(B628,'ADP'!A1:E731,4,FALSE),VLOOKUP(B628,'ADP'!A1:E731,5,FALSE))))</f>
        <v>329</v>
      </c>
      <c r="N628" t="s" s="61">
        <f>_xlfn.IFERROR(M628-A628,"N/A")</f>
        <v>158</v>
      </c>
      <c r="O628" s="46"/>
      <c r="P628" t="s" s="47">
        <f>IF('Settings'!$E$27="ON",VLOOKUP(B628,'ADP'!A1:H731,8,FALSE)," ")</f>
        <v>109</v>
      </c>
      <c r="Q628" s="48">
        <f>IF('Settings'!$E$12="YES",VLOOKUP(B628,'Player Data'!A1:E734,5,FALSE),82)</f>
        <v>62</v>
      </c>
      <c r="R628" s="46">
        <f>VLOOKUP(B628,'Player Data'!$A1:$AE734,6,FALSE)</f>
        <v>13.5060416666667</v>
      </c>
      <c r="S628" s="48">
        <f>VLOOKUP(B628,'Player Data'!$A1:$AE734,7,FALSE)*$Q628*_xlfn.IFERROR((VLOOKUP(P628,'Settings'!$E$28:$F$33,2,FALSE)+1),1)</f>
        <v>8.48607219846423</v>
      </c>
      <c r="T628" s="48">
        <f>VLOOKUP(B628,'Player Data'!$A1:$AE734,8,FALSE)*$Q628*_xlfn.IFERROR((VLOOKUP(P628,'Settings'!$E$28:$F$33,2,FALSE)+1),1)</f>
        <v>9.30013349727823</v>
      </c>
      <c r="U628" s="48">
        <f>SUM(S628:T628)</f>
        <v>17.7862056957425</v>
      </c>
      <c r="V628" s="48">
        <f>VLOOKUP(B628,'Player Data'!$A1:$AE734,10,FALSE)*$Q628*_xlfn.IFERROR(((VLOOKUP(P628,'Settings'!$E$28:$F$33,2,FALSE)/2)+1),1)</f>
        <v>82.0721975727222</v>
      </c>
      <c r="W628" s="48">
        <f>VLOOKUP(B628,'Player Data'!$A1:$AE734,11,FALSE)*$Q628*_xlfn.IFERROR((VLOOKUP(P628,'Settings'!$E$28:$F$33,2,FALSE)+1),1)</f>
        <v>1.59522841346609</v>
      </c>
      <c r="X628" s="48">
        <f>VLOOKUP(B628,'Player Data'!$A1:$AE734,12,FALSE)*$Q628*_xlfn.IFERROR((VLOOKUP(P628,'Settings'!$E$28:$F$33,2,FALSE)+1),1)</f>
        <v>3.34082864142607</v>
      </c>
      <c r="Y628" s="48">
        <f>VLOOKUP(B628,'Player Data'!$A1:$AE734,13,FALSE)*$Q628</f>
        <v>0.0419329932757754</v>
      </c>
      <c r="Z628" s="48">
        <f>VLOOKUP(B628,'Player Data'!$A1:$AE734,14,FALSE)*$Q628</f>
        <v>0.146691474016669</v>
      </c>
      <c r="AA628" s="48">
        <f>VLOOKUP(B628,'Player Data'!$A1:$AE734,15,FALSE)*$Q628</f>
        <v>50.2634112591775</v>
      </c>
      <c r="AB628" s="48">
        <f>VLOOKUP(B628,'Player Data'!$A1:$AE734,16,FALSE)*$Q628</f>
        <v>101.349611574568</v>
      </c>
      <c r="AC628" s="48">
        <f>VLOOKUP(B628,'Player Data'!$A1:$AE734,17,FALSE)*$Q628*_xlfn.IFERROR((VLOOKUP(P628,'Settings'!$E$28:$F$33,2,FALSE)+1),1)</f>
        <v>-0.411601678461476</v>
      </c>
      <c r="AD628" s="48">
        <f>VLOOKUP(B628,'Player Data'!$A1:$AE734,18,FALSE)*$Q628</f>
        <v>28.079123901388</v>
      </c>
      <c r="AE628" s="48">
        <f>VLOOKUP(B628,'Player Data'!$A1:$AE734,19,FALSE)*$Q628*_xlfn.IFERROR((VLOOKUP(P628,'Settings'!$E$28:$F$33,2,FALSE)+1),1)</f>
        <v>1.07091344093579</v>
      </c>
      <c r="AF628" s="48">
        <f>VLOOKUP(B628,'Player Data'!$A1:$AE734,20,FALSE)*$Q628</f>
        <v>11.6435362567503</v>
      </c>
      <c r="AG628" s="48">
        <f>VLOOKUP(B628,'Player Data'!$A1:$AE734,21,FALSE)*$Q628</f>
        <v>31.5848576834078</v>
      </c>
      <c r="AH628" s="49">
        <f>VLOOKUP(B628,'Player Data'!$A1:$AE734,22,FALSE)</f>
        <v>0.269349267818478</v>
      </c>
      <c r="AI628" s="46"/>
      <c r="AJ628" s="50"/>
      <c r="AK628" s="48"/>
      <c r="AL628" s="48"/>
      <c r="AM628" s="48"/>
      <c r="AN628" s="48"/>
      <c r="AO628" s="48"/>
      <c r="AP628" s="48"/>
      <c r="AQ628" s="51"/>
      <c r="AR628" s="52"/>
      <c r="AS628" s="46"/>
    </row>
    <row r="629" ht="21.25" customHeight="1">
      <c r="A629" s="53">
        <f>RANK(K629,K2:K730)</f>
        <v>583</v>
      </c>
      <c r="B629" t="s" s="8">
        <v>781</v>
      </c>
      <c r="C629" t="s" s="39">
        <v>106</v>
      </c>
      <c r="D629" t="s" s="40">
        <f>VLOOKUP(B629,'Player Data'!A1:D734,4,FALSE)</f>
        <v>107</v>
      </c>
      <c r="E629" s="41">
        <f>VLOOKUP(B629,'C'!A1:C218,3,FALSE)</f>
        <v>153</v>
      </c>
      <c r="F629" t="s" s="42">
        <f>VLOOKUP(B629,'Player Data'!A1:B734,2,FALSE)</f>
        <v>149</v>
      </c>
      <c r="G629" s="9">
        <f>VLOOKUP(B629,'Player Data'!A1:D734,3,FALSE)</f>
        <v>32</v>
      </c>
      <c r="H629" s="43">
        <f>_xlfn.IFERROR(VLOOKUP(B629,'ADP'!A1:G731,7,FALSE)/1000000,VLOOKUP(B629,'ADP'!A1:G731,7,FALSE))</f>
        <v>2.5</v>
      </c>
      <c r="I629" s="44">
        <f>IF('Settings'!$E$15="POINTS",((R629*Q629)*'Settings'!$B$12)+(S629*'Settings'!$B$2)+(T629*'Settings'!$B$3)+(U629*'Settings'!$B$4)+(V629*'Settings'!$B$5)+(X629*'Settings'!$B$9)+(AA629*'Settings'!$B$6)+(W629*'Settings'!$B$8)+(AB629*'Settings'!$B$7)+(AC629*'Settings'!$B$14)+(AD629*'Settings'!$B$15)+(AE629*'Settings'!$B$16)+(AF629*'Settings'!$B$17)+(AG629*'Settings'!$B$18)+(Y629*'Settings'!$B$10)+(Z629*'Settings'!$B$11),VLOOKUP(B629,'Standard Deviations'!A1:C731,3,FALSE))</f>
        <v>183.753111890167</v>
      </c>
      <c r="J629" s="45">
        <f>IF(D629="G",I629/AJ629,I629/Q629)</f>
        <v>2.27550988378276</v>
      </c>
      <c r="K629" s="44">
        <f>IF('Settings'!$E$18="C/LW/RW",VLOOKUP(B629,'C'!A1:F218,6,FALSE),VLOOKUP(B629,'F'!A1:F432,6,FALSE))</f>
        <v>-212.021089745848</v>
      </c>
      <c r="L629" s="44">
        <f>_xlfn.IFERROR(K629/H629,"N/A")</f>
        <v>-84.8084358983392</v>
      </c>
      <c r="M629" t="s" s="61">
        <f>IF('Settings'!$E$9="YAHOO",VLOOKUP(B629,'ADP'!A1:E731,2,FALSE),IF('Settings'!$E$9="ESPN",VLOOKUP(B629,'ADP'!A1:E731,3,FALSE),IF('Settings'!$E$9="FANTRAX",VLOOKUP(B629,'ADP'!A1:E731,4,FALSE),VLOOKUP(B629,'ADP'!A1:E731,5,FALSE))))</f>
        <v>329</v>
      </c>
      <c r="N629" t="s" s="61">
        <f>_xlfn.IFERROR(M629-A629,"N/A")</f>
        <v>158</v>
      </c>
      <c r="O629" s="46"/>
      <c r="P629" t="s" s="47">
        <f>IF('Settings'!$E$27="ON",VLOOKUP(B629,'ADP'!A1:H731,8,FALSE)," ")</f>
        <v>109</v>
      </c>
      <c r="Q629" s="48">
        <f>IF('Settings'!$E$12="YES",VLOOKUP(B629,'Player Data'!A1:E734,5,FALSE),82)</f>
        <v>80.7525</v>
      </c>
      <c r="R629" s="46">
        <f>VLOOKUP(B629,'Player Data'!$A1:$AE734,6,FALSE)</f>
        <v>13.682718181534</v>
      </c>
      <c r="S629" s="48">
        <f>VLOOKUP(B629,'Player Data'!$A1:$AE734,7,FALSE)*$Q629*_xlfn.IFERROR((VLOOKUP(P629,'Settings'!$E$28:$F$33,2,FALSE)+1),1)</f>
        <v>7.03403070222587</v>
      </c>
      <c r="T629" s="48">
        <f>VLOOKUP(B629,'Player Data'!$A1:$AE734,8,FALSE)*$Q629*_xlfn.IFERROR((VLOOKUP(P629,'Settings'!$E$28:$F$33,2,FALSE)+1),1)</f>
        <v>10.7812124142625</v>
      </c>
      <c r="U629" s="48">
        <f>SUM(S629:T629)</f>
        <v>17.8152431164884</v>
      </c>
      <c r="V629" s="48">
        <f>VLOOKUP(B629,'Player Data'!$A1:$AE734,10,FALSE)*$Q629*_xlfn.IFERROR(((VLOOKUP(P629,'Settings'!$E$28:$F$33,2,FALSE)/2)+1),1)</f>
        <v>104.369241127337</v>
      </c>
      <c r="W629" s="48">
        <f>VLOOKUP(B629,'Player Data'!$A1:$AE734,11,FALSE)*$Q629*_xlfn.IFERROR((VLOOKUP(P629,'Settings'!$E$28:$F$33,2,FALSE)+1),1)</f>
        <v>0.0451653963071421</v>
      </c>
      <c r="X629" s="48">
        <f>VLOOKUP(B629,'Player Data'!$A1:$AE734,12,FALSE)*$Q629*_xlfn.IFERROR((VLOOKUP(P629,'Settings'!$E$28:$F$33,2,FALSE)+1),1)</f>
        <v>0.11902592970361</v>
      </c>
      <c r="Y629" s="48">
        <f>VLOOKUP(B629,'Player Data'!$A1:$AE734,13,FALSE)*$Q629</f>
        <v>0.385688467399783</v>
      </c>
      <c r="Z629" s="48">
        <f>VLOOKUP(B629,'Player Data'!$A1:$AE734,14,FALSE)*$Q629</f>
        <v>0.979707433602592</v>
      </c>
      <c r="AA629" s="48">
        <f>VLOOKUP(B629,'Player Data'!$A1:$AE734,15,FALSE)*$Q629</f>
        <v>51.3566855588769</v>
      </c>
      <c r="AB629" s="48">
        <f>VLOOKUP(B629,'Player Data'!$A1:$AE734,16,FALSE)*$Q629</f>
        <v>159.735833108203</v>
      </c>
      <c r="AC629" s="48">
        <f>VLOOKUP(B629,'Player Data'!$A1:$AE734,17,FALSE)*$Q629*_xlfn.IFERROR((VLOOKUP(P629,'Settings'!$E$28:$F$33,2,FALSE)+1),1)</f>
        <v>-1.88425166200619</v>
      </c>
      <c r="AD629" s="48">
        <f>VLOOKUP(B629,'Player Data'!$A1:$AE734,18,FALSE)*$Q629</f>
        <v>41.0358155494419</v>
      </c>
      <c r="AE629" s="48">
        <f>VLOOKUP(B629,'Player Data'!$A1:$AE734,19,FALSE)*$Q629*_xlfn.IFERROR((VLOOKUP(P629,'Settings'!$E$28:$F$33,2,FALSE)+1),1)</f>
        <v>1.08691148871274</v>
      </c>
      <c r="AF629" s="48">
        <f>VLOOKUP(B629,'Player Data'!$A1:$AE734,20,FALSE)*$Q629</f>
        <v>490.164006727335</v>
      </c>
      <c r="AG629" s="48">
        <f>VLOOKUP(B629,'Player Data'!$A1:$AE734,21,FALSE)*$Q629</f>
        <v>416.181188244531</v>
      </c>
      <c r="AH629" s="49">
        <f>VLOOKUP(B629,'Player Data'!$A1:$AE734,22,FALSE)</f>
        <v>0.540813819554205</v>
      </c>
      <c r="AI629" s="46"/>
      <c r="AJ629" s="48"/>
      <c r="AK629" s="48"/>
      <c r="AL629" s="48"/>
      <c r="AM629" s="48"/>
      <c r="AN629" s="48"/>
      <c r="AO629" s="48"/>
      <c r="AP629" s="48"/>
      <c r="AQ629" s="51"/>
      <c r="AR629" s="52"/>
      <c r="AS629" s="46"/>
    </row>
    <row r="630" ht="21.25" customHeight="1">
      <c r="A630" s="53">
        <f>RANK(K630,K2:K730)</f>
        <v>647</v>
      </c>
      <c r="B630" t="s" s="8">
        <v>782</v>
      </c>
      <c r="C630" t="s" s="39">
        <v>106</v>
      </c>
      <c r="D630" t="s" s="40">
        <f>VLOOKUP(B630,'Player Data'!A1:D734,4,FALSE)</f>
        <v>133</v>
      </c>
      <c r="E630" s="57">
        <f>VLOOKUP(B630,'LW'!A1:C156,3,FALSE)</f>
        <v>137</v>
      </c>
      <c r="F630" t="s" s="42">
        <f>VLOOKUP(B630,'Player Data'!A1:B734,2,FALSE)</f>
        <v>196</v>
      </c>
      <c r="G630" s="9">
        <f>VLOOKUP(B630,'Player Data'!A1:D734,3,FALSE)</f>
        <v>27</v>
      </c>
      <c r="H630" s="43">
        <f>_xlfn.IFERROR(VLOOKUP(B630,'ADP'!A1:G731,7,FALSE)/1000000,VLOOKUP(B630,'ADP'!A1:G731,7,FALSE))</f>
        <v>0.7857</v>
      </c>
      <c r="I630" s="44">
        <f>IF('Settings'!$E$15="POINTS",((R630*Q630)*'Settings'!$B$12)+(S630*'Settings'!$B$2)+(T630*'Settings'!$B$3)+(U630*'Settings'!$B$4)+(V630*'Settings'!$B$5)+(X630*'Settings'!$B$9)+(AA630*'Settings'!$B$6)+(W630*'Settings'!$B$8)+(AB630*'Settings'!$B$7)+(AC630*'Settings'!$B$14)+(AD630*'Settings'!$B$15)+(AE630*'Settings'!$B$16)+(AF630*'Settings'!$B$17)+(AG630*'Settings'!$B$18)+(Y630*'Settings'!$B$10)+(Z630*'Settings'!$B$11),VLOOKUP(B630,'Standard Deviations'!A1:C731,3,FALSE))</f>
        <v>150.489837114887</v>
      </c>
      <c r="J630" s="45">
        <f>IF(D630="G",I630/AJ630,I630/Q630)</f>
        <v>2.44143149115651</v>
      </c>
      <c r="K630" s="44">
        <f>IF('Settings'!$E$18="C/LW/RW",VLOOKUP(B630,'LW'!A1:F156,6,FALSE),VLOOKUP(B630,'F'!A1:F432,6,FALSE))</f>
        <v>-231.138726591469</v>
      </c>
      <c r="L630" s="44">
        <f>_xlfn.IFERROR(K630/H630,"N/A")</f>
        <v>-294.181909878413</v>
      </c>
      <c r="M630" t="s" s="61">
        <f>IF('Settings'!$E$9="YAHOO",VLOOKUP(B630,'ADP'!A1:E731,2,FALSE),IF('Settings'!$E$9="ESPN",VLOOKUP(B630,'ADP'!A1:E731,3,FALSE),IF('Settings'!$E$9="FANTRAX",VLOOKUP(B630,'ADP'!A1:E731,4,FALSE),VLOOKUP(B630,'ADP'!A1:E731,5,FALSE))))</f>
        <v>329</v>
      </c>
      <c r="N630" t="s" s="61">
        <f>_xlfn.IFERROR(M630-A630,"N/A")</f>
        <v>158</v>
      </c>
      <c r="O630" s="46"/>
      <c r="P630" t="s" s="47">
        <f>IF('Settings'!$E$27="ON",VLOOKUP(B630,'ADP'!A1:H731,8,FALSE)," ")</f>
        <v>109</v>
      </c>
      <c r="Q630" s="48">
        <f>IF('Settings'!$E$12="YES",VLOOKUP(B630,'Player Data'!A1:E734,5,FALSE),82)</f>
        <v>61.64</v>
      </c>
      <c r="R630" s="46">
        <f>VLOOKUP(B630,'Player Data'!$A1:$AE734,6,FALSE)</f>
        <v>11.9937783126748</v>
      </c>
      <c r="S630" s="48">
        <f>VLOOKUP(B630,'Player Data'!$A1:$AE734,7,FALSE)*$Q630*_xlfn.IFERROR((VLOOKUP(P630,'Settings'!$E$28:$F$33,2,FALSE)+1),1)</f>
        <v>10.0760039486205</v>
      </c>
      <c r="T630" s="48">
        <f>VLOOKUP(B630,'Player Data'!$A1:$AE734,8,FALSE)*$Q630*_xlfn.IFERROR((VLOOKUP(P630,'Settings'!$E$28:$F$33,2,FALSE)+1),1)</f>
        <v>9.210962366491501</v>
      </c>
      <c r="U630" s="48">
        <f>SUM(S630:T630)</f>
        <v>19.286966315112</v>
      </c>
      <c r="V630" s="48">
        <f>VLOOKUP(B630,'Player Data'!$A1:$AE734,10,FALSE)*$Q630*_xlfn.IFERROR(((VLOOKUP(P630,'Settings'!$E$28:$F$33,2,FALSE)/2)+1),1)</f>
        <v>91.3720726833004</v>
      </c>
      <c r="W630" s="48">
        <f>VLOOKUP(B630,'Player Data'!$A1:$AE734,11,FALSE)*$Q630*_xlfn.IFERROR((VLOOKUP(P630,'Settings'!$E$28:$F$33,2,FALSE)+1),1)</f>
        <v>0.230827808504216</v>
      </c>
      <c r="X630" s="48">
        <f>VLOOKUP(B630,'Player Data'!$A1:$AE734,12,FALSE)*$Q630*_xlfn.IFERROR((VLOOKUP(P630,'Settings'!$E$28:$F$33,2,FALSE)+1),1)</f>
        <v>0.585114758962875</v>
      </c>
      <c r="Y630" s="48">
        <f>VLOOKUP(B630,'Player Data'!$A1:$AE734,13,FALSE)*$Q630</f>
        <v>0.00125334116230039</v>
      </c>
      <c r="Z630" s="48">
        <f>VLOOKUP(B630,'Player Data'!$A1:$AE734,14,FALSE)*$Q630</f>
        <v>0.00229502394357461</v>
      </c>
      <c r="AA630" s="48">
        <f>VLOOKUP(B630,'Player Data'!$A1:$AE734,15,FALSE)*$Q630</f>
        <v>19.550643609839</v>
      </c>
      <c r="AB630" s="48">
        <f>VLOOKUP(B630,'Player Data'!$A1:$AE734,16,FALSE)*$Q630</f>
        <v>88.19593620865361</v>
      </c>
      <c r="AC630" s="48">
        <f>VLOOKUP(B630,'Player Data'!$A1:$AE734,17,FALSE)*$Q630*_xlfn.IFERROR((VLOOKUP(P630,'Settings'!$E$28:$F$33,2,FALSE)+1),1)</f>
        <v>-1.69905311588184</v>
      </c>
      <c r="AD630" s="48">
        <f>VLOOKUP(B630,'Player Data'!$A1:$AE734,18,FALSE)*$Q630</f>
        <v>22.5664323418921</v>
      </c>
      <c r="AE630" s="48">
        <f>VLOOKUP(B630,'Player Data'!$A1:$AE734,19,FALSE)*$Q630*_xlfn.IFERROR((VLOOKUP(P630,'Settings'!$E$28:$F$33,2,FALSE)+1),1)</f>
        <v>1.27155741869043</v>
      </c>
      <c r="AF630" s="48">
        <f>VLOOKUP(B630,'Player Data'!$A1:$AE734,20,FALSE)*$Q630</f>
        <v>0</v>
      </c>
      <c r="AG630" s="48">
        <f>VLOOKUP(B630,'Player Data'!$A1:$AE734,21,FALSE)*$Q630</f>
        <v>6.37949600168961</v>
      </c>
      <c r="AH630" s="49">
        <f>VLOOKUP(B630,'Player Data'!$A1:$AE734,22,FALSE)</f>
        <v>0</v>
      </c>
      <c r="AI630" s="46"/>
      <c r="AJ630" s="48"/>
      <c r="AK630" s="48"/>
      <c r="AL630" s="48"/>
      <c r="AM630" s="48"/>
      <c r="AN630" s="48"/>
      <c r="AO630" s="48"/>
      <c r="AP630" s="48"/>
      <c r="AQ630" s="51"/>
      <c r="AR630" s="52"/>
      <c r="AS630" s="46"/>
    </row>
    <row r="631" ht="21.25" customHeight="1">
      <c r="A631" s="53">
        <f>RANK(K631,K2:K730)</f>
        <v>569</v>
      </c>
      <c r="B631" t="s" s="8">
        <v>783</v>
      </c>
      <c r="C631" t="s" s="39">
        <v>106</v>
      </c>
      <c r="D631" t="s" s="40">
        <f>VLOOKUP(B631,'Player Data'!A1:D734,4,FALSE)</f>
        <v>133</v>
      </c>
      <c r="E631" s="57">
        <f>VLOOKUP(B631,'LW'!A1:C156,3,FALSE)</f>
        <v>119</v>
      </c>
      <c r="F631" t="s" s="42">
        <f>VLOOKUP(B631,'Player Data'!A1:B734,2,FALSE)</f>
        <v>225</v>
      </c>
      <c r="G631" s="9">
        <f>VLOOKUP(B631,'Player Data'!A1:D734,3,FALSE)</f>
        <v>35</v>
      </c>
      <c r="H631" s="43">
        <f>_xlfn.IFERROR(VLOOKUP(B631,'ADP'!A1:G731,7,FALSE)/1000000,VLOOKUP(B631,'ADP'!A1:G731,7,FALSE))</f>
        <v>4</v>
      </c>
      <c r="I631" s="44">
        <f>IF('Settings'!$E$15="POINTS",((R631*Q631)*'Settings'!$B$12)+(S631*'Settings'!$B$2)+(T631*'Settings'!$B$3)+(U631*'Settings'!$B$4)+(V631*'Settings'!$B$5)+(X631*'Settings'!$B$9)+(AA631*'Settings'!$B$6)+(W631*'Settings'!$B$8)+(AB631*'Settings'!$B$7)+(AC631*'Settings'!$B$14)+(AD631*'Settings'!$B$15)+(AE631*'Settings'!$B$16)+(AF631*'Settings'!$B$17)+(AG631*'Settings'!$B$18)+(Y631*'Settings'!$B$10)+(Z631*'Settings'!$B$11),VLOOKUP(B631,'Standard Deviations'!A1:C731,3,FALSE))</f>
        <v>173.271739474823</v>
      </c>
      <c r="J631" s="45">
        <f>IF(D631="G",I631/AJ631,I631/Q631)</f>
        <v>2.32189935644654</v>
      </c>
      <c r="K631" s="44">
        <f>IF('Settings'!$E$18="C/LW/RW",VLOOKUP(B631,'LW'!A1:F156,6,FALSE),VLOOKUP(B631,'F'!A1:F432,6,FALSE))</f>
        <v>-208.356824231533</v>
      </c>
      <c r="L631" s="44">
        <f>_xlfn.IFERROR(K631/H631,"N/A")</f>
        <v>-52.0892060578833</v>
      </c>
      <c r="M631" t="s" s="61">
        <f>IF('Settings'!$E$9="YAHOO",VLOOKUP(B631,'ADP'!A1:E731,2,FALSE),IF('Settings'!$E$9="ESPN",VLOOKUP(B631,'ADP'!A1:E731,3,FALSE),IF('Settings'!$E$9="FANTRAX",VLOOKUP(B631,'ADP'!A1:E731,4,FALSE),VLOOKUP(B631,'ADP'!A1:E731,5,FALSE))))</f>
        <v>329</v>
      </c>
      <c r="N631" t="s" s="61">
        <f>_xlfn.IFERROR(M631-A631,"N/A")</f>
        <v>158</v>
      </c>
      <c r="O631" s="46"/>
      <c r="P631" t="s" s="47">
        <f>IF('Settings'!$E$27="ON",VLOOKUP(B631,'ADP'!A1:H731,8,FALSE)," ")</f>
        <v>109</v>
      </c>
      <c r="Q631" s="48">
        <f>IF('Settings'!$E$12="YES",VLOOKUP(B631,'Player Data'!A1:E734,5,FALSE),82)</f>
        <v>74.625</v>
      </c>
      <c r="R631" s="46">
        <f>VLOOKUP(B631,'Player Data'!$A1:$AE734,6,FALSE)</f>
        <v>11.9267202667683</v>
      </c>
      <c r="S631" s="48">
        <f>VLOOKUP(B631,'Player Data'!$A1:$AE734,7,FALSE)*$Q631*_xlfn.IFERROR((VLOOKUP(P631,'Settings'!$E$28:$F$33,2,FALSE)+1),1)</f>
        <v>5.82625838993872</v>
      </c>
      <c r="T631" s="48">
        <f>VLOOKUP(B631,'Player Data'!$A1:$AE734,8,FALSE)*$Q631*_xlfn.IFERROR((VLOOKUP(P631,'Settings'!$E$28:$F$33,2,FALSE)+1),1)</f>
        <v>13.0077841021075</v>
      </c>
      <c r="U631" s="48">
        <f>SUM(S631:T631)</f>
        <v>18.8340424920462</v>
      </c>
      <c r="V631" s="48">
        <f>VLOOKUP(B631,'Player Data'!$A1:$AE734,10,FALSE)*$Q631*_xlfn.IFERROR(((VLOOKUP(P631,'Settings'!$E$28:$F$33,2,FALSE)/2)+1),1)</f>
        <v>86.1303860387893</v>
      </c>
      <c r="W631" s="48">
        <f>VLOOKUP(B631,'Player Data'!$A1:$AE734,11,FALSE)*$Q631*_xlfn.IFERROR((VLOOKUP(P631,'Settings'!$E$28:$F$33,2,FALSE)+1),1)</f>
        <v>0.136511418116345</v>
      </c>
      <c r="X631" s="48">
        <f>VLOOKUP(B631,'Player Data'!$A1:$AE734,12,FALSE)*$Q631*_xlfn.IFERROR((VLOOKUP(P631,'Settings'!$E$28:$F$33,2,FALSE)+1),1)</f>
        <v>0.391346361381542</v>
      </c>
      <c r="Y631" s="48">
        <f>VLOOKUP(B631,'Player Data'!$A1:$AE734,13,FALSE)*$Q631</f>
        <v>0.151327227394991</v>
      </c>
      <c r="Z631" s="48">
        <f>VLOOKUP(B631,'Player Data'!$A1:$AE734,14,FALSE)*$Q631</f>
        <v>1.11048808590709</v>
      </c>
      <c r="AA631" s="48">
        <f>VLOOKUP(B631,'Player Data'!$A1:$AE734,15,FALSE)*$Q631</f>
        <v>39.2539744221689</v>
      </c>
      <c r="AB631" s="48">
        <f>VLOOKUP(B631,'Player Data'!$A1:$AE734,16,FALSE)*$Q631</f>
        <v>172.468272045933</v>
      </c>
      <c r="AC631" s="48">
        <f>VLOOKUP(B631,'Player Data'!$A1:$AE734,17,FALSE)*$Q631*_xlfn.IFERROR((VLOOKUP(P631,'Settings'!$E$28:$F$33,2,FALSE)+1),1)</f>
        <v>-5.16465554084194</v>
      </c>
      <c r="AD631" s="48">
        <f>VLOOKUP(B631,'Player Data'!$A1:$AE734,18,FALSE)*$Q631</f>
        <v>45.493323712557</v>
      </c>
      <c r="AE631" s="48">
        <f>VLOOKUP(B631,'Player Data'!$A1:$AE734,19,FALSE)*$Q631*_xlfn.IFERROR((VLOOKUP(P631,'Settings'!$E$28:$F$33,2,FALSE)+1),1)</f>
        <v>0.682730000206315</v>
      </c>
      <c r="AF631" s="48">
        <f>VLOOKUP(B631,'Player Data'!$A1:$AE734,20,FALSE)*$Q631</f>
        <v>58.1233220800749</v>
      </c>
      <c r="AG631" s="48">
        <f>VLOOKUP(B631,'Player Data'!$A1:$AE734,21,FALSE)*$Q631</f>
        <v>51.5793821527272</v>
      </c>
      <c r="AH631" s="49">
        <f>VLOOKUP(B631,'Player Data'!$A1:$AE734,22,FALSE)</f>
        <v>0.5298257913198779</v>
      </c>
      <c r="AI631" s="46"/>
      <c r="AJ631" s="50"/>
      <c r="AK631" s="48"/>
      <c r="AL631" s="48"/>
      <c r="AM631" s="48"/>
      <c r="AN631" s="48"/>
      <c r="AO631" s="48"/>
      <c r="AP631" s="48"/>
      <c r="AQ631" s="51"/>
      <c r="AR631" s="52"/>
      <c r="AS631" s="46"/>
    </row>
    <row r="632" ht="21.25" customHeight="1">
      <c r="A632" s="53">
        <f>RANK(K632,K2:K730)</f>
        <v>624</v>
      </c>
      <c r="B632" t="s" s="8">
        <v>784</v>
      </c>
      <c r="C632" t="s" s="39">
        <v>106</v>
      </c>
      <c r="D632" t="s" s="40">
        <f>VLOOKUP(B632,'Player Data'!A1:D734,4,FALSE)</f>
        <v>133</v>
      </c>
      <c r="E632" s="57">
        <f>VLOOKUP(B632,'LW'!A1:C156,3,FALSE)</f>
        <v>131</v>
      </c>
      <c r="F632" t="s" s="42">
        <f>VLOOKUP(B632,'Player Data'!A1:B734,2,FALSE)</f>
        <v>139</v>
      </c>
      <c r="G632" s="9">
        <f>VLOOKUP(B632,'Player Data'!A1:D734,3,FALSE)</f>
        <v>29</v>
      </c>
      <c r="H632" s="43">
        <f>_xlfn.IFERROR(VLOOKUP(B632,'ADP'!A1:G731,7,FALSE)/1000000,VLOOKUP(B632,'ADP'!A1:G731,7,FALSE))</f>
        <v>1.88</v>
      </c>
      <c r="I632" s="44">
        <f>IF('Settings'!$E$15="POINTS",((R632*Q632)*'Settings'!$B$12)+(S632*'Settings'!$B$2)+(T632*'Settings'!$B$3)+(U632*'Settings'!$B$4)+(V632*'Settings'!$B$5)+(X632*'Settings'!$B$9)+(AA632*'Settings'!$B$6)+(W632*'Settings'!$B$8)+(AB632*'Settings'!$B$7)+(AC632*'Settings'!$B$14)+(AD632*'Settings'!$B$15)+(AE632*'Settings'!$B$16)+(AF632*'Settings'!$B$17)+(AG632*'Settings'!$B$18)+(Y632*'Settings'!$B$10)+(Z632*'Settings'!$B$11),VLOOKUP(B632,'Standard Deviations'!A1:C731,3,FALSE))</f>
        <v>157.491896008970</v>
      </c>
      <c r="J632" s="45">
        <f>IF(D632="G",I632/AJ632,I632/Q632)</f>
        <v>2.08598537760225</v>
      </c>
      <c r="K632" s="44">
        <f>IF('Settings'!$E$18="C/LW/RW",VLOOKUP(B632,'LW'!A1:F156,6,FALSE),VLOOKUP(B632,'F'!A1:F432,6,FALSE))</f>
        <v>-224.136667697386</v>
      </c>
      <c r="L632" s="44">
        <f>_xlfn.IFERROR(K632/H632,"N/A")</f>
        <v>-119.221631753929</v>
      </c>
      <c r="M632" t="s" s="61">
        <f>IF('Settings'!$E$9="YAHOO",VLOOKUP(B632,'ADP'!A1:E731,2,FALSE),IF('Settings'!$E$9="ESPN",VLOOKUP(B632,'ADP'!A1:E731,3,FALSE),IF('Settings'!$E$9="FANTRAX",VLOOKUP(B632,'ADP'!A1:E731,4,FALSE),VLOOKUP(B632,'ADP'!A1:E731,5,FALSE))))</f>
        <v>329</v>
      </c>
      <c r="N632" t="s" s="61">
        <f>_xlfn.IFERROR(M632-A632,"N/A")</f>
        <v>158</v>
      </c>
      <c r="O632" s="46"/>
      <c r="P632" t="s" s="47">
        <f>IF('Settings'!$E$27="ON",VLOOKUP(B632,'ADP'!A1:H731,8,FALSE)," ")</f>
        <v>109</v>
      </c>
      <c r="Q632" s="48">
        <f>IF('Settings'!$E$12="YES",VLOOKUP(B632,'Player Data'!A1:E734,5,FALSE),82)</f>
        <v>75.5</v>
      </c>
      <c r="R632" s="46">
        <f>VLOOKUP(B632,'Player Data'!$A1:$AE734,6,FALSE)</f>
        <v>12.5899806735441</v>
      </c>
      <c r="S632" s="48">
        <f>VLOOKUP(B632,'Player Data'!$A1:$AE734,7,FALSE)*$Q632*_xlfn.IFERROR((VLOOKUP(P632,'Settings'!$E$28:$F$33,2,FALSE)+1),1)</f>
        <v>8.56351346315633</v>
      </c>
      <c r="T632" s="48">
        <f>VLOOKUP(B632,'Player Data'!$A1:$AE734,8,FALSE)*$Q632*_xlfn.IFERROR((VLOOKUP(P632,'Settings'!$E$28:$F$33,2,FALSE)+1),1)</f>
        <v>7.49886811517367</v>
      </c>
      <c r="U632" s="48">
        <f>SUM(S632:T632)</f>
        <v>16.062381578330</v>
      </c>
      <c r="V632" s="48">
        <f>VLOOKUP(B632,'Player Data'!$A1:$AE734,10,FALSE)*$Q632*_xlfn.IFERROR(((VLOOKUP(P632,'Settings'!$E$28:$F$33,2,FALSE)/2)+1),1)</f>
        <v>102.387489108307</v>
      </c>
      <c r="W632" s="48">
        <f>VLOOKUP(B632,'Player Data'!$A1:$AE734,11,FALSE)*$Q632*_xlfn.IFERROR((VLOOKUP(P632,'Settings'!$E$28:$F$33,2,FALSE)+1),1)</f>
        <v>0.0822766761517161</v>
      </c>
      <c r="X632" s="48">
        <f>VLOOKUP(B632,'Player Data'!$A1:$AE734,12,FALSE)*$Q632*_xlfn.IFERROR((VLOOKUP(P632,'Settings'!$E$28:$F$33,2,FALSE)+1),1)</f>
        <v>0.203217233987656</v>
      </c>
      <c r="Y632" s="48">
        <f>VLOOKUP(B632,'Player Data'!$A1:$AE734,13,FALSE)*$Q632</f>
        <v>0.155227491875828</v>
      </c>
      <c r="Z632" s="48">
        <f>VLOOKUP(B632,'Player Data'!$A1:$AE734,14,FALSE)*$Q632</f>
        <v>0.264813131242447</v>
      </c>
      <c r="AA632" s="48">
        <f>VLOOKUP(B632,'Player Data'!$A1:$AE734,15,FALSE)*$Q632</f>
        <v>41.9291893592501</v>
      </c>
      <c r="AB632" s="48">
        <f>VLOOKUP(B632,'Player Data'!$A1:$AE734,16,FALSE)*$Q632</f>
        <v>95.086062331929</v>
      </c>
      <c r="AC632" s="48">
        <f>VLOOKUP(B632,'Player Data'!$A1:$AE734,17,FALSE)*$Q632*_xlfn.IFERROR((VLOOKUP(P632,'Settings'!$E$28:$F$33,2,FALSE)+1),1)</f>
        <v>-2.06963925481763</v>
      </c>
      <c r="AD632" s="48">
        <f>VLOOKUP(B632,'Player Data'!$A1:$AE734,18,FALSE)*$Q632</f>
        <v>17.4822828105564</v>
      </c>
      <c r="AE632" s="48">
        <f>VLOOKUP(B632,'Player Data'!$A1:$AE734,19,FALSE)*$Q632*_xlfn.IFERROR((VLOOKUP(P632,'Settings'!$E$28:$F$33,2,FALSE)+1),1)</f>
        <v>1.09629291394097</v>
      </c>
      <c r="AF632" s="48">
        <f>VLOOKUP(B632,'Player Data'!$A1:$AE734,20,FALSE)*$Q632</f>
        <v>98.7086000580332</v>
      </c>
      <c r="AG632" s="48">
        <f>VLOOKUP(B632,'Player Data'!$A1:$AE734,21,FALSE)*$Q632</f>
        <v>110.558251975142</v>
      </c>
      <c r="AH632" s="49">
        <f>VLOOKUP(B632,'Player Data'!$A1:$AE734,22,FALSE)</f>
        <v>0.471687699695434</v>
      </c>
      <c r="AI632" s="46"/>
      <c r="AJ632" s="50"/>
      <c r="AK632" s="48"/>
      <c r="AL632" s="48"/>
      <c r="AM632" s="48"/>
      <c r="AN632" s="48"/>
      <c r="AO632" s="48"/>
      <c r="AP632" s="48"/>
      <c r="AQ632" s="51"/>
      <c r="AR632" s="52"/>
      <c r="AS632" s="46"/>
    </row>
    <row r="633" ht="21.25" customHeight="1">
      <c r="A633" s="53">
        <f>RANK(K633,K2:K730)</f>
        <v>676</v>
      </c>
      <c r="B633" t="s" s="8">
        <v>785</v>
      </c>
      <c r="C633" t="s" s="39">
        <v>106</v>
      </c>
      <c r="D633" t="s" s="40">
        <f>VLOOKUP(B633,'Player Data'!A1:D734,4,FALSE)</f>
        <v>107</v>
      </c>
      <c r="E633" s="41">
        <f>VLOOKUP(B633,'C'!A1:C218,3,FALSE)</f>
        <v>182</v>
      </c>
      <c r="F633" t="s" s="42">
        <f>VLOOKUP(B633,'Player Data'!A1:B734,2,FALSE)</f>
        <v>196</v>
      </c>
      <c r="G633" s="9">
        <f>VLOOKUP(B633,'Player Data'!A1:D734,3,FALSE)</f>
        <v>29</v>
      </c>
      <c r="H633" s="43">
        <f>_xlfn.IFERROR(VLOOKUP(B633,'ADP'!A1:G731,7,FALSE)/1000000,VLOOKUP(B633,'ADP'!A1:G731,7,FALSE))</f>
        <v>1.75</v>
      </c>
      <c r="I633" s="44">
        <f>IF('Settings'!$E$15="POINTS",((R633*Q633)*'Settings'!$B$12)+(S633*'Settings'!$B$2)+(T633*'Settings'!$B$3)+(U633*'Settings'!$B$4)+(V633*'Settings'!$B$5)+(X633*'Settings'!$B$9)+(AA633*'Settings'!$B$6)+(W633*'Settings'!$B$8)+(AB633*'Settings'!$B$7)+(AC633*'Settings'!$B$14)+(AD633*'Settings'!$B$15)+(AE633*'Settings'!$B$16)+(AF633*'Settings'!$B$17)+(AG633*'Settings'!$B$18)+(Y633*'Settings'!$B$10)+(Z633*'Settings'!$B$11),VLOOKUP(B633,'Standard Deviations'!A1:C731,3,FALSE))</f>
        <v>148.010212247518</v>
      </c>
      <c r="J633" s="45">
        <f>IF(D633="G",I633/AJ633,I633/Q633)</f>
        <v>2.04433994817014</v>
      </c>
      <c r="K633" s="44">
        <f>IF('Settings'!$E$18="C/LW/RW",VLOOKUP(B633,'C'!A1:F218,6,FALSE),VLOOKUP(B633,'F'!A1:F432,6,FALSE))</f>
        <v>-247.763989388497</v>
      </c>
      <c r="L633" s="44">
        <f>_xlfn.IFERROR(K633/H633,"N/A")</f>
        <v>-141.579422507713</v>
      </c>
      <c r="M633" t="s" s="61">
        <f>IF('Settings'!$E$9="YAHOO",VLOOKUP(B633,'ADP'!A1:E731,2,FALSE),IF('Settings'!$E$9="ESPN",VLOOKUP(B633,'ADP'!A1:E731,3,FALSE),IF('Settings'!$E$9="FANTRAX",VLOOKUP(B633,'ADP'!A1:E731,4,FALSE),VLOOKUP(B633,'ADP'!A1:E731,5,FALSE))))</f>
        <v>329</v>
      </c>
      <c r="N633" t="s" s="61">
        <f>_xlfn.IFERROR(M633-A633,"N/A")</f>
        <v>158</v>
      </c>
      <c r="O633" s="46"/>
      <c r="P633" t="s" s="47">
        <f>IF('Settings'!$E$27="ON",VLOOKUP(B633,'ADP'!A1:H731,8,FALSE)," ")</f>
        <v>109</v>
      </c>
      <c r="Q633" s="48">
        <f>IF('Settings'!$E$12="YES",VLOOKUP(B633,'Player Data'!A1:E734,5,FALSE),82)</f>
        <v>72.40000000000001</v>
      </c>
      <c r="R633" s="46">
        <f>VLOOKUP(B633,'Player Data'!$A1:$AE734,6,FALSE)</f>
        <v>12.9131321669377</v>
      </c>
      <c r="S633" s="48">
        <f>VLOOKUP(B633,'Player Data'!$A1:$AE734,7,FALSE)*$Q633*_xlfn.IFERROR((VLOOKUP(P633,'Settings'!$E$28:$F$33,2,FALSE)+1),1)</f>
        <v>10.4704084337677</v>
      </c>
      <c r="T633" s="48">
        <f>VLOOKUP(B633,'Player Data'!$A1:$AE734,8,FALSE)*$Q633*_xlfn.IFERROR((VLOOKUP(P633,'Settings'!$E$28:$F$33,2,FALSE)+1),1)</f>
        <v>11.8316106267306</v>
      </c>
      <c r="U633" s="48">
        <f>SUM(S633:T633)</f>
        <v>22.3020190604983</v>
      </c>
      <c r="V633" s="48">
        <f>VLOOKUP(B633,'Player Data'!$A1:$AE734,10,FALSE)*$Q633*_xlfn.IFERROR(((VLOOKUP(P633,'Settings'!$E$28:$F$33,2,FALSE)/2)+1),1)</f>
        <v>66.2199559917408</v>
      </c>
      <c r="W633" s="48">
        <f>VLOOKUP(B633,'Player Data'!$A1:$AE734,11,FALSE)*$Q633*_xlfn.IFERROR((VLOOKUP(P633,'Settings'!$E$28:$F$33,2,FALSE)+1),1)</f>
        <v>0.690361644087962</v>
      </c>
      <c r="X633" s="48">
        <f>VLOOKUP(B633,'Player Data'!$A1:$AE734,12,FALSE)*$Q633*_xlfn.IFERROR((VLOOKUP(P633,'Settings'!$E$28:$F$33,2,FALSE)+1),1)</f>
        <v>2.36645405597167</v>
      </c>
      <c r="Y633" s="48">
        <f>VLOOKUP(B633,'Player Data'!$A1:$AE734,13,FALSE)*$Q633</f>
        <v>0.0942214924084671</v>
      </c>
      <c r="Z633" s="48">
        <f>VLOOKUP(B633,'Player Data'!$A1:$AE734,14,FALSE)*$Q633</f>
        <v>0.173497917533656</v>
      </c>
      <c r="AA633" s="48">
        <f>VLOOKUP(B633,'Player Data'!$A1:$AE734,15,FALSE)*$Q633</f>
        <v>42.1688533665882</v>
      </c>
      <c r="AB633" s="48">
        <f>VLOOKUP(B633,'Player Data'!$A1:$AE734,16,FALSE)*$Q633</f>
        <v>43.4285676045604</v>
      </c>
      <c r="AC633" s="48">
        <f>VLOOKUP(B633,'Player Data'!$A1:$AE734,17,FALSE)*$Q633*_xlfn.IFERROR((VLOOKUP(P633,'Settings'!$E$28:$F$33,2,FALSE)+1),1)</f>
        <v>-4.71765591158633</v>
      </c>
      <c r="AD633" s="48">
        <f>VLOOKUP(B633,'Player Data'!$A1:$AE734,18,FALSE)*$Q633</f>
        <v>20.2371661530227</v>
      </c>
      <c r="AE633" s="48">
        <f>VLOOKUP(B633,'Player Data'!$A1:$AE734,19,FALSE)*$Q633*_xlfn.IFERROR((VLOOKUP(P633,'Settings'!$E$28:$F$33,2,FALSE)+1),1)</f>
        <v>1.32132992291046</v>
      </c>
      <c r="AF633" s="48">
        <f>VLOOKUP(B633,'Player Data'!$A1:$AE734,20,FALSE)*$Q633</f>
        <v>338.8714540172</v>
      </c>
      <c r="AG633" s="48">
        <f>VLOOKUP(B633,'Player Data'!$A1:$AE734,21,FALSE)*$Q633</f>
        <v>422.987202109344</v>
      </c>
      <c r="AH633" s="49">
        <f>VLOOKUP(B633,'Player Data'!$A1:$AE734,22,FALSE)</f>
        <v>0.444795699690671</v>
      </c>
      <c r="AI633" s="46"/>
      <c r="AJ633" s="50"/>
      <c r="AK633" s="48"/>
      <c r="AL633" s="48"/>
      <c r="AM633" s="48"/>
      <c r="AN633" s="48"/>
      <c r="AO633" s="48"/>
      <c r="AP633" s="48"/>
      <c r="AQ633" s="51"/>
      <c r="AR633" s="52"/>
      <c r="AS633" s="46"/>
    </row>
    <row r="634" ht="21.25" customHeight="1">
      <c r="A634" s="53">
        <f>RANK(K634,K2:K730)</f>
        <v>689</v>
      </c>
      <c r="B634" t="s" s="8">
        <v>786</v>
      </c>
      <c r="C634" t="s" s="39">
        <v>106</v>
      </c>
      <c r="D634" t="s" s="40">
        <f>VLOOKUP(B634,'Player Data'!A1:D734,4,FALSE)</f>
        <v>107</v>
      </c>
      <c r="E634" s="41">
        <f>VLOOKUP(B634,'C'!A1:C218,3,FALSE)</f>
        <v>189</v>
      </c>
      <c r="F634" t="s" s="42">
        <f>VLOOKUP(B634,'Player Data'!A1:B734,2,FALSE)</f>
        <v>166</v>
      </c>
      <c r="G634" s="9">
        <f>VLOOKUP(B634,'Player Data'!A1:D734,3,FALSE)</f>
        <v>22</v>
      </c>
      <c r="H634" s="43">
        <f>_xlfn.IFERROR(VLOOKUP(B634,'ADP'!A1:G731,7,FALSE)/1000000,VLOOKUP(B634,'ADP'!A1:G731,7,FALSE))</f>
        <v>0</v>
      </c>
      <c r="I634" s="44">
        <f>IF('Settings'!$E$15="POINTS",((R634*Q634)*'Settings'!$B$12)+(S634*'Settings'!$B$2)+(T634*'Settings'!$B$3)+(U634*'Settings'!$B$4)+(V634*'Settings'!$B$5)+(X634*'Settings'!$B$9)+(AA634*'Settings'!$B$6)+(W634*'Settings'!$B$8)+(AB634*'Settings'!$B$7)+(AC634*'Settings'!$B$14)+(AD634*'Settings'!$B$15)+(AE634*'Settings'!$B$16)+(AF634*'Settings'!$B$17)+(AG634*'Settings'!$B$18)+(Y634*'Settings'!$B$10)+(Z634*'Settings'!$B$11),VLOOKUP(B634,'Standard Deviations'!A1:C731,3,FALSE))</f>
        <v>141.615299910438</v>
      </c>
      <c r="J634" s="45">
        <f>IF(D634="G",I634/AJ634,I634/Q634)</f>
        <v>2.10010454766527</v>
      </c>
      <c r="K634" s="44">
        <f>IF('Settings'!$E$18="C/LW/RW",VLOOKUP(B634,'C'!A1:F218,6,FALSE),VLOOKUP(B634,'F'!A1:F432,6,FALSE))</f>
        <v>-254.158901725577</v>
      </c>
      <c r="L634" t="s" s="60">
        <f>_xlfn.IFERROR(K634/H634,"N/A")</f>
        <v>158</v>
      </c>
      <c r="M634" t="s" s="61">
        <f>IF('Settings'!$E$9="YAHOO",VLOOKUP(B634,'ADP'!A1:E731,2,FALSE),IF('Settings'!$E$9="ESPN",VLOOKUP(B634,'ADP'!A1:E731,3,FALSE),IF('Settings'!$E$9="FANTRAX",VLOOKUP(B634,'ADP'!A1:E731,4,FALSE),VLOOKUP(B634,'ADP'!A1:E731,5,FALSE))))</f>
        <v>329</v>
      </c>
      <c r="N634" t="s" s="61">
        <f>_xlfn.IFERROR(M634-A634,"N/A")</f>
        <v>158</v>
      </c>
      <c r="O634" s="46"/>
      <c r="P634" t="s" s="47">
        <f>IF('Settings'!$E$27="ON",VLOOKUP(B634,'ADP'!A1:H731,8,FALSE)," ")</f>
        <v>109</v>
      </c>
      <c r="Q634" s="48">
        <f>IF('Settings'!$E$12="YES",VLOOKUP(B634,'Player Data'!A1:E734,5,FALSE),82)</f>
        <v>67.4325</v>
      </c>
      <c r="R634" s="46">
        <f>VLOOKUP(B634,'Player Data'!$A1:$AE734,6,FALSE)</f>
        <v>11.7348036727292</v>
      </c>
      <c r="S634" s="48">
        <f>VLOOKUP(B634,'Player Data'!$A1:$AE734,7,FALSE)*$Q634*_xlfn.IFERROR((VLOOKUP(P634,'Settings'!$E$28:$F$33,2,FALSE)+1),1)</f>
        <v>6.95706260347918</v>
      </c>
      <c r="T634" s="48">
        <f>VLOOKUP(B634,'Player Data'!$A1:$AE734,8,FALSE)*$Q634*_xlfn.IFERROR((VLOOKUP(P634,'Settings'!$E$28:$F$33,2,FALSE)+1),1)</f>
        <v>13.123576207837</v>
      </c>
      <c r="U634" s="48">
        <f>SUM(S634:T634)</f>
        <v>20.0806388113162</v>
      </c>
      <c r="V634" s="48">
        <f>VLOOKUP(B634,'Player Data'!$A1:$AE734,10,FALSE)*$Q634*_xlfn.IFERROR(((VLOOKUP(P634,'Settings'!$E$28:$F$33,2,FALSE)/2)+1),1)</f>
        <v>91.71770533305821</v>
      </c>
      <c r="W634" s="48">
        <f>VLOOKUP(B634,'Player Data'!$A1:$AE734,11,FALSE)*$Q634*_xlfn.IFERROR((VLOOKUP(P634,'Settings'!$E$28:$F$33,2,FALSE)+1),1)</f>
        <v>0.0446774229464269</v>
      </c>
      <c r="X634" s="48">
        <f>VLOOKUP(B634,'Player Data'!$A1:$AE734,12,FALSE)*$Q634*_xlfn.IFERROR((VLOOKUP(P634,'Settings'!$E$28:$F$33,2,FALSE)+1),1)</f>
        <v>0.135742211182049</v>
      </c>
      <c r="Y634" s="48">
        <f>VLOOKUP(B634,'Player Data'!$A1:$AE734,13,FALSE)*$Q634</f>
        <v>0.18334994455666</v>
      </c>
      <c r="Z634" s="48">
        <f>VLOOKUP(B634,'Player Data'!$A1:$AE734,14,FALSE)*$Q634</f>
        <v>0.326162020142329</v>
      </c>
      <c r="AA634" s="48">
        <f>VLOOKUP(B634,'Player Data'!$A1:$AE734,15,FALSE)*$Q634</f>
        <v>22.1683250107029</v>
      </c>
      <c r="AB634" s="48">
        <f>VLOOKUP(B634,'Player Data'!$A1:$AE734,16,FALSE)*$Q634</f>
        <v>53.369801436421</v>
      </c>
      <c r="AC634" s="48">
        <f>VLOOKUP(B634,'Player Data'!$A1:$AE734,17,FALSE)*$Q634*_xlfn.IFERROR((VLOOKUP(P634,'Settings'!$E$28:$F$33,2,FALSE)+1),1)</f>
        <v>-1.99969042403149</v>
      </c>
      <c r="AD634" s="48">
        <f>VLOOKUP(B634,'Player Data'!$A1:$AE734,18,FALSE)*$Q634</f>
        <v>13.683886147331</v>
      </c>
      <c r="AE634" s="48">
        <f>VLOOKUP(B634,'Player Data'!$A1:$AE734,19,FALSE)*$Q634*_xlfn.IFERROR((VLOOKUP(P634,'Settings'!$E$28:$F$33,2,FALSE)+1),1)</f>
        <v>0.85575965431557</v>
      </c>
      <c r="AF634" s="48">
        <f>VLOOKUP(B634,'Player Data'!$A1:$AE734,20,FALSE)*$Q634</f>
        <v>34.847979913463</v>
      </c>
      <c r="AG634" s="48">
        <f>VLOOKUP(B634,'Player Data'!$A1:$AE734,21,FALSE)*$Q634</f>
        <v>60.0360232443124</v>
      </c>
      <c r="AH634" s="49">
        <f>VLOOKUP(B634,'Player Data'!$A1:$AE734,22,FALSE)</f>
        <v>0.367269284112275</v>
      </c>
      <c r="AI634" s="46"/>
      <c r="AJ634" s="50"/>
      <c r="AK634" s="48"/>
      <c r="AL634" s="48"/>
      <c r="AM634" s="48"/>
      <c r="AN634" s="48"/>
      <c r="AO634" s="48"/>
      <c r="AP634" s="48"/>
      <c r="AQ634" s="51"/>
      <c r="AR634" s="52"/>
      <c r="AS634" s="46"/>
    </row>
    <row r="635" ht="21.25" customHeight="1">
      <c r="A635" s="53">
        <f>RANK(K635,K2:K730)</f>
        <v>616</v>
      </c>
      <c r="B635" t="s" s="8">
        <v>787</v>
      </c>
      <c r="C635" t="s" s="39">
        <v>106</v>
      </c>
      <c r="D635" t="s" s="40">
        <f>VLOOKUP(B635,'Player Data'!A1:D734,4,FALSE)</f>
        <v>121</v>
      </c>
      <c r="E635" s="55">
        <f>VLOOKUP(B635,'RW'!A1:F132,3,FALSE)</f>
        <v>116</v>
      </c>
      <c r="F635" t="s" s="42">
        <f>VLOOKUP(B635,'Player Data'!A1:B734,2,FALSE)</f>
        <v>134</v>
      </c>
      <c r="G635" s="9">
        <f>VLOOKUP(B635,'Player Data'!A1:D734,3,FALSE)</f>
        <v>26</v>
      </c>
      <c r="H635" s="43">
        <f>_xlfn.IFERROR(VLOOKUP(B635,'ADP'!A1:G731,7,FALSE)/1000000,VLOOKUP(B635,'ADP'!A1:G731,7,FALSE))</f>
        <v>1.1</v>
      </c>
      <c r="I635" s="44">
        <f>IF('Settings'!$E$15="POINTS",((R635*Q635)*'Settings'!$B$12)+(S635*'Settings'!$B$2)+(T635*'Settings'!$B$3)+(U635*'Settings'!$B$4)+(V635*'Settings'!$B$5)+(X635*'Settings'!$B$9)+(AA635*'Settings'!$B$6)+(W635*'Settings'!$B$8)+(AB635*'Settings'!$B$7)+(AC635*'Settings'!$B$14)+(AD635*'Settings'!$B$15)+(AE635*'Settings'!$B$16)+(AF635*'Settings'!$B$17)+(AG635*'Settings'!$B$18)+(Y635*'Settings'!$B$10)+(Z635*'Settings'!$B$11),VLOOKUP(B635,'Standard Deviations'!A1:C731,3,FALSE))</f>
        <v>160.653719921252</v>
      </c>
      <c r="J635" s="45">
        <f>IF(D635="G",I635/AJ635,I635/Q635)</f>
        <v>2.36073208069141</v>
      </c>
      <c r="K635" s="44">
        <f>IF('Settings'!$E$18="C/LW/RW",VLOOKUP(B635,'RW'!A1:F132,6,FALSE),VLOOKUP(B635,'F'!A1:F432,6,FALSE))</f>
        <v>-220.974843785104</v>
      </c>
      <c r="L635" s="44">
        <f>_xlfn.IFERROR(K635/H635,"N/A")</f>
        <v>-200.886221622822</v>
      </c>
      <c r="M635" t="s" s="61">
        <f>IF('Settings'!$E$9="YAHOO",VLOOKUP(B635,'ADP'!A1:E731,2,FALSE),IF('Settings'!$E$9="ESPN",VLOOKUP(B635,'ADP'!A1:E731,3,FALSE),IF('Settings'!$E$9="FANTRAX",VLOOKUP(B635,'ADP'!A1:E731,4,FALSE),VLOOKUP(B635,'ADP'!A1:E731,5,FALSE))))</f>
        <v>329</v>
      </c>
      <c r="N635" t="s" s="61">
        <f>_xlfn.IFERROR(M635-A635,"N/A")</f>
        <v>158</v>
      </c>
      <c r="O635" s="46"/>
      <c r="P635" t="s" s="47">
        <f>IF('Settings'!$E$27="ON",VLOOKUP(B635,'ADP'!A1:H731,8,FALSE)," ")</f>
        <v>109</v>
      </c>
      <c r="Q635" s="48">
        <f>IF('Settings'!$E$12="YES",VLOOKUP(B635,'Player Data'!A1:E734,5,FALSE),82)</f>
        <v>68.05249999999999</v>
      </c>
      <c r="R635" s="46">
        <f>VLOOKUP(B635,'Player Data'!$A1:$AE734,6,FALSE)</f>
        <v>10.7938116821131</v>
      </c>
      <c r="S635" s="48">
        <f>VLOOKUP(B635,'Player Data'!$A1:$AE734,7,FALSE)*$Q635*_xlfn.IFERROR((VLOOKUP(P635,'Settings'!$E$28:$F$33,2,FALSE)+1),1)</f>
        <v>8.40742543539128</v>
      </c>
      <c r="T635" s="48">
        <f>VLOOKUP(B635,'Player Data'!$A1:$AE734,8,FALSE)*$Q635*_xlfn.IFERROR((VLOOKUP(P635,'Settings'!$E$28:$F$33,2,FALSE)+1),1)</f>
        <v>6.56223947228703</v>
      </c>
      <c r="U635" s="48">
        <f>SUM(S635:T635)</f>
        <v>14.9696649076783</v>
      </c>
      <c r="V635" s="48">
        <f>VLOOKUP(B635,'Player Data'!$A1:$AE734,10,FALSE)*$Q635*_xlfn.IFERROR(((VLOOKUP(P635,'Settings'!$E$28:$F$33,2,FALSE)/2)+1),1)</f>
        <v>94.6094528088491</v>
      </c>
      <c r="W635" s="48">
        <f>VLOOKUP(B635,'Player Data'!$A1:$AE734,11,FALSE)*$Q635*_xlfn.IFERROR((VLOOKUP(P635,'Settings'!$E$28:$F$33,2,FALSE)+1),1)</f>
        <v>0.0537940342854882</v>
      </c>
      <c r="X635" s="48">
        <f>VLOOKUP(B635,'Player Data'!$A1:$AE734,12,FALSE)*$Q635*_xlfn.IFERROR((VLOOKUP(P635,'Settings'!$E$28:$F$33,2,FALSE)+1),1)</f>
        <v>0.137360527631429</v>
      </c>
      <c r="Y635" s="48">
        <f>VLOOKUP(B635,'Player Data'!$A1:$AE734,13,FALSE)*$Q635</f>
        <v>0.731012008665361</v>
      </c>
      <c r="Z635" s="48">
        <f>VLOOKUP(B635,'Player Data'!$A1:$AE734,14,FALSE)*$Q635</f>
        <v>0.849039977893059</v>
      </c>
      <c r="AA635" s="48">
        <f>VLOOKUP(B635,'Player Data'!$A1:$AE734,15,FALSE)*$Q635</f>
        <v>23.007846422676</v>
      </c>
      <c r="AB635" s="48">
        <f>VLOOKUP(B635,'Player Data'!$A1:$AE734,16,FALSE)*$Q635</f>
        <v>170.507429894327</v>
      </c>
      <c r="AC635" s="48">
        <f>VLOOKUP(B635,'Player Data'!$A1:$AE734,17,FALSE)*$Q635*_xlfn.IFERROR((VLOOKUP(P635,'Settings'!$E$28:$F$33,2,FALSE)+1),1)</f>
        <v>1.50510068743703</v>
      </c>
      <c r="AD635" s="48">
        <f>VLOOKUP(B635,'Player Data'!$A1:$AE734,18,FALSE)*$Q635</f>
        <v>56.1945403293195</v>
      </c>
      <c r="AE635" s="48">
        <f>VLOOKUP(B635,'Player Data'!$A1:$AE734,19,FALSE)*$Q635*_xlfn.IFERROR((VLOOKUP(P635,'Settings'!$E$28:$F$33,2,FALSE)+1),1)</f>
        <v>1.3500342402899</v>
      </c>
      <c r="AF635" s="48">
        <f>VLOOKUP(B635,'Player Data'!$A1:$AE734,20,FALSE)*$Q635</f>
        <v>5.78613868462215</v>
      </c>
      <c r="AG635" s="48">
        <f>VLOOKUP(B635,'Player Data'!$A1:$AE734,21,FALSE)*$Q635</f>
        <v>14.4653467115554</v>
      </c>
      <c r="AH635" s="49">
        <f>VLOOKUP(B635,'Player Data'!$A1:$AE734,22,FALSE)</f>
        <v>0.285714285714286</v>
      </c>
      <c r="AI635" s="46"/>
      <c r="AJ635" s="50"/>
      <c r="AK635" s="48"/>
      <c r="AL635" s="48"/>
      <c r="AM635" s="48"/>
      <c r="AN635" s="48"/>
      <c r="AO635" s="48"/>
      <c r="AP635" s="48"/>
      <c r="AQ635" s="51"/>
      <c r="AR635" s="52"/>
      <c r="AS635" s="46"/>
    </row>
    <row r="636" ht="21.25" customHeight="1">
      <c r="A636" s="53">
        <f>RANK(K636,K2:K730)</f>
        <v>617</v>
      </c>
      <c r="B636" t="s" s="8">
        <v>788</v>
      </c>
      <c r="C636" t="s" s="39">
        <v>106</v>
      </c>
      <c r="D636" t="s" s="40">
        <f>VLOOKUP(B636,'Player Data'!A1:D734,4,FALSE)</f>
        <v>107</v>
      </c>
      <c r="E636" s="41">
        <f>VLOOKUP(B636,'C'!A1:C218,3,FALSE)</f>
        <v>163</v>
      </c>
      <c r="F636" t="s" s="42">
        <f>VLOOKUP(B636,'Player Data'!A1:B734,2,FALSE)</f>
        <v>184</v>
      </c>
      <c r="G636" s="9">
        <f>VLOOKUP(B636,'Player Data'!A1:D734,3,FALSE)</f>
        <v>24</v>
      </c>
      <c r="H636" s="43">
        <f>_xlfn.IFERROR(VLOOKUP(B636,'ADP'!A1:G731,7,FALSE)/1000000,VLOOKUP(B636,'ADP'!A1:G731,7,FALSE))</f>
        <v>2</v>
      </c>
      <c r="I636" s="44">
        <f>IF('Settings'!$E$15="POINTS",((R636*Q636)*'Settings'!$B$12)+(S636*'Settings'!$B$2)+(T636*'Settings'!$B$3)+(U636*'Settings'!$B$4)+(V636*'Settings'!$B$5)+(X636*'Settings'!$B$9)+(AA636*'Settings'!$B$6)+(W636*'Settings'!$B$8)+(AB636*'Settings'!$B$7)+(AC636*'Settings'!$B$14)+(AD636*'Settings'!$B$15)+(AE636*'Settings'!$B$16)+(AF636*'Settings'!$B$17)+(AG636*'Settings'!$B$18)+(Y636*'Settings'!$B$10)+(Z636*'Settings'!$B$11),VLOOKUP(B636,'Standard Deviations'!A1:C731,3,FALSE))</f>
        <v>173.882011001025</v>
      </c>
      <c r="J636" s="45">
        <f>IF(D636="G",I636/AJ636,I636/Q636)</f>
        <v>2.72071724794701</v>
      </c>
      <c r="K636" s="44">
        <f>IF('Settings'!$E$18="C/LW/RW",VLOOKUP(B636,'C'!A1:F218,6,FALSE),VLOOKUP(B636,'F'!A1:F432,6,FALSE))</f>
        <v>-221.892190634990</v>
      </c>
      <c r="L636" s="44">
        <f>_xlfn.IFERROR(K636/H636,"N/A")</f>
        <v>-110.946095317495</v>
      </c>
      <c r="M636" t="s" s="61">
        <f>IF('Settings'!$E$9="YAHOO",VLOOKUP(B636,'ADP'!A1:E731,2,FALSE),IF('Settings'!$E$9="ESPN",VLOOKUP(B636,'ADP'!A1:E731,3,FALSE),IF('Settings'!$E$9="FANTRAX",VLOOKUP(B636,'ADP'!A1:E731,4,FALSE),VLOOKUP(B636,'ADP'!A1:E731,5,FALSE))))</f>
        <v>329</v>
      </c>
      <c r="N636" t="s" s="61">
        <f>_xlfn.IFERROR(M636-A636,"N/A")</f>
        <v>158</v>
      </c>
      <c r="O636" s="46"/>
      <c r="P636" t="s" s="47">
        <f>IF('Settings'!$E$27="ON",VLOOKUP(B636,'ADP'!A1:H731,8,FALSE)," ")</f>
        <v>109</v>
      </c>
      <c r="Q636" s="48">
        <f>IF('Settings'!$E$12="YES",VLOOKUP(B636,'Player Data'!A1:E734,5,FALSE),82)</f>
        <v>63.9103571428571</v>
      </c>
      <c r="R636" s="46">
        <f>VLOOKUP(B636,'Player Data'!$A1:$AE734,6,FALSE)</f>
        <v>11.2179535886427</v>
      </c>
      <c r="S636" s="48">
        <f>VLOOKUP(B636,'Player Data'!$A1:$AE734,7,FALSE)*$Q636*_xlfn.IFERROR((VLOOKUP(P636,'Settings'!$E$28:$F$33,2,FALSE)+1),1)</f>
        <v>11.1803259073638</v>
      </c>
      <c r="T636" s="48">
        <f>VLOOKUP(B636,'Player Data'!$A1:$AE734,8,FALSE)*$Q636*_xlfn.IFERROR((VLOOKUP(P636,'Settings'!$E$28:$F$33,2,FALSE)+1),1)</f>
        <v>12.1683811594435</v>
      </c>
      <c r="U636" s="48">
        <f>SUM(S636:T636)</f>
        <v>23.3487070668073</v>
      </c>
      <c r="V636" s="48">
        <f>VLOOKUP(B636,'Player Data'!$A1:$AE734,10,FALSE)*$Q636*_xlfn.IFERROR(((VLOOKUP(P636,'Settings'!$E$28:$F$33,2,FALSE)/2)+1),1)</f>
        <v>70.5397615373645</v>
      </c>
      <c r="W636" s="48">
        <f>VLOOKUP(B636,'Player Data'!$A1:$AE734,11,FALSE)*$Q636*_xlfn.IFERROR((VLOOKUP(P636,'Settings'!$E$28:$F$33,2,FALSE)+1),1)</f>
        <v>0.0541778405705674</v>
      </c>
      <c r="X636" s="48">
        <f>VLOOKUP(B636,'Player Data'!$A1:$AE734,12,FALSE)*$Q636*_xlfn.IFERROR((VLOOKUP(P636,'Settings'!$E$28:$F$33,2,FALSE)+1),1)</f>
        <v>0.137203683555184</v>
      </c>
      <c r="Y636" s="48">
        <f>VLOOKUP(B636,'Player Data'!$A1:$AE734,13,FALSE)*$Q636</f>
        <v>0.000474380697245367</v>
      </c>
      <c r="Z636" s="48">
        <f>VLOOKUP(B636,'Player Data'!$A1:$AE734,14,FALSE)*$Q636</f>
        <v>0.000867832844474297</v>
      </c>
      <c r="AA636" s="48">
        <f>VLOOKUP(B636,'Player Data'!$A1:$AE734,15,FALSE)*$Q636</f>
        <v>20.1551420692414</v>
      </c>
      <c r="AB636" s="48">
        <f>VLOOKUP(B636,'Player Data'!$A1:$AE734,16,FALSE)*$Q636</f>
        <v>166.864853882261</v>
      </c>
      <c r="AC636" s="48">
        <f>VLOOKUP(B636,'Player Data'!$A1:$AE734,17,FALSE)*$Q636*_xlfn.IFERROR((VLOOKUP(P636,'Settings'!$E$28:$F$33,2,FALSE)+1),1)</f>
        <v>-1.32642248468848</v>
      </c>
      <c r="AD636" s="48">
        <f>VLOOKUP(B636,'Player Data'!$A1:$AE734,18,FALSE)*$Q636</f>
        <v>44.1740893886753</v>
      </c>
      <c r="AE636" s="48">
        <f>VLOOKUP(B636,'Player Data'!$A1:$AE734,19,FALSE)*$Q636*_xlfn.IFERROR((VLOOKUP(P636,'Settings'!$E$28:$F$33,2,FALSE)+1),1)</f>
        <v>1.47955804165632</v>
      </c>
      <c r="AF636" s="48">
        <f>VLOOKUP(B636,'Player Data'!$A1:$AE734,20,FALSE)*$Q636</f>
        <v>5.06406412771052</v>
      </c>
      <c r="AG636" s="48">
        <f>VLOOKUP(B636,'Player Data'!$A1:$AE734,21,FALSE)*$Q636</f>
        <v>6.81371611432003</v>
      </c>
      <c r="AH636" s="49">
        <f>VLOOKUP(B636,'Player Data'!$A1:$AE734,22,FALSE)</f>
        <v>0.426347686564439</v>
      </c>
      <c r="AI636" s="46"/>
      <c r="AJ636" s="50"/>
      <c r="AK636" s="48"/>
      <c r="AL636" s="48"/>
      <c r="AM636" s="48"/>
      <c r="AN636" s="48"/>
      <c r="AO636" s="48"/>
      <c r="AP636" s="48"/>
      <c r="AQ636" s="51"/>
      <c r="AR636" s="52"/>
      <c r="AS636" s="46"/>
    </row>
    <row r="637" ht="21.25" customHeight="1">
      <c r="A637" s="53">
        <f>RANK(K637,K2:K730)</f>
        <v>660</v>
      </c>
      <c r="B637" t="s" s="8">
        <v>789</v>
      </c>
      <c r="C637" t="s" s="39">
        <v>106</v>
      </c>
      <c r="D637" t="s" s="40">
        <f>VLOOKUP(B637,'Player Data'!A1:D734,4,FALSE)</f>
        <v>133</v>
      </c>
      <c r="E637" s="57">
        <f>VLOOKUP(B637,'LW'!A1:C156,3,FALSE)</f>
        <v>141</v>
      </c>
      <c r="F637" t="s" s="42">
        <f>VLOOKUP(B637,'Player Data'!A1:B734,2,FALSE)</f>
        <v>234</v>
      </c>
      <c r="G637" s="9">
        <f>VLOOKUP(B637,'Player Data'!A1:D734,3,FALSE)</f>
        <v>25</v>
      </c>
      <c r="H637" s="43">
        <f>_xlfn.IFERROR(VLOOKUP(B637,'ADP'!A1:G731,7,FALSE)/1000000,VLOOKUP(B637,'ADP'!A1:G731,7,FALSE))</f>
        <v>1.295</v>
      </c>
      <c r="I637" s="44">
        <f>IF('Settings'!$E$15="POINTS",((R637*Q637)*'Settings'!$B$12)+(S637*'Settings'!$B$2)+(T637*'Settings'!$B$3)+(U637*'Settings'!$B$4)+(V637*'Settings'!$B$5)+(X637*'Settings'!$B$9)+(AA637*'Settings'!$B$6)+(W637*'Settings'!$B$8)+(AB637*'Settings'!$B$7)+(AC637*'Settings'!$B$14)+(AD637*'Settings'!$B$15)+(AE637*'Settings'!$B$16)+(AF637*'Settings'!$B$17)+(AG637*'Settings'!$B$18)+(Y637*'Settings'!$B$10)+(Z637*'Settings'!$B$11),VLOOKUP(B637,'Standard Deviations'!A1:C731,3,FALSE))</f>
        <v>143.724551856926</v>
      </c>
      <c r="J637" s="45">
        <f>IF(D637="G",I637/AJ637,I637/Q637)</f>
        <v>2.20098854298508</v>
      </c>
      <c r="K637" s="44">
        <f>IF('Settings'!$E$18="C/LW/RW",VLOOKUP(B637,'LW'!A1:F156,6,FALSE),VLOOKUP(B637,'F'!A1:F432,6,FALSE))</f>
        <v>-237.904011849430</v>
      </c>
      <c r="L637" s="44">
        <f>_xlfn.IFERROR(K637/H637,"N/A")</f>
        <v>-183.709661659792</v>
      </c>
      <c r="M637" t="s" s="61">
        <f>IF('Settings'!$E$9="YAHOO",VLOOKUP(B637,'ADP'!A1:E731,2,FALSE),IF('Settings'!$E$9="ESPN",VLOOKUP(B637,'ADP'!A1:E731,3,FALSE),IF('Settings'!$E$9="FANTRAX",VLOOKUP(B637,'ADP'!A1:E731,4,FALSE),VLOOKUP(B637,'ADP'!A1:E731,5,FALSE))))</f>
        <v>329</v>
      </c>
      <c r="N637" t="s" s="61">
        <f>_xlfn.IFERROR(M637-A637,"N/A")</f>
        <v>158</v>
      </c>
      <c r="O637" s="46"/>
      <c r="P637" t="s" s="47">
        <f>IF('Settings'!$E$27="ON",VLOOKUP(B637,'ADP'!A1:H731,8,FALSE)," ")</f>
        <v>109</v>
      </c>
      <c r="Q637" s="48">
        <f>IF('Settings'!$E$12="YES",VLOOKUP(B637,'Player Data'!A1:E734,5,FALSE),82)</f>
        <v>65.3</v>
      </c>
      <c r="R637" s="46">
        <f>VLOOKUP(B637,'Player Data'!$A1:$AE734,6,FALSE)</f>
        <v>11.6205540656557</v>
      </c>
      <c r="S637" s="48">
        <f>VLOOKUP(B637,'Player Data'!$A1:$AE734,7,FALSE)*$Q637*_xlfn.IFERROR((VLOOKUP(P637,'Settings'!$E$28:$F$33,2,FALSE)+1),1)</f>
        <v>8.29279076449324</v>
      </c>
      <c r="T637" s="48">
        <f>VLOOKUP(B637,'Player Data'!$A1:$AE734,8,FALSE)*$Q637*_xlfn.IFERROR((VLOOKUP(P637,'Settings'!$E$28:$F$33,2,FALSE)+1),1)</f>
        <v>9.52630535623609</v>
      </c>
      <c r="U637" s="48">
        <f>SUM(S637:T637)</f>
        <v>17.8190961207293</v>
      </c>
      <c r="V637" s="48">
        <f>VLOOKUP(B637,'Player Data'!$A1:$AE734,10,FALSE)*$Q637*_xlfn.IFERROR(((VLOOKUP(P637,'Settings'!$E$28:$F$33,2,FALSE)/2)+1),1)</f>
        <v>91.0963931822976</v>
      </c>
      <c r="W637" s="48">
        <f>VLOOKUP(B637,'Player Data'!$A1:$AE734,11,FALSE)*$Q637*_xlfn.IFERROR((VLOOKUP(P637,'Settings'!$E$28:$F$33,2,FALSE)+1),1)</f>
        <v>0.408812553571564</v>
      </c>
      <c r="X637" s="48">
        <f>VLOOKUP(B637,'Player Data'!$A1:$AE734,12,FALSE)*$Q637*_xlfn.IFERROR((VLOOKUP(P637,'Settings'!$E$28:$F$33,2,FALSE)+1),1)</f>
        <v>0.777983027403074</v>
      </c>
      <c r="Y637" s="48">
        <f>VLOOKUP(B637,'Player Data'!$A1:$AE734,13,FALSE)*$Q637</f>
        <v>0.0296048247446561</v>
      </c>
      <c r="Z637" s="48">
        <f>VLOOKUP(B637,'Player Data'!$A1:$AE734,14,FALSE)*$Q637</f>
        <v>0.0543069116784165</v>
      </c>
      <c r="AA637" s="48">
        <f>VLOOKUP(B637,'Player Data'!$A1:$AE734,15,FALSE)*$Q637</f>
        <v>17.5329058573356</v>
      </c>
      <c r="AB637" s="48">
        <f>VLOOKUP(B637,'Player Data'!$A1:$AE734,16,FALSE)*$Q637</f>
        <v>93.61925601929759</v>
      </c>
      <c r="AC637" s="48">
        <f>VLOOKUP(B637,'Player Data'!$A1:$AE734,17,FALSE)*$Q637*_xlfn.IFERROR((VLOOKUP(P637,'Settings'!$E$28:$F$33,2,FALSE)+1),1)</f>
        <v>-7.66406472029852</v>
      </c>
      <c r="AD637" s="48">
        <f>VLOOKUP(B637,'Player Data'!$A1:$AE734,18,FALSE)*$Q637</f>
        <v>43.8537408818958</v>
      </c>
      <c r="AE637" s="48">
        <f>VLOOKUP(B637,'Player Data'!$A1:$AE734,19,FALSE)*$Q637*_xlfn.IFERROR((VLOOKUP(P637,'Settings'!$E$28:$F$33,2,FALSE)+1),1)</f>
        <v>0.794972013916339</v>
      </c>
      <c r="AF637" s="48">
        <f>VLOOKUP(B637,'Player Data'!$A1:$AE734,20,FALSE)*$Q637</f>
        <v>8.57186363334309</v>
      </c>
      <c r="AG637" s="48">
        <f>VLOOKUP(B637,'Player Data'!$A1:$AE734,21,FALSE)*$Q637</f>
        <v>9.7137627403816</v>
      </c>
      <c r="AH637" s="49">
        <f>VLOOKUP(B637,'Player Data'!$A1:$AE734,22,FALSE)</f>
        <v>0.468776046176922</v>
      </c>
      <c r="AI637" s="46"/>
      <c r="AJ637" s="50"/>
      <c r="AK637" s="48"/>
      <c r="AL637" s="48"/>
      <c r="AM637" s="48"/>
      <c r="AN637" s="48"/>
      <c r="AO637" s="48"/>
      <c r="AP637" s="48"/>
      <c r="AQ637" s="51"/>
      <c r="AR637" s="52"/>
      <c r="AS637" s="46"/>
    </row>
    <row r="638" ht="21.25" customHeight="1">
      <c r="A638" s="53">
        <f>RANK(K638,K2:K730)</f>
        <v>669</v>
      </c>
      <c r="B638" t="s" s="8">
        <v>790</v>
      </c>
      <c r="C638" t="s" s="39">
        <v>106</v>
      </c>
      <c r="D638" t="s" s="40">
        <f>VLOOKUP(B638,'Player Data'!A1:D734,4,FALSE)</f>
        <v>133</v>
      </c>
      <c r="E638" s="57">
        <f>VLOOKUP(B638,'LW'!A1:C156,3,FALSE)</f>
        <v>142</v>
      </c>
      <c r="F638" t="s" s="42">
        <f>VLOOKUP(B638,'Player Data'!A1:B734,2,FALSE)</f>
        <v>115</v>
      </c>
      <c r="G638" s="9">
        <f>VLOOKUP(B638,'Player Data'!A1:D734,3,FALSE)</f>
        <v>21</v>
      </c>
      <c r="H638" s="43">
        <f>_xlfn.IFERROR(VLOOKUP(B638,'ADP'!A1:G731,7,FALSE)/1000000,VLOOKUP(B638,'ADP'!A1:G731,7,FALSE))</f>
        <v>0.796667</v>
      </c>
      <c r="I638" s="44">
        <f>IF('Settings'!$E$15="POINTS",((R638*Q638)*'Settings'!$B$12)+(S638*'Settings'!$B$2)+(T638*'Settings'!$B$3)+(U638*'Settings'!$B$4)+(V638*'Settings'!$B$5)+(X638*'Settings'!$B$9)+(AA638*'Settings'!$B$6)+(W638*'Settings'!$B$8)+(AB638*'Settings'!$B$7)+(AC638*'Settings'!$B$14)+(AD638*'Settings'!$B$15)+(AE638*'Settings'!$B$16)+(AF638*'Settings'!$B$17)+(AG638*'Settings'!$B$18)+(Y638*'Settings'!$B$10)+(Z638*'Settings'!$B$11),VLOOKUP(B638,'Standard Deviations'!A1:C731,3,FALSE))</f>
        <v>138.326955435991</v>
      </c>
      <c r="J638" s="45">
        <f>IF(D638="G",I638/AJ638,I638/Q638)</f>
        <v>2.61408210590069</v>
      </c>
      <c r="K638" s="44">
        <f>IF('Settings'!$E$18="C/LW/RW",VLOOKUP(B638,'LW'!A1:F156,6,FALSE),VLOOKUP(B638,'F'!A1:F432,6,FALSE))</f>
        <v>-243.301608270365</v>
      </c>
      <c r="L638" s="44">
        <f>_xlfn.IFERROR(K638/H638,"N/A")</f>
        <v>-305.399380506994</v>
      </c>
      <c r="M638" t="s" s="61">
        <f>IF('Settings'!$E$9="YAHOO",VLOOKUP(B638,'ADP'!A1:E731,2,FALSE),IF('Settings'!$E$9="ESPN",VLOOKUP(B638,'ADP'!A1:E731,3,FALSE),IF('Settings'!$E$9="FANTRAX",VLOOKUP(B638,'ADP'!A1:E731,4,FALSE),VLOOKUP(B638,'ADP'!A1:E731,5,FALSE))))</f>
        <v>329</v>
      </c>
      <c r="N638" t="s" s="61">
        <f>_xlfn.IFERROR(M638-A638,"N/A")</f>
        <v>158</v>
      </c>
      <c r="O638" s="46"/>
      <c r="P638" t="s" s="47">
        <f>IF('Settings'!$E$27="ON",VLOOKUP(B638,'ADP'!A1:H731,8,FALSE)," ")</f>
        <v>109</v>
      </c>
      <c r="Q638" s="48">
        <f>IF('Settings'!$E$12="YES",VLOOKUP(B638,'Player Data'!A1:E734,5,FALSE),82)</f>
        <v>52.9160714285714</v>
      </c>
      <c r="R638" s="46">
        <f>VLOOKUP(B638,'Player Data'!$A1:$AE734,6,FALSE)</f>
        <v>12.0075965624741</v>
      </c>
      <c r="S638" s="48">
        <f>VLOOKUP(B638,'Player Data'!$A1:$AE734,7,FALSE)*$Q638*_xlfn.IFERROR((VLOOKUP(P638,'Settings'!$E$28:$F$33,2,FALSE)+1),1)</f>
        <v>8.0164714247429</v>
      </c>
      <c r="T638" s="48">
        <f>VLOOKUP(B638,'Player Data'!$A1:$AE734,8,FALSE)*$Q638*_xlfn.IFERROR((VLOOKUP(P638,'Settings'!$E$28:$F$33,2,FALSE)+1),1)</f>
        <v>10.2928513677673</v>
      </c>
      <c r="U638" s="48">
        <f>SUM(S638:T638)</f>
        <v>18.3093227925102</v>
      </c>
      <c r="V638" s="48">
        <f>VLOOKUP(B638,'Player Data'!$A1:$AE734,10,FALSE)*$Q638*_xlfn.IFERROR(((VLOOKUP(P638,'Settings'!$E$28:$F$33,2,FALSE)/2)+1),1)</f>
        <v>85.0231222246597</v>
      </c>
      <c r="W638" s="48">
        <f>VLOOKUP(B638,'Player Data'!$A1:$AE734,11,FALSE)*$Q638*_xlfn.IFERROR((VLOOKUP(P638,'Settings'!$E$28:$F$33,2,FALSE)+1),1)</f>
        <v>0.362402857144546</v>
      </c>
      <c r="X638" s="48">
        <f>VLOOKUP(B638,'Player Data'!$A1:$AE734,12,FALSE)*$Q638*_xlfn.IFERROR((VLOOKUP(P638,'Settings'!$E$28:$F$33,2,FALSE)+1),1)</f>
        <v>0.911273995562442</v>
      </c>
      <c r="Y638" s="48">
        <f>VLOOKUP(B638,'Player Data'!$A1:$AE734,13,FALSE)*$Q638</f>
        <v>0.0105538767398421</v>
      </c>
      <c r="Z638" s="48">
        <f>VLOOKUP(B638,'Player Data'!$A1:$AE734,14,FALSE)*$Q638</f>
        <v>0.019170541275452</v>
      </c>
      <c r="AA638" s="48">
        <f>VLOOKUP(B638,'Player Data'!$A1:$AE734,15,FALSE)*$Q638</f>
        <v>23.6107396554108</v>
      </c>
      <c r="AB638" s="48">
        <f>VLOOKUP(B638,'Player Data'!$A1:$AE734,16,FALSE)*$Q638</f>
        <v>68.0760315950387</v>
      </c>
      <c r="AC638" s="48">
        <f>VLOOKUP(B638,'Player Data'!$A1:$AE734,17,FALSE)*$Q638*_xlfn.IFERROR((VLOOKUP(P638,'Settings'!$E$28:$F$33,2,FALSE)+1),1)</f>
        <v>2.48645494284324</v>
      </c>
      <c r="AD638" s="48">
        <f>VLOOKUP(B638,'Player Data'!$A1:$AE734,18,FALSE)*$Q638</f>
        <v>13.0161927156025</v>
      </c>
      <c r="AE638" s="48">
        <f>VLOOKUP(B638,'Player Data'!$A1:$AE734,19,FALSE)*$Q638*_xlfn.IFERROR((VLOOKUP(P638,'Settings'!$E$28:$F$33,2,FALSE)+1),1)</f>
        <v>1.28784400363914</v>
      </c>
      <c r="AF638" s="48">
        <f>VLOOKUP(B638,'Player Data'!$A1:$AE734,20,FALSE)*$Q638</f>
        <v>3.75587692433036</v>
      </c>
      <c r="AG638" s="48">
        <f>VLOOKUP(B638,'Player Data'!$A1:$AE734,21,FALSE)*$Q638</f>
        <v>5.96610534899689</v>
      </c>
      <c r="AH638" s="49">
        <f>VLOOKUP(B638,'Player Data'!$A1:$AE734,22,FALSE)</f>
        <v>0.386328304119089</v>
      </c>
      <c r="AI638" s="46"/>
      <c r="AJ638" s="50"/>
      <c r="AK638" s="48"/>
      <c r="AL638" s="48"/>
      <c r="AM638" s="48"/>
      <c r="AN638" s="48"/>
      <c r="AO638" s="48"/>
      <c r="AP638" s="48"/>
      <c r="AQ638" s="51"/>
      <c r="AR638" s="52"/>
      <c r="AS638" s="46"/>
    </row>
    <row r="639" ht="21.25" customHeight="1">
      <c r="A639" s="53">
        <f>RANK(K639,K2:K730)</f>
        <v>644</v>
      </c>
      <c r="B639" t="s" s="8">
        <v>791</v>
      </c>
      <c r="C639" t="s" s="39">
        <v>106</v>
      </c>
      <c r="D639" t="s" s="40">
        <f>VLOOKUP(B639,'Player Data'!A1:D734,4,FALSE)</f>
        <v>107</v>
      </c>
      <c r="E639" s="41">
        <f>VLOOKUP(B639,'C'!A1:C218,3,FALSE)</f>
        <v>170</v>
      </c>
      <c r="F639" t="s" s="42">
        <f>VLOOKUP(B639,'Player Data'!A1:B734,2,FALSE)</f>
        <v>136</v>
      </c>
      <c r="G639" s="9">
        <f>VLOOKUP(B639,'Player Data'!A1:D734,3,FALSE)</f>
        <v>29</v>
      </c>
      <c r="H639" s="43">
        <f>_xlfn.IFERROR(VLOOKUP(B639,'ADP'!A1:G731,7,FALSE)/1000000,VLOOKUP(B639,'ADP'!A1:G731,7,FALSE))</f>
        <v>3.25</v>
      </c>
      <c r="I639" s="44">
        <f>IF('Settings'!$E$15="POINTS",((R639*Q639)*'Settings'!$B$12)+(S639*'Settings'!$B$2)+(T639*'Settings'!$B$3)+(U639*'Settings'!$B$4)+(V639*'Settings'!$B$5)+(X639*'Settings'!$B$9)+(AA639*'Settings'!$B$6)+(W639*'Settings'!$B$8)+(AB639*'Settings'!$B$7)+(AC639*'Settings'!$B$14)+(AD639*'Settings'!$B$15)+(AE639*'Settings'!$B$16)+(AF639*'Settings'!$B$17)+(AG639*'Settings'!$B$18)+(Y639*'Settings'!$B$10)+(Z639*'Settings'!$B$11),VLOOKUP(B639,'Standard Deviations'!A1:C731,3,FALSE))</f>
        <v>166.159956450332</v>
      </c>
      <c r="J639" s="45">
        <f>IF(D639="G",I639/AJ639,I639/Q639)</f>
        <v>2.05088726597486</v>
      </c>
      <c r="K639" s="44">
        <f>IF('Settings'!$E$18="C/LW/RW",VLOOKUP(B639,'C'!A1:F218,6,FALSE),VLOOKUP(B639,'F'!A1:F432,6,FALSE))</f>
        <v>-229.614245185683</v>
      </c>
      <c r="L639" s="44">
        <f>_xlfn.IFERROR(K639/H639,"N/A")</f>
        <v>-70.65053698021021</v>
      </c>
      <c r="M639" t="s" s="61">
        <f>IF('Settings'!$E$9="YAHOO",VLOOKUP(B639,'ADP'!A1:E731,2,FALSE),IF('Settings'!$E$9="ESPN",VLOOKUP(B639,'ADP'!A1:E731,3,FALSE),IF('Settings'!$E$9="FANTRAX",VLOOKUP(B639,'ADP'!A1:E731,4,FALSE),VLOOKUP(B639,'ADP'!A1:E731,5,FALSE))))</f>
        <v>329</v>
      </c>
      <c r="N639" t="s" s="61">
        <f>_xlfn.IFERROR(M639-A639,"N/A")</f>
        <v>158</v>
      </c>
      <c r="O639" s="46"/>
      <c r="P639" t="s" s="47">
        <f>IF('Settings'!$E$27="ON",VLOOKUP(B639,'ADP'!A1:H731,8,FALSE)," ")</f>
        <v>109</v>
      </c>
      <c r="Q639" s="48">
        <f>IF('Settings'!$E$12="YES",VLOOKUP(B639,'Player Data'!A1:E734,5,FALSE),82)</f>
        <v>81.01857142857141</v>
      </c>
      <c r="R639" s="46">
        <f>VLOOKUP(B639,'Player Data'!$A1:$AE734,6,FALSE)</f>
        <v>13.1277981441385</v>
      </c>
      <c r="S639" s="48">
        <f>VLOOKUP(B639,'Player Data'!$A1:$AE734,7,FALSE)*$Q639*_xlfn.IFERROR((VLOOKUP(P639,'Settings'!$E$28:$F$33,2,FALSE)+1),1)</f>
        <v>7.48266688564063</v>
      </c>
      <c r="T639" s="48">
        <f>VLOOKUP(B639,'Player Data'!$A1:$AE734,8,FALSE)*$Q639*_xlfn.IFERROR((VLOOKUP(P639,'Settings'!$E$28:$F$33,2,FALSE)+1),1)</f>
        <v>10.2995464818847</v>
      </c>
      <c r="U639" s="48">
        <f>SUM(S639:T639)</f>
        <v>17.7822133675253</v>
      </c>
      <c r="V639" s="48">
        <f>VLOOKUP(B639,'Player Data'!$A1:$AE734,10,FALSE)*$Q639*_xlfn.IFERROR(((VLOOKUP(P639,'Settings'!$E$28:$F$33,2,FALSE)/2)+1),1)</f>
        <v>86.226474643117</v>
      </c>
      <c r="W639" s="48">
        <f>VLOOKUP(B639,'Player Data'!$A1:$AE734,11,FALSE)*$Q639*_xlfn.IFERROR((VLOOKUP(P639,'Settings'!$E$28:$F$33,2,FALSE)+1),1)</f>
        <v>0.06362095943014209</v>
      </c>
      <c r="X639" s="48">
        <f>VLOOKUP(B639,'Player Data'!$A1:$AE734,12,FALSE)*$Q639*_xlfn.IFERROR((VLOOKUP(P639,'Settings'!$E$28:$F$33,2,FALSE)+1),1)</f>
        <v>0.128348061948404</v>
      </c>
      <c r="Y639" s="48">
        <f>VLOOKUP(B639,'Player Data'!$A1:$AE734,13,FALSE)*$Q639</f>
        <v>1.05332049560529</v>
      </c>
      <c r="Z639" s="48">
        <f>VLOOKUP(B639,'Player Data'!$A1:$AE734,14,FALSE)*$Q639</f>
        <v>1.98810228707065</v>
      </c>
      <c r="AA639" s="48">
        <f>VLOOKUP(B639,'Player Data'!$A1:$AE734,15,FALSE)*$Q639</f>
        <v>61.3593248635079</v>
      </c>
      <c r="AB639" s="48">
        <f>VLOOKUP(B639,'Player Data'!$A1:$AE734,16,FALSE)*$Q639</f>
        <v>95.280846767364</v>
      </c>
      <c r="AC639" s="48">
        <f>VLOOKUP(B639,'Player Data'!$A1:$AE734,17,FALSE)*$Q639*_xlfn.IFERROR((VLOOKUP(P639,'Settings'!$E$28:$F$33,2,FALSE)+1),1)</f>
        <v>3.06815649738317</v>
      </c>
      <c r="AD639" s="48">
        <f>VLOOKUP(B639,'Player Data'!$A1:$AE734,18,FALSE)*$Q639</f>
        <v>37.0420937356531</v>
      </c>
      <c r="AE639" s="48">
        <f>VLOOKUP(B639,'Player Data'!$A1:$AE734,19,FALSE)*$Q639*_xlfn.IFERROR((VLOOKUP(P639,'Settings'!$E$28:$F$33,2,FALSE)+1),1)</f>
        <v>1.19717365666945</v>
      </c>
      <c r="AF639" s="48">
        <f>VLOOKUP(B639,'Player Data'!$A1:$AE734,20,FALSE)*$Q639</f>
        <v>323.138390002266</v>
      </c>
      <c r="AG639" s="48">
        <f>VLOOKUP(B639,'Player Data'!$A1:$AE734,21,FALSE)*$Q639</f>
        <v>257.922437956718</v>
      </c>
      <c r="AH639" s="49">
        <f>VLOOKUP(B639,'Player Data'!$A1:$AE734,22,FALSE)</f>
        <v>0.556118007708956</v>
      </c>
      <c r="AI639" s="46"/>
      <c r="AJ639" s="50"/>
      <c r="AK639" s="48"/>
      <c r="AL639" s="48"/>
      <c r="AM639" s="48"/>
      <c r="AN639" s="48"/>
      <c r="AO639" s="48"/>
      <c r="AP639" s="48"/>
      <c r="AQ639" s="51"/>
      <c r="AR639" s="52"/>
      <c r="AS639" s="46"/>
    </row>
    <row r="640" ht="21.25" customHeight="1">
      <c r="A640" s="53">
        <f>RANK(K640,K2:K730)</f>
        <v>686</v>
      </c>
      <c r="B640" t="s" s="8">
        <v>792</v>
      </c>
      <c r="C640" t="s" s="39">
        <v>106</v>
      </c>
      <c r="D640" t="s" s="40">
        <f>VLOOKUP(B640,'Player Data'!A1:D734,4,FALSE)</f>
        <v>107</v>
      </c>
      <c r="E640" s="41">
        <f>VLOOKUP(B640,'C'!A1:C218,3,FALSE)</f>
        <v>187</v>
      </c>
      <c r="F640" t="s" s="42">
        <f>VLOOKUP(B640,'Player Data'!A1:B734,2,FALSE)</f>
        <v>136</v>
      </c>
      <c r="G640" s="9">
        <f>VLOOKUP(B640,'Player Data'!A1:D734,3,FALSE)</f>
        <v>25</v>
      </c>
      <c r="H640" s="43">
        <f>_xlfn.IFERROR(VLOOKUP(B640,'ADP'!A1:G731,7,FALSE)/1000000,VLOOKUP(B640,'ADP'!A1:G731,7,FALSE))</f>
        <v>0.85</v>
      </c>
      <c r="I640" s="44">
        <f>IF('Settings'!$E$15="POINTS",((R640*Q640)*'Settings'!$B$12)+(S640*'Settings'!$B$2)+(T640*'Settings'!$B$3)+(U640*'Settings'!$B$4)+(V640*'Settings'!$B$5)+(X640*'Settings'!$B$9)+(AA640*'Settings'!$B$6)+(W640*'Settings'!$B$8)+(AB640*'Settings'!$B$7)+(AC640*'Settings'!$B$14)+(AD640*'Settings'!$B$15)+(AE640*'Settings'!$B$16)+(AF640*'Settings'!$B$17)+(AG640*'Settings'!$B$18)+(Y640*'Settings'!$B$10)+(Z640*'Settings'!$B$11),VLOOKUP(B640,'Standard Deviations'!A1:C731,3,FALSE))</f>
        <v>142.935369668364</v>
      </c>
      <c r="J640" s="45">
        <f>IF(D640="G",I640/AJ640,I640/Q640)</f>
        <v>1.90485250266019</v>
      </c>
      <c r="K640" s="44">
        <f>IF('Settings'!$E$18="C/LW/RW",VLOOKUP(B640,'C'!A1:F218,6,FALSE),VLOOKUP(B640,'F'!A1:F432,6,FALSE))</f>
        <v>-252.838831967651</v>
      </c>
      <c r="L640" s="44">
        <f>_xlfn.IFERROR(K640/H640,"N/A")</f>
        <v>-297.457449373707</v>
      </c>
      <c r="M640" t="s" s="61">
        <f>IF('Settings'!$E$9="YAHOO",VLOOKUP(B640,'ADP'!A1:E731,2,FALSE),IF('Settings'!$E$9="ESPN",VLOOKUP(B640,'ADP'!A1:E731,3,FALSE),IF('Settings'!$E$9="FANTRAX",VLOOKUP(B640,'ADP'!A1:E731,4,FALSE),VLOOKUP(B640,'ADP'!A1:E731,5,FALSE))))</f>
        <v>329</v>
      </c>
      <c r="N640" t="s" s="61">
        <f>_xlfn.IFERROR(M640-A640,"N/A")</f>
        <v>158</v>
      </c>
      <c r="O640" s="46"/>
      <c r="P640" t="s" s="47">
        <f>IF('Settings'!$E$27="ON",VLOOKUP(B640,'ADP'!A1:H731,8,FALSE)," ")</f>
        <v>109</v>
      </c>
      <c r="Q640" s="48">
        <f>IF('Settings'!$E$12="YES",VLOOKUP(B640,'Player Data'!A1:E734,5,FALSE),82)</f>
        <v>75.03749999999999</v>
      </c>
      <c r="R640" s="46">
        <f>VLOOKUP(B640,'Player Data'!$A1:$AE734,6,FALSE)</f>
        <v>11.7777591183489</v>
      </c>
      <c r="S640" s="48">
        <f>VLOOKUP(B640,'Player Data'!$A1:$AE734,7,FALSE)*$Q640*_xlfn.IFERROR((VLOOKUP(P640,'Settings'!$E$28:$F$33,2,FALSE)+1),1)</f>
        <v>8.77268755218077</v>
      </c>
      <c r="T640" s="48">
        <f>VLOOKUP(B640,'Player Data'!$A1:$AE734,8,FALSE)*$Q640*_xlfn.IFERROR((VLOOKUP(P640,'Settings'!$E$28:$F$33,2,FALSE)+1),1)</f>
        <v>13.163325742184</v>
      </c>
      <c r="U640" s="48">
        <f>SUM(S640:T640)</f>
        <v>21.9360132943648</v>
      </c>
      <c r="V640" s="48">
        <f>VLOOKUP(B640,'Player Data'!$A1:$AE734,10,FALSE)*$Q640*_xlfn.IFERROR(((VLOOKUP(P640,'Settings'!$E$28:$F$33,2,FALSE)/2)+1),1)</f>
        <v>75.5334254005311</v>
      </c>
      <c r="W640" s="48">
        <f>VLOOKUP(B640,'Player Data'!$A1:$AE734,11,FALSE)*$Q640*_xlfn.IFERROR((VLOOKUP(P640,'Settings'!$E$28:$F$33,2,FALSE)+1),1)</f>
        <v>0.0490895067804193</v>
      </c>
      <c r="X640" s="48">
        <f>VLOOKUP(B640,'Player Data'!$A1:$AE734,12,FALSE)*$Q640*_xlfn.IFERROR((VLOOKUP(P640,'Settings'!$E$28:$F$33,2,FALSE)+1),1)</f>
        <v>0.363925235635959</v>
      </c>
      <c r="Y640" s="48">
        <f>VLOOKUP(B640,'Player Data'!$A1:$AE734,13,FALSE)*$Q640</f>
        <v>0.750808285162342</v>
      </c>
      <c r="Z640" s="48">
        <f>VLOOKUP(B640,'Player Data'!$A1:$AE734,14,FALSE)*$Q640</f>
        <v>0.864471284017873</v>
      </c>
      <c r="AA640" s="48">
        <f>VLOOKUP(B640,'Player Data'!$A1:$AE734,15,FALSE)*$Q640</f>
        <v>21.1572989624795</v>
      </c>
      <c r="AB640" s="48">
        <f>VLOOKUP(B640,'Player Data'!$A1:$AE734,16,FALSE)*$Q640</f>
        <v>55.5759748298285</v>
      </c>
      <c r="AC640" s="48">
        <f>VLOOKUP(B640,'Player Data'!$A1:$AE734,17,FALSE)*$Q640*_xlfn.IFERROR((VLOOKUP(P640,'Settings'!$E$28:$F$33,2,FALSE)+1),1)</f>
        <v>3.85775154888582</v>
      </c>
      <c r="AD640" s="48">
        <f>VLOOKUP(B640,'Player Data'!$A1:$AE734,18,FALSE)*$Q640</f>
        <v>17.1393226109758</v>
      </c>
      <c r="AE640" s="48">
        <f>VLOOKUP(B640,'Player Data'!$A1:$AE734,19,FALSE)*$Q640*_xlfn.IFERROR((VLOOKUP(P640,'Settings'!$E$28:$F$33,2,FALSE)+1),1)</f>
        <v>1.40356781828912</v>
      </c>
      <c r="AF640" s="48">
        <f>VLOOKUP(B640,'Player Data'!$A1:$AE734,20,FALSE)*$Q640</f>
        <v>279.601369124024</v>
      </c>
      <c r="AG640" s="48">
        <f>VLOOKUP(B640,'Player Data'!$A1:$AE734,21,FALSE)*$Q640</f>
        <v>284.126129356103</v>
      </c>
      <c r="AH640" s="49">
        <f>VLOOKUP(B640,'Player Data'!$A1:$AE734,22,FALSE)</f>
        <v>0.495986748700145</v>
      </c>
      <c r="AI640" s="46"/>
      <c r="AJ640" s="50"/>
      <c r="AK640" s="48"/>
      <c r="AL640" s="48"/>
      <c r="AM640" s="48"/>
      <c r="AN640" s="48"/>
      <c r="AO640" s="48"/>
      <c r="AP640" s="48"/>
      <c r="AQ640" s="51"/>
      <c r="AR640" s="52"/>
      <c r="AS640" s="46"/>
    </row>
    <row r="641" ht="21.25" customHeight="1">
      <c r="A641" s="53">
        <f>RANK(K641,K2:K730)</f>
        <v>681</v>
      </c>
      <c r="B641" t="s" s="8">
        <v>793</v>
      </c>
      <c r="C641" t="s" s="39">
        <v>106</v>
      </c>
      <c r="D641" t="s" s="40">
        <f>VLOOKUP(B641,'Player Data'!A1:D734,4,FALSE)</f>
        <v>133</v>
      </c>
      <c r="E641" s="57">
        <f>VLOOKUP(B641,'LW'!A1:C156,3,FALSE)</f>
        <v>145</v>
      </c>
      <c r="F641" t="s" s="42">
        <f>VLOOKUP(B641,'Player Data'!A1:B734,2,FALSE)</f>
        <v>156</v>
      </c>
      <c r="G641" s="9">
        <f>VLOOKUP(B641,'Player Data'!A1:D734,3,FALSE)</f>
        <v>22</v>
      </c>
      <c r="H641" s="43">
        <f>_xlfn.IFERROR(VLOOKUP(B641,'ADP'!A1:G731,7,FALSE)/1000000,VLOOKUP(B641,'ADP'!A1:G731,7,FALSE))</f>
        <v>1.1</v>
      </c>
      <c r="I641" s="44">
        <f>IF('Settings'!$E$15="POINTS",((R641*Q641)*'Settings'!$B$12)+(S641*'Settings'!$B$2)+(T641*'Settings'!$B$3)+(U641*'Settings'!$B$4)+(V641*'Settings'!$B$5)+(X641*'Settings'!$B$9)+(AA641*'Settings'!$B$6)+(W641*'Settings'!$B$8)+(AB641*'Settings'!$B$7)+(AC641*'Settings'!$B$14)+(AD641*'Settings'!$B$15)+(AE641*'Settings'!$B$16)+(AF641*'Settings'!$B$17)+(AG641*'Settings'!$B$18)+(Y641*'Settings'!$B$10)+(Z641*'Settings'!$B$11),VLOOKUP(B641,'Standard Deviations'!A1:C731,3,FALSE))</f>
        <v>131.256856376053</v>
      </c>
      <c r="J641" s="45">
        <f>IF(D641="G",I641/AJ641,I641/Q641)</f>
        <v>2.38648829774642</v>
      </c>
      <c r="K641" s="44">
        <f>IF('Settings'!$E$18="C/LW/RW",VLOOKUP(B641,'LW'!A1:F156,6,FALSE),VLOOKUP(B641,'F'!A1:F432,6,FALSE))</f>
        <v>-250.371707330303</v>
      </c>
      <c r="L641" s="44">
        <f>_xlfn.IFERROR(K641/H641,"N/A")</f>
        <v>-227.610643027548</v>
      </c>
      <c r="M641" t="s" s="61">
        <f>IF('Settings'!$E$9="YAHOO",VLOOKUP(B641,'ADP'!A1:E731,2,FALSE),IF('Settings'!$E$9="ESPN",VLOOKUP(B641,'ADP'!A1:E731,3,FALSE),IF('Settings'!$E$9="FANTRAX",VLOOKUP(B641,'ADP'!A1:E731,4,FALSE),VLOOKUP(B641,'ADP'!A1:E731,5,FALSE))))</f>
        <v>329</v>
      </c>
      <c r="N641" t="s" s="61">
        <f>_xlfn.IFERROR(M641-A641,"N/A")</f>
        <v>158</v>
      </c>
      <c r="O641" s="46"/>
      <c r="P641" t="s" s="47">
        <f>IF('Settings'!$E$27="ON",VLOOKUP(B641,'ADP'!A1:H731,8,FALSE)," ")</f>
        <v>109</v>
      </c>
      <c r="Q641" s="48">
        <f>IF('Settings'!$E$12="YES",VLOOKUP(B641,'Player Data'!A1:E734,5,FALSE),82)</f>
        <v>55</v>
      </c>
      <c r="R641" s="46">
        <f>VLOOKUP(B641,'Player Data'!$A1:$AE734,6,FALSE)</f>
        <v>12.0552</v>
      </c>
      <c r="S641" s="48">
        <f>VLOOKUP(B641,'Player Data'!$A1:$AE734,7,FALSE)*$Q641*_xlfn.IFERROR((VLOOKUP(P641,'Settings'!$E$28:$F$33,2,FALSE)+1),1)</f>
        <v>8.65689520422282</v>
      </c>
      <c r="T641" s="48">
        <f>VLOOKUP(B641,'Player Data'!$A1:$AE734,8,FALSE)*$Q641*_xlfn.IFERROR((VLOOKUP(P641,'Settings'!$E$28:$F$33,2,FALSE)+1),1)</f>
        <v>10.1806327786025</v>
      </c>
      <c r="U641" s="48">
        <f>SUM(S641:T641)</f>
        <v>18.8375279828253</v>
      </c>
      <c r="V641" s="48">
        <f>VLOOKUP(B641,'Player Data'!$A1:$AE734,10,FALSE)*$Q641*_xlfn.IFERROR(((VLOOKUP(P641,'Settings'!$E$28:$F$33,2,FALSE)/2)+1),1)</f>
        <v>82.7139224666216</v>
      </c>
      <c r="W641" s="48">
        <f>VLOOKUP(B641,'Player Data'!$A1:$AE734,11,FALSE)*$Q641*_xlfn.IFERROR((VLOOKUP(P641,'Settings'!$E$28:$F$33,2,FALSE)+1),1)</f>
        <v>0.222298644891255</v>
      </c>
      <c r="X641" s="48">
        <f>VLOOKUP(B641,'Player Data'!$A1:$AE734,12,FALSE)*$Q641*_xlfn.IFERROR((VLOOKUP(P641,'Settings'!$E$28:$F$33,2,FALSE)+1),1)</f>
        <v>0.533388313760942</v>
      </c>
      <c r="Y641" s="48">
        <f>VLOOKUP(B641,'Player Data'!$A1:$AE734,13,FALSE)*$Q641</f>
        <v>0</v>
      </c>
      <c r="Z641" s="48">
        <f>VLOOKUP(B641,'Player Data'!$A1:$AE734,14,FALSE)*$Q641</f>
        <v>0</v>
      </c>
      <c r="AA641" s="48">
        <f>VLOOKUP(B641,'Player Data'!$A1:$AE734,15,FALSE)*$Q641</f>
        <v>17.1917140590328</v>
      </c>
      <c r="AB641" s="48">
        <f>VLOOKUP(B641,'Player Data'!$A1:$AE734,16,FALSE)*$Q641</f>
        <v>47.2244454336607</v>
      </c>
      <c r="AC641" s="48">
        <f>VLOOKUP(B641,'Player Data'!$A1:$AE734,17,FALSE)*$Q641*_xlfn.IFERROR((VLOOKUP(P641,'Settings'!$E$28:$F$33,2,FALSE)+1),1)</f>
        <v>-0.0414387858376141</v>
      </c>
      <c r="AD641" s="48">
        <f>VLOOKUP(B641,'Player Data'!$A1:$AE734,18,FALSE)*$Q641</f>
        <v>16.0534285274747</v>
      </c>
      <c r="AE641" s="48">
        <f>VLOOKUP(B641,'Player Data'!$A1:$AE734,19,FALSE)*$Q641*_xlfn.IFERROR((VLOOKUP(P641,'Settings'!$E$28:$F$33,2,FALSE)+1),1)</f>
        <v>1.22546704614127</v>
      </c>
      <c r="AF641" s="48">
        <f>VLOOKUP(B641,'Player Data'!$A1:$AE734,20,FALSE)*$Q641</f>
        <v>0.750254924042333</v>
      </c>
      <c r="AG641" s="48">
        <f>VLOOKUP(B641,'Player Data'!$A1:$AE734,21,FALSE)*$Q641</f>
        <v>1.95682135934704</v>
      </c>
      <c r="AH641" s="49">
        <f>VLOOKUP(B641,'Player Data'!$A1:$AE734,22,FALSE)</f>
        <v>0.277145837613035</v>
      </c>
      <c r="AI641" s="46"/>
      <c r="AJ641" s="50"/>
      <c r="AK641" s="48"/>
      <c r="AL641" s="48"/>
      <c r="AM641" s="48"/>
      <c r="AN641" s="48"/>
      <c r="AO641" s="48"/>
      <c r="AP641" s="48"/>
      <c r="AQ641" s="51"/>
      <c r="AR641" s="52"/>
      <c r="AS641" s="46"/>
    </row>
    <row r="642" ht="21.25" customHeight="1">
      <c r="A642" s="53">
        <f>RANK(K642,K2:K730)</f>
        <v>366</v>
      </c>
      <c r="B642" t="s" s="8">
        <v>794</v>
      </c>
      <c r="C642" t="s" s="39">
        <v>106</v>
      </c>
      <c r="D642" t="s" s="40">
        <f>VLOOKUP(B642,'Player Data'!A1:D734,4,FALSE)</f>
        <v>146</v>
      </c>
      <c r="E642" s="58">
        <f>VLOOKUP(B642,'G'!A1:D75,3,FALSE)</f>
        <v>49</v>
      </c>
      <c r="F642" t="s" s="42">
        <f>VLOOKUP(B642,'Player Data'!A1:B734,2,FALSE)</f>
        <v>151</v>
      </c>
      <c r="G642" s="9">
        <f>VLOOKUP(B642,'Player Data'!A1:D734,3,FALSE)</f>
        <v>37</v>
      </c>
      <c r="H642" s="43">
        <f>_xlfn.IFERROR(VLOOKUP(B642,'ADP'!A1:G731,7,FALSE)/1000000,VLOOKUP(B642,'ADP'!A1:G731,7,FALSE))</f>
        <v>0</v>
      </c>
      <c r="I642" s="44">
        <f>IF('Settings'!$E$15="POINTS",(AJ642*'Settings'!$B$29)+(AK642*'Settings'!$B$21)+(AL642*'Settings'!$B$22)+(AN642*'Settings'!$B$24)+(AO642*'Settings'!$B$25)+(AP642*'Settings'!$B$27)+(AM642*'Settings'!$B$23),VLOOKUP(B642,'Standard Deviations'!A1:C731,3,FALSE))</f>
        <v>126.403435391137</v>
      </c>
      <c r="J642" s="45">
        <f>IF(D642="G",I642/AJ642,I642/Q642)</f>
        <v>5.26680980796404</v>
      </c>
      <c r="K642" s="44">
        <f>VLOOKUP(B642,'G'!A1:F75,6,FALSE)</f>
        <v>-138.899786108551</v>
      </c>
      <c r="L642" t="s" s="60">
        <f>_xlfn.IFERROR(K642/H642,"N/A")</f>
        <v>158</v>
      </c>
      <c r="M642" t="s" s="61">
        <f>IF('Settings'!$E$9="YAHOO",VLOOKUP(B642,'ADP'!A1:E731,2,FALSE),IF('Settings'!$E$9="ESPN",VLOOKUP(B642,'ADP'!A1:E731,3,FALSE),IF('Settings'!$E$9="FANTRAX",VLOOKUP(B642,'ADP'!A1:E731,4,FALSE),VLOOKUP(B642,'ADP'!A1:E731,5,FALSE))))</f>
        <v>329</v>
      </c>
      <c r="N642" t="s" s="61">
        <f>_xlfn.IFERROR(M642-A642,"N/A")</f>
        <v>158</v>
      </c>
      <c r="O642" s="46"/>
      <c r="P642" t="s" s="47">
        <f>IF('Settings'!$E$27="ON",VLOOKUP(B642,'ADP'!A1:H731,8,FALSE)," ")</f>
        <v>109</v>
      </c>
      <c r="Q642" s="48"/>
      <c r="R642" s="59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9"/>
      <c r="AI642" s="46"/>
      <c r="AJ642" s="50">
        <f>VLOOKUP(B642,'Player Data'!$A1:$AE734,24,FALSE)</f>
        <v>24</v>
      </c>
      <c r="AK642" s="48">
        <f>VLOOKUP(B642,'Player Data'!$A1:$AE734,25,FALSE)*$AJ642*_xlfn.IFERROR((VLOOKUP(P642,'Settings'!$E$28:$F$33,2,FALSE)+1),1)</f>
        <v>13.0867120336111</v>
      </c>
      <c r="AL642" s="48">
        <f>AJ642-AK642-AM642</f>
        <v>7.9132879663889</v>
      </c>
      <c r="AM642" s="48">
        <f>VLOOKUP(B642,'Player Data'!$A1:$AE734,27,FALSE)*$AJ642</f>
        <v>3</v>
      </c>
      <c r="AN642" s="48">
        <f>VLOOKUP(B642,'Player Data'!$A1:$AE734,28,FALSE)*AJ642</f>
        <v>0.745987049949331</v>
      </c>
      <c r="AO642" s="48">
        <f>VLOOKUP(B642,'Player Data'!$A1:$AE734,29,FALSE)*$AJ642*_xlfn.IFERROR((VLOOKUP(P642,'Settings'!$E$28:$F$33,2,FALSE)/4)+1,1)</f>
        <v>659.536965925253</v>
      </c>
      <c r="AP642" s="48">
        <f>VLOOKUP(B642,'Player Data'!$A1:$AE734,31,FALSE)*$AJ642*(_xlfn.IFERROR(1-(VLOOKUP(P642,'Settings'!$E$28:$F$33,2,FALSE)/4),1))</f>
        <v>75.303834424747</v>
      </c>
      <c r="AQ642" s="51">
        <f>1-(AP642/(AO642+AP642))</f>
        <v>0.89752360730531</v>
      </c>
      <c r="AR642" s="52">
        <f>AP642/AJ642</f>
        <v>3.13765976769779</v>
      </c>
      <c r="AS642" s="46"/>
    </row>
    <row r="643" ht="21.25" customHeight="1">
      <c r="A643" s="53">
        <f>RANK(K643,K2:K730)</f>
        <v>661</v>
      </c>
      <c r="B643" t="s" s="8">
        <v>795</v>
      </c>
      <c r="C643" t="s" s="39">
        <v>106</v>
      </c>
      <c r="D643" t="s" s="40">
        <f>VLOOKUP(B643,'Player Data'!A1:D734,4,FALSE)</f>
        <v>107</v>
      </c>
      <c r="E643" s="41">
        <f>VLOOKUP(B643,'C'!A1:C218,3,FALSE)</f>
        <v>176</v>
      </c>
      <c r="F643" t="s" s="42">
        <f>VLOOKUP(B643,'Player Data'!A1:B734,2,FALSE)</f>
        <v>236</v>
      </c>
      <c r="G643" s="9">
        <f>VLOOKUP(B643,'Player Data'!A1:D734,3,FALSE)</f>
        <v>24</v>
      </c>
      <c r="H643" s="43">
        <f>_xlfn.IFERROR(VLOOKUP(B643,'ADP'!A1:G731,7,FALSE)/1000000,VLOOKUP(B643,'ADP'!A1:G731,7,FALSE))</f>
        <v>1.4</v>
      </c>
      <c r="I643" s="44">
        <f>IF('Settings'!$E$15="POINTS",((R643*Q643)*'Settings'!$B$12)+(S643*'Settings'!$B$2)+(T643*'Settings'!$B$3)+(U643*'Settings'!$B$4)+(V643*'Settings'!$B$5)+(X643*'Settings'!$B$9)+(AA643*'Settings'!$B$6)+(W643*'Settings'!$B$8)+(AB643*'Settings'!$B$7)+(AC643*'Settings'!$B$14)+(AD643*'Settings'!$B$15)+(AE643*'Settings'!$B$16)+(AF643*'Settings'!$B$17)+(AG643*'Settings'!$B$18)+(Y643*'Settings'!$B$10)+(Z643*'Settings'!$B$11),VLOOKUP(B643,'Standard Deviations'!A1:C731,3,FALSE))</f>
        <v>157.077174690351</v>
      </c>
      <c r="J643" s="45">
        <f>IF(D643="G",I643/AJ643,I643/Q643)</f>
        <v>2.22662378184635</v>
      </c>
      <c r="K643" s="44">
        <f>IF('Settings'!$E$18="C/LW/RW",VLOOKUP(B643,'C'!A1:F218,6,FALSE),VLOOKUP(B643,'F'!A1:F432,6,FALSE))</f>
        <v>-238.697026945664</v>
      </c>
      <c r="L643" s="44">
        <f>_xlfn.IFERROR(K643/H643,"N/A")</f>
        <v>-170.497876389760</v>
      </c>
      <c r="M643" t="s" s="61">
        <f>IF('Settings'!$E$9="YAHOO",VLOOKUP(B643,'ADP'!A1:E731,2,FALSE),IF('Settings'!$E$9="ESPN",VLOOKUP(B643,'ADP'!A1:E731,3,FALSE),IF('Settings'!$E$9="FANTRAX",VLOOKUP(B643,'ADP'!A1:E731,4,FALSE),VLOOKUP(B643,'ADP'!A1:E731,5,FALSE))))</f>
        <v>329</v>
      </c>
      <c r="N643" t="s" s="61">
        <f>_xlfn.IFERROR(M643-A643,"N/A")</f>
        <v>158</v>
      </c>
      <c r="O643" s="46"/>
      <c r="P643" t="s" s="47">
        <f>IF('Settings'!$E$27="ON",VLOOKUP(B643,'ADP'!A1:H731,8,FALSE)," ")</f>
        <v>109</v>
      </c>
      <c r="Q643" s="48">
        <f>IF('Settings'!$E$12="YES",VLOOKUP(B643,'Player Data'!A1:E734,5,FALSE),82)</f>
        <v>70.545</v>
      </c>
      <c r="R643" s="46">
        <f>VLOOKUP(B643,'Player Data'!$A1:$AE734,6,FALSE)</f>
        <v>11.0340297600811</v>
      </c>
      <c r="S643" s="48">
        <f>VLOOKUP(B643,'Player Data'!$A1:$AE734,7,FALSE)*$Q643*_xlfn.IFERROR((VLOOKUP(P643,'Settings'!$E$28:$F$33,2,FALSE)+1),1)</f>
        <v>8.95516644148339</v>
      </c>
      <c r="T643" s="48">
        <f>VLOOKUP(B643,'Player Data'!$A1:$AE734,8,FALSE)*$Q643*_xlfn.IFERROR((VLOOKUP(P643,'Settings'!$E$28:$F$33,2,FALSE)+1),1)</f>
        <v>9.727799373181901</v>
      </c>
      <c r="U643" s="48">
        <f>SUM(S643:T643)</f>
        <v>18.6829658146653</v>
      </c>
      <c r="V643" s="48">
        <f>VLOOKUP(B643,'Player Data'!$A1:$AE734,10,FALSE)*$Q643*_xlfn.IFERROR(((VLOOKUP(P643,'Settings'!$E$28:$F$33,2,FALSE)/2)+1),1)</f>
        <v>83.9332363323126</v>
      </c>
      <c r="W643" s="48">
        <f>VLOOKUP(B643,'Player Data'!$A1:$AE734,11,FALSE)*$Q643*_xlfn.IFERROR((VLOOKUP(P643,'Settings'!$E$28:$F$33,2,FALSE)+1),1)</f>
        <v>0.08563925610810021</v>
      </c>
      <c r="X643" s="48">
        <f>VLOOKUP(B643,'Player Data'!$A1:$AE734,12,FALSE)*$Q643*_xlfn.IFERROR((VLOOKUP(P643,'Settings'!$E$28:$F$33,2,FALSE)+1),1)</f>
        <v>0.14705697891291</v>
      </c>
      <c r="Y643" s="48">
        <f>VLOOKUP(B643,'Player Data'!$A1:$AE734,13,FALSE)*$Q643</f>
        <v>1.70072226795665</v>
      </c>
      <c r="Z643" s="48">
        <f>VLOOKUP(B643,'Player Data'!$A1:$AE734,14,FALSE)*$Q643</f>
        <v>2.61959139935778</v>
      </c>
      <c r="AA643" s="48">
        <f>VLOOKUP(B643,'Player Data'!$A1:$AE734,15,FALSE)*$Q643</f>
        <v>43.9679388295024</v>
      </c>
      <c r="AB643" s="48">
        <f>VLOOKUP(B643,'Player Data'!$A1:$AE734,16,FALSE)*$Q643</f>
        <v>73.62302881802729</v>
      </c>
      <c r="AC643" s="48">
        <f>VLOOKUP(B643,'Player Data'!$A1:$AE734,17,FALSE)*$Q643*_xlfn.IFERROR((VLOOKUP(P643,'Settings'!$E$28:$F$33,2,FALSE)+1),1)</f>
        <v>-5.22387372674574</v>
      </c>
      <c r="AD643" s="48">
        <f>VLOOKUP(B643,'Player Data'!$A1:$AE734,18,FALSE)*$Q643</f>
        <v>12.207922788150</v>
      </c>
      <c r="AE643" s="48">
        <f>VLOOKUP(B643,'Player Data'!$A1:$AE734,19,FALSE)*$Q643*_xlfn.IFERROR((VLOOKUP(P643,'Settings'!$E$28:$F$33,2,FALSE)+1),1)</f>
        <v>1.05264079218775</v>
      </c>
      <c r="AF643" s="48">
        <f>VLOOKUP(B643,'Player Data'!$A1:$AE734,20,FALSE)*$Q643</f>
        <v>237.921031994936</v>
      </c>
      <c r="AG643" s="48">
        <f>VLOOKUP(B643,'Player Data'!$A1:$AE734,21,FALSE)*$Q643</f>
        <v>281.382450415486</v>
      </c>
      <c r="AH643" s="49">
        <f>VLOOKUP(B643,'Player Data'!$A1:$AE734,22,FALSE)</f>
        <v>0.45815412384795</v>
      </c>
      <c r="AI643" s="46"/>
      <c r="AJ643" s="48"/>
      <c r="AK643" s="48"/>
      <c r="AL643" s="48"/>
      <c r="AM643" s="48"/>
      <c r="AN643" s="48"/>
      <c r="AO643" s="48"/>
      <c r="AP643" s="48"/>
      <c r="AQ643" s="51"/>
      <c r="AR643" s="52"/>
      <c r="AS643" s="46"/>
    </row>
    <row r="644" ht="21.25" customHeight="1">
      <c r="A644" s="53">
        <f>RANK(K644,K2:K730)</f>
        <v>692</v>
      </c>
      <c r="B644" t="s" s="8">
        <v>796</v>
      </c>
      <c r="C644" t="s" s="39">
        <v>106</v>
      </c>
      <c r="D644" t="s" s="40">
        <f>VLOOKUP(B644,'Player Data'!A1:D734,4,FALSE)</f>
        <v>107</v>
      </c>
      <c r="E644" s="41">
        <f>VLOOKUP(B644,'C'!A1:C218,3,FALSE)</f>
        <v>191</v>
      </c>
      <c r="F644" t="s" s="42">
        <f>VLOOKUP(B644,'Player Data'!A1:B734,2,FALSE)</f>
        <v>166</v>
      </c>
      <c r="G644" s="9">
        <f>VLOOKUP(B644,'Player Data'!A1:D734,3,FALSE)</f>
        <v>27</v>
      </c>
      <c r="H644" s="43">
        <f>_xlfn.IFERROR(VLOOKUP(B644,'ADP'!A1:G731,7,FALSE)/1000000,VLOOKUP(B644,'ADP'!A1:G731,7,FALSE))</f>
        <v>0</v>
      </c>
      <c r="I644" s="44">
        <f>IF('Settings'!$E$15="POINTS",((R644*Q644)*'Settings'!$B$12)+(S644*'Settings'!$B$2)+(T644*'Settings'!$B$3)+(U644*'Settings'!$B$4)+(V644*'Settings'!$B$5)+(X644*'Settings'!$B$9)+(AA644*'Settings'!$B$6)+(W644*'Settings'!$B$8)+(AB644*'Settings'!$B$7)+(AC644*'Settings'!$B$14)+(AD644*'Settings'!$B$15)+(AE644*'Settings'!$B$16)+(AF644*'Settings'!$B$17)+(AG644*'Settings'!$B$18)+(Y644*'Settings'!$B$10)+(Z644*'Settings'!$B$11),VLOOKUP(B644,'Standard Deviations'!A1:C731,3,FALSE))</f>
        <v>140.476199834947</v>
      </c>
      <c r="J644" s="45">
        <f>IF(D644="G",I644/AJ644,I644/Q644)</f>
        <v>2.3853998953124</v>
      </c>
      <c r="K644" s="44">
        <f>IF('Settings'!$E$18="C/LW/RW",VLOOKUP(B644,'C'!A1:F218,6,FALSE),VLOOKUP(B644,'F'!A1:F432,6,FALSE))</f>
        <v>-255.298001801068</v>
      </c>
      <c r="L644" t="s" s="60">
        <f>_xlfn.IFERROR(K644/H644,"N/A")</f>
        <v>158</v>
      </c>
      <c r="M644" t="s" s="61">
        <f>IF('Settings'!$E$9="YAHOO",VLOOKUP(B644,'ADP'!A1:E731,2,FALSE),IF('Settings'!$E$9="ESPN",VLOOKUP(B644,'ADP'!A1:E731,3,FALSE),IF('Settings'!$E$9="FANTRAX",VLOOKUP(B644,'ADP'!A1:E731,4,FALSE),VLOOKUP(B644,'ADP'!A1:E731,5,FALSE))))</f>
        <v>329</v>
      </c>
      <c r="N644" t="s" s="61">
        <f>_xlfn.IFERROR(M644-A644,"N/A")</f>
        <v>158</v>
      </c>
      <c r="O644" s="46"/>
      <c r="P644" t="s" s="47">
        <f>IF('Settings'!$E$27="ON",VLOOKUP(B644,'ADP'!A1:H731,8,FALSE)," ")</f>
        <v>109</v>
      </c>
      <c r="Q644" s="48">
        <f>IF('Settings'!$E$12="YES",VLOOKUP(B644,'Player Data'!A1:E734,5,FALSE),82)</f>
        <v>58.89</v>
      </c>
      <c r="R644" s="46">
        <f>VLOOKUP(B644,'Player Data'!$A1:$AE734,6,FALSE)</f>
        <v>12.0083198812089</v>
      </c>
      <c r="S644" s="48">
        <f>VLOOKUP(B644,'Player Data'!$A1:$AE734,7,FALSE)*$Q644*_xlfn.IFERROR((VLOOKUP(P644,'Settings'!$E$28:$F$33,2,FALSE)+1),1)</f>
        <v>9.46836096274011</v>
      </c>
      <c r="T644" s="48">
        <f>VLOOKUP(B644,'Player Data'!$A1:$AE734,8,FALSE)*$Q644*_xlfn.IFERROR((VLOOKUP(P644,'Settings'!$E$28:$F$33,2,FALSE)+1),1)</f>
        <v>11.1772597231677</v>
      </c>
      <c r="U644" s="48">
        <f>SUM(S644:T644)</f>
        <v>20.6456206859078</v>
      </c>
      <c r="V644" s="48">
        <f>VLOOKUP(B644,'Player Data'!$A1:$AE734,10,FALSE)*$Q644*_xlfn.IFERROR(((VLOOKUP(P644,'Settings'!$E$28:$F$33,2,FALSE)/2)+1),1)</f>
        <v>79.6661469741256</v>
      </c>
      <c r="W644" s="48">
        <f>VLOOKUP(B644,'Player Data'!$A1:$AE734,11,FALSE)*$Q644*_xlfn.IFERROR((VLOOKUP(P644,'Settings'!$E$28:$F$33,2,FALSE)+1),1)</f>
        <v>0.0740612144530917</v>
      </c>
      <c r="X644" s="48">
        <f>VLOOKUP(B644,'Player Data'!$A1:$AE734,12,FALSE)*$Q644*_xlfn.IFERROR((VLOOKUP(P644,'Settings'!$E$28:$F$33,2,FALSE)+1),1)</f>
        <v>0.145831769744342</v>
      </c>
      <c r="Y644" s="48">
        <f>VLOOKUP(B644,'Player Data'!$A1:$AE734,13,FALSE)*$Q644</f>
        <v>0</v>
      </c>
      <c r="Z644" s="48">
        <f>VLOOKUP(B644,'Player Data'!$A1:$AE734,14,FALSE)*$Q644</f>
        <v>0</v>
      </c>
      <c r="AA644" s="48">
        <f>VLOOKUP(B644,'Player Data'!$A1:$AE734,15,FALSE)*$Q644</f>
        <v>25.0473680966069</v>
      </c>
      <c r="AB644" s="48">
        <f>VLOOKUP(B644,'Player Data'!$A1:$AE734,16,FALSE)*$Q644</f>
        <v>47.9201551909896</v>
      </c>
      <c r="AC644" s="48">
        <f>VLOOKUP(B644,'Player Data'!$A1:$AE734,17,FALSE)*$Q644*_xlfn.IFERROR((VLOOKUP(P644,'Settings'!$E$28:$F$33,2,FALSE)+1),1)</f>
        <v>-1.7135314003671</v>
      </c>
      <c r="AD644" s="48">
        <f>VLOOKUP(B644,'Player Data'!$A1:$AE734,18,FALSE)*$Q644</f>
        <v>13.5656103586727</v>
      </c>
      <c r="AE644" s="48">
        <f>VLOOKUP(B644,'Player Data'!$A1:$AE734,19,FALSE)*$Q644*_xlfn.IFERROR((VLOOKUP(P644,'Settings'!$E$28:$F$33,2,FALSE)+1),1)</f>
        <v>1.16466413574566</v>
      </c>
      <c r="AF644" s="48">
        <f>VLOOKUP(B644,'Player Data'!$A1:$AE734,20,FALSE)*$Q644</f>
        <v>4.7759197861801</v>
      </c>
      <c r="AG644" s="48">
        <f>VLOOKUP(B644,'Player Data'!$A1:$AE734,21,FALSE)*$Q644</f>
        <v>7.83974765046743</v>
      </c>
      <c r="AH644" s="49">
        <f>VLOOKUP(B644,'Player Data'!$A1:$AE734,22,FALSE)</f>
        <v>0.37857052035998</v>
      </c>
      <c r="AI644" s="46"/>
      <c r="AJ644" s="48"/>
      <c r="AK644" s="48"/>
      <c r="AL644" s="48"/>
      <c r="AM644" s="48"/>
      <c r="AN644" s="48"/>
      <c r="AO644" s="48"/>
      <c r="AP644" s="48"/>
      <c r="AQ644" s="51"/>
      <c r="AR644" s="52"/>
      <c r="AS644" s="46"/>
    </row>
    <row r="645" ht="21.25" customHeight="1">
      <c r="A645" s="53">
        <f>RANK(K645,K2:K730)</f>
        <v>673</v>
      </c>
      <c r="B645" t="s" s="8">
        <v>797</v>
      </c>
      <c r="C645" t="s" s="39">
        <v>106</v>
      </c>
      <c r="D645" t="s" s="40">
        <f>VLOOKUP(B645,'Player Data'!A1:D734,4,FALSE)</f>
        <v>107</v>
      </c>
      <c r="E645" s="41">
        <f>VLOOKUP(B645,'C'!A1:C218,3,FALSE)</f>
        <v>181</v>
      </c>
      <c r="F645" t="s" s="42">
        <f>VLOOKUP(B645,'Player Data'!A1:B734,2,FALSE)</f>
        <v>151</v>
      </c>
      <c r="G645" s="9">
        <f>VLOOKUP(B645,'Player Data'!A1:D734,3,FALSE)</f>
        <v>35</v>
      </c>
      <c r="H645" s="43">
        <f>_xlfn.IFERROR(VLOOKUP(B645,'ADP'!A1:G731,7,FALSE)/1000000,VLOOKUP(B645,'ADP'!A1:G731,7,FALSE))</f>
        <v>0.8</v>
      </c>
      <c r="I645" s="44">
        <f>IF('Settings'!$E$15="POINTS",((R645*Q645)*'Settings'!$B$12)+(S645*'Settings'!$B$2)+(T645*'Settings'!$B$3)+(U645*'Settings'!$B$4)+(V645*'Settings'!$B$5)+(X645*'Settings'!$B$9)+(AA645*'Settings'!$B$6)+(W645*'Settings'!$B$8)+(AB645*'Settings'!$B$7)+(AC645*'Settings'!$B$14)+(AD645*'Settings'!$B$15)+(AE645*'Settings'!$B$16)+(AF645*'Settings'!$B$17)+(AG645*'Settings'!$B$18)+(Y645*'Settings'!$B$10)+(Z645*'Settings'!$B$11),VLOOKUP(B645,'Standard Deviations'!A1:C731,3,FALSE))</f>
        <v>149.432847803764</v>
      </c>
      <c r="J645" s="45">
        <f>IF(D645="G",I645/AJ645,I645/Q645)</f>
        <v>2.07545621949672</v>
      </c>
      <c r="K645" s="44">
        <f>IF('Settings'!$E$18="C/LW/RW",VLOOKUP(B645,'C'!A1:F218,6,FALSE),VLOOKUP(B645,'F'!A1:F432,6,FALSE))</f>
        <v>-246.341353832251</v>
      </c>
      <c r="L645" s="44">
        <f>_xlfn.IFERROR(K645/H645,"N/A")</f>
        <v>-307.926692290314</v>
      </c>
      <c r="M645" t="s" s="61">
        <f>IF('Settings'!$E$9="YAHOO",VLOOKUP(B645,'ADP'!A1:E731,2,FALSE),IF('Settings'!$E$9="ESPN",VLOOKUP(B645,'ADP'!A1:E731,3,FALSE),IF('Settings'!$E$9="FANTRAX",VLOOKUP(B645,'ADP'!A1:E731,4,FALSE),VLOOKUP(B645,'ADP'!A1:E731,5,FALSE))))</f>
        <v>329</v>
      </c>
      <c r="N645" t="s" s="61">
        <f>_xlfn.IFERROR(M645-A645,"N/A")</f>
        <v>158</v>
      </c>
      <c r="O645" s="46"/>
      <c r="P645" t="s" s="47">
        <f>IF('Settings'!$E$27="ON",VLOOKUP(B645,'ADP'!A1:H731,8,FALSE)," ")</f>
        <v>109</v>
      </c>
      <c r="Q645" s="48">
        <f>IF('Settings'!$E$12="YES",VLOOKUP(B645,'Player Data'!A1:E734,5,FALSE),82)</f>
        <v>72</v>
      </c>
      <c r="R645" s="46">
        <f>VLOOKUP(B645,'Player Data'!$A1:$AE734,6,FALSE)</f>
        <v>12.9197530240193</v>
      </c>
      <c r="S645" s="48">
        <f>VLOOKUP(B645,'Player Data'!$A1:$AE734,7,FALSE)*$Q645*_xlfn.IFERROR((VLOOKUP(P645,'Settings'!$E$28:$F$33,2,FALSE)+1),1)</f>
        <v>8.67606346410458</v>
      </c>
      <c r="T645" s="48">
        <f>VLOOKUP(B645,'Player Data'!$A1:$AE734,8,FALSE)*$Q645*_xlfn.IFERROR((VLOOKUP(P645,'Settings'!$E$28:$F$33,2,FALSE)+1),1)</f>
        <v>7.26572013607678</v>
      </c>
      <c r="U645" s="48">
        <f>SUM(S645:T645)</f>
        <v>15.9417836001814</v>
      </c>
      <c r="V645" s="48">
        <f>VLOOKUP(B645,'Player Data'!$A1:$AE734,10,FALSE)*$Q645*_xlfn.IFERROR(((VLOOKUP(P645,'Settings'!$E$28:$F$33,2,FALSE)/2)+1),1)</f>
        <v>87.120591227604</v>
      </c>
      <c r="W645" s="48">
        <f>VLOOKUP(B645,'Player Data'!$A1:$AE734,11,FALSE)*$Q645*_xlfn.IFERROR((VLOOKUP(P645,'Settings'!$E$28:$F$33,2,FALSE)+1),1)</f>
        <v>0.207203354636355</v>
      </c>
      <c r="X645" s="48">
        <f>VLOOKUP(B645,'Player Data'!$A1:$AE734,12,FALSE)*$Q645*_xlfn.IFERROR((VLOOKUP(P645,'Settings'!$E$28:$F$33,2,FALSE)+1),1)</f>
        <v>0.527923697919393</v>
      </c>
      <c r="Y645" s="48">
        <f>VLOOKUP(B645,'Player Data'!$A1:$AE734,13,FALSE)*$Q645</f>
        <v>0.301345376199189</v>
      </c>
      <c r="Z645" s="48">
        <f>VLOOKUP(B645,'Player Data'!$A1:$AE734,14,FALSE)*$Q645</f>
        <v>0.363802452838685</v>
      </c>
      <c r="AA645" s="48">
        <f>VLOOKUP(B645,'Player Data'!$A1:$AE734,15,FALSE)*$Q645</f>
        <v>72.772144187351</v>
      </c>
      <c r="AB645" s="48">
        <f>VLOOKUP(B645,'Player Data'!$A1:$AE734,16,FALSE)*$Q645</f>
        <v>31.6777167756331</v>
      </c>
      <c r="AC645" s="48">
        <f>VLOOKUP(B645,'Player Data'!$A1:$AE734,17,FALSE)*$Q645*_xlfn.IFERROR((VLOOKUP(P645,'Settings'!$E$28:$F$33,2,FALSE)+1),1)</f>
        <v>3.45627213698285</v>
      </c>
      <c r="AD645" s="48">
        <f>VLOOKUP(B645,'Player Data'!$A1:$AE734,18,FALSE)*$Q645</f>
        <v>16.9426832931265</v>
      </c>
      <c r="AE645" s="48">
        <f>VLOOKUP(B645,'Player Data'!$A1:$AE734,19,FALSE)*$Q645*_xlfn.IFERROR((VLOOKUP(P645,'Settings'!$E$28:$F$33,2,FALSE)+1),1)</f>
        <v>1.47838501283269</v>
      </c>
      <c r="AF645" s="48">
        <f>VLOOKUP(B645,'Player Data'!$A1:$AE734,20,FALSE)*$Q645</f>
        <v>256.524974530747</v>
      </c>
      <c r="AG645" s="48">
        <f>VLOOKUP(B645,'Player Data'!$A1:$AE734,21,FALSE)*$Q645</f>
        <v>252.1918273226</v>
      </c>
      <c r="AH645" s="49">
        <f>VLOOKUP(B645,'Player Data'!$A1:$AE734,22,FALSE)</f>
        <v>0.5042588992464569</v>
      </c>
      <c r="AI645" s="46"/>
      <c r="AJ645" s="50"/>
      <c r="AK645" s="48"/>
      <c r="AL645" s="48"/>
      <c r="AM645" s="48"/>
      <c r="AN645" s="48"/>
      <c r="AO645" s="48"/>
      <c r="AP645" s="48"/>
      <c r="AQ645" s="51"/>
      <c r="AR645" s="52"/>
      <c r="AS645" s="46"/>
    </row>
    <row r="646" ht="21.25" customHeight="1">
      <c r="A646" s="53">
        <f>RANK(K646,K2:K730)</f>
        <v>379</v>
      </c>
      <c r="B646" t="s" s="8">
        <v>798</v>
      </c>
      <c r="C646" t="s" s="39">
        <v>106</v>
      </c>
      <c r="D646" t="s" s="40">
        <f>VLOOKUP(B646,'Player Data'!A1:D734,4,FALSE)</f>
        <v>146</v>
      </c>
      <c r="E646" s="58">
        <f>VLOOKUP(B646,'G'!A1:D75,3,FALSE)</f>
        <v>50</v>
      </c>
      <c r="F646" t="s" s="42">
        <f>VLOOKUP(B646,'Player Data'!A1:B734,2,FALSE)</f>
        <v>236</v>
      </c>
      <c r="G646" s="9">
        <f>VLOOKUP(B646,'Player Data'!A1:D734,3,FALSE)</f>
        <v>28</v>
      </c>
      <c r="H646" s="43">
        <f>_xlfn.IFERROR(VLOOKUP(B646,'ADP'!A1:G731,7,FALSE)/1000000,VLOOKUP(B646,'ADP'!A1:G731,7,FALSE))</f>
        <v>5</v>
      </c>
      <c r="I646" s="44">
        <f>IF('Settings'!$E$15="POINTS",(AJ646*'Settings'!$B$29)+(AK646*'Settings'!$B$21)+(AL646*'Settings'!$B$22)+(AN646*'Settings'!$B$24)+(AO646*'Settings'!$B$25)+(AP646*'Settings'!$B$27)+(AM646*'Settings'!$B$23),VLOOKUP(B646,'Standard Deviations'!A1:C731,3,FALSE))</f>
        <v>120.261108249830</v>
      </c>
      <c r="J646" s="45">
        <f>IF(D646="G",I646/AJ646,I646/Q646)</f>
        <v>5.01087951040958</v>
      </c>
      <c r="K646" s="44">
        <f>VLOOKUP(B646,'G'!A1:F75,6,FALSE)</f>
        <v>-145.042113249858</v>
      </c>
      <c r="L646" s="44">
        <f>_xlfn.IFERROR(K646/H646,"N/A")</f>
        <v>-29.0084226499716</v>
      </c>
      <c r="M646" t="s" s="61">
        <f>IF('Settings'!$E$9="YAHOO",VLOOKUP(B646,'ADP'!A1:E731,2,FALSE),IF('Settings'!$E$9="ESPN",VLOOKUP(B646,'ADP'!A1:E731,3,FALSE),IF('Settings'!$E$9="FANTRAX",VLOOKUP(B646,'ADP'!A1:E731,4,FALSE),VLOOKUP(B646,'ADP'!A1:E731,5,FALSE))))</f>
        <v>329</v>
      </c>
      <c r="N646" t="s" s="61">
        <f>_xlfn.IFERROR(M646-A646,"N/A")</f>
        <v>158</v>
      </c>
      <c r="O646" s="46"/>
      <c r="P646" t="s" s="47">
        <f>IF('Settings'!$E$27="ON",VLOOKUP(B646,'ADP'!A1:H731,8,FALSE)," ")</f>
        <v>109</v>
      </c>
      <c r="Q646" s="48"/>
      <c r="R646" s="59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9"/>
      <c r="AI646" s="46"/>
      <c r="AJ646" s="50">
        <f>VLOOKUP(B646,'Player Data'!$A1:$AE734,24,FALSE)</f>
        <v>24</v>
      </c>
      <c r="AK646" s="48">
        <f>VLOOKUP(B646,'Player Data'!$A1:$AE734,25,FALSE)*$AJ646*_xlfn.IFERROR((VLOOKUP(P646,'Settings'!$E$28:$F$33,2,FALSE)+1),1)</f>
        <v>8.60089170736445</v>
      </c>
      <c r="AL646" s="48">
        <f>AJ646-AK646-AM646</f>
        <v>12.3991082926356</v>
      </c>
      <c r="AM646" s="48">
        <f>VLOOKUP(B646,'Player Data'!$A1:$AE734,27,FALSE)*$AJ646</f>
        <v>3</v>
      </c>
      <c r="AN646" s="48">
        <f>VLOOKUP(B646,'Player Data'!$A1:$AE734,28,FALSE)*AJ646</f>
        <v>0.740684142870643</v>
      </c>
      <c r="AO646" s="48">
        <f>VLOOKUP(B646,'Player Data'!$A1:$AE734,29,FALSE)*$AJ646*_xlfn.IFERROR((VLOOKUP(P646,'Settings'!$E$28:$F$33,2,FALSE)/4)+1,1)</f>
        <v>684.320823346735</v>
      </c>
      <c r="AP646" s="48">
        <f>VLOOKUP(B646,'Player Data'!$A1:$AE734,31,FALSE)*$AJ646*(_xlfn.IFERROR(1-(VLOOKUP(P646,'Settings'!$E$28:$F$33,2,FALSE)/4),1))</f>
        <v>75.37324420326379</v>
      </c>
      <c r="AQ646" s="51">
        <f>1-(AP646/(AO646+AP646))</f>
        <v>0.900784740301657</v>
      </c>
      <c r="AR646" s="52">
        <f>AP646/AJ646</f>
        <v>3.14055184180266</v>
      </c>
      <c r="AS646" s="46"/>
    </row>
    <row r="647" ht="21.25" customHeight="1">
      <c r="A647" s="53">
        <f>RANK(K647,K2:K730)</f>
        <v>643</v>
      </c>
      <c r="B647" t="s" s="8">
        <v>799</v>
      </c>
      <c r="C647" t="s" s="39">
        <v>106</v>
      </c>
      <c r="D647" t="s" s="40">
        <f>VLOOKUP(B647,'Player Data'!A1:D734,4,FALSE)</f>
        <v>133</v>
      </c>
      <c r="E647" s="57">
        <f>VLOOKUP(B647,'LW'!A1:C156,3,FALSE)</f>
        <v>135</v>
      </c>
      <c r="F647" t="s" s="42">
        <f>VLOOKUP(B647,'Player Data'!A1:B734,2,FALSE)</f>
        <v>225</v>
      </c>
      <c r="G647" s="9">
        <f>VLOOKUP(B647,'Player Data'!A1:D734,3,FALSE)</f>
        <v>25</v>
      </c>
      <c r="H647" s="43">
        <f>_xlfn.IFERROR(VLOOKUP(B647,'ADP'!A1:G731,7,FALSE)/1000000,VLOOKUP(B647,'ADP'!A1:G731,7,FALSE))</f>
        <v>0.758333</v>
      </c>
      <c r="I647" s="44">
        <f>IF('Settings'!$E$15="POINTS",((R647*Q647)*'Settings'!$B$12)+(S647*'Settings'!$B$2)+(T647*'Settings'!$B$3)+(U647*'Settings'!$B$4)+(V647*'Settings'!$B$5)+(X647*'Settings'!$B$9)+(AA647*'Settings'!$B$6)+(W647*'Settings'!$B$8)+(AB647*'Settings'!$B$7)+(AC647*'Settings'!$B$14)+(AD647*'Settings'!$B$15)+(AE647*'Settings'!$B$16)+(AF647*'Settings'!$B$17)+(AG647*'Settings'!$B$18)+(Y647*'Settings'!$B$10)+(Z647*'Settings'!$B$11),VLOOKUP(B647,'Standard Deviations'!A1:C731,3,FALSE))</f>
        <v>152.208857602084</v>
      </c>
      <c r="J647" s="45">
        <f>IF(D647="G",I647/AJ647,I647/Q647)</f>
        <v>2.10793695394639</v>
      </c>
      <c r="K647" s="44">
        <f>IF('Settings'!$E$18="C/LW/RW",VLOOKUP(B647,'LW'!A1:F156,6,FALSE),VLOOKUP(B647,'F'!A1:F432,6,FALSE))</f>
        <v>-229.419706104272</v>
      </c>
      <c r="L647" s="44">
        <f>_xlfn.IFERROR(K647/H647,"N/A")</f>
        <v>-302.531613557991</v>
      </c>
      <c r="M647" t="s" s="61">
        <f>IF('Settings'!$E$9="YAHOO",VLOOKUP(B647,'ADP'!A1:E731,2,FALSE),IF('Settings'!$E$9="ESPN",VLOOKUP(B647,'ADP'!A1:E731,3,FALSE),IF('Settings'!$E$9="FANTRAX",VLOOKUP(B647,'ADP'!A1:E731,4,FALSE),VLOOKUP(B647,'ADP'!A1:E731,5,FALSE))))</f>
        <v>329</v>
      </c>
      <c r="N647" t="s" s="61">
        <f>_xlfn.IFERROR(M647-A647,"N/A")</f>
        <v>158</v>
      </c>
      <c r="O647" s="46"/>
      <c r="P647" t="s" s="47">
        <f>IF('Settings'!$E$27="ON",VLOOKUP(B647,'ADP'!A1:H731,8,FALSE)," ")</f>
        <v>109</v>
      </c>
      <c r="Q647" s="48">
        <f>IF('Settings'!$E$12="YES",VLOOKUP(B647,'Player Data'!A1:E734,5,FALSE),82)</f>
        <v>72.2075</v>
      </c>
      <c r="R647" s="46">
        <f>VLOOKUP(B647,'Player Data'!$A1:$AE734,6,FALSE)</f>
        <v>12.2772769974769</v>
      </c>
      <c r="S647" s="48">
        <f>VLOOKUP(B647,'Player Data'!$A1:$AE734,7,FALSE)*$Q647*_xlfn.IFERROR((VLOOKUP(P647,'Settings'!$E$28:$F$33,2,FALSE)+1),1)</f>
        <v>6.53137699632427</v>
      </c>
      <c r="T647" s="48">
        <f>VLOOKUP(B647,'Player Data'!$A1:$AE734,8,FALSE)*$Q647*_xlfn.IFERROR((VLOOKUP(P647,'Settings'!$E$28:$F$33,2,FALSE)+1),1)</f>
        <v>11.5483681574497</v>
      </c>
      <c r="U647" s="48">
        <f>SUM(S647:T647)</f>
        <v>18.079745153774</v>
      </c>
      <c r="V647" s="48">
        <f>VLOOKUP(B647,'Player Data'!$A1:$AE734,10,FALSE)*$Q647*_xlfn.IFERROR(((VLOOKUP(P647,'Settings'!$E$28:$F$33,2,FALSE)/2)+1),1)</f>
        <v>80.46659495783349</v>
      </c>
      <c r="W647" s="48">
        <f>VLOOKUP(B647,'Player Data'!$A1:$AE734,11,FALSE)*$Q647*_xlfn.IFERROR((VLOOKUP(P647,'Settings'!$E$28:$F$33,2,FALSE)+1),1)</f>
        <v>0.207072951146643</v>
      </c>
      <c r="X647" s="48">
        <f>VLOOKUP(B647,'Player Data'!$A1:$AE734,12,FALSE)*$Q647*_xlfn.IFERROR((VLOOKUP(P647,'Settings'!$E$28:$F$33,2,FALSE)+1),1)</f>
        <v>0.523073222861497</v>
      </c>
      <c r="Y647" s="48">
        <f>VLOOKUP(B647,'Player Data'!$A1:$AE734,13,FALSE)*$Q647</f>
        <v>0.209100611704271</v>
      </c>
      <c r="Z647" s="48">
        <f>VLOOKUP(B647,'Player Data'!$A1:$AE734,14,FALSE)*$Q647</f>
        <v>1.37149695903159</v>
      </c>
      <c r="AA647" s="48">
        <f>VLOOKUP(B647,'Player Data'!$A1:$AE734,15,FALSE)*$Q647</f>
        <v>25.7123011190386</v>
      </c>
      <c r="AB647" s="48">
        <f>VLOOKUP(B647,'Player Data'!$A1:$AE734,16,FALSE)*$Q647</f>
        <v>129.360458759106</v>
      </c>
      <c r="AC647" s="48">
        <f>VLOOKUP(B647,'Player Data'!$A1:$AE734,17,FALSE)*$Q647*_xlfn.IFERROR((VLOOKUP(P647,'Settings'!$E$28:$F$33,2,FALSE)+1),1)</f>
        <v>-6.50248151225592</v>
      </c>
      <c r="AD647" s="48">
        <f>VLOOKUP(B647,'Player Data'!$A1:$AE734,18,FALSE)*$Q647</f>
        <v>28.8949978627667</v>
      </c>
      <c r="AE647" s="48">
        <f>VLOOKUP(B647,'Player Data'!$A1:$AE734,19,FALSE)*$Q647*_xlfn.IFERROR((VLOOKUP(P647,'Settings'!$E$28:$F$33,2,FALSE)+1),1)</f>
        <v>0.7653568928127999</v>
      </c>
      <c r="AF647" s="48">
        <f>VLOOKUP(B647,'Player Data'!$A1:$AE734,20,FALSE)*$Q647</f>
        <v>5.48656597073285</v>
      </c>
      <c r="AG647" s="48">
        <f>VLOOKUP(B647,'Player Data'!$A1:$AE734,21,FALSE)*$Q647</f>
        <v>14.9170518060616</v>
      </c>
      <c r="AH647" s="49">
        <f>VLOOKUP(B647,'Player Data'!$A1:$AE734,22,FALSE)</f>
        <v>0.268901624738965</v>
      </c>
      <c r="AI647" s="46"/>
      <c r="AJ647" s="48"/>
      <c r="AK647" s="48"/>
      <c r="AL647" s="48"/>
      <c r="AM647" s="48"/>
      <c r="AN647" s="48"/>
      <c r="AO647" s="48"/>
      <c r="AP647" s="48"/>
      <c r="AQ647" s="51"/>
      <c r="AR647" s="52"/>
      <c r="AS647" s="46"/>
    </row>
    <row r="648" ht="21.25" customHeight="1">
      <c r="A648" s="53">
        <f>RANK(K648,K2:K730)</f>
        <v>383</v>
      </c>
      <c r="B648" t="s" s="8">
        <v>800</v>
      </c>
      <c r="C648" t="s" s="39">
        <v>106</v>
      </c>
      <c r="D648" t="s" s="40">
        <f>VLOOKUP(B648,'Player Data'!A1:D734,4,FALSE)</f>
        <v>146</v>
      </c>
      <c r="E648" s="58">
        <f>VLOOKUP(B648,'G'!A1:D75,3,FALSE)</f>
        <v>51</v>
      </c>
      <c r="F648" t="s" s="42">
        <f>VLOOKUP(B648,'Player Data'!A1:B734,2,FALSE)</f>
        <v>202</v>
      </c>
      <c r="G648" s="9">
        <f>VLOOKUP(B648,'Player Data'!A1:D734,3,FALSE)</f>
        <v>24</v>
      </c>
      <c r="H648" s="43">
        <f>_xlfn.IFERROR(VLOOKUP(B648,'ADP'!A1:G731,7,FALSE)/1000000,VLOOKUP(B648,'ADP'!A1:G731,7,FALSE))</f>
        <v>0</v>
      </c>
      <c r="I648" s="44">
        <f>IF('Settings'!$E$15="POINTS",(AJ648*'Settings'!$B$29)+(AK648*'Settings'!$B$21)+(AL648*'Settings'!$B$22)+(AN648*'Settings'!$B$24)+(AO648*'Settings'!$B$25)+(AP648*'Settings'!$B$27)+(AM648*'Settings'!$B$23),VLOOKUP(B648,'Standard Deviations'!A1:C731,3,FALSE))</f>
        <v>118.893391215749</v>
      </c>
      <c r="J648" s="45">
        <f>IF(D648="G",I648/AJ648,I648/Q648)</f>
        <v>5.94466956078745</v>
      </c>
      <c r="K648" s="44">
        <f>VLOOKUP(B648,'G'!A1:F75,6,FALSE)</f>
        <v>-146.409830283939</v>
      </c>
      <c r="L648" t="s" s="60">
        <f>_xlfn.IFERROR(K648/H648,"N/A")</f>
        <v>158</v>
      </c>
      <c r="M648" s="46">
        <f>IF('Settings'!$E$9="YAHOO",VLOOKUP(B648,'ADP'!A1:E731,2,FALSE),IF('Settings'!$E$9="ESPN",VLOOKUP(B648,'ADP'!A1:E731,3,FALSE),IF('Settings'!$E$9="FANTRAX",VLOOKUP(B648,'ADP'!A1:E731,4,FALSE),VLOOKUP(B648,'ADP'!A1:E731,5,FALSE))))</f>
        <v>449.9</v>
      </c>
      <c r="N648" s="46">
        <f>_xlfn.IFERROR(M648-A648,"N/A")</f>
        <v>66.90000000000001</v>
      </c>
      <c r="O648" s="46"/>
      <c r="P648" t="s" s="47">
        <f>IF('Settings'!$E$27="ON",VLOOKUP(B648,'ADP'!A1:H731,8,FALSE)," ")</f>
        <v>116</v>
      </c>
      <c r="Q648" s="48"/>
      <c r="R648" s="59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9"/>
      <c r="AI648" s="46"/>
      <c r="AJ648" s="50">
        <f>VLOOKUP(B648,'Player Data'!$A1:$AE734,24,FALSE)</f>
        <v>20</v>
      </c>
      <c r="AK648" s="48">
        <f>VLOOKUP(B648,'Player Data'!$A1:$AE734,25,FALSE)*$AJ648*_xlfn.IFERROR((VLOOKUP(P648,'Settings'!$E$28:$F$33,2,FALSE)+1),1)</f>
        <v>12.5596200831624</v>
      </c>
      <c r="AL648" s="48">
        <f>AJ648-AK648-AM648</f>
        <v>4.9403799168376</v>
      </c>
      <c r="AM648" s="48">
        <f>VLOOKUP(B648,'Player Data'!$A1:$AE734,27,FALSE)*$AJ648</f>
        <v>2.5</v>
      </c>
      <c r="AN648" s="48">
        <f>VLOOKUP(B648,'Player Data'!$A1:$AE734,28,FALSE)*AJ648</f>
        <v>1.02453035578685</v>
      </c>
      <c r="AO648" s="48">
        <f>VLOOKUP(B648,'Player Data'!$A1:$AE734,29,FALSE)*$AJ648*_xlfn.IFERROR((VLOOKUP(P648,'Settings'!$E$28:$F$33,2,FALSE)/4)+1,1)</f>
        <v>544.277147415655</v>
      </c>
      <c r="AP648" s="48">
        <f>VLOOKUP(B648,'Player Data'!$A1:$AE734,31,FALSE)*$AJ648*(_xlfn.IFERROR(1-(VLOOKUP(P648,'Settings'!$E$28:$F$33,2,FALSE)/4),1))</f>
        <v>56.7614695505299</v>
      </c>
      <c r="AQ648" s="51">
        <f>1-(AP648/(AO648+AP648))</f>
        <v>0.905561027281341</v>
      </c>
      <c r="AR648" s="52">
        <f>AP648/AJ648</f>
        <v>2.8380734775265</v>
      </c>
      <c r="AS648" s="46"/>
    </row>
    <row r="649" ht="21.25" customHeight="1">
      <c r="A649" s="53">
        <f>RANK(K649,K2:K730)</f>
        <v>690</v>
      </c>
      <c r="B649" t="s" s="8">
        <v>801</v>
      </c>
      <c r="C649" t="s" s="39">
        <v>106</v>
      </c>
      <c r="D649" t="s" s="40">
        <f>VLOOKUP(B649,'Player Data'!A1:D734,4,FALSE)</f>
        <v>121</v>
      </c>
      <c r="E649" s="55">
        <f>VLOOKUP(B649,'RW'!A1:F132,3,FALSE)</f>
        <v>126</v>
      </c>
      <c r="F649" t="s" s="42">
        <f>VLOOKUP(B649,'Player Data'!A1:B734,2,FALSE)</f>
        <v>151</v>
      </c>
      <c r="G649" s="9">
        <f>VLOOKUP(B649,'Player Data'!A1:D734,3,FALSE)</f>
        <v>31</v>
      </c>
      <c r="H649" s="43">
        <f>_xlfn.IFERROR(VLOOKUP(B649,'ADP'!A1:G731,7,FALSE)/1000000,VLOOKUP(B649,'ADP'!A1:G731,7,FALSE))</f>
        <v>0.775</v>
      </c>
      <c r="I649" s="44">
        <f>IF('Settings'!$E$15="POINTS",((R649*Q649)*'Settings'!$B$12)+(S649*'Settings'!$B$2)+(T649*'Settings'!$B$3)+(U649*'Settings'!$B$4)+(V649*'Settings'!$B$5)+(X649*'Settings'!$B$9)+(AA649*'Settings'!$B$6)+(W649*'Settings'!$B$8)+(AB649*'Settings'!$B$7)+(AC649*'Settings'!$B$14)+(AD649*'Settings'!$B$15)+(AE649*'Settings'!$B$16)+(AF649*'Settings'!$B$17)+(AG649*'Settings'!$B$18)+(Y649*'Settings'!$B$10)+(Z649*'Settings'!$B$11),VLOOKUP(B649,'Standard Deviations'!A1:C731,3,FALSE))</f>
        <v>127.328568238936</v>
      </c>
      <c r="J649" s="45">
        <f>IF(D649="G",I649/AJ649,I649/Q649)</f>
        <v>2.40242581582898</v>
      </c>
      <c r="K649" s="44">
        <f>IF('Settings'!$E$18="C/LW/RW",VLOOKUP(B649,'RW'!A1:F132,6,FALSE),VLOOKUP(B649,'F'!A1:F432,6,FALSE))</f>
        <v>-254.299995467420</v>
      </c>
      <c r="L649" s="44">
        <f>_xlfn.IFERROR(K649/H649,"N/A")</f>
        <v>-328.129026409574</v>
      </c>
      <c r="M649" t="s" s="61">
        <f>IF('Settings'!$E$9="YAHOO",VLOOKUP(B649,'ADP'!A1:E731,2,FALSE),IF('Settings'!$E$9="ESPN",VLOOKUP(B649,'ADP'!A1:E731,3,FALSE),IF('Settings'!$E$9="FANTRAX",VLOOKUP(B649,'ADP'!A1:E731,4,FALSE),VLOOKUP(B649,'ADP'!A1:E731,5,FALSE))))</f>
        <v>329</v>
      </c>
      <c r="N649" t="s" s="61">
        <f>_xlfn.IFERROR(M649-A649,"N/A")</f>
        <v>158</v>
      </c>
      <c r="O649" s="46"/>
      <c r="P649" t="s" s="47">
        <f>IF('Settings'!$E$27="ON",VLOOKUP(B649,'ADP'!A1:H731,8,FALSE)," ")</f>
        <v>109</v>
      </c>
      <c r="Q649" s="48">
        <f>IF('Settings'!$E$12="YES",VLOOKUP(B649,'Player Data'!A1:E734,5,FALSE),82)</f>
        <v>53</v>
      </c>
      <c r="R649" s="46">
        <f>VLOOKUP(B649,'Player Data'!$A1:$AE734,6,FALSE)</f>
        <v>12.2179199110123</v>
      </c>
      <c r="S649" s="48">
        <f>VLOOKUP(B649,'Player Data'!$A1:$AE734,7,FALSE)*$Q649*_xlfn.IFERROR((VLOOKUP(P649,'Settings'!$E$28:$F$33,2,FALSE)+1),1)</f>
        <v>6.83321681566762</v>
      </c>
      <c r="T649" s="48">
        <f>VLOOKUP(B649,'Player Data'!$A1:$AE734,8,FALSE)*$Q649*_xlfn.IFERROR((VLOOKUP(P649,'Settings'!$E$28:$F$33,2,FALSE)+1),1)</f>
        <v>9.56074723274136</v>
      </c>
      <c r="U649" s="48">
        <f>SUM(S649:T649)</f>
        <v>16.393964048409</v>
      </c>
      <c r="V649" s="48">
        <f>VLOOKUP(B649,'Player Data'!$A1:$AE734,10,FALSE)*$Q649*_xlfn.IFERROR(((VLOOKUP(P649,'Settings'!$E$28:$F$33,2,FALSE)/2)+1),1)</f>
        <v>69.2043811779301</v>
      </c>
      <c r="W649" s="48">
        <f>VLOOKUP(B649,'Player Data'!$A1:$AE734,11,FALSE)*$Q649*_xlfn.IFERROR((VLOOKUP(P649,'Settings'!$E$28:$F$33,2,FALSE)+1),1)</f>
        <v>0.169230936939931</v>
      </c>
      <c r="X649" s="48">
        <f>VLOOKUP(B649,'Player Data'!$A1:$AE734,12,FALSE)*$Q649*_xlfn.IFERROR((VLOOKUP(P649,'Settings'!$E$28:$F$33,2,FALSE)+1),1)</f>
        <v>0.43893859744532</v>
      </c>
      <c r="Y649" s="48">
        <f>VLOOKUP(B649,'Player Data'!$A1:$AE734,13,FALSE)*$Q649</f>
        <v>0.171695709596937</v>
      </c>
      <c r="Z649" s="48">
        <f>VLOOKUP(B649,'Player Data'!$A1:$AE734,14,FALSE)*$Q649</f>
        <v>0.321698065186182</v>
      </c>
      <c r="AA649" s="48">
        <f>VLOOKUP(B649,'Player Data'!$A1:$AE734,15,FALSE)*$Q649</f>
        <v>32.8169492564607</v>
      </c>
      <c r="AB649" s="48">
        <f>VLOOKUP(B649,'Player Data'!$A1:$AE734,16,FALSE)*$Q649</f>
        <v>64.9711580905597</v>
      </c>
      <c r="AC649" s="48">
        <f>VLOOKUP(B649,'Player Data'!$A1:$AE734,17,FALSE)*$Q649*_xlfn.IFERROR((VLOOKUP(P649,'Settings'!$E$28:$F$33,2,FALSE)+1),1)</f>
        <v>-0.0270831906412935</v>
      </c>
      <c r="AD649" s="48">
        <f>VLOOKUP(B649,'Player Data'!$A1:$AE734,18,FALSE)*$Q649</f>
        <v>18.8656791656207</v>
      </c>
      <c r="AE649" s="48">
        <f>VLOOKUP(B649,'Player Data'!$A1:$AE734,19,FALSE)*$Q649*_xlfn.IFERROR((VLOOKUP(P649,'Settings'!$E$28:$F$33,2,FALSE)+1),1)</f>
        <v>1.16436738522197</v>
      </c>
      <c r="AF649" s="48">
        <f>VLOOKUP(B649,'Player Data'!$A1:$AE734,20,FALSE)*$Q649</f>
        <v>159.056425772443</v>
      </c>
      <c r="AG649" s="48">
        <f>VLOOKUP(B649,'Player Data'!$A1:$AE734,21,FALSE)*$Q649</f>
        <v>175.407688186835</v>
      </c>
      <c r="AH649" s="49">
        <f>VLOOKUP(B649,'Player Data'!$A1:$AE734,22,FALSE)</f>
        <v>0.475556028685962</v>
      </c>
      <c r="AI649" s="46"/>
      <c r="AJ649" s="48"/>
      <c r="AK649" s="48"/>
      <c r="AL649" s="48"/>
      <c r="AM649" s="48"/>
      <c r="AN649" s="48"/>
      <c r="AO649" s="48"/>
      <c r="AP649" s="48"/>
      <c r="AQ649" s="51"/>
      <c r="AR649" s="52"/>
      <c r="AS649" s="46"/>
    </row>
    <row r="650" ht="21.25" customHeight="1">
      <c r="A650" s="53">
        <f>RANK(K650,K2:K730)</f>
        <v>663</v>
      </c>
      <c r="B650" t="s" s="8">
        <v>802</v>
      </c>
      <c r="C650" t="s" s="39">
        <v>106</v>
      </c>
      <c r="D650" t="s" s="40">
        <f>VLOOKUP(B650,'Player Data'!A1:D734,4,FALSE)</f>
        <v>107</v>
      </c>
      <c r="E650" s="41">
        <f>VLOOKUP(B650,'C'!A1:C218,3,FALSE)</f>
        <v>178</v>
      </c>
      <c r="F650" t="s" s="42">
        <f>VLOOKUP(B650,'Player Data'!A1:B734,2,FALSE)</f>
        <v>119</v>
      </c>
      <c r="G650" s="9">
        <f>VLOOKUP(B650,'Player Data'!A1:D734,3,FALSE)</f>
        <v>27</v>
      </c>
      <c r="H650" s="43">
        <f>_xlfn.IFERROR(VLOOKUP(B650,'ADP'!A1:G731,7,FALSE)/1000000,VLOOKUP(B650,'ADP'!A1:G731,7,FALSE))</f>
        <v>1.05</v>
      </c>
      <c r="I650" s="44">
        <f>IF('Settings'!$E$15="POINTS",((R650*Q650)*'Settings'!$B$12)+(S650*'Settings'!$B$2)+(T650*'Settings'!$B$3)+(U650*'Settings'!$B$4)+(V650*'Settings'!$B$5)+(X650*'Settings'!$B$9)+(AA650*'Settings'!$B$6)+(W650*'Settings'!$B$8)+(AB650*'Settings'!$B$7)+(AC650*'Settings'!$B$14)+(AD650*'Settings'!$B$15)+(AE650*'Settings'!$B$16)+(AF650*'Settings'!$B$17)+(AG650*'Settings'!$B$18)+(Y650*'Settings'!$B$10)+(Z650*'Settings'!$B$11),VLOOKUP(B650,'Standard Deviations'!A1:C731,3,FALSE))</f>
        <v>155.711047551618</v>
      </c>
      <c r="J650" s="45">
        <f>IF(D650="G",I650/AJ650,I650/Q650)</f>
        <v>2.07614730068824</v>
      </c>
      <c r="K650" s="44">
        <f>IF('Settings'!$E$18="C/LW/RW",VLOOKUP(B650,'C'!A1:F218,6,FALSE),VLOOKUP(B650,'F'!A1:F432,6,FALSE))</f>
        <v>-240.063154084397</v>
      </c>
      <c r="L650" s="44">
        <f>_xlfn.IFERROR(K650/H650,"N/A")</f>
        <v>-228.631575318473</v>
      </c>
      <c r="M650" t="s" s="61">
        <f>IF('Settings'!$E$9="YAHOO",VLOOKUP(B650,'ADP'!A1:E731,2,FALSE),IF('Settings'!$E$9="ESPN",VLOOKUP(B650,'ADP'!A1:E731,3,FALSE),IF('Settings'!$E$9="FANTRAX",VLOOKUP(B650,'ADP'!A1:E731,4,FALSE),VLOOKUP(B650,'ADP'!A1:E731,5,FALSE))))</f>
        <v>329</v>
      </c>
      <c r="N650" t="s" s="61">
        <f>_xlfn.IFERROR(M650-A650,"N/A")</f>
        <v>158</v>
      </c>
      <c r="O650" s="46"/>
      <c r="P650" t="s" s="47">
        <f>IF('Settings'!$E$27="ON",VLOOKUP(B650,'ADP'!A1:H731,8,FALSE)," ")</f>
        <v>109</v>
      </c>
      <c r="Q650" s="48">
        <f>IF('Settings'!$E$12="YES",VLOOKUP(B650,'Player Data'!A1:E734,5,FALSE),82)</f>
        <v>75</v>
      </c>
      <c r="R650" s="46">
        <f>VLOOKUP(B650,'Player Data'!$A1:$AE734,6,FALSE)</f>
        <v>11.3088711356707</v>
      </c>
      <c r="S650" s="48">
        <f>VLOOKUP(B650,'Player Data'!$A1:$AE734,7,FALSE)*$Q650*_xlfn.IFERROR((VLOOKUP(P650,'Settings'!$E$28:$F$33,2,FALSE)+1),1)</f>
        <v>7.94406395560238</v>
      </c>
      <c r="T650" s="48">
        <f>VLOOKUP(B650,'Player Data'!$A1:$AE734,8,FALSE)*$Q650*_xlfn.IFERROR((VLOOKUP(P650,'Settings'!$E$28:$F$33,2,FALSE)+1),1)</f>
        <v>8.36511831322343</v>
      </c>
      <c r="U650" s="48">
        <f>SUM(S650:T650)</f>
        <v>16.3091822688258</v>
      </c>
      <c r="V650" s="48">
        <f>VLOOKUP(B650,'Player Data'!$A1:$AE734,10,FALSE)*$Q650*_xlfn.IFERROR(((VLOOKUP(P650,'Settings'!$E$28:$F$33,2,FALSE)/2)+1),1)</f>
        <v>93.88315209414679</v>
      </c>
      <c r="W650" s="48">
        <f>VLOOKUP(B650,'Player Data'!$A1:$AE734,11,FALSE)*$Q650*_xlfn.IFERROR((VLOOKUP(P650,'Settings'!$E$28:$F$33,2,FALSE)+1),1)</f>
        <v>0.0911039206959285</v>
      </c>
      <c r="X650" s="48">
        <f>VLOOKUP(B650,'Player Data'!$A1:$AE734,12,FALSE)*$Q650*_xlfn.IFERROR((VLOOKUP(P650,'Settings'!$E$28:$F$33,2,FALSE)+1),1)</f>
        <v>0.161668082287568</v>
      </c>
      <c r="Y650" s="48">
        <f>VLOOKUP(B650,'Player Data'!$A1:$AE734,13,FALSE)*$Q650</f>
        <v>0.6135483375962451</v>
      </c>
      <c r="Z650" s="48">
        <f>VLOOKUP(B650,'Player Data'!$A1:$AE734,14,FALSE)*$Q650</f>
        <v>1.22709384662539</v>
      </c>
      <c r="AA650" s="48">
        <f>VLOOKUP(B650,'Player Data'!$A1:$AE734,15,FALSE)*$Q650</f>
        <v>35.1545263664455</v>
      </c>
      <c r="AB650" s="48">
        <f>VLOOKUP(B650,'Player Data'!$A1:$AE734,16,FALSE)*$Q650</f>
        <v>111.577511552760</v>
      </c>
      <c r="AC650" s="48">
        <f>VLOOKUP(B650,'Player Data'!$A1:$AE734,17,FALSE)*$Q650*_xlfn.IFERROR((VLOOKUP(P650,'Settings'!$E$28:$F$33,2,FALSE)+1),1)</f>
        <v>1.53954676437922</v>
      </c>
      <c r="AD650" s="48">
        <f>VLOOKUP(B650,'Player Data'!$A1:$AE734,18,FALSE)*$Q650</f>
        <v>14.9073625881668</v>
      </c>
      <c r="AE650" s="48">
        <f>VLOOKUP(B650,'Player Data'!$A1:$AE734,19,FALSE)*$Q650*_xlfn.IFERROR((VLOOKUP(P650,'Settings'!$E$28:$F$33,2,FALSE)+1),1)</f>
        <v>1.13959409470409</v>
      </c>
      <c r="AF650" s="48">
        <f>VLOOKUP(B650,'Player Data'!$A1:$AE734,20,FALSE)*$Q650</f>
        <v>214.357639547503</v>
      </c>
      <c r="AG650" s="48">
        <f>VLOOKUP(B650,'Player Data'!$A1:$AE734,21,FALSE)*$Q650</f>
        <v>235.927929599639</v>
      </c>
      <c r="AH650" s="49">
        <f>VLOOKUP(B650,'Player Data'!$A1:$AE734,22,FALSE)</f>
        <v>0.476048210813205</v>
      </c>
      <c r="AI650" s="46"/>
      <c r="AJ650" s="48"/>
      <c r="AK650" s="48"/>
      <c r="AL650" s="48"/>
      <c r="AM650" s="48"/>
      <c r="AN650" s="48"/>
      <c r="AO650" s="48"/>
      <c r="AP650" s="48"/>
      <c r="AQ650" s="51"/>
      <c r="AR650" s="52"/>
      <c r="AS650" s="46"/>
    </row>
    <row r="651" ht="21.25" customHeight="1">
      <c r="A651" s="53">
        <f>RANK(K651,K2:K730)</f>
        <v>653</v>
      </c>
      <c r="B651" t="s" s="8">
        <v>803</v>
      </c>
      <c r="C651" t="s" s="39">
        <v>106</v>
      </c>
      <c r="D651" t="s" s="40">
        <f>VLOOKUP(B651,'Player Data'!A1:D734,4,FALSE)</f>
        <v>133</v>
      </c>
      <c r="E651" s="57">
        <f>VLOOKUP(B651,'LW'!A1:C156,3,FALSE)</f>
        <v>139</v>
      </c>
      <c r="F651" t="s" s="42">
        <f>VLOOKUP(B651,'Player Data'!A1:B734,2,FALSE)</f>
        <v>122</v>
      </c>
      <c r="G651" s="9">
        <f>VLOOKUP(B651,'Player Data'!A1:D734,3,FALSE)</f>
        <v>26</v>
      </c>
      <c r="H651" s="43">
        <f>_xlfn.IFERROR(VLOOKUP(B651,'ADP'!A1:G731,7,FALSE)/1000000,VLOOKUP(B651,'ADP'!A1:G731,7,FALSE))</f>
        <v>0.7625</v>
      </c>
      <c r="I651" s="44">
        <f>IF('Settings'!$E$15="POINTS",((R651*Q651)*'Settings'!$B$12)+(S651*'Settings'!$B$2)+(T651*'Settings'!$B$3)+(U651*'Settings'!$B$4)+(V651*'Settings'!$B$5)+(X651*'Settings'!$B$9)+(AA651*'Settings'!$B$6)+(W651*'Settings'!$B$8)+(AB651*'Settings'!$B$7)+(AC651*'Settings'!$B$14)+(AD651*'Settings'!$B$15)+(AE651*'Settings'!$B$16)+(AF651*'Settings'!$B$17)+(AG651*'Settings'!$B$18)+(Y651*'Settings'!$B$10)+(Z651*'Settings'!$B$11),VLOOKUP(B651,'Standard Deviations'!A1:C731,3,FALSE))</f>
        <v>147.255521561528</v>
      </c>
      <c r="J651" s="45">
        <f>IF(D651="G",I651/AJ651,I651/Q651)</f>
        <v>2.23114426608376</v>
      </c>
      <c r="K651" s="44">
        <f>IF('Settings'!$E$18="C/LW/RW",VLOOKUP(B651,'LW'!A1:F156,6,FALSE),VLOOKUP(B651,'F'!A1:F432,6,FALSE))</f>
        <v>-234.373042144828</v>
      </c>
      <c r="L651" s="44">
        <f>_xlfn.IFERROR(K651/H651,"N/A")</f>
        <v>-307.374481501414</v>
      </c>
      <c r="M651" t="s" s="61">
        <f>IF('Settings'!$E$9="YAHOO",VLOOKUP(B651,'ADP'!A1:E731,2,FALSE),IF('Settings'!$E$9="ESPN",VLOOKUP(B651,'ADP'!A1:E731,3,FALSE),IF('Settings'!$E$9="FANTRAX",VLOOKUP(B651,'ADP'!A1:E731,4,FALSE),VLOOKUP(B651,'ADP'!A1:E731,5,FALSE))))</f>
        <v>329</v>
      </c>
      <c r="N651" t="s" s="61">
        <f>_xlfn.IFERROR(M651-A651,"N/A")</f>
        <v>158</v>
      </c>
      <c r="O651" s="46"/>
      <c r="P651" t="s" s="47">
        <f>IF('Settings'!$E$27="ON",VLOOKUP(B651,'ADP'!A1:H731,8,FALSE)," ")</f>
        <v>109</v>
      </c>
      <c r="Q651" s="48">
        <f>IF('Settings'!$E$12="YES",VLOOKUP(B651,'Player Data'!A1:E734,5,FALSE),82)</f>
        <v>66</v>
      </c>
      <c r="R651" s="46">
        <f>VLOOKUP(B651,'Player Data'!$A1:$AE734,6,FALSE)</f>
        <v>10.2532127375004</v>
      </c>
      <c r="S651" s="48">
        <f>VLOOKUP(B651,'Player Data'!$A1:$AE734,7,FALSE)*$Q651*_xlfn.IFERROR((VLOOKUP(P651,'Settings'!$E$28:$F$33,2,FALSE)+1),1)</f>
        <v>6.45901739119442</v>
      </c>
      <c r="T651" s="48">
        <f>VLOOKUP(B651,'Player Data'!$A1:$AE734,8,FALSE)*$Q651*_xlfn.IFERROR((VLOOKUP(P651,'Settings'!$E$28:$F$33,2,FALSE)+1),1)</f>
        <v>8.71923886300606</v>
      </c>
      <c r="U651" s="48">
        <f>SUM(S651:T651)</f>
        <v>15.1782562542005</v>
      </c>
      <c r="V651" s="48">
        <f>VLOOKUP(B651,'Player Data'!$A1:$AE734,10,FALSE)*$Q651*_xlfn.IFERROR(((VLOOKUP(P651,'Settings'!$E$28:$F$33,2,FALSE)/2)+1),1)</f>
        <v>89.776797174702</v>
      </c>
      <c r="W651" s="48">
        <f>VLOOKUP(B651,'Player Data'!$A1:$AE734,11,FALSE)*$Q651*_xlfn.IFERROR((VLOOKUP(P651,'Settings'!$E$28:$F$33,2,FALSE)+1),1)</f>
        <v>0.0460459982895249</v>
      </c>
      <c r="X651" s="48">
        <f>VLOOKUP(B651,'Player Data'!$A1:$AE734,12,FALSE)*$Q651*_xlfn.IFERROR((VLOOKUP(P651,'Settings'!$E$28:$F$33,2,FALSE)+1),1)</f>
        <v>0.116007155887377</v>
      </c>
      <c r="Y651" s="48">
        <f>VLOOKUP(B651,'Player Data'!$A1:$AE734,13,FALSE)*$Q651</f>
        <v>0.0212867442263431</v>
      </c>
      <c r="Z651" s="48">
        <f>VLOOKUP(B651,'Player Data'!$A1:$AE734,14,FALSE)*$Q651</f>
        <v>0.0387406694815074</v>
      </c>
      <c r="AA651" s="48">
        <f>VLOOKUP(B651,'Player Data'!$A1:$AE734,15,FALSE)*$Q651</f>
        <v>31.9226076668407</v>
      </c>
      <c r="AB651" s="48">
        <f>VLOOKUP(B651,'Player Data'!$A1:$AE734,16,FALSE)*$Q651</f>
        <v>124.420171809603</v>
      </c>
      <c r="AC651" s="48">
        <f>VLOOKUP(B651,'Player Data'!$A1:$AE734,17,FALSE)*$Q651*_xlfn.IFERROR((VLOOKUP(P651,'Settings'!$E$28:$F$33,2,FALSE)+1),1)</f>
        <v>3.0071077690436</v>
      </c>
      <c r="AD651" s="48">
        <f>VLOOKUP(B651,'Player Data'!$A1:$AE734,18,FALSE)*$Q651</f>
        <v>48.4104859026802</v>
      </c>
      <c r="AE651" s="48">
        <f>VLOOKUP(B651,'Player Data'!$A1:$AE734,19,FALSE)*$Q651*_xlfn.IFERROR((VLOOKUP(P651,'Settings'!$E$28:$F$33,2,FALSE)+1),1)</f>
        <v>1.08434191052128</v>
      </c>
      <c r="AF651" s="48">
        <f>VLOOKUP(B651,'Player Data'!$A1:$AE734,20,FALSE)*$Q651</f>
        <v>2.83035410155415</v>
      </c>
      <c r="AG651" s="48">
        <f>VLOOKUP(B651,'Player Data'!$A1:$AE734,21,FALSE)*$Q651</f>
        <v>1.4499366541403</v>
      </c>
      <c r="AH651" s="49">
        <f>VLOOKUP(B651,'Player Data'!$A1:$AE734,22,FALSE)</f>
        <v>0.661252766015644</v>
      </c>
      <c r="AI651" s="46"/>
      <c r="AJ651" s="50"/>
      <c r="AK651" s="48"/>
      <c r="AL651" s="48"/>
      <c r="AM651" s="48"/>
      <c r="AN651" s="48"/>
      <c r="AO651" s="48"/>
      <c r="AP651" s="48"/>
      <c r="AQ651" s="51"/>
      <c r="AR651" s="52"/>
      <c r="AS651" s="50"/>
    </row>
    <row r="652" ht="21.25" customHeight="1">
      <c r="A652" s="53">
        <f>RANK(K652,K2:K730)</f>
        <v>388</v>
      </c>
      <c r="B652" t="s" s="8">
        <v>804</v>
      </c>
      <c r="C652" t="s" s="39">
        <v>106</v>
      </c>
      <c r="D652" t="s" s="40">
        <f>VLOOKUP(B652,'Player Data'!A1:D734,4,FALSE)</f>
        <v>146</v>
      </c>
      <c r="E652" s="58">
        <f>VLOOKUP(B652,'G'!A1:D75,3,FALSE)</f>
        <v>53</v>
      </c>
      <c r="F652" t="s" s="42">
        <f>VLOOKUP(B652,'Player Data'!A1:B734,2,FALSE)</f>
        <v>139</v>
      </c>
      <c r="G652" s="9">
        <f>VLOOKUP(B652,'Player Data'!A1:D734,3,FALSE)</f>
        <v>28</v>
      </c>
      <c r="H652" s="43">
        <f>_xlfn.IFERROR(VLOOKUP(B652,'ADP'!A1:G731,7,FALSE)/1000000,VLOOKUP(B652,'ADP'!A1:G731,7,FALSE))</f>
        <v>1.8</v>
      </c>
      <c r="I652" s="44">
        <f>IF('Settings'!$E$15="POINTS",(AJ652*'Settings'!$B$29)+(AK652*'Settings'!$B$21)+(AL652*'Settings'!$B$22)+(AN652*'Settings'!$B$24)+(AO652*'Settings'!$B$25)+(AP652*'Settings'!$B$27)+(AM652*'Settings'!$B$23),VLOOKUP(B652,'Standard Deviations'!A1:C731,3,FALSE))</f>
        <v>117.395036393461</v>
      </c>
      <c r="J652" s="45">
        <f>IF(D652="G",I652/AJ652,I652/Q652)</f>
        <v>5.33613801788459</v>
      </c>
      <c r="K652" s="44">
        <f>VLOOKUP(B652,'G'!A1:F75,6,FALSE)</f>
        <v>-147.908185106227</v>
      </c>
      <c r="L652" s="44">
        <f>_xlfn.IFERROR(K652/H652,"N/A")</f>
        <v>-82.17121394790389</v>
      </c>
      <c r="M652" s="46">
        <f>IF('Settings'!$E$9="YAHOO",VLOOKUP(B652,'ADP'!A1:E731,2,FALSE),IF('Settings'!$E$9="ESPN",VLOOKUP(B652,'ADP'!A1:E731,3,FALSE),IF('Settings'!$E$9="FANTRAX",VLOOKUP(B652,'ADP'!A1:E731,4,FALSE),VLOOKUP(B652,'ADP'!A1:E731,5,FALSE))))</f>
        <v>446.9</v>
      </c>
      <c r="N652" s="46">
        <f>_xlfn.IFERROR(M652-A652,"N/A")</f>
        <v>58.9</v>
      </c>
      <c r="O652" s="46"/>
      <c r="P652" t="s" s="47">
        <f>IF('Settings'!$E$27="ON",VLOOKUP(B652,'ADP'!A1:H731,8,FALSE)," ")</f>
        <v>109</v>
      </c>
      <c r="Q652" s="48"/>
      <c r="R652" s="59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9"/>
      <c r="AI652" s="46"/>
      <c r="AJ652" s="50">
        <f>VLOOKUP(B652,'Player Data'!$A1:$AE734,24,FALSE)</f>
        <v>22</v>
      </c>
      <c r="AK652" s="48">
        <f>VLOOKUP(B652,'Player Data'!$A1:$AE734,25,FALSE)*$AJ652*_xlfn.IFERROR((VLOOKUP(P652,'Settings'!$E$28:$F$33,2,FALSE)+1),1)</f>
        <v>10.1623839845211</v>
      </c>
      <c r="AL652" s="48">
        <f>AJ652-AK652-AM652</f>
        <v>9.087616015478901</v>
      </c>
      <c r="AM652" s="48">
        <f>VLOOKUP(B652,'Player Data'!$A1:$AE734,27,FALSE)*$AJ652</f>
        <v>2.75</v>
      </c>
      <c r="AN652" s="48">
        <f>VLOOKUP(B652,'Player Data'!$A1:$AE734,28,FALSE)*AJ652</f>
        <v>0.786499796557585</v>
      </c>
      <c r="AO652" s="48">
        <f>VLOOKUP(B652,'Player Data'!$A1:$AE734,29,FALSE)*$AJ652*_xlfn.IFERROR((VLOOKUP(P652,'Settings'!$E$28:$F$33,2,FALSE)/4)+1,1)</f>
        <v>620.250738350819</v>
      </c>
      <c r="AP652" s="48">
        <f>VLOOKUP(B652,'Player Data'!$A1:$AE734,31,FALSE)*$AJ652*(_xlfn.IFERROR(1-(VLOOKUP(P652,'Settings'!$E$28:$F$33,2,FALSE)/4),1))</f>
        <v>67.68455763668079</v>
      </c>
      <c r="AQ652" s="51">
        <f>1-(AP652/(AO652+AP652))</f>
        <v>0.901612029457621</v>
      </c>
      <c r="AR652" s="52">
        <f>AP652/AJ652</f>
        <v>3.07657080166731</v>
      </c>
      <c r="AS652" s="46"/>
    </row>
    <row r="653" ht="21.25" customHeight="1">
      <c r="A653" s="53">
        <f>RANK(K653,K2:K730)</f>
        <v>640</v>
      </c>
      <c r="B653" t="s" s="8">
        <v>805</v>
      </c>
      <c r="C653" t="s" s="39">
        <v>106</v>
      </c>
      <c r="D653" t="s" s="40">
        <f>VLOOKUP(B653,'Player Data'!A1:D734,4,FALSE)</f>
        <v>133</v>
      </c>
      <c r="E653" s="57">
        <f>VLOOKUP(B653,'LW'!A1:C156,3,FALSE)</f>
        <v>134</v>
      </c>
      <c r="F653" t="s" s="42">
        <f>VLOOKUP(B653,'Player Data'!A1:B734,2,FALSE)</f>
        <v>122</v>
      </c>
      <c r="G653" s="9">
        <f>VLOOKUP(B653,'Player Data'!A1:D734,3,FALSE)</f>
        <v>35</v>
      </c>
      <c r="H653" s="43">
        <f>_xlfn.IFERROR(VLOOKUP(B653,'ADP'!A1:G731,7,FALSE)/1000000,VLOOKUP(B653,'ADP'!A1:G731,7,FALSE))</f>
        <v>1</v>
      </c>
      <c r="I653" s="44">
        <f>IF('Settings'!$E$15="POINTS",((R653*Q653)*'Settings'!$B$12)+(S653*'Settings'!$B$2)+(T653*'Settings'!$B$3)+(U653*'Settings'!$B$4)+(V653*'Settings'!$B$5)+(X653*'Settings'!$B$9)+(AA653*'Settings'!$B$6)+(W653*'Settings'!$B$8)+(AB653*'Settings'!$B$7)+(AC653*'Settings'!$B$14)+(AD653*'Settings'!$B$15)+(AE653*'Settings'!$B$16)+(AF653*'Settings'!$B$17)+(AG653*'Settings'!$B$18)+(Y653*'Settings'!$B$10)+(Z653*'Settings'!$B$11),VLOOKUP(B653,'Standard Deviations'!A1:C731,3,FALSE))</f>
        <v>153.461016414342</v>
      </c>
      <c r="J653" s="45">
        <f>IF(D653="G",I653/AJ653,I653/Q653)</f>
        <v>1.8912532447773</v>
      </c>
      <c r="K653" s="44">
        <f>IF('Settings'!$E$18="C/LW/RW",VLOOKUP(B653,'LW'!A1:F156,6,FALSE),VLOOKUP(B653,'F'!A1:F432,6,FALSE))</f>
        <v>-228.167547292014</v>
      </c>
      <c r="L653" s="44">
        <f>_xlfn.IFERROR(K653/H653,"N/A")</f>
        <v>-228.167547292014</v>
      </c>
      <c r="M653" t="s" s="61">
        <f>IF('Settings'!$E$9="YAHOO",VLOOKUP(B653,'ADP'!A1:E731,2,FALSE),IF('Settings'!$E$9="ESPN",VLOOKUP(B653,'ADP'!A1:E731,3,FALSE),IF('Settings'!$E$9="FANTRAX",VLOOKUP(B653,'ADP'!A1:E731,4,FALSE),VLOOKUP(B653,'ADP'!A1:E731,5,FALSE))))</f>
        <v>329</v>
      </c>
      <c r="N653" t="s" s="61">
        <f>_xlfn.IFERROR(M653-A653,"N/A")</f>
        <v>158</v>
      </c>
      <c r="O653" s="46"/>
      <c r="P653" t="s" s="47">
        <f>IF('Settings'!$E$27="ON",VLOOKUP(B653,'ADP'!A1:H731,8,FALSE)," ")</f>
        <v>109</v>
      </c>
      <c r="Q653" s="48">
        <f>IF('Settings'!$E$12="YES",VLOOKUP(B653,'Player Data'!A1:E734,5,FALSE),82)</f>
        <v>81.1425</v>
      </c>
      <c r="R653" s="46">
        <f>VLOOKUP(B653,'Player Data'!$A1:$AE734,6,FALSE)</f>
        <v>11.1225685322018</v>
      </c>
      <c r="S653" s="48">
        <f>VLOOKUP(B653,'Player Data'!$A1:$AE734,7,FALSE)*$Q653*_xlfn.IFERROR((VLOOKUP(P653,'Settings'!$E$28:$F$33,2,FALSE)+1),1)</f>
        <v>6.86212535095846</v>
      </c>
      <c r="T653" s="48">
        <f>VLOOKUP(B653,'Player Data'!$A1:$AE734,8,FALSE)*$Q653*_xlfn.IFERROR((VLOOKUP(P653,'Settings'!$E$28:$F$33,2,FALSE)+1),1)</f>
        <v>11.0177618949317</v>
      </c>
      <c r="U653" s="48">
        <f>SUM(S653:T653)</f>
        <v>17.8798872458902</v>
      </c>
      <c r="V653" s="48">
        <f>VLOOKUP(B653,'Player Data'!$A1:$AE734,10,FALSE)*$Q653*_xlfn.IFERROR(((VLOOKUP(P653,'Settings'!$E$28:$F$33,2,FALSE)/2)+1),1)</f>
        <v>76.30336992417389</v>
      </c>
      <c r="W653" s="48">
        <f>VLOOKUP(B653,'Player Data'!$A1:$AE734,11,FALSE)*$Q653*_xlfn.IFERROR((VLOOKUP(P653,'Settings'!$E$28:$F$33,2,FALSE)+1),1)</f>
        <v>0.0670718534633012</v>
      </c>
      <c r="X653" s="48">
        <f>VLOOKUP(B653,'Player Data'!$A1:$AE734,12,FALSE)*$Q653*_xlfn.IFERROR((VLOOKUP(P653,'Settings'!$E$28:$F$33,2,FALSE)+1),1)</f>
        <v>0.122188243113346</v>
      </c>
      <c r="Y653" s="48">
        <f>VLOOKUP(B653,'Player Data'!$A1:$AE734,13,FALSE)*$Q653</f>
        <v>0.00242976622375125</v>
      </c>
      <c r="Z653" s="48">
        <f>VLOOKUP(B653,'Player Data'!$A1:$AE734,14,FALSE)*$Q653</f>
        <v>0.00465140255424693</v>
      </c>
      <c r="AA653" s="48">
        <f>VLOOKUP(B653,'Player Data'!$A1:$AE734,15,FALSE)*$Q653</f>
        <v>18.7825091095692</v>
      </c>
      <c r="AB653" s="48">
        <f>VLOOKUP(B653,'Player Data'!$A1:$AE734,16,FALSE)*$Q653</f>
        <v>167.903697313016</v>
      </c>
      <c r="AC653" s="48">
        <f>VLOOKUP(B653,'Player Data'!$A1:$AE734,17,FALSE)*$Q653*_xlfn.IFERROR((VLOOKUP(P653,'Settings'!$E$28:$F$33,2,FALSE)+1),1)</f>
        <v>0.601710885771142</v>
      </c>
      <c r="AD653" s="48">
        <f>VLOOKUP(B653,'Player Data'!$A1:$AE734,18,FALSE)*$Q653</f>
        <v>45.2093061849852</v>
      </c>
      <c r="AE653" s="48">
        <f>VLOOKUP(B653,'Player Data'!$A1:$AE734,19,FALSE)*$Q653*_xlfn.IFERROR((VLOOKUP(P653,'Settings'!$E$28:$F$33,2,FALSE)+1),1)</f>
        <v>1.15201580405077</v>
      </c>
      <c r="AF653" s="48">
        <f>VLOOKUP(B653,'Player Data'!$A1:$AE734,20,FALSE)*$Q653</f>
        <v>17.3531008287362</v>
      </c>
      <c r="AG653" s="48">
        <f>VLOOKUP(B653,'Player Data'!$A1:$AE734,21,FALSE)*$Q653</f>
        <v>21.2481852319467</v>
      </c>
      <c r="AH653" s="49">
        <f>VLOOKUP(B653,'Player Data'!$A1:$AE734,22,FALSE)</f>
        <v>0.449547219785796</v>
      </c>
      <c r="AI653" s="46"/>
      <c r="AJ653" s="50"/>
      <c r="AK653" s="48"/>
      <c r="AL653" s="48"/>
      <c r="AM653" s="48"/>
      <c r="AN653" s="48"/>
      <c r="AO653" s="48"/>
      <c r="AP653" s="48"/>
      <c r="AQ653" s="51"/>
      <c r="AR653" s="52"/>
      <c r="AS653" s="46"/>
    </row>
    <row r="654" ht="21.25" customHeight="1">
      <c r="A654" s="53">
        <f>RANK(K654,K2:K730)</f>
        <v>386</v>
      </c>
      <c r="B654" t="s" s="8">
        <v>806</v>
      </c>
      <c r="C654" t="s" s="39">
        <v>106</v>
      </c>
      <c r="D654" t="s" s="40">
        <f>VLOOKUP(B654,'Player Data'!A1:D734,4,FALSE)</f>
        <v>146</v>
      </c>
      <c r="E654" s="58">
        <f>VLOOKUP(B654,'G'!A1:D75,3,FALSE)</f>
        <v>52</v>
      </c>
      <c r="F654" t="s" s="42">
        <f>VLOOKUP(B654,'Player Data'!A1:B734,2,FALSE)</f>
        <v>202</v>
      </c>
      <c r="G654" s="9">
        <f>VLOOKUP(B654,'Player Data'!A1:D734,3,FALSE)</f>
        <v>34</v>
      </c>
      <c r="H654" s="43">
        <f>_xlfn.IFERROR(VLOOKUP(B654,'ADP'!A1:G731,7,FALSE)/1000000,VLOOKUP(B654,'ADP'!A1:G731,7,FALSE))</f>
        <v>0</v>
      </c>
      <c r="I654" s="44">
        <f>IF('Settings'!$E$15="POINTS",(AJ654*'Settings'!$B$29)+(AK654*'Settings'!$B$21)+(AL654*'Settings'!$B$22)+(AN654*'Settings'!$B$24)+(AO654*'Settings'!$B$25)+(AP654*'Settings'!$B$27)+(AM654*'Settings'!$B$23),VLOOKUP(B654,'Standard Deviations'!A1:C731,3,FALSE))</f>
        <v>118.411006844185</v>
      </c>
      <c r="J654" s="45">
        <f>IF(D654="G",I654/AJ654,I654/Q654)</f>
        <v>5.63861937353262</v>
      </c>
      <c r="K654" s="44">
        <f>VLOOKUP(B654,'G'!A1:F75,6,FALSE)</f>
        <v>-146.892214655503</v>
      </c>
      <c r="L654" t="s" s="60">
        <f>_xlfn.IFERROR(K654/H654,"N/A")</f>
        <v>158</v>
      </c>
      <c r="M654" s="46">
        <f>IF('Settings'!$E$9="YAHOO",VLOOKUP(B654,'ADP'!A1:E731,2,FALSE),IF('Settings'!$E$9="ESPN",VLOOKUP(B654,'ADP'!A1:E731,3,FALSE),IF('Settings'!$E$9="FANTRAX",VLOOKUP(B654,'ADP'!A1:E731,4,FALSE),VLOOKUP(B654,'ADP'!A1:E731,5,FALSE))))</f>
        <v>384.74</v>
      </c>
      <c r="N654" s="46">
        <f>_xlfn.IFERROR(M654-A654,"N/A")</f>
        <v>-1.26</v>
      </c>
      <c r="O654" s="46"/>
      <c r="P654" t="s" s="47">
        <f>IF('Settings'!$E$27="ON",VLOOKUP(B654,'ADP'!A1:H731,8,FALSE)," ")</f>
        <v>109</v>
      </c>
      <c r="Q654" s="48"/>
      <c r="R654" s="59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9"/>
      <c r="AI654" s="46"/>
      <c r="AJ654" s="50">
        <f>VLOOKUP(B654,'Player Data'!$A1:$AE734,24,FALSE)</f>
        <v>21</v>
      </c>
      <c r="AK654" s="48">
        <f>VLOOKUP(B654,'Player Data'!$A1:$AE734,25,FALSE)*$AJ654*_xlfn.IFERROR((VLOOKUP(P654,'Settings'!$E$28:$F$33,2,FALSE)+1),1)</f>
        <v>12.766063358142</v>
      </c>
      <c r="AL654" s="48">
        <f>AJ654-AK654-AM654</f>
        <v>5.608936641858</v>
      </c>
      <c r="AM654" s="48">
        <f>VLOOKUP(B654,'Player Data'!$A1:$AE734,27,FALSE)*$AJ654</f>
        <v>2.625</v>
      </c>
      <c r="AN654" s="48">
        <f>VLOOKUP(B654,'Player Data'!$A1:$AE734,28,FALSE)*AJ654</f>
        <v>1.00368776936643</v>
      </c>
      <c r="AO654" s="48">
        <f>VLOOKUP(B654,'Player Data'!$A1:$AE734,29,FALSE)*$AJ654*_xlfn.IFERROR((VLOOKUP(P654,'Settings'!$E$28:$F$33,2,FALSE)/4)+1,1)</f>
        <v>563.492247400574</v>
      </c>
      <c r="AP654" s="48">
        <f>VLOOKUP(B654,'Player Data'!$A1:$AE734,31,FALSE)*$AJ654*(_xlfn.IFERROR(1-(VLOOKUP(P654,'Settings'!$E$28:$F$33,2,FALSE)/4),1))</f>
        <v>61.2972805056751</v>
      </c>
      <c r="AQ654" s="51">
        <f>1-(AP654/(AO654+AP654))</f>
        <v>0.901891312565545</v>
      </c>
      <c r="AR654" s="52">
        <f>AP654/AJ654</f>
        <v>2.91891811931786</v>
      </c>
      <c r="AS654" s="46"/>
    </row>
    <row r="655" ht="21.25" customHeight="1">
      <c r="A655" s="53">
        <f>RANK(K655,K2:K730)</f>
        <v>671</v>
      </c>
      <c r="B655" t="s" s="8">
        <v>807</v>
      </c>
      <c r="C655" t="s" s="39">
        <v>106</v>
      </c>
      <c r="D655" t="s" s="40">
        <f>VLOOKUP(B655,'Player Data'!A1:D734,4,FALSE)</f>
        <v>133</v>
      </c>
      <c r="E655" s="57">
        <f>VLOOKUP(B655,'LW'!A1:C156,3,FALSE)</f>
        <v>143</v>
      </c>
      <c r="F655" t="s" s="42">
        <f>VLOOKUP(B655,'Player Data'!A1:B734,2,FALSE)</f>
        <v>127</v>
      </c>
      <c r="G655" s="9">
        <f>VLOOKUP(B655,'Player Data'!A1:D734,3,FALSE)</f>
        <v>30</v>
      </c>
      <c r="H655" s="43">
        <f>_xlfn.IFERROR(VLOOKUP(B655,'ADP'!A1:G731,7,FALSE)/1000000,VLOOKUP(B655,'ADP'!A1:G731,7,FALSE))</f>
        <v>1</v>
      </c>
      <c r="I655" s="44">
        <f>IF('Settings'!$E$15="POINTS",((R655*Q655)*'Settings'!$B$12)+(S655*'Settings'!$B$2)+(T655*'Settings'!$B$3)+(U655*'Settings'!$B$4)+(V655*'Settings'!$B$5)+(X655*'Settings'!$B$9)+(AA655*'Settings'!$B$6)+(W655*'Settings'!$B$8)+(AB655*'Settings'!$B$7)+(AC655*'Settings'!$B$14)+(AD655*'Settings'!$B$15)+(AE655*'Settings'!$B$16)+(AF655*'Settings'!$B$17)+(AG655*'Settings'!$B$18)+(Y655*'Settings'!$B$10)+(Z655*'Settings'!$B$11),VLOOKUP(B655,'Standard Deviations'!A1:C731,3,FALSE))</f>
        <v>136.227957220220</v>
      </c>
      <c r="J655" s="45">
        <f>IF(D655="G",I655/AJ655,I655/Q655)</f>
        <v>1.94611367457457</v>
      </c>
      <c r="K655" s="44">
        <f>IF('Settings'!$E$18="C/LW/RW",VLOOKUP(B655,'LW'!A1:F156,6,FALSE),VLOOKUP(B655,'F'!A1:F432,6,FALSE))</f>
        <v>-245.400606486136</v>
      </c>
      <c r="L655" s="44">
        <f>_xlfn.IFERROR(K655/H655,"N/A")</f>
        <v>-245.400606486136</v>
      </c>
      <c r="M655" t="s" s="61">
        <f>IF('Settings'!$E$9="YAHOO",VLOOKUP(B655,'ADP'!A1:E731,2,FALSE),IF('Settings'!$E$9="ESPN",VLOOKUP(B655,'ADP'!A1:E731,3,FALSE),IF('Settings'!$E$9="FANTRAX",VLOOKUP(B655,'ADP'!A1:E731,4,FALSE),VLOOKUP(B655,'ADP'!A1:E731,5,FALSE))))</f>
        <v>329</v>
      </c>
      <c r="N655" t="s" s="61">
        <f>_xlfn.IFERROR(M655-A655,"N/A")</f>
        <v>158</v>
      </c>
      <c r="O655" s="46"/>
      <c r="P655" t="s" s="47">
        <f>IF('Settings'!$E$27="ON",VLOOKUP(B655,'ADP'!A1:H731,8,FALSE)," ")</f>
        <v>109</v>
      </c>
      <c r="Q655" s="48">
        <f>IF('Settings'!$E$12="YES",VLOOKUP(B655,'Player Data'!A1:E734,5,FALSE),82)</f>
        <v>70</v>
      </c>
      <c r="R655" s="46">
        <f>VLOOKUP(B655,'Player Data'!$A1:$AE734,6,FALSE)</f>
        <v>12.5534848484849</v>
      </c>
      <c r="S655" s="48">
        <f>VLOOKUP(B655,'Player Data'!$A1:$AE734,7,FALSE)*$Q655*_xlfn.IFERROR((VLOOKUP(P655,'Settings'!$E$28:$F$33,2,FALSE)+1),1)</f>
        <v>5.82636524451321</v>
      </c>
      <c r="T655" s="48">
        <f>VLOOKUP(B655,'Player Data'!$A1:$AE734,8,FALSE)*$Q655*_xlfn.IFERROR((VLOOKUP(P655,'Settings'!$E$28:$F$33,2,FALSE)+1),1)</f>
        <v>10.9859471739137</v>
      </c>
      <c r="U655" s="48">
        <f>SUM(S655:T655)</f>
        <v>16.8123124184269</v>
      </c>
      <c r="V655" s="48">
        <f>VLOOKUP(B655,'Player Data'!$A1:$AE734,10,FALSE)*$Q655*_xlfn.IFERROR(((VLOOKUP(P655,'Settings'!$E$28:$F$33,2,FALSE)/2)+1),1)</f>
        <v>76.8559935011197</v>
      </c>
      <c r="W655" s="48">
        <f>VLOOKUP(B655,'Player Data'!$A1:$AE734,11,FALSE)*$Q655*_xlfn.IFERROR((VLOOKUP(P655,'Settings'!$E$28:$F$33,2,FALSE)+1),1)</f>
        <v>0.0336245470448804</v>
      </c>
      <c r="X655" s="48">
        <f>VLOOKUP(B655,'Player Data'!$A1:$AE734,12,FALSE)*$Q655*_xlfn.IFERROR((VLOOKUP(P655,'Settings'!$E$28:$F$33,2,FALSE)+1),1)</f>
        <v>0.101225932716884</v>
      </c>
      <c r="Y655" s="48">
        <f>VLOOKUP(B655,'Player Data'!$A1:$AE734,13,FALSE)*$Q655</f>
        <v>0.624412534673334</v>
      </c>
      <c r="Z655" s="48">
        <f>VLOOKUP(B655,'Player Data'!$A1:$AE734,14,FALSE)*$Q655</f>
        <v>1.06971689069968</v>
      </c>
      <c r="AA655" s="48">
        <f>VLOOKUP(B655,'Player Data'!$A1:$AE734,15,FALSE)*$Q655</f>
        <v>33.0137667557198</v>
      </c>
      <c r="AB655" s="48">
        <f>VLOOKUP(B655,'Player Data'!$A1:$AE734,16,FALSE)*$Q655</f>
        <v>79.9086327533998</v>
      </c>
      <c r="AC655" s="48">
        <f>VLOOKUP(B655,'Player Data'!$A1:$AE734,17,FALSE)*$Q655*_xlfn.IFERROR((VLOOKUP(P655,'Settings'!$E$28:$F$33,2,FALSE)+1),1)</f>
        <v>-0.195064061610221</v>
      </c>
      <c r="AD655" s="48">
        <f>VLOOKUP(B655,'Player Data'!$A1:$AE734,18,FALSE)*$Q655</f>
        <v>29.7016781312002</v>
      </c>
      <c r="AE655" s="48">
        <f>VLOOKUP(B655,'Player Data'!$A1:$AE734,19,FALSE)*$Q655*_xlfn.IFERROR((VLOOKUP(P655,'Settings'!$E$28:$F$33,2,FALSE)+1),1)</f>
        <v>0.856347400184864</v>
      </c>
      <c r="AF655" s="48">
        <f>VLOOKUP(B655,'Player Data'!$A1:$AE734,20,FALSE)*$Q655</f>
        <v>351.409962202024</v>
      </c>
      <c r="AG655" s="48">
        <f>VLOOKUP(B655,'Player Data'!$A1:$AE734,21,FALSE)*$Q655</f>
        <v>277.577258989686</v>
      </c>
      <c r="AH655" s="49">
        <f>VLOOKUP(B655,'Player Data'!$A1:$AE734,22,FALSE)</f>
        <v>0.558691735479499</v>
      </c>
      <c r="AI655" s="46"/>
      <c r="AJ655" s="50"/>
      <c r="AK655" s="48"/>
      <c r="AL655" s="48"/>
      <c r="AM655" s="48"/>
      <c r="AN655" s="48"/>
      <c r="AO655" s="48"/>
      <c r="AP655" s="48"/>
      <c r="AQ655" s="51"/>
      <c r="AR655" s="52"/>
      <c r="AS655" s="46"/>
    </row>
    <row r="656" ht="21.25" customHeight="1">
      <c r="A656" s="53">
        <f>RANK(K656,K2:K730)</f>
        <v>688</v>
      </c>
      <c r="B656" t="s" s="8">
        <v>808</v>
      </c>
      <c r="C656" t="s" s="39">
        <v>106</v>
      </c>
      <c r="D656" t="s" s="40">
        <f>VLOOKUP(B656,'Player Data'!A1:D734,4,FALSE)</f>
        <v>107</v>
      </c>
      <c r="E656" s="41">
        <f>VLOOKUP(B656,'C'!A1:C218,3,FALSE)</f>
        <v>188</v>
      </c>
      <c r="F656" t="s" s="42">
        <f>VLOOKUP(B656,'Player Data'!A1:B734,2,FALSE)</f>
        <v>108</v>
      </c>
      <c r="G656" s="9">
        <f>VLOOKUP(B656,'Player Data'!A1:D734,3,FALSE)</f>
        <v>36</v>
      </c>
      <c r="H656" s="43">
        <f>_xlfn.IFERROR(VLOOKUP(B656,'ADP'!A1:G731,7,FALSE)/1000000,VLOOKUP(B656,'ADP'!A1:G731,7,FALSE))</f>
        <v>0.9</v>
      </c>
      <c r="I656" s="44">
        <f>IF('Settings'!$E$15="POINTS",((R656*Q656)*'Settings'!$B$12)+(S656*'Settings'!$B$2)+(T656*'Settings'!$B$3)+(U656*'Settings'!$B$4)+(V656*'Settings'!$B$5)+(X656*'Settings'!$B$9)+(AA656*'Settings'!$B$6)+(W656*'Settings'!$B$8)+(AB656*'Settings'!$B$7)+(AC656*'Settings'!$B$14)+(AD656*'Settings'!$B$15)+(AE656*'Settings'!$B$16)+(AF656*'Settings'!$B$17)+(AG656*'Settings'!$B$18)+(Y656*'Settings'!$B$10)+(Z656*'Settings'!$B$11),VLOOKUP(B656,'Standard Deviations'!A1:C731,3,FALSE))</f>
        <v>141.971157039743</v>
      </c>
      <c r="J656" s="45">
        <f>IF(D656="G",I656/AJ656,I656/Q656)</f>
        <v>1.80146031183595</v>
      </c>
      <c r="K656" s="44">
        <f>IF('Settings'!$E$18="C/LW/RW",VLOOKUP(B656,'C'!A1:F218,6,FALSE),VLOOKUP(B656,'F'!A1:F432,6,FALSE))</f>
        <v>-253.803044596272</v>
      </c>
      <c r="L656" s="44">
        <f>_xlfn.IFERROR(K656/H656,"N/A")</f>
        <v>-282.003382884747</v>
      </c>
      <c r="M656" t="s" s="61">
        <f>IF('Settings'!$E$9="YAHOO",VLOOKUP(B656,'ADP'!A1:E731,2,FALSE),IF('Settings'!$E$9="ESPN",VLOOKUP(B656,'ADP'!A1:E731,3,FALSE),IF('Settings'!$E$9="FANTRAX",VLOOKUP(B656,'ADP'!A1:E731,4,FALSE),VLOOKUP(B656,'ADP'!A1:E731,5,FALSE))))</f>
        <v>329</v>
      </c>
      <c r="N656" t="s" s="61">
        <f>_xlfn.IFERROR(M656-A656,"N/A")</f>
        <v>158</v>
      </c>
      <c r="O656" s="46"/>
      <c r="P656" t="s" s="47">
        <f>IF('Settings'!$E$27="ON",VLOOKUP(B656,'ADP'!A1:H731,8,FALSE)," ")</f>
        <v>109</v>
      </c>
      <c r="Q656" s="48">
        <f>IF('Settings'!$E$12="YES",VLOOKUP(B656,'Player Data'!A1:E734,5,FALSE),82)</f>
        <v>78.80892857142859</v>
      </c>
      <c r="R656" s="46">
        <f>VLOOKUP(B656,'Player Data'!$A1:$AE734,6,FALSE)</f>
        <v>10.6621497980183</v>
      </c>
      <c r="S656" s="48">
        <f>VLOOKUP(B656,'Player Data'!$A1:$AE734,7,FALSE)*$Q656*_xlfn.IFERROR((VLOOKUP(P656,'Settings'!$E$28:$F$33,2,FALSE)+1),1)</f>
        <v>8.91971307807138</v>
      </c>
      <c r="T656" s="48">
        <f>VLOOKUP(B656,'Player Data'!$A1:$AE734,8,FALSE)*$Q656*_xlfn.IFERROR((VLOOKUP(P656,'Settings'!$E$28:$F$33,2,FALSE)+1),1)</f>
        <v>8.27298561817649</v>
      </c>
      <c r="U656" s="48">
        <f>SUM(S656:T656)</f>
        <v>17.1926986962479</v>
      </c>
      <c r="V656" s="48">
        <f>VLOOKUP(B656,'Player Data'!$A1:$AE734,10,FALSE)*$Q656*_xlfn.IFERROR(((VLOOKUP(P656,'Settings'!$E$28:$F$33,2,FALSE)/2)+1),1)</f>
        <v>83.05476109205649</v>
      </c>
      <c r="W656" s="48">
        <f>VLOOKUP(B656,'Player Data'!$A1:$AE734,11,FALSE)*$Q656*_xlfn.IFERROR((VLOOKUP(P656,'Settings'!$E$28:$F$33,2,FALSE)+1),1)</f>
        <v>0.0446244343727217</v>
      </c>
      <c r="X656" s="48">
        <f>VLOOKUP(B656,'Player Data'!$A1:$AE734,12,FALSE)*$Q656*_xlfn.IFERROR((VLOOKUP(P656,'Settings'!$E$28:$F$33,2,FALSE)+1),1)</f>
        <v>0.11237522956899</v>
      </c>
      <c r="Y656" s="48">
        <f>VLOOKUP(B656,'Player Data'!$A1:$AE734,13,FALSE)*$Q656</f>
        <v>0.514995120509907</v>
      </c>
      <c r="Z656" s="48">
        <f>VLOOKUP(B656,'Player Data'!$A1:$AE734,14,FALSE)*$Q656</f>
        <v>0.923253337770311</v>
      </c>
      <c r="AA656" s="48">
        <f>VLOOKUP(B656,'Player Data'!$A1:$AE734,15,FALSE)*$Q656</f>
        <v>37.8199871487862</v>
      </c>
      <c r="AB656" s="48">
        <f>VLOOKUP(B656,'Player Data'!$A1:$AE734,16,FALSE)*$Q656</f>
        <v>58.9184421517226</v>
      </c>
      <c r="AC656" s="48">
        <f>VLOOKUP(B656,'Player Data'!$A1:$AE734,17,FALSE)*$Q656*_xlfn.IFERROR((VLOOKUP(P656,'Settings'!$E$28:$F$33,2,FALSE)+1),1)</f>
        <v>5.98120332137327</v>
      </c>
      <c r="AD656" s="48">
        <f>VLOOKUP(B656,'Player Data'!$A1:$AE734,18,FALSE)*$Q656</f>
        <v>20.2903567731349</v>
      </c>
      <c r="AE656" s="48">
        <f>VLOOKUP(B656,'Player Data'!$A1:$AE734,19,FALSE)*$Q656*_xlfn.IFERROR((VLOOKUP(P656,'Settings'!$E$28:$F$33,2,FALSE)+1),1)</f>
        <v>1.41189482158235</v>
      </c>
      <c r="AF656" s="48">
        <f>VLOOKUP(B656,'Player Data'!$A1:$AE734,20,FALSE)*$Q656</f>
        <v>225.272704980064</v>
      </c>
      <c r="AG656" s="48">
        <f>VLOOKUP(B656,'Player Data'!$A1:$AE734,21,FALSE)*$Q656</f>
        <v>203.742969291812</v>
      </c>
      <c r="AH656" s="49">
        <f>VLOOKUP(B656,'Player Data'!$A1:$AE734,22,FALSE)</f>
        <v>0.525092015256544</v>
      </c>
      <c r="AI656" s="46"/>
      <c r="AJ656" s="50"/>
      <c r="AK656" s="48"/>
      <c r="AL656" s="48"/>
      <c r="AM656" s="48"/>
      <c r="AN656" s="48"/>
      <c r="AO656" s="48"/>
      <c r="AP656" s="48"/>
      <c r="AQ656" s="51"/>
      <c r="AR656" s="52"/>
      <c r="AS656" s="46"/>
    </row>
    <row r="657" ht="21.25" customHeight="1">
      <c r="A657" s="53">
        <f>RANK(K657,K2:K730)</f>
        <v>677</v>
      </c>
      <c r="B657" t="s" s="8">
        <v>809</v>
      </c>
      <c r="C657" t="s" s="39">
        <v>106</v>
      </c>
      <c r="D657" t="s" s="40">
        <f>VLOOKUP(B657,'Player Data'!A1:D734,4,FALSE)</f>
        <v>107</v>
      </c>
      <c r="E657" s="41">
        <f>VLOOKUP(B657,'C'!A1:C218,3,FALSE)</f>
        <v>183</v>
      </c>
      <c r="F657" t="s" s="42">
        <f>VLOOKUP(B657,'Player Data'!A1:B734,2,FALSE)</f>
        <v>113</v>
      </c>
      <c r="G657" s="9">
        <f>VLOOKUP(B657,'Player Data'!A1:D734,3,FALSE)</f>
        <v>36</v>
      </c>
      <c r="H657" s="43">
        <f>_xlfn.IFERROR(VLOOKUP(B657,'ADP'!A1:G731,7,FALSE)/1000000,VLOOKUP(B657,'ADP'!A1:G731,7,FALSE))</f>
        <v>0.825</v>
      </c>
      <c r="I657" s="44">
        <f>IF('Settings'!$E$15="POINTS",((R657*Q657)*'Settings'!$B$12)+(S657*'Settings'!$B$2)+(T657*'Settings'!$B$3)+(U657*'Settings'!$B$4)+(V657*'Settings'!$B$5)+(X657*'Settings'!$B$9)+(AA657*'Settings'!$B$6)+(W657*'Settings'!$B$8)+(AB657*'Settings'!$B$7)+(AC657*'Settings'!$B$14)+(AD657*'Settings'!$B$15)+(AE657*'Settings'!$B$16)+(AF657*'Settings'!$B$17)+(AG657*'Settings'!$B$18)+(Y657*'Settings'!$B$10)+(Z657*'Settings'!$B$11),VLOOKUP(B657,'Standard Deviations'!A1:C731,3,FALSE))</f>
        <v>147.439602126238</v>
      </c>
      <c r="J657" s="45">
        <f>IF(D657="G",I657/AJ657,I657/Q657)</f>
        <v>1.84058747242877</v>
      </c>
      <c r="K657" s="44">
        <f>IF('Settings'!$E$18="C/LW/RW",VLOOKUP(B657,'C'!A1:F218,6,FALSE),VLOOKUP(B657,'F'!A1:F432,6,FALSE))</f>
        <v>-248.334599509777</v>
      </c>
      <c r="L657" s="44">
        <f>_xlfn.IFERROR(K657/H657,"N/A")</f>
        <v>-301.011635769427</v>
      </c>
      <c r="M657" t="s" s="61">
        <f>IF('Settings'!$E$9="YAHOO",VLOOKUP(B657,'ADP'!A1:E731,2,FALSE),IF('Settings'!$E$9="ESPN",VLOOKUP(B657,'ADP'!A1:E731,3,FALSE),IF('Settings'!$E$9="FANTRAX",VLOOKUP(B657,'ADP'!A1:E731,4,FALSE),VLOOKUP(B657,'ADP'!A1:E731,5,FALSE))))</f>
        <v>329</v>
      </c>
      <c r="N657" t="s" s="61">
        <f>_xlfn.IFERROR(M657-A657,"N/A")</f>
        <v>158</v>
      </c>
      <c r="O657" s="46"/>
      <c r="P657" t="s" s="47">
        <f>IF('Settings'!$E$27="ON",VLOOKUP(B657,'ADP'!A1:H731,8,FALSE)," ")</f>
        <v>109</v>
      </c>
      <c r="Q657" s="48">
        <f>IF('Settings'!$E$12="YES",VLOOKUP(B657,'Player Data'!A1:E734,5,FALSE),82)</f>
        <v>80.10464285714291</v>
      </c>
      <c r="R657" s="46">
        <f>VLOOKUP(B657,'Player Data'!$A1:$AE734,6,FALSE)</f>
        <v>12.5882683234694</v>
      </c>
      <c r="S657" s="48">
        <f>VLOOKUP(B657,'Player Data'!$A1:$AE734,7,FALSE)*$Q657*_xlfn.IFERROR((VLOOKUP(P657,'Settings'!$E$28:$F$33,2,FALSE)+1),1)</f>
        <v>6.25573171304975</v>
      </c>
      <c r="T657" s="48">
        <f>VLOOKUP(B657,'Player Data'!$A1:$AE734,8,FALSE)*$Q657*_xlfn.IFERROR((VLOOKUP(P657,'Settings'!$E$28:$F$33,2,FALSE)+1),1)</f>
        <v>8.984766635765419</v>
      </c>
      <c r="U657" s="48">
        <f>SUM(S657:T657)</f>
        <v>15.2404983488152</v>
      </c>
      <c r="V657" s="48">
        <f>VLOOKUP(B657,'Player Data'!$A1:$AE734,10,FALSE)*$Q657*_xlfn.IFERROR(((VLOOKUP(P657,'Settings'!$E$28:$F$33,2,FALSE)/2)+1),1)</f>
        <v>90.0123850097948</v>
      </c>
      <c r="W657" s="48">
        <f>VLOOKUP(B657,'Player Data'!$A1:$AE734,11,FALSE)*$Q657*_xlfn.IFERROR((VLOOKUP(P657,'Settings'!$E$28:$F$33,2,FALSE)+1),1)</f>
        <v>0.0159154921519251</v>
      </c>
      <c r="X657" s="48">
        <f>VLOOKUP(B657,'Player Data'!$A1:$AE734,12,FALSE)*$Q657*_xlfn.IFERROR((VLOOKUP(P657,'Settings'!$E$28:$F$33,2,FALSE)+1),1)</f>
        <v>0.0420356331093456</v>
      </c>
      <c r="Y657" s="48">
        <f>VLOOKUP(B657,'Player Data'!$A1:$AE734,13,FALSE)*$Q657</f>
        <v>0.487856790713086</v>
      </c>
      <c r="Z657" s="48">
        <f>VLOOKUP(B657,'Player Data'!$A1:$AE734,14,FALSE)*$Q657</f>
        <v>1.71349339215574</v>
      </c>
      <c r="AA657" s="48">
        <f>VLOOKUP(B657,'Player Data'!$A1:$AE734,15,FALSE)*$Q657</f>
        <v>46.9714915370114</v>
      </c>
      <c r="AB657" s="48">
        <f>VLOOKUP(B657,'Player Data'!$A1:$AE734,16,FALSE)*$Q657</f>
        <v>81.66233781001139</v>
      </c>
      <c r="AC657" s="48">
        <f>VLOOKUP(B657,'Player Data'!$A1:$AE734,17,FALSE)*$Q657*_xlfn.IFERROR((VLOOKUP(P657,'Settings'!$E$28:$F$33,2,FALSE)+1),1)</f>
        <v>2.3610267902767</v>
      </c>
      <c r="AD657" s="48">
        <f>VLOOKUP(B657,'Player Data'!$A1:$AE734,18,FALSE)*$Q657</f>
        <v>29.3400110718513</v>
      </c>
      <c r="AE657" s="48">
        <f>VLOOKUP(B657,'Player Data'!$A1:$AE734,19,FALSE)*$Q657*_xlfn.IFERROR((VLOOKUP(P657,'Settings'!$E$28:$F$33,2,FALSE)+1),1)</f>
        <v>0.989751010486981</v>
      </c>
      <c r="AF657" s="48">
        <f>VLOOKUP(B657,'Player Data'!$A1:$AE734,20,FALSE)*$Q657</f>
        <v>23.1525303772295</v>
      </c>
      <c r="AG657" s="48">
        <f>VLOOKUP(B657,'Player Data'!$A1:$AE734,21,FALSE)*$Q657</f>
        <v>34.8986487103631</v>
      </c>
      <c r="AH657" s="49">
        <f>VLOOKUP(B657,'Player Data'!$A1:$AE734,22,FALSE)</f>
        <v>0.398829631734008</v>
      </c>
      <c r="AI657" s="46"/>
      <c r="AJ657" s="48"/>
      <c r="AK657" s="48"/>
      <c r="AL657" s="48"/>
      <c r="AM657" s="48"/>
      <c r="AN657" s="48"/>
      <c r="AO657" s="48"/>
      <c r="AP657" s="48"/>
      <c r="AQ657" s="51"/>
      <c r="AR657" s="52"/>
      <c r="AS657" s="46"/>
    </row>
    <row r="658" ht="21.25" customHeight="1">
      <c r="A658" s="53">
        <f>RANK(K658,K2:K730)</f>
        <v>591</v>
      </c>
      <c r="B658" t="s" s="8">
        <v>810</v>
      </c>
      <c r="C658" t="s" s="39">
        <v>106</v>
      </c>
      <c r="D658" t="s" s="40">
        <f>VLOOKUP(B658,'Player Data'!A1:D734,4,FALSE)</f>
        <v>121</v>
      </c>
      <c r="E658" s="55">
        <f>VLOOKUP(B658,'RW'!A1:F132,3,FALSE)</f>
        <v>112</v>
      </c>
      <c r="F658" t="s" s="42">
        <f>VLOOKUP(B658,'Player Data'!A1:B734,2,FALSE)</f>
        <v>149</v>
      </c>
      <c r="G658" s="9">
        <f>VLOOKUP(B658,'Player Data'!A1:D734,3,FALSE)</f>
        <v>35</v>
      </c>
      <c r="H658" s="43">
        <f>_xlfn.IFERROR(VLOOKUP(B658,'ADP'!A1:G731,7,FALSE)/1000000,VLOOKUP(B658,'ADP'!A1:G731,7,FALSE))</f>
        <v>1.75</v>
      </c>
      <c r="I658" s="44">
        <f>IF('Settings'!$E$15="POINTS",((R658*Q658)*'Settings'!$B$12)+(S658*'Settings'!$B$2)+(T658*'Settings'!$B$3)+(U658*'Settings'!$B$4)+(V658*'Settings'!$B$5)+(X658*'Settings'!$B$9)+(AA658*'Settings'!$B$6)+(W658*'Settings'!$B$8)+(AB658*'Settings'!$B$7)+(AC658*'Settings'!$B$14)+(AD658*'Settings'!$B$15)+(AE658*'Settings'!$B$16)+(AF658*'Settings'!$B$17)+(AG658*'Settings'!$B$18)+(Y658*'Settings'!$B$10)+(Z658*'Settings'!$B$11),VLOOKUP(B658,'Standard Deviations'!A1:C731,3,FALSE))</f>
        <v>168.212938624379</v>
      </c>
      <c r="J658" s="45">
        <f>IF(D658="G",I658/AJ658,I658/Q658)</f>
        <v>2.3320339269006</v>
      </c>
      <c r="K658" s="44">
        <f>IF('Settings'!$E$18="C/LW/RW",VLOOKUP(B658,'RW'!A1:F132,6,FALSE),VLOOKUP(B658,'F'!A1:F432,6,FALSE))</f>
        <v>-213.415625081977</v>
      </c>
      <c r="L658" s="44">
        <f>_xlfn.IFERROR(K658/H658,"N/A")</f>
        <v>-121.951785761130</v>
      </c>
      <c r="M658" t="s" s="61">
        <f>IF('Settings'!$E$9="YAHOO",VLOOKUP(B658,'ADP'!A1:E731,2,FALSE),IF('Settings'!$E$9="ESPN",VLOOKUP(B658,'ADP'!A1:E731,3,FALSE),IF('Settings'!$E$9="FANTRAX",VLOOKUP(B658,'ADP'!A1:E731,4,FALSE),VLOOKUP(B658,'ADP'!A1:E731,5,FALSE))))</f>
        <v>329</v>
      </c>
      <c r="N658" t="s" s="61">
        <f>_xlfn.IFERROR(M658-A658,"N/A")</f>
        <v>158</v>
      </c>
      <c r="O658" s="46"/>
      <c r="P658" t="s" s="47">
        <f>IF('Settings'!$E$27="ON",VLOOKUP(B658,'ADP'!A1:H731,8,FALSE)," ")</f>
        <v>109</v>
      </c>
      <c r="Q658" s="48">
        <f>IF('Settings'!$E$12="YES",VLOOKUP(B658,'Player Data'!A1:E734,5,FALSE),82)</f>
        <v>72.1314285714286</v>
      </c>
      <c r="R658" s="46">
        <f>VLOOKUP(B658,'Player Data'!$A1:$AE734,6,FALSE)</f>
        <v>12.3202968464317</v>
      </c>
      <c r="S658" s="48">
        <f>VLOOKUP(B658,'Player Data'!$A1:$AE734,7,FALSE)*$Q658*_xlfn.IFERROR((VLOOKUP(P658,'Settings'!$E$28:$F$33,2,FALSE)+1),1)</f>
        <v>6.18837359864689</v>
      </c>
      <c r="T658" s="48">
        <f>VLOOKUP(B658,'Player Data'!$A1:$AE734,8,FALSE)*$Q658*_xlfn.IFERROR((VLOOKUP(P658,'Settings'!$E$28:$F$33,2,FALSE)+1),1)</f>
        <v>8.092344579716469</v>
      </c>
      <c r="U658" s="48">
        <f>SUM(S658:T658)</f>
        <v>14.2807181783634</v>
      </c>
      <c r="V658" s="48">
        <f>VLOOKUP(B658,'Player Data'!$A1:$AE734,10,FALSE)*$Q658*_xlfn.IFERROR(((VLOOKUP(P658,'Settings'!$E$28:$F$33,2,FALSE)/2)+1),1)</f>
        <v>70.3431133072072</v>
      </c>
      <c r="W658" s="48">
        <f>VLOOKUP(B658,'Player Data'!$A1:$AE734,11,FALSE)*$Q658*_xlfn.IFERROR((VLOOKUP(P658,'Settings'!$E$28:$F$33,2,FALSE)+1),1)</f>
        <v>0.0424731276406185</v>
      </c>
      <c r="X658" s="48">
        <f>VLOOKUP(B658,'Player Data'!$A1:$AE734,12,FALSE)*$Q658*_xlfn.IFERROR((VLOOKUP(P658,'Settings'!$E$28:$F$33,2,FALSE)+1),1)</f>
        <v>0.110762734626901</v>
      </c>
      <c r="Y658" s="48">
        <f>VLOOKUP(B658,'Player Data'!$A1:$AE734,13,FALSE)*$Q658</f>
        <v>0.588382913332115</v>
      </c>
      <c r="Z658" s="48">
        <f>VLOOKUP(B658,'Player Data'!$A1:$AE734,14,FALSE)*$Q658</f>
        <v>0.701397046227789</v>
      </c>
      <c r="AA658" s="48">
        <f>VLOOKUP(B658,'Player Data'!$A1:$AE734,15,FALSE)*$Q658</f>
        <v>39.0289880032139</v>
      </c>
      <c r="AB658" s="48">
        <f>VLOOKUP(B658,'Player Data'!$A1:$AE734,16,FALSE)*$Q658</f>
        <v>239.997515774609</v>
      </c>
      <c r="AC658" s="48">
        <f>VLOOKUP(B658,'Player Data'!$A1:$AE734,17,FALSE)*$Q658*_xlfn.IFERROR((VLOOKUP(P658,'Settings'!$E$28:$F$33,2,FALSE)+1),1)</f>
        <v>-0.721596791750498</v>
      </c>
      <c r="AD658" s="48">
        <f>VLOOKUP(B658,'Player Data'!$A1:$AE734,18,FALSE)*$Q658</f>
        <v>19.510083416475</v>
      </c>
      <c r="AE658" s="48">
        <f>VLOOKUP(B658,'Player Data'!$A1:$AE734,19,FALSE)*$Q658*_xlfn.IFERROR((VLOOKUP(P658,'Settings'!$E$28:$F$33,2,FALSE)+1),1)</f>
        <v>0.956238982392759</v>
      </c>
      <c r="AF658" s="48">
        <f>VLOOKUP(B658,'Player Data'!$A1:$AE734,20,FALSE)*$Q658</f>
        <v>3.01198410593221</v>
      </c>
      <c r="AG658" s="48">
        <f>VLOOKUP(B658,'Player Data'!$A1:$AE734,21,FALSE)*$Q658</f>
        <v>5.10729398476125</v>
      </c>
      <c r="AH658" s="49">
        <f>VLOOKUP(B658,'Player Data'!$A1:$AE734,22,FALSE)</f>
        <v>0.370966984045617</v>
      </c>
      <c r="AI658" s="46"/>
      <c r="AJ658" s="50"/>
      <c r="AK658" s="48"/>
      <c r="AL658" s="48"/>
      <c r="AM658" s="48"/>
      <c r="AN658" s="48"/>
      <c r="AO658" s="48"/>
      <c r="AP658" s="48"/>
      <c r="AQ658" s="51"/>
      <c r="AR658" s="52"/>
      <c r="AS658" s="46"/>
    </row>
    <row r="659" ht="21.25" customHeight="1">
      <c r="A659" s="53">
        <f>RANK(K659,K2:K730)</f>
        <v>658</v>
      </c>
      <c r="B659" t="s" s="8">
        <v>811</v>
      </c>
      <c r="C659" t="s" s="39">
        <v>106</v>
      </c>
      <c r="D659" t="s" s="40">
        <f>VLOOKUP(B659,'Player Data'!A1:D734,4,FALSE)</f>
        <v>107</v>
      </c>
      <c r="E659" s="41">
        <f>VLOOKUP(B659,'C'!A1:C218,3,FALSE)</f>
        <v>175</v>
      </c>
      <c r="F659" t="s" s="42">
        <f>VLOOKUP(B659,'Player Data'!A1:B734,2,FALSE)</f>
        <v>292</v>
      </c>
      <c r="G659" s="9">
        <f>VLOOKUP(B659,'Player Data'!A1:D734,3,FALSE)</f>
        <v>29</v>
      </c>
      <c r="H659" s="43">
        <f>_xlfn.IFERROR(VLOOKUP(B659,'ADP'!A1:G731,7,FALSE)/1000000,VLOOKUP(B659,'ADP'!A1:G731,7,FALSE))</f>
        <v>1.484</v>
      </c>
      <c r="I659" s="44">
        <f>IF('Settings'!$E$15="POINTS",((R659*Q659)*'Settings'!$B$12)+(S659*'Settings'!$B$2)+(T659*'Settings'!$B$3)+(U659*'Settings'!$B$4)+(V659*'Settings'!$B$5)+(X659*'Settings'!$B$9)+(AA659*'Settings'!$B$6)+(W659*'Settings'!$B$8)+(AB659*'Settings'!$B$7)+(AC659*'Settings'!$B$14)+(AD659*'Settings'!$B$15)+(AE659*'Settings'!$B$16)+(AF659*'Settings'!$B$17)+(AG659*'Settings'!$B$18)+(Y659*'Settings'!$B$10)+(Z659*'Settings'!$B$11),VLOOKUP(B659,'Standard Deviations'!A1:C731,3,FALSE))</f>
        <v>158.479808290937</v>
      </c>
      <c r="J659" s="45">
        <f>IF(D659="G",I659/AJ659,I659/Q659)</f>
        <v>2.03847532760618</v>
      </c>
      <c r="K659" s="44">
        <f>IF('Settings'!$E$18="C/LW/RW",VLOOKUP(B659,'C'!A1:F218,6,FALSE),VLOOKUP(B659,'F'!A1:F432,6,FALSE))</f>
        <v>-237.294393345078</v>
      </c>
      <c r="L659" s="44">
        <f>_xlfn.IFERROR(K659/H659,"N/A")</f>
        <v>-159.901882308004</v>
      </c>
      <c r="M659" t="s" s="61">
        <f>IF('Settings'!$E$9="YAHOO",VLOOKUP(B659,'ADP'!A1:E731,2,FALSE),IF('Settings'!$E$9="ESPN",VLOOKUP(B659,'ADP'!A1:E731,3,FALSE),IF('Settings'!$E$9="FANTRAX",VLOOKUP(B659,'ADP'!A1:E731,4,FALSE),VLOOKUP(B659,'ADP'!A1:E731,5,FALSE))))</f>
        <v>329</v>
      </c>
      <c r="N659" t="s" s="61">
        <f>_xlfn.IFERROR(M659-A659,"N/A")</f>
        <v>158</v>
      </c>
      <c r="O659" s="46"/>
      <c r="P659" t="s" s="47">
        <f>IF('Settings'!$E$27="ON",VLOOKUP(B659,'ADP'!A1:H731,8,FALSE)," ")</f>
        <v>109</v>
      </c>
      <c r="Q659" s="48">
        <f>IF('Settings'!$E$12="YES",VLOOKUP(B659,'Player Data'!A1:E734,5,FALSE),82)</f>
        <v>77.7442857142857</v>
      </c>
      <c r="R659" s="46">
        <f>VLOOKUP(B659,'Player Data'!$A1:$AE734,6,FALSE)</f>
        <v>10.0858707547514</v>
      </c>
      <c r="S659" s="48">
        <f>VLOOKUP(B659,'Player Data'!$A1:$AE734,7,FALSE)*$Q659*_xlfn.IFERROR((VLOOKUP(P659,'Settings'!$E$28:$F$33,2,FALSE)+1),1)</f>
        <v>7.85050125288086</v>
      </c>
      <c r="T659" s="48">
        <f>VLOOKUP(B659,'Player Data'!$A1:$AE734,8,FALSE)*$Q659*_xlfn.IFERROR((VLOOKUP(P659,'Settings'!$E$28:$F$33,2,FALSE)+1),1)</f>
        <v>6.9643927838078</v>
      </c>
      <c r="U659" s="48">
        <f>SUM(S659:T659)</f>
        <v>14.8148940366887</v>
      </c>
      <c r="V659" s="48">
        <f>VLOOKUP(B659,'Player Data'!$A1:$AE734,10,FALSE)*$Q659*_xlfn.IFERROR(((VLOOKUP(P659,'Settings'!$E$28:$F$33,2,FALSE)/2)+1),1)</f>
        <v>84.6915980963054</v>
      </c>
      <c r="W659" s="48">
        <f>VLOOKUP(B659,'Player Data'!$A1:$AE734,11,FALSE)*$Q659*_xlfn.IFERROR((VLOOKUP(P659,'Settings'!$E$28:$F$33,2,FALSE)+1),1)</f>
        <v>0.0438315887151714</v>
      </c>
      <c r="X659" s="48">
        <f>VLOOKUP(B659,'Player Data'!$A1:$AE734,12,FALSE)*$Q659*_xlfn.IFERROR((VLOOKUP(P659,'Settings'!$E$28:$F$33,2,FALSE)+1),1)</f>
        <v>0.111445895536768</v>
      </c>
      <c r="Y659" s="48">
        <f>VLOOKUP(B659,'Player Data'!$A1:$AE734,13,FALSE)*$Q659</f>
        <v>0</v>
      </c>
      <c r="Z659" s="48">
        <f>VLOOKUP(B659,'Player Data'!$A1:$AE734,14,FALSE)*$Q659</f>
        <v>0</v>
      </c>
      <c r="AA659" s="48">
        <f>VLOOKUP(B659,'Player Data'!$A1:$AE734,15,FALSE)*$Q659</f>
        <v>36.2386194299789</v>
      </c>
      <c r="AB659" s="48">
        <f>VLOOKUP(B659,'Player Data'!$A1:$AE734,16,FALSE)*$Q659</f>
        <v>167.177062153630</v>
      </c>
      <c r="AC659" s="48">
        <f>VLOOKUP(B659,'Player Data'!$A1:$AE734,17,FALSE)*$Q659*_xlfn.IFERROR((VLOOKUP(P659,'Settings'!$E$28:$F$33,2,FALSE)+1),1)</f>
        <v>-0.391698219410606</v>
      </c>
      <c r="AD659" s="48">
        <f>VLOOKUP(B659,'Player Data'!$A1:$AE734,18,FALSE)*$Q659</f>
        <v>21.9390272821192</v>
      </c>
      <c r="AE659" s="48">
        <f>VLOOKUP(B659,'Player Data'!$A1:$AE734,19,FALSE)*$Q659*_xlfn.IFERROR((VLOOKUP(P659,'Settings'!$E$28:$F$33,2,FALSE)+1),1)</f>
        <v>0</v>
      </c>
      <c r="AF659" s="48">
        <f>VLOOKUP(B659,'Player Data'!$A1:$AE734,20,FALSE)*$Q659</f>
        <v>6.24526883621882</v>
      </c>
      <c r="AG659" s="48">
        <f>VLOOKUP(B659,'Player Data'!$A1:$AE734,21,FALSE)*$Q659</f>
        <v>6.81380253148307</v>
      </c>
      <c r="AH659" s="49">
        <f>VLOOKUP(B659,'Player Data'!$A1:$AE734,22,FALSE)</f>
        <v>0.478232231096065</v>
      </c>
      <c r="AI659" s="46"/>
      <c r="AJ659" s="50"/>
      <c r="AK659" s="48"/>
      <c r="AL659" s="48"/>
      <c r="AM659" s="48"/>
      <c r="AN659" s="48"/>
      <c r="AO659" s="48"/>
      <c r="AP659" s="48"/>
      <c r="AQ659" s="51"/>
      <c r="AR659" s="52"/>
      <c r="AS659" s="46"/>
    </row>
    <row r="660" ht="21.25" customHeight="1">
      <c r="A660" s="53">
        <f>RANK(K660,K2:K730)</f>
        <v>683</v>
      </c>
      <c r="B660" t="s" s="8">
        <v>812</v>
      </c>
      <c r="C660" t="s" s="39">
        <v>106</v>
      </c>
      <c r="D660" t="s" s="40">
        <f>VLOOKUP(B660,'Player Data'!A1:D734,4,FALSE)</f>
        <v>107</v>
      </c>
      <c r="E660" s="41">
        <f>VLOOKUP(B660,'C'!A1:C218,3,FALSE)</f>
        <v>185</v>
      </c>
      <c r="F660" t="s" s="42">
        <f>VLOOKUP(B660,'Player Data'!A1:B734,2,FALSE)</f>
        <v>184</v>
      </c>
      <c r="G660" s="9">
        <f>VLOOKUP(B660,'Player Data'!A1:D734,3,FALSE)</f>
        <v>23</v>
      </c>
      <c r="H660" s="43">
        <f>_xlfn.IFERROR(VLOOKUP(B660,'ADP'!A1:G731,7,FALSE)/1000000,VLOOKUP(B660,'ADP'!A1:G731,7,FALSE))</f>
        <v>0</v>
      </c>
      <c r="I660" s="44">
        <f>IF('Settings'!$E$15="POINTS",((R660*Q660)*'Settings'!$B$12)+(S660*'Settings'!$B$2)+(T660*'Settings'!$B$3)+(U660*'Settings'!$B$4)+(V660*'Settings'!$B$5)+(X660*'Settings'!$B$9)+(AA660*'Settings'!$B$6)+(W660*'Settings'!$B$8)+(AB660*'Settings'!$B$7)+(AC660*'Settings'!$B$14)+(AD660*'Settings'!$B$15)+(AE660*'Settings'!$B$16)+(AF660*'Settings'!$B$17)+(AG660*'Settings'!$B$18)+(Y660*'Settings'!$B$10)+(Z660*'Settings'!$B$11),VLOOKUP(B660,'Standard Deviations'!A1:C731,3,FALSE))</f>
        <v>143.824346818760</v>
      </c>
      <c r="J660" s="45">
        <f>IF(D660="G",I660/AJ660,I660/Q660)</f>
        <v>1.99756037248278</v>
      </c>
      <c r="K660" s="44">
        <f>IF('Settings'!$E$18="C/LW/RW",VLOOKUP(B660,'C'!A1:F218,6,FALSE),VLOOKUP(B660,'F'!A1:F432,6,FALSE))</f>
        <v>-251.949854817255</v>
      </c>
      <c r="L660" t="s" s="60">
        <f>_xlfn.IFERROR(K660/H660,"N/A")</f>
        <v>158</v>
      </c>
      <c r="M660" t="s" s="61">
        <f>IF('Settings'!$E$9="YAHOO",VLOOKUP(B660,'ADP'!A1:E731,2,FALSE),IF('Settings'!$E$9="ESPN",VLOOKUP(B660,'ADP'!A1:E731,3,FALSE),IF('Settings'!$E$9="FANTRAX",VLOOKUP(B660,'ADP'!A1:E731,4,FALSE),VLOOKUP(B660,'ADP'!A1:E731,5,FALSE))))</f>
        <v>329</v>
      </c>
      <c r="N660" t="s" s="61">
        <f>_xlfn.IFERROR(M660-A660,"N/A")</f>
        <v>158</v>
      </c>
      <c r="O660" s="46"/>
      <c r="P660" t="s" s="47">
        <f>IF('Settings'!$E$27="ON",VLOOKUP(B660,'ADP'!A1:H731,8,FALSE)," ")</f>
        <v>109</v>
      </c>
      <c r="Q660" s="48">
        <f>IF('Settings'!$E$12="YES",VLOOKUP(B660,'Player Data'!A1:E734,5,FALSE),82)</f>
        <v>72</v>
      </c>
      <c r="R660" s="46">
        <f>VLOOKUP(B660,'Player Data'!$A1:$AE734,6,FALSE)</f>
        <v>11.5508804716291</v>
      </c>
      <c r="S660" s="48">
        <f>VLOOKUP(B660,'Player Data'!$A1:$AE734,7,FALSE)*$Q660*_xlfn.IFERROR((VLOOKUP(P660,'Settings'!$E$28:$F$33,2,FALSE)+1),1)</f>
        <v>7.98549138534024</v>
      </c>
      <c r="T660" s="48">
        <f>VLOOKUP(B660,'Player Data'!$A1:$AE734,8,FALSE)*$Q660*_xlfn.IFERROR((VLOOKUP(P660,'Settings'!$E$28:$F$33,2,FALSE)+1),1)</f>
        <v>8.675602400359869</v>
      </c>
      <c r="U660" s="48">
        <f>SUM(S660:T660)</f>
        <v>16.6610937857001</v>
      </c>
      <c r="V660" s="48">
        <f>VLOOKUP(B660,'Player Data'!$A1:$AE734,10,FALSE)*$Q660*_xlfn.IFERROR(((VLOOKUP(P660,'Settings'!$E$28:$F$33,2,FALSE)/2)+1),1)</f>
        <v>70.1813638262927</v>
      </c>
      <c r="W660" s="48">
        <f>VLOOKUP(B660,'Player Data'!$A1:$AE734,11,FALSE)*$Q660*_xlfn.IFERROR((VLOOKUP(P660,'Settings'!$E$28:$F$33,2,FALSE)+1),1)</f>
        <v>0.43812969654206</v>
      </c>
      <c r="X660" s="48">
        <f>VLOOKUP(B660,'Player Data'!$A1:$AE734,12,FALSE)*$Q660*_xlfn.IFERROR((VLOOKUP(P660,'Settings'!$E$28:$F$33,2,FALSE)+1),1)</f>
        <v>1.30312579229911</v>
      </c>
      <c r="Y660" s="48">
        <f>VLOOKUP(B660,'Player Data'!$A1:$AE734,13,FALSE)*$Q660</f>
        <v>0.0906262522355117</v>
      </c>
      <c r="Z660" s="48">
        <f>VLOOKUP(B660,'Player Data'!$A1:$AE734,14,FALSE)*$Q660</f>
        <v>0.167104683995707</v>
      </c>
      <c r="AA660" s="48">
        <f>VLOOKUP(B660,'Player Data'!$A1:$AE734,15,FALSE)*$Q660</f>
        <v>32.7602638636748</v>
      </c>
      <c r="AB660" s="48">
        <f>VLOOKUP(B660,'Player Data'!$A1:$AE734,16,FALSE)*$Q660</f>
        <v>120.231220682696</v>
      </c>
      <c r="AC660" s="48">
        <f>VLOOKUP(B660,'Player Data'!$A1:$AE734,17,FALSE)*$Q660*_xlfn.IFERROR((VLOOKUP(P660,'Settings'!$E$28:$F$33,2,FALSE)+1),1)</f>
        <v>-3.34188251420697</v>
      </c>
      <c r="AD660" s="48">
        <f>VLOOKUP(B660,'Player Data'!$A1:$AE734,18,FALSE)*$Q660</f>
        <v>22.8621017031821</v>
      </c>
      <c r="AE660" s="48">
        <f>VLOOKUP(B660,'Player Data'!$A1:$AE734,19,FALSE)*$Q660*_xlfn.IFERROR((VLOOKUP(P660,'Settings'!$E$28:$F$33,2,FALSE)+1),1)</f>
        <v>1.05676686830529</v>
      </c>
      <c r="AF660" s="48">
        <f>VLOOKUP(B660,'Player Data'!$A1:$AE734,20,FALSE)*$Q660</f>
        <v>228.706314585453</v>
      </c>
      <c r="AG660" s="48">
        <f>VLOOKUP(B660,'Player Data'!$A1:$AE734,21,FALSE)*$Q660</f>
        <v>280.241775787271</v>
      </c>
      <c r="AH660" s="49">
        <f>VLOOKUP(B660,'Player Data'!$A1:$AE734,22,FALSE)</f>
        <v>0.44937061148606</v>
      </c>
      <c r="AI660" s="46"/>
      <c r="AJ660" s="50"/>
      <c r="AK660" s="48"/>
      <c r="AL660" s="48"/>
      <c r="AM660" s="48"/>
      <c r="AN660" s="48"/>
      <c r="AO660" s="48"/>
      <c r="AP660" s="48"/>
      <c r="AQ660" s="51"/>
      <c r="AR660" s="52"/>
      <c r="AS660" s="46"/>
    </row>
    <row r="661" ht="21.25" customHeight="1">
      <c r="A661" s="53">
        <f>RANK(K661,K2:K730)</f>
        <v>657</v>
      </c>
      <c r="B661" t="s" s="8">
        <v>813</v>
      </c>
      <c r="C661" t="s" s="39">
        <v>106</v>
      </c>
      <c r="D661" t="s" s="40">
        <f>VLOOKUP(B661,'Player Data'!A1:D734,4,FALSE)</f>
        <v>107</v>
      </c>
      <c r="E661" s="41">
        <f>VLOOKUP(B661,'C'!A1:C218,3,FALSE)</f>
        <v>174</v>
      </c>
      <c r="F661" t="s" s="42">
        <f>VLOOKUP(B661,'Player Data'!A1:B734,2,FALSE)</f>
        <v>156</v>
      </c>
      <c r="G661" s="9">
        <f>VLOOKUP(B661,'Player Data'!A1:D734,3,FALSE)</f>
        <v>27</v>
      </c>
      <c r="H661" s="43">
        <f>_xlfn.IFERROR(VLOOKUP(B661,'ADP'!A1:G731,7,FALSE)/1000000,VLOOKUP(B661,'ADP'!A1:G731,7,FALSE))</f>
        <v>0.825</v>
      </c>
      <c r="I661" s="44">
        <f>IF('Settings'!$E$15="POINTS",((R661*Q661)*'Settings'!$B$12)+(S661*'Settings'!$B$2)+(T661*'Settings'!$B$3)+(U661*'Settings'!$B$4)+(V661*'Settings'!$B$5)+(X661*'Settings'!$B$9)+(AA661*'Settings'!$B$6)+(W661*'Settings'!$B$8)+(AB661*'Settings'!$B$7)+(AC661*'Settings'!$B$14)+(AD661*'Settings'!$B$15)+(AE661*'Settings'!$B$16)+(AF661*'Settings'!$B$17)+(AG661*'Settings'!$B$18)+(Y661*'Settings'!$B$10)+(Z661*'Settings'!$B$11),VLOOKUP(B661,'Standard Deviations'!A1:C731,3,FALSE))</f>
        <v>158.805580312748</v>
      </c>
      <c r="J661" s="45">
        <f>IF(D661="G",I661/AJ661,I661/Q661)</f>
        <v>2.3386557035112</v>
      </c>
      <c r="K661" s="44">
        <f>IF('Settings'!$E$18="C/LW/RW",VLOOKUP(B661,'C'!A1:F218,6,FALSE),VLOOKUP(B661,'F'!A1:F432,6,FALSE))</f>
        <v>-236.968621323267</v>
      </c>
      <c r="L661" s="44">
        <f>_xlfn.IFERROR(K661/H661,"N/A")</f>
        <v>-287.234692513051</v>
      </c>
      <c r="M661" t="s" s="61">
        <f>IF('Settings'!$E$9="YAHOO",VLOOKUP(B661,'ADP'!A1:E731,2,FALSE),IF('Settings'!$E$9="ESPN",VLOOKUP(B661,'ADP'!A1:E731,3,FALSE),IF('Settings'!$E$9="FANTRAX",VLOOKUP(B661,'ADP'!A1:E731,4,FALSE),VLOOKUP(B661,'ADP'!A1:E731,5,FALSE))))</f>
        <v>329</v>
      </c>
      <c r="N661" t="s" s="61">
        <f>_xlfn.IFERROR(M661-A661,"N/A")</f>
        <v>158</v>
      </c>
      <c r="O661" s="46"/>
      <c r="P661" t="s" s="47">
        <f>IF('Settings'!$E$27="ON",VLOOKUP(B661,'ADP'!A1:H731,8,FALSE)," ")</f>
        <v>109</v>
      </c>
      <c r="Q661" s="48">
        <f>IF('Settings'!$E$12="YES",VLOOKUP(B661,'Player Data'!A1:E734,5,FALSE),82)</f>
        <v>67.9046428571429</v>
      </c>
      <c r="R661" s="46">
        <f>VLOOKUP(B661,'Player Data'!$A1:$AE734,6,FALSE)</f>
        <v>11.2480436828014</v>
      </c>
      <c r="S661" s="48">
        <f>VLOOKUP(B661,'Player Data'!$A1:$AE734,7,FALSE)*$Q661*_xlfn.IFERROR((VLOOKUP(P661,'Settings'!$E$28:$F$33,2,FALSE)+1),1)</f>
        <v>8.16506349435244</v>
      </c>
      <c r="T661" s="48">
        <f>VLOOKUP(B661,'Player Data'!$A1:$AE734,8,FALSE)*$Q661*_xlfn.IFERROR((VLOOKUP(P661,'Settings'!$E$28:$F$33,2,FALSE)+1),1)</f>
        <v>10.3306652236927</v>
      </c>
      <c r="U661" s="48">
        <f>SUM(S661:T661)</f>
        <v>18.4957287180451</v>
      </c>
      <c r="V661" s="48">
        <f>VLOOKUP(B661,'Player Data'!$A1:$AE734,10,FALSE)*$Q661*_xlfn.IFERROR(((VLOOKUP(P661,'Settings'!$E$28:$F$33,2,FALSE)/2)+1),1)</f>
        <v>64.9089983883535</v>
      </c>
      <c r="W661" s="48">
        <f>VLOOKUP(B661,'Player Data'!$A1:$AE734,11,FALSE)*$Q661*_xlfn.IFERROR((VLOOKUP(P661,'Settings'!$E$28:$F$33,2,FALSE)+1),1)</f>
        <v>0.201916320912691</v>
      </c>
      <c r="X661" s="48">
        <f>VLOOKUP(B661,'Player Data'!$A1:$AE734,12,FALSE)*$Q661*_xlfn.IFERROR((VLOOKUP(P661,'Settings'!$E$28:$F$33,2,FALSE)+1),1)</f>
        <v>0.35758554206958</v>
      </c>
      <c r="Y661" s="48">
        <f>VLOOKUP(B661,'Player Data'!$A1:$AE734,13,FALSE)*$Q661</f>
        <v>0.539029700209621</v>
      </c>
      <c r="Z661" s="48">
        <f>VLOOKUP(B661,'Player Data'!$A1:$AE734,14,FALSE)*$Q661</f>
        <v>0.624858231441289</v>
      </c>
      <c r="AA661" s="48">
        <f>VLOOKUP(B661,'Player Data'!$A1:$AE734,15,FALSE)*$Q661</f>
        <v>26.4748520722511</v>
      </c>
      <c r="AB661" s="48">
        <f>VLOOKUP(B661,'Player Data'!$A1:$AE734,16,FALSE)*$Q661</f>
        <v>176.516628895596</v>
      </c>
      <c r="AC661" s="48">
        <f>VLOOKUP(B661,'Player Data'!$A1:$AE734,17,FALSE)*$Q661*_xlfn.IFERROR((VLOOKUP(P661,'Settings'!$E$28:$F$33,2,FALSE)+1),1)</f>
        <v>-0.321604182048369</v>
      </c>
      <c r="AD661" s="48">
        <f>VLOOKUP(B661,'Player Data'!$A1:$AE734,18,FALSE)*$Q661</f>
        <v>35.5199115112466</v>
      </c>
      <c r="AE661" s="48">
        <f>VLOOKUP(B661,'Player Data'!$A1:$AE734,19,FALSE)*$Q661*_xlfn.IFERROR((VLOOKUP(P661,'Settings'!$E$28:$F$33,2,FALSE)+1),1)</f>
        <v>1.15584352194758</v>
      </c>
      <c r="AF661" s="48">
        <f>VLOOKUP(B661,'Player Data'!$A1:$AE734,20,FALSE)*$Q661</f>
        <v>29.8234016713515</v>
      </c>
      <c r="AG661" s="48">
        <f>VLOOKUP(B661,'Player Data'!$A1:$AE734,21,FALSE)*$Q661</f>
        <v>25.7221867816099</v>
      </c>
      <c r="AH661" s="49">
        <f>VLOOKUP(B661,'Player Data'!$A1:$AE734,22,FALSE)</f>
        <v>0.536917557307136</v>
      </c>
      <c r="AI661" s="46"/>
      <c r="AJ661" s="48"/>
      <c r="AK661" s="48"/>
      <c r="AL661" s="48"/>
      <c r="AM661" s="48"/>
      <c r="AN661" s="48"/>
      <c r="AO661" s="48"/>
      <c r="AP661" s="48"/>
      <c r="AQ661" s="51"/>
      <c r="AR661" s="52"/>
      <c r="AS661" s="46"/>
    </row>
    <row r="662" ht="21.25" customHeight="1">
      <c r="A662" s="53">
        <f>RANK(K662,K2:K730)</f>
        <v>656</v>
      </c>
      <c r="B662" t="s" s="8">
        <v>814</v>
      </c>
      <c r="C662" t="s" s="39">
        <v>106</v>
      </c>
      <c r="D662" t="s" s="40">
        <f>VLOOKUP(B662,'Player Data'!A1:D734,4,FALSE)</f>
        <v>107</v>
      </c>
      <c r="E662" s="41">
        <f>VLOOKUP(B662,'C'!A1:C218,3,FALSE)</f>
        <v>173</v>
      </c>
      <c r="F662" t="s" s="42">
        <f>VLOOKUP(B662,'Player Data'!A1:B734,2,FALSE)</f>
        <v>122</v>
      </c>
      <c r="G662" s="9">
        <f>VLOOKUP(B662,'Player Data'!A1:D734,3,FALSE)</f>
        <v>31</v>
      </c>
      <c r="H662" s="43">
        <f>_xlfn.IFERROR(VLOOKUP(B662,'ADP'!A1:G731,7,FALSE)/1000000,VLOOKUP(B662,'ADP'!A1:G731,7,FALSE))</f>
        <v>0.8</v>
      </c>
      <c r="I662" s="44">
        <f>IF('Settings'!$E$15="POINTS",((R662*Q662)*'Settings'!$B$12)+(S662*'Settings'!$B$2)+(T662*'Settings'!$B$3)+(U662*'Settings'!$B$4)+(V662*'Settings'!$B$5)+(X662*'Settings'!$B$9)+(AA662*'Settings'!$B$6)+(W662*'Settings'!$B$8)+(AB662*'Settings'!$B$7)+(AC662*'Settings'!$B$14)+(AD662*'Settings'!$B$15)+(AE662*'Settings'!$B$16)+(AF662*'Settings'!$B$17)+(AG662*'Settings'!$B$18)+(Y662*'Settings'!$B$10)+(Z662*'Settings'!$B$11),VLOOKUP(B662,'Standard Deviations'!A1:C731,3,FALSE))</f>
        <v>159.894480647206</v>
      </c>
      <c r="J662" s="45">
        <f>IF(D662="G",I662/AJ662,I662/Q662)</f>
        <v>2.34449385113205</v>
      </c>
      <c r="K662" s="44">
        <f>IF('Settings'!$E$18="C/LW/RW",VLOOKUP(B662,'C'!A1:F218,6,FALSE),VLOOKUP(B662,'F'!A1:F432,6,FALSE))</f>
        <v>-235.879720988809</v>
      </c>
      <c r="L662" s="44">
        <f>_xlfn.IFERROR(K662/H662,"N/A")</f>
        <v>-294.849651236011</v>
      </c>
      <c r="M662" t="s" s="61">
        <f>IF('Settings'!$E$9="YAHOO",VLOOKUP(B662,'ADP'!A1:E731,2,FALSE),IF('Settings'!$E$9="ESPN",VLOOKUP(B662,'ADP'!A1:E731,3,FALSE),IF('Settings'!$E$9="FANTRAX",VLOOKUP(B662,'ADP'!A1:E731,4,FALSE),VLOOKUP(B662,'ADP'!A1:E731,5,FALSE))))</f>
        <v>329</v>
      </c>
      <c r="N662" t="s" s="61">
        <f>_xlfn.IFERROR(M662-A662,"N/A")</f>
        <v>158</v>
      </c>
      <c r="O662" s="46"/>
      <c r="P662" t="s" s="47">
        <f>IF('Settings'!$E$27="ON",VLOOKUP(B662,'ADP'!A1:H731,8,FALSE)," ")</f>
        <v>109</v>
      </c>
      <c r="Q662" s="48">
        <f>IF('Settings'!$E$12="YES",VLOOKUP(B662,'Player Data'!A1:E734,5,FALSE),82)</f>
        <v>68.2</v>
      </c>
      <c r="R662" s="46">
        <f>VLOOKUP(B662,'Player Data'!$A1:$AE734,6,FALSE)</f>
        <v>12.3193888098845</v>
      </c>
      <c r="S662" s="48">
        <f>VLOOKUP(B662,'Player Data'!$A1:$AE734,7,FALSE)*$Q662*_xlfn.IFERROR((VLOOKUP(P662,'Settings'!$E$28:$F$33,2,FALSE)+1),1)</f>
        <v>5.51634908010402</v>
      </c>
      <c r="T662" s="48">
        <f>VLOOKUP(B662,'Player Data'!$A1:$AE734,8,FALSE)*$Q662*_xlfn.IFERROR((VLOOKUP(P662,'Settings'!$E$28:$F$33,2,FALSE)+1),1)</f>
        <v>9.40772551339086</v>
      </c>
      <c r="U662" s="48">
        <f>SUM(S662:T662)</f>
        <v>14.9240745934949</v>
      </c>
      <c r="V662" s="48">
        <f>VLOOKUP(B662,'Player Data'!$A1:$AE734,10,FALSE)*$Q662*_xlfn.IFERROR(((VLOOKUP(P662,'Settings'!$E$28:$F$33,2,FALSE)/2)+1),1)</f>
        <v>77.1881718164758</v>
      </c>
      <c r="W662" s="48">
        <f>VLOOKUP(B662,'Player Data'!$A1:$AE734,11,FALSE)*$Q662*_xlfn.IFERROR((VLOOKUP(P662,'Settings'!$E$28:$F$33,2,FALSE)+1),1)</f>
        <v>0.0479253088654457</v>
      </c>
      <c r="X662" s="48">
        <f>VLOOKUP(B662,'Player Data'!$A1:$AE734,12,FALSE)*$Q662*_xlfn.IFERROR((VLOOKUP(P662,'Settings'!$E$28:$F$33,2,FALSE)+1),1)</f>
        <v>0.126231303525753</v>
      </c>
      <c r="Y662" s="48">
        <f>VLOOKUP(B662,'Player Data'!$A1:$AE734,13,FALSE)*$Q662</f>
        <v>0.5173304215726749</v>
      </c>
      <c r="Z662" s="48">
        <f>VLOOKUP(B662,'Player Data'!$A1:$AE734,14,FALSE)*$Q662</f>
        <v>0.619791988099745</v>
      </c>
      <c r="AA662" s="48">
        <f>VLOOKUP(B662,'Player Data'!$A1:$AE734,15,FALSE)*$Q662</f>
        <v>47.2017350687932</v>
      </c>
      <c r="AB662" s="48">
        <f>VLOOKUP(B662,'Player Data'!$A1:$AE734,16,FALSE)*$Q662</f>
        <v>173.652783310925</v>
      </c>
      <c r="AC662" s="48">
        <f>VLOOKUP(B662,'Player Data'!$A1:$AE734,17,FALSE)*$Q662*_xlfn.IFERROR((VLOOKUP(P662,'Settings'!$E$28:$F$33,2,FALSE)+1),1)</f>
        <v>1.55138118946945</v>
      </c>
      <c r="AD662" s="48">
        <f>VLOOKUP(B662,'Player Data'!$A1:$AE734,18,FALSE)*$Q662</f>
        <v>28.8113794473054</v>
      </c>
      <c r="AE662" s="48">
        <f>VLOOKUP(B662,'Player Data'!$A1:$AE734,19,FALSE)*$Q662*_xlfn.IFERROR((VLOOKUP(P662,'Settings'!$E$28:$F$33,2,FALSE)+1),1)</f>
        <v>0.926086452217476</v>
      </c>
      <c r="AF662" s="48">
        <f>VLOOKUP(B662,'Player Data'!$A1:$AE734,20,FALSE)*$Q662</f>
        <v>244.041156504699</v>
      </c>
      <c r="AG662" s="48">
        <f>VLOOKUP(B662,'Player Data'!$A1:$AE734,21,FALSE)*$Q662</f>
        <v>198.643746891676</v>
      </c>
      <c r="AH662" s="49">
        <f>VLOOKUP(B662,'Player Data'!$A1:$AE734,22,FALSE)</f>
        <v>0.551275082191333</v>
      </c>
      <c r="AI662" s="46"/>
      <c r="AJ662" s="50"/>
      <c r="AK662" s="48"/>
      <c r="AL662" s="48"/>
      <c r="AM662" s="48"/>
      <c r="AN662" s="48"/>
      <c r="AO662" s="48"/>
      <c r="AP662" s="48"/>
      <c r="AQ662" s="51"/>
      <c r="AR662" s="52"/>
      <c r="AS662" s="46"/>
    </row>
    <row r="663" ht="21.25" customHeight="1">
      <c r="A663" s="53">
        <f>RANK(K663,K2:K730)</f>
        <v>696</v>
      </c>
      <c r="B663" t="s" s="8">
        <v>815</v>
      </c>
      <c r="C663" t="s" s="39">
        <v>106</v>
      </c>
      <c r="D663" t="s" s="40">
        <f>VLOOKUP(B663,'Player Data'!A1:D734,4,FALSE)</f>
        <v>107</v>
      </c>
      <c r="E663" s="41">
        <f>VLOOKUP(B663,'C'!A1:C218,3,FALSE)</f>
        <v>192</v>
      </c>
      <c r="F663" t="s" s="42">
        <f>VLOOKUP(B663,'Player Data'!A1:B734,2,FALSE)</f>
        <v>156</v>
      </c>
      <c r="G663" s="9">
        <f>VLOOKUP(B663,'Player Data'!A1:D734,3,FALSE)</f>
        <v>29</v>
      </c>
      <c r="H663" s="43">
        <f>_xlfn.IFERROR(VLOOKUP(B663,'ADP'!A1:G731,7,FALSE)/1000000,VLOOKUP(B663,'ADP'!A1:G731,7,FALSE))</f>
        <v>0.7625</v>
      </c>
      <c r="I663" s="44">
        <f>IF('Settings'!$E$15="POINTS",((R663*Q663)*'Settings'!$B$12)+(S663*'Settings'!$B$2)+(T663*'Settings'!$B$3)+(U663*'Settings'!$B$4)+(V663*'Settings'!$B$5)+(X663*'Settings'!$B$9)+(AA663*'Settings'!$B$6)+(W663*'Settings'!$B$8)+(AB663*'Settings'!$B$7)+(AC663*'Settings'!$B$14)+(AD663*'Settings'!$B$15)+(AE663*'Settings'!$B$16)+(AF663*'Settings'!$B$17)+(AG663*'Settings'!$B$18)+(Y663*'Settings'!$B$10)+(Z663*'Settings'!$B$11),VLOOKUP(B663,'Standard Deviations'!A1:C731,3,FALSE))</f>
        <v>130.569675657664</v>
      </c>
      <c r="J663" s="45">
        <f>IF(D663="G",I663/AJ663,I663/Q663)</f>
        <v>2.13578475861955</v>
      </c>
      <c r="K663" s="44">
        <f>IF('Settings'!$E$18="C/LW/RW",VLOOKUP(B663,'C'!A1:F218,6,FALSE),VLOOKUP(B663,'F'!A1:F432,6,FALSE))</f>
        <v>-265.204525978351</v>
      </c>
      <c r="L663" s="44">
        <f>_xlfn.IFERROR(K663/H663,"N/A")</f>
        <v>-347.809214397837</v>
      </c>
      <c r="M663" t="s" s="61">
        <f>IF('Settings'!$E$9="YAHOO",VLOOKUP(B663,'ADP'!A1:E731,2,FALSE),IF('Settings'!$E$9="ESPN",VLOOKUP(B663,'ADP'!A1:E731,3,FALSE),IF('Settings'!$E$9="FANTRAX",VLOOKUP(B663,'ADP'!A1:E731,4,FALSE),VLOOKUP(B663,'ADP'!A1:E731,5,FALSE))))</f>
        <v>329</v>
      </c>
      <c r="N663" t="s" s="61">
        <f>_xlfn.IFERROR(M663-A663,"N/A")</f>
        <v>158</v>
      </c>
      <c r="O663" s="46"/>
      <c r="P663" t="s" s="47">
        <f>IF('Settings'!$E$27="ON",VLOOKUP(B663,'ADP'!A1:H731,8,FALSE)," ")</f>
        <v>109</v>
      </c>
      <c r="Q663" s="48">
        <f>IF('Settings'!$E$12="YES",VLOOKUP(B663,'Player Data'!A1:E734,5,FALSE),82)</f>
        <v>61.1342857142857</v>
      </c>
      <c r="R663" s="46">
        <f>VLOOKUP(B663,'Player Data'!$A1:$AE734,6,FALSE)</f>
        <v>10.7086024399318</v>
      </c>
      <c r="S663" s="48">
        <f>VLOOKUP(B663,'Player Data'!$A1:$AE734,7,FALSE)*$Q663*_xlfn.IFERROR((VLOOKUP(P663,'Settings'!$E$28:$F$33,2,FALSE)+1),1)</f>
        <v>7.34672743287398</v>
      </c>
      <c r="T663" s="48">
        <f>VLOOKUP(B663,'Player Data'!$A1:$AE734,8,FALSE)*$Q663*_xlfn.IFERROR((VLOOKUP(P663,'Settings'!$E$28:$F$33,2,FALSE)+1),1)</f>
        <v>6.23904508256594</v>
      </c>
      <c r="U663" s="48">
        <f>SUM(S663:T663)</f>
        <v>13.5857725154399</v>
      </c>
      <c r="V663" s="48">
        <f>VLOOKUP(B663,'Player Data'!$A1:$AE734,10,FALSE)*$Q663*_xlfn.IFERROR(((VLOOKUP(P663,'Settings'!$E$28:$F$33,2,FALSE)/2)+1),1)</f>
        <v>81.3658175669062</v>
      </c>
      <c r="W663" s="48">
        <f>VLOOKUP(B663,'Player Data'!$A1:$AE734,11,FALSE)*$Q663*_xlfn.IFERROR((VLOOKUP(P663,'Settings'!$E$28:$F$33,2,FALSE)+1),1)</f>
        <v>1.61908407173236</v>
      </c>
      <c r="X663" s="48">
        <f>VLOOKUP(B663,'Player Data'!$A1:$AE734,12,FALSE)*$Q663*_xlfn.IFERROR((VLOOKUP(P663,'Settings'!$E$28:$F$33,2,FALSE)+1),1)</f>
        <v>2.36405348667875</v>
      </c>
      <c r="Y663" s="48">
        <f>VLOOKUP(B663,'Player Data'!$A1:$AE734,13,FALSE)*$Q663</f>
        <v>0.310107383200487</v>
      </c>
      <c r="Z663" s="48">
        <f>VLOOKUP(B663,'Player Data'!$A1:$AE734,14,FALSE)*$Q663</f>
        <v>0.357895883042397</v>
      </c>
      <c r="AA663" s="48">
        <f>VLOOKUP(B663,'Player Data'!$A1:$AE734,15,FALSE)*$Q663</f>
        <v>34.0974207147384</v>
      </c>
      <c r="AB663" s="48">
        <f>VLOOKUP(B663,'Player Data'!$A1:$AE734,16,FALSE)*$Q663</f>
        <v>81.3794242205046</v>
      </c>
      <c r="AC663" s="48">
        <f>VLOOKUP(B663,'Player Data'!$A1:$AE734,17,FALSE)*$Q663*_xlfn.IFERROR((VLOOKUP(P663,'Settings'!$E$28:$F$33,2,FALSE)+1),1)</f>
        <v>-0.302664140452743</v>
      </c>
      <c r="AD663" s="48">
        <f>VLOOKUP(B663,'Player Data'!$A1:$AE734,18,FALSE)*$Q663</f>
        <v>21.553500891566</v>
      </c>
      <c r="AE663" s="48">
        <f>VLOOKUP(B663,'Player Data'!$A1:$AE734,19,FALSE)*$Q663*_xlfn.IFERROR((VLOOKUP(P663,'Settings'!$E$28:$F$33,2,FALSE)+1),1)</f>
        <v>1.04000015635829</v>
      </c>
      <c r="AF663" s="48">
        <f>VLOOKUP(B663,'Player Data'!$A1:$AE734,20,FALSE)*$Q663</f>
        <v>194.739601598432</v>
      </c>
      <c r="AG663" s="48">
        <f>VLOOKUP(B663,'Player Data'!$A1:$AE734,21,FALSE)*$Q663</f>
        <v>217.809856084382</v>
      </c>
      <c r="AH663" s="49">
        <f>VLOOKUP(B663,'Player Data'!$A1:$AE734,22,FALSE)</f>
        <v>0.472039407571241</v>
      </c>
      <c r="AI663" s="46"/>
      <c r="AJ663" s="50"/>
      <c r="AK663" s="48"/>
      <c r="AL663" s="48"/>
      <c r="AM663" s="48"/>
      <c r="AN663" s="48"/>
      <c r="AO663" s="48"/>
      <c r="AP663" s="48"/>
      <c r="AQ663" s="51"/>
      <c r="AR663" s="52"/>
      <c r="AS663" s="46"/>
    </row>
    <row r="664" ht="21.25" customHeight="1">
      <c r="A664" s="53">
        <f>RANK(K664,K2:K730)</f>
        <v>649</v>
      </c>
      <c r="B664" t="s" s="8">
        <v>816</v>
      </c>
      <c r="C664" t="s" s="39">
        <v>106</v>
      </c>
      <c r="D664" t="s" s="40">
        <f>VLOOKUP(B664,'Player Data'!A1:D734,4,FALSE)</f>
        <v>133</v>
      </c>
      <c r="E664" s="57">
        <f>VLOOKUP(B664,'LW'!A1:C156,3,FALSE)</f>
        <v>138</v>
      </c>
      <c r="F664" t="s" s="42">
        <f>VLOOKUP(B664,'Player Data'!A1:B734,2,FALSE)</f>
        <v>131</v>
      </c>
      <c r="G664" s="9">
        <f>VLOOKUP(B664,'Player Data'!A1:D734,3,FALSE)</f>
        <v>27</v>
      </c>
      <c r="H664" s="43">
        <f>_xlfn.IFERROR(VLOOKUP(B664,'ADP'!A1:G731,7,FALSE)/1000000,VLOOKUP(B664,'ADP'!A1:G731,7,FALSE))</f>
        <v>0.775</v>
      </c>
      <c r="I664" s="44">
        <f>IF('Settings'!$E$15="POINTS",((R664*Q664)*'Settings'!$B$12)+(S664*'Settings'!$B$2)+(T664*'Settings'!$B$3)+(U664*'Settings'!$B$4)+(V664*'Settings'!$B$5)+(X664*'Settings'!$B$9)+(AA664*'Settings'!$B$6)+(W664*'Settings'!$B$8)+(AB664*'Settings'!$B$7)+(AC664*'Settings'!$B$14)+(AD664*'Settings'!$B$15)+(AE664*'Settings'!$B$16)+(AF664*'Settings'!$B$17)+(AG664*'Settings'!$B$18)+(Y664*'Settings'!$B$10)+(Z664*'Settings'!$B$11),VLOOKUP(B664,'Standard Deviations'!A1:C731,3,FALSE))</f>
        <v>149.798905986313</v>
      </c>
      <c r="J664" s="45">
        <f>IF(D664="G",I664/AJ664,I664/Q664)</f>
        <v>2.16558467579331</v>
      </c>
      <c r="K664" s="44">
        <f>IF('Settings'!$E$18="C/LW/RW",VLOOKUP(B664,'LW'!A1:F156,6,FALSE),VLOOKUP(B664,'F'!A1:F432,6,FALSE))</f>
        <v>-231.829657720043</v>
      </c>
      <c r="L664" s="44">
        <f>_xlfn.IFERROR(K664/H664,"N/A")</f>
        <v>-299.135042219410</v>
      </c>
      <c r="M664" t="s" s="61">
        <f>IF('Settings'!$E$9="YAHOO",VLOOKUP(B664,'ADP'!A1:E731,2,FALSE),IF('Settings'!$E$9="ESPN",VLOOKUP(B664,'ADP'!A1:E731,3,FALSE),IF('Settings'!$E$9="FANTRAX",VLOOKUP(B664,'ADP'!A1:E731,4,FALSE),VLOOKUP(B664,'ADP'!A1:E731,5,FALSE))))</f>
        <v>329</v>
      </c>
      <c r="N664" t="s" s="61">
        <f>_xlfn.IFERROR(M664-A664,"N/A")</f>
        <v>158</v>
      </c>
      <c r="O664" s="46"/>
      <c r="P664" t="s" s="47">
        <f>IF('Settings'!$E$27="ON",VLOOKUP(B664,'ADP'!A1:H731,8,FALSE)," ")</f>
        <v>109</v>
      </c>
      <c r="Q664" s="48">
        <f>IF('Settings'!$E$12="YES",VLOOKUP(B664,'Player Data'!A1:E734,5,FALSE),82)</f>
        <v>69.1725</v>
      </c>
      <c r="R664" s="46">
        <f>VLOOKUP(B664,'Player Data'!$A1:$AE734,6,FALSE)</f>
        <v>12.2373452416932</v>
      </c>
      <c r="S664" s="48">
        <f>VLOOKUP(B664,'Player Data'!$A1:$AE734,7,FALSE)*$Q664*_xlfn.IFERROR((VLOOKUP(P664,'Settings'!$E$28:$F$33,2,FALSE)+1),1)</f>
        <v>4.85067819728294</v>
      </c>
      <c r="T664" s="48">
        <f>VLOOKUP(B664,'Player Data'!$A1:$AE734,8,FALSE)*$Q664*_xlfn.IFERROR((VLOOKUP(P664,'Settings'!$E$28:$F$33,2,FALSE)+1),1)</f>
        <v>11.4635818227188</v>
      </c>
      <c r="U664" s="48">
        <f>SUM(S664:T664)</f>
        <v>16.3142600200017</v>
      </c>
      <c r="V664" s="48">
        <f>VLOOKUP(B664,'Player Data'!$A1:$AE734,10,FALSE)*$Q664*_xlfn.IFERROR(((VLOOKUP(P664,'Settings'!$E$28:$F$33,2,FALSE)/2)+1),1)</f>
        <v>65.612980347397</v>
      </c>
      <c r="W664" s="48">
        <f>VLOOKUP(B664,'Player Data'!$A1:$AE734,11,FALSE)*$Q664*_xlfn.IFERROR((VLOOKUP(P664,'Settings'!$E$28:$F$33,2,FALSE)+1),1)</f>
        <v>0.0534284499730034</v>
      </c>
      <c r="X664" s="48">
        <f>VLOOKUP(B664,'Player Data'!$A1:$AE734,12,FALSE)*$Q664*_xlfn.IFERROR((VLOOKUP(P664,'Settings'!$E$28:$F$33,2,FALSE)+1),1)</f>
        <v>0.137849243531348</v>
      </c>
      <c r="Y664" s="48">
        <f>VLOOKUP(B664,'Player Data'!$A1:$AE734,13,FALSE)*$Q664</f>
        <v>0.153605977002358</v>
      </c>
      <c r="Z664" s="48">
        <f>VLOOKUP(B664,'Player Data'!$A1:$AE734,14,FALSE)*$Q664</f>
        <v>1.50551080700284</v>
      </c>
      <c r="AA664" s="48">
        <f>VLOOKUP(B664,'Player Data'!$A1:$AE734,15,FALSE)*$Q664</f>
        <v>25.6091103867495</v>
      </c>
      <c r="AB664" s="48">
        <f>VLOOKUP(B664,'Player Data'!$A1:$AE734,16,FALSE)*$Q664</f>
        <v>179.832166597216</v>
      </c>
      <c r="AC664" s="48">
        <f>VLOOKUP(B664,'Player Data'!$A1:$AE734,17,FALSE)*$Q664*_xlfn.IFERROR((VLOOKUP(P664,'Settings'!$E$28:$F$33,2,FALSE)+1),1)</f>
        <v>-1.96304199228702</v>
      </c>
      <c r="AD664" s="48">
        <f>VLOOKUP(B664,'Player Data'!$A1:$AE734,18,FALSE)*$Q664</f>
        <v>42.0596949055755</v>
      </c>
      <c r="AE664" s="48">
        <f>VLOOKUP(B664,'Player Data'!$A1:$AE734,19,FALSE)*$Q664*_xlfn.IFERROR((VLOOKUP(P664,'Settings'!$E$28:$F$33,2,FALSE)+1),1)</f>
        <v>0.708325881815895</v>
      </c>
      <c r="AF664" s="48">
        <f>VLOOKUP(B664,'Player Data'!$A1:$AE734,20,FALSE)*$Q664</f>
        <v>0</v>
      </c>
      <c r="AG664" s="48">
        <f>VLOOKUP(B664,'Player Data'!$A1:$AE734,21,FALSE)*$Q664</f>
        <v>4.92369206220933</v>
      </c>
      <c r="AH664" s="49">
        <f>VLOOKUP(B664,'Player Data'!$A1:$AE734,22,FALSE)</f>
        <v>0</v>
      </c>
      <c r="AI664" s="46"/>
      <c r="AJ664" s="50"/>
      <c r="AK664" s="48"/>
      <c r="AL664" s="48"/>
      <c r="AM664" s="48"/>
      <c r="AN664" s="48"/>
      <c r="AO664" s="48"/>
      <c r="AP664" s="48"/>
      <c r="AQ664" s="51"/>
      <c r="AR664" s="52"/>
      <c r="AS664" s="46"/>
    </row>
    <row r="665" ht="21.25" customHeight="1">
      <c r="A665" s="53">
        <f>RANK(K665,K2:K730)</f>
        <v>684</v>
      </c>
      <c r="B665" t="s" s="8">
        <v>817</v>
      </c>
      <c r="C665" t="s" s="39">
        <v>106</v>
      </c>
      <c r="D665" t="s" s="40">
        <f>VLOOKUP(B665,'Player Data'!A1:D734,4,FALSE)</f>
        <v>107</v>
      </c>
      <c r="E665" s="41">
        <f>VLOOKUP(B665,'C'!A1:C218,3,FALSE)</f>
        <v>186</v>
      </c>
      <c r="F665" t="s" s="42">
        <f>VLOOKUP(B665,'Player Data'!A1:B734,2,FALSE)</f>
        <v>134</v>
      </c>
      <c r="G665" s="9">
        <f>VLOOKUP(B665,'Player Data'!A1:D734,3,FALSE)</f>
        <v>24</v>
      </c>
      <c r="H665" s="43">
        <f>_xlfn.IFERROR(VLOOKUP(B665,'ADP'!A1:G731,7,FALSE)/1000000,VLOOKUP(B665,'ADP'!A1:G731,7,FALSE))</f>
        <v>0.8</v>
      </c>
      <c r="I665" s="44">
        <f>IF('Settings'!$E$15="POINTS",((R665*Q665)*'Settings'!$B$12)+(S665*'Settings'!$B$2)+(T665*'Settings'!$B$3)+(U665*'Settings'!$B$4)+(V665*'Settings'!$B$5)+(X665*'Settings'!$B$9)+(AA665*'Settings'!$B$6)+(W665*'Settings'!$B$8)+(AB665*'Settings'!$B$7)+(AC665*'Settings'!$B$14)+(AD665*'Settings'!$B$15)+(AE665*'Settings'!$B$16)+(AF665*'Settings'!$B$17)+(AG665*'Settings'!$B$18)+(Y665*'Settings'!$B$10)+(Z665*'Settings'!$B$11),VLOOKUP(B665,'Standard Deviations'!A1:C731,3,FALSE))</f>
        <v>143.810565511346</v>
      </c>
      <c r="J665" s="45">
        <f>IF(D665="G",I665/AJ665,I665/Q665)</f>
        <v>2.14035668271091</v>
      </c>
      <c r="K665" s="44">
        <f>IF('Settings'!$E$18="C/LW/RW",VLOOKUP(B665,'C'!A1:F218,6,FALSE),VLOOKUP(B665,'F'!A1:F432,6,FALSE))</f>
        <v>-251.963636124669</v>
      </c>
      <c r="L665" s="44">
        <f>_xlfn.IFERROR(K665/H665,"N/A")</f>
        <v>-314.954545155836</v>
      </c>
      <c r="M665" t="s" s="61">
        <f>IF('Settings'!$E$9="YAHOO",VLOOKUP(B665,'ADP'!A1:E731,2,FALSE),IF('Settings'!$E$9="ESPN",VLOOKUP(B665,'ADP'!A1:E731,3,FALSE),IF('Settings'!$E$9="FANTRAX",VLOOKUP(B665,'ADP'!A1:E731,4,FALSE),VLOOKUP(B665,'ADP'!A1:E731,5,FALSE))))</f>
        <v>329</v>
      </c>
      <c r="N665" t="s" s="61">
        <f>_xlfn.IFERROR(M665-A665,"N/A")</f>
        <v>158</v>
      </c>
      <c r="O665" s="46"/>
      <c r="P665" t="s" s="47">
        <f>IF('Settings'!$E$27="ON",VLOOKUP(B665,'ADP'!A1:H731,8,FALSE)," ")</f>
        <v>109</v>
      </c>
      <c r="Q665" s="48">
        <f>IF('Settings'!$E$12="YES",VLOOKUP(B665,'Player Data'!A1:E734,5,FALSE),82)</f>
        <v>67.19</v>
      </c>
      <c r="R665" s="46">
        <f>VLOOKUP(B665,'Player Data'!$A1:$AE734,6,FALSE)</f>
        <v>10.9078559572921</v>
      </c>
      <c r="S665" s="48">
        <f>VLOOKUP(B665,'Player Data'!$A1:$AE734,7,FALSE)*$Q665*_xlfn.IFERROR((VLOOKUP(P665,'Settings'!$E$28:$F$33,2,FALSE)+1),1)</f>
        <v>5.99705771979778</v>
      </c>
      <c r="T665" s="48">
        <f>VLOOKUP(B665,'Player Data'!$A1:$AE734,8,FALSE)*$Q665*_xlfn.IFERROR((VLOOKUP(P665,'Settings'!$E$28:$F$33,2,FALSE)+1),1)</f>
        <v>9.53998775860399</v>
      </c>
      <c r="U665" s="48">
        <f>SUM(S665:T665)</f>
        <v>15.5370454784018</v>
      </c>
      <c r="V665" s="48">
        <f>VLOOKUP(B665,'Player Data'!$A1:$AE734,10,FALSE)*$Q665*_xlfn.IFERROR(((VLOOKUP(P665,'Settings'!$E$28:$F$33,2,FALSE)/2)+1),1)</f>
        <v>74.57797158039109</v>
      </c>
      <c r="W665" s="48">
        <f>VLOOKUP(B665,'Player Data'!$A1:$AE734,11,FALSE)*$Q665*_xlfn.IFERROR((VLOOKUP(P665,'Settings'!$E$28:$F$33,2,FALSE)+1),1)</f>
        <v>0.0536836550881563</v>
      </c>
      <c r="X665" s="48">
        <f>VLOOKUP(B665,'Player Data'!$A1:$AE734,12,FALSE)*$Q665*_xlfn.IFERROR((VLOOKUP(P665,'Settings'!$E$28:$F$33,2,FALSE)+1),1)</f>
        <v>0.166787903835047</v>
      </c>
      <c r="Y665" s="48">
        <f>VLOOKUP(B665,'Player Data'!$A1:$AE734,13,FALSE)*$Q665</f>
        <v>2.1111389783935</v>
      </c>
      <c r="Z665" s="48">
        <f>VLOOKUP(B665,'Player Data'!$A1:$AE734,14,FALSE)*$Q665</f>
        <v>2.87943937716092</v>
      </c>
      <c r="AA665" s="48">
        <f>VLOOKUP(B665,'Player Data'!$A1:$AE734,15,FALSE)*$Q665</f>
        <v>39.6621589834026</v>
      </c>
      <c r="AB665" s="48">
        <f>VLOOKUP(B665,'Player Data'!$A1:$AE734,16,FALSE)*$Q665</f>
        <v>101.2995938409</v>
      </c>
      <c r="AC665" s="48">
        <f>VLOOKUP(B665,'Player Data'!$A1:$AE734,17,FALSE)*$Q665*_xlfn.IFERROR((VLOOKUP(P665,'Settings'!$E$28:$F$33,2,FALSE)+1),1)</f>
        <v>0.476912892883898</v>
      </c>
      <c r="AD665" s="48">
        <f>VLOOKUP(B665,'Player Data'!$A1:$AE734,18,FALSE)*$Q665</f>
        <v>23.7366077712736</v>
      </c>
      <c r="AE665" s="48">
        <f>VLOOKUP(B665,'Player Data'!$A1:$AE734,19,FALSE)*$Q665*_xlfn.IFERROR((VLOOKUP(P665,'Settings'!$E$28:$F$33,2,FALSE)+1),1)</f>
        <v>0.962986032399472</v>
      </c>
      <c r="AF665" s="48">
        <f>VLOOKUP(B665,'Player Data'!$A1:$AE734,20,FALSE)*$Q665</f>
        <v>181.309616862945</v>
      </c>
      <c r="AG665" s="48">
        <f>VLOOKUP(B665,'Player Data'!$A1:$AE734,21,FALSE)*$Q665</f>
        <v>223.925961889115</v>
      </c>
      <c r="AH665" s="49">
        <f>VLOOKUP(B665,'Player Data'!$A1:$AE734,22,FALSE)</f>
        <v>0.44741781415466</v>
      </c>
      <c r="AI665" s="46"/>
      <c r="AJ665" s="48"/>
      <c r="AK665" s="48"/>
      <c r="AL665" s="48"/>
      <c r="AM665" s="48"/>
      <c r="AN665" s="48"/>
      <c r="AO665" s="48"/>
      <c r="AP665" s="48"/>
      <c r="AQ665" s="51"/>
      <c r="AR665" s="52"/>
      <c r="AS665" s="46"/>
    </row>
    <row r="666" ht="21.25" customHeight="1">
      <c r="A666" s="53">
        <f>RANK(K666,K2:K730)</f>
        <v>421</v>
      </c>
      <c r="B666" t="s" s="8">
        <v>818</v>
      </c>
      <c r="C666" t="s" s="39">
        <v>106</v>
      </c>
      <c r="D666" t="s" s="40">
        <f>VLOOKUP(B666,'Player Data'!A1:D734,4,FALSE)</f>
        <v>146</v>
      </c>
      <c r="E666" s="58">
        <f>VLOOKUP(B666,'G'!A1:D75,3,FALSE)</f>
        <v>54</v>
      </c>
      <c r="F666" t="s" s="42">
        <f>VLOOKUP(B666,'Player Data'!A1:B734,2,FALSE)</f>
        <v>149</v>
      </c>
      <c r="G666" s="9">
        <f>VLOOKUP(B666,'Player Data'!A1:D734,3,FALSE)</f>
        <v>35</v>
      </c>
      <c r="H666" s="43">
        <f>_xlfn.IFERROR(VLOOKUP(B666,'ADP'!A1:G731,7,FALSE)/1000000,VLOOKUP(B666,'ADP'!A1:G731,7,FALSE))</f>
        <v>2.75</v>
      </c>
      <c r="I666" s="44">
        <f>IF('Settings'!$E$15="POINTS",(AJ666*'Settings'!$B$29)+(AK666*'Settings'!$B$21)+(AL666*'Settings'!$B$22)+(AN666*'Settings'!$B$24)+(AO666*'Settings'!$B$25)+(AP666*'Settings'!$B$27)+(AM666*'Settings'!$B$23),VLOOKUP(B666,'Standard Deviations'!A1:C731,3,FALSE))</f>
        <v>107.415970269098</v>
      </c>
      <c r="J666" s="45">
        <f>IF(D666="G",I666/AJ666,I666/Q666)</f>
        <v>5.3707985134549</v>
      </c>
      <c r="K666" s="44">
        <f>VLOOKUP(B666,'G'!A1:F75,6,FALSE)</f>
        <v>-157.887251230590</v>
      </c>
      <c r="L666" s="44">
        <f>_xlfn.IFERROR(K666/H666,"N/A")</f>
        <v>-57.4135459020327</v>
      </c>
      <c r="M666" t="s" s="61">
        <f>IF('Settings'!$E$9="YAHOO",VLOOKUP(B666,'ADP'!A1:E731,2,FALSE),IF('Settings'!$E$9="ESPN",VLOOKUP(B666,'ADP'!A1:E731,3,FALSE),IF('Settings'!$E$9="FANTRAX",VLOOKUP(B666,'ADP'!A1:E731,4,FALSE),VLOOKUP(B666,'ADP'!A1:E731,5,FALSE))))</f>
        <v>329</v>
      </c>
      <c r="N666" t="s" s="61">
        <f>_xlfn.IFERROR(M666-A666,"N/A")</f>
        <v>158</v>
      </c>
      <c r="O666" s="46"/>
      <c r="P666" t="s" s="47">
        <f>IF('Settings'!$E$27="ON",VLOOKUP(B666,'ADP'!A1:H731,8,FALSE)," ")</f>
        <v>109</v>
      </c>
      <c r="Q666" s="48"/>
      <c r="R666" s="59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9"/>
      <c r="AI666" s="46"/>
      <c r="AJ666" s="50">
        <f>VLOOKUP(B666,'Player Data'!$A1:$AE734,24,FALSE)</f>
        <v>20</v>
      </c>
      <c r="AK666" s="48">
        <f>VLOOKUP(B666,'Player Data'!$A1:$AE734,25,FALSE)*$AJ666*_xlfn.IFERROR((VLOOKUP(P666,'Settings'!$E$28:$F$33,2,FALSE)+1),1)</f>
        <v>9.118741035875599</v>
      </c>
      <c r="AL666" s="48">
        <f>AJ666-AK666-AM666</f>
        <v>8.381258964124401</v>
      </c>
      <c r="AM666" s="48">
        <f>VLOOKUP(B666,'Player Data'!$A1:$AE734,27,FALSE)*$AJ666</f>
        <v>2.5</v>
      </c>
      <c r="AN666" s="48">
        <f>VLOOKUP(B666,'Player Data'!$A1:$AE734,28,FALSE)*AJ666</f>
        <v>0.88422660905353</v>
      </c>
      <c r="AO666" s="48">
        <f>VLOOKUP(B666,'Player Data'!$A1:$AE734,29,FALSE)*$AJ666*_xlfn.IFERROR((VLOOKUP(P666,'Settings'!$E$28:$F$33,2,FALSE)/4)+1,1)</f>
        <v>554.605585984340</v>
      </c>
      <c r="AP666" s="48">
        <f>VLOOKUP(B666,'Player Data'!$A1:$AE734,31,FALSE)*$AJ666*(_xlfn.IFERROR(1-(VLOOKUP(P666,'Settings'!$E$28:$F$33,2,FALSE)/4),1))</f>
        <v>59.3164056406606</v>
      </c>
      <c r="AQ666" s="51">
        <f>1-(AP666/(AO666+AP666))</f>
        <v>0.903381200787978</v>
      </c>
      <c r="AR666" s="52">
        <f>AP666/AJ666</f>
        <v>2.96582028203303</v>
      </c>
      <c r="AS666" s="46"/>
    </row>
    <row r="667" ht="21.25" customHeight="1">
      <c r="A667" s="53">
        <f>RANK(K667,K2:K730)</f>
        <v>703</v>
      </c>
      <c r="B667" t="s" s="8">
        <v>819</v>
      </c>
      <c r="C667" t="s" s="39">
        <v>106</v>
      </c>
      <c r="D667" t="s" s="40">
        <f>VLOOKUP(B667,'Player Data'!A1:D734,4,FALSE)</f>
        <v>107</v>
      </c>
      <c r="E667" s="41">
        <f>VLOOKUP(B667,'C'!A1:C218,3,FALSE)</f>
        <v>198</v>
      </c>
      <c r="F667" t="s" s="42">
        <f>VLOOKUP(B667,'Player Data'!A1:B734,2,FALSE)</f>
        <v>173</v>
      </c>
      <c r="G667" s="9">
        <f>VLOOKUP(B667,'Player Data'!A1:D734,3,FALSE)</f>
        <v>27</v>
      </c>
      <c r="H667" s="43">
        <f>_xlfn.IFERROR(VLOOKUP(B667,'ADP'!A1:G731,7,FALSE)/1000000,VLOOKUP(B667,'ADP'!A1:G731,7,FALSE))</f>
        <v>0.7958</v>
      </c>
      <c r="I667" s="44">
        <f>IF('Settings'!$E$15="POINTS",((R667*Q667)*'Settings'!$B$12)+(S667*'Settings'!$B$2)+(T667*'Settings'!$B$3)+(U667*'Settings'!$B$4)+(V667*'Settings'!$B$5)+(X667*'Settings'!$B$9)+(AA667*'Settings'!$B$6)+(W667*'Settings'!$B$8)+(AB667*'Settings'!$B$7)+(AC667*'Settings'!$B$14)+(AD667*'Settings'!$B$15)+(AE667*'Settings'!$B$16)+(AF667*'Settings'!$B$17)+(AG667*'Settings'!$B$18)+(Y667*'Settings'!$B$10)+(Z667*'Settings'!$B$11),VLOOKUP(B667,'Standard Deviations'!A1:C731,3,FALSE))</f>
        <v>120.078020743633</v>
      </c>
      <c r="J667" s="45">
        <f>IF(D667="G",I667/AJ667,I667/Q667)</f>
        <v>1.973993436522</v>
      </c>
      <c r="K667" s="44">
        <f>IF('Settings'!$E$18="C/LW/RW",VLOOKUP(B667,'C'!A1:F218,6,FALSE),VLOOKUP(B667,'F'!A1:F432,6,FALSE))</f>
        <v>-275.696180892382</v>
      </c>
      <c r="L667" s="44">
        <f>_xlfn.IFERROR(K667/H667,"N/A")</f>
        <v>-346.439031028376</v>
      </c>
      <c r="M667" t="s" s="61">
        <f>IF('Settings'!$E$9="YAHOO",VLOOKUP(B667,'ADP'!A1:E731,2,FALSE),IF('Settings'!$E$9="ESPN",VLOOKUP(B667,'ADP'!A1:E731,3,FALSE),IF('Settings'!$E$9="FANTRAX",VLOOKUP(B667,'ADP'!A1:E731,4,FALSE),VLOOKUP(B667,'ADP'!A1:E731,5,FALSE))))</f>
        <v>329</v>
      </c>
      <c r="N667" t="s" s="61">
        <f>_xlfn.IFERROR(M667-A667,"N/A")</f>
        <v>158</v>
      </c>
      <c r="O667" s="46"/>
      <c r="P667" t="s" s="47">
        <f>IF('Settings'!$E$27="ON",VLOOKUP(B667,'ADP'!A1:H731,8,FALSE)," ")</f>
        <v>109</v>
      </c>
      <c r="Q667" s="48">
        <f>IF('Settings'!$E$12="YES",VLOOKUP(B667,'Player Data'!A1:E734,5,FALSE),82)</f>
        <v>60.83</v>
      </c>
      <c r="R667" s="46">
        <f>VLOOKUP(B667,'Player Data'!$A1:$AE734,6,FALSE)</f>
        <v>10.75</v>
      </c>
      <c r="S667" s="48">
        <f>VLOOKUP(B667,'Player Data'!$A1:$AE734,7,FALSE)*$Q667*_xlfn.IFERROR((VLOOKUP(P667,'Settings'!$E$28:$F$33,2,FALSE)+1),1)</f>
        <v>6.27632968331852</v>
      </c>
      <c r="T667" s="48">
        <f>VLOOKUP(B667,'Player Data'!$A1:$AE734,8,FALSE)*$Q667*_xlfn.IFERROR((VLOOKUP(P667,'Settings'!$E$28:$F$33,2,FALSE)+1),1)</f>
        <v>8.50550956503656</v>
      </c>
      <c r="U667" s="48">
        <f>SUM(S667:T667)</f>
        <v>14.7818392483551</v>
      </c>
      <c r="V667" s="48">
        <f>VLOOKUP(B667,'Player Data'!$A1:$AE734,10,FALSE)*$Q667*_xlfn.IFERROR(((VLOOKUP(P667,'Settings'!$E$28:$F$33,2,FALSE)/2)+1),1)</f>
        <v>68.623995785719</v>
      </c>
      <c r="W667" s="48">
        <f>VLOOKUP(B667,'Player Data'!$A1:$AE734,11,FALSE)*$Q667*_xlfn.IFERROR((VLOOKUP(P667,'Settings'!$E$28:$F$33,2,FALSE)+1),1)</f>
        <v>1.66987493039548</v>
      </c>
      <c r="X667" s="48">
        <f>VLOOKUP(B667,'Player Data'!$A1:$AE734,12,FALSE)*$Q667*_xlfn.IFERROR((VLOOKUP(P667,'Settings'!$E$28:$F$33,2,FALSE)+1),1)</f>
        <v>3.31296511702132</v>
      </c>
      <c r="Y667" s="48">
        <f>VLOOKUP(B667,'Player Data'!$A1:$AE734,13,FALSE)*$Q667</f>
        <v>0</v>
      </c>
      <c r="Z667" s="48">
        <f>VLOOKUP(B667,'Player Data'!$A1:$AE734,14,FALSE)*$Q667</f>
        <v>0</v>
      </c>
      <c r="AA667" s="48">
        <f>VLOOKUP(B667,'Player Data'!$A1:$AE734,15,FALSE)*$Q667</f>
        <v>29.5568391621471</v>
      </c>
      <c r="AB667" s="48">
        <f>VLOOKUP(B667,'Player Data'!$A1:$AE734,16,FALSE)*$Q667</f>
        <v>68.9103639986281</v>
      </c>
      <c r="AC667" s="48">
        <f>VLOOKUP(B667,'Player Data'!$A1:$AE734,17,FALSE)*$Q667*_xlfn.IFERROR((VLOOKUP(P667,'Settings'!$E$28:$F$33,2,FALSE)+1),1)</f>
        <v>-0.0104888856640899</v>
      </c>
      <c r="AD667" s="48">
        <f>VLOOKUP(B667,'Player Data'!$A1:$AE734,18,FALSE)*$Q667</f>
        <v>14.6735778525154</v>
      </c>
      <c r="AE667" s="48">
        <f>VLOOKUP(B667,'Player Data'!$A1:$AE734,19,FALSE)*$Q667*_xlfn.IFERROR((VLOOKUP(P667,'Settings'!$E$28:$F$33,2,FALSE)+1),1)</f>
        <v>0.9438715391963201</v>
      </c>
      <c r="AF667" s="48">
        <f>VLOOKUP(B667,'Player Data'!$A1:$AE734,20,FALSE)*$Q667</f>
        <v>4.10153328959485</v>
      </c>
      <c r="AG667" s="48">
        <f>VLOOKUP(B667,'Player Data'!$A1:$AE734,21,FALSE)*$Q667</f>
        <v>5.89922190854665</v>
      </c>
      <c r="AH667" s="49">
        <f>VLOOKUP(B667,'Player Data'!$A1:$AE734,22,FALSE)</f>
        <v>0.410122356595336</v>
      </c>
      <c r="AI667" s="46"/>
      <c r="AJ667" s="48"/>
      <c r="AK667" s="48"/>
      <c r="AL667" s="48"/>
      <c r="AM667" s="48"/>
      <c r="AN667" s="48"/>
      <c r="AO667" s="48"/>
      <c r="AP667" s="48"/>
      <c r="AQ667" s="51"/>
      <c r="AR667" s="52"/>
      <c r="AS667" s="46"/>
    </row>
    <row r="668" ht="21.25" customHeight="1">
      <c r="A668" s="53">
        <f>RANK(K668,K2:K730)</f>
        <v>597</v>
      </c>
      <c r="B668" t="s" s="8">
        <v>820</v>
      </c>
      <c r="C668" t="s" s="39">
        <v>106</v>
      </c>
      <c r="D668" t="s" s="40">
        <f>VLOOKUP(B668,'Player Data'!A1:D734,4,FALSE)</f>
        <v>133</v>
      </c>
      <c r="E668" s="57">
        <f>VLOOKUP(B668,'LW'!A1:C156,3,FALSE)</f>
        <v>128</v>
      </c>
      <c r="F668" t="s" s="42">
        <f>VLOOKUP(B668,'Player Data'!A1:B734,2,FALSE)</f>
        <v>149</v>
      </c>
      <c r="G668" s="9">
        <f>VLOOKUP(B668,'Player Data'!A1:D734,3,FALSE)</f>
        <v>34</v>
      </c>
      <c r="H668" s="43">
        <f>_xlfn.IFERROR(VLOOKUP(B668,'ADP'!A1:G731,7,FALSE)/1000000,VLOOKUP(B668,'ADP'!A1:G731,7,FALSE))</f>
        <v>1.5</v>
      </c>
      <c r="I668" s="44">
        <f>IF('Settings'!$E$15="POINTS",((R668*Q668)*'Settings'!$B$12)+(S668*'Settings'!$B$2)+(T668*'Settings'!$B$3)+(U668*'Settings'!$B$4)+(V668*'Settings'!$B$5)+(X668*'Settings'!$B$9)+(AA668*'Settings'!$B$6)+(W668*'Settings'!$B$8)+(AB668*'Settings'!$B$7)+(AC668*'Settings'!$B$14)+(AD668*'Settings'!$B$15)+(AE668*'Settings'!$B$16)+(AF668*'Settings'!$B$17)+(AG668*'Settings'!$B$18)+(Y668*'Settings'!$B$10)+(Z668*'Settings'!$B$11),VLOOKUP(B668,'Standard Deviations'!A1:C731,3,FALSE))</f>
        <v>164.470223951087</v>
      </c>
      <c r="J668" s="45">
        <f>IF(D668="G",I668/AJ668,I668/Q668)</f>
        <v>2.05466701346993</v>
      </c>
      <c r="K668" s="44">
        <f>IF('Settings'!$E$18="C/LW/RW",VLOOKUP(B668,'LW'!A1:F156,6,FALSE),VLOOKUP(B668,'F'!A1:F432,6,FALSE))</f>
        <v>-217.158339755269</v>
      </c>
      <c r="L668" s="44">
        <f>_xlfn.IFERROR(K668/H668,"N/A")</f>
        <v>-144.772226503513</v>
      </c>
      <c r="M668" t="s" s="61">
        <f>IF('Settings'!$E$9="YAHOO",VLOOKUP(B668,'ADP'!A1:E731,2,FALSE),IF('Settings'!$E$9="ESPN",VLOOKUP(B668,'ADP'!A1:E731,3,FALSE),IF('Settings'!$E$9="FANTRAX",VLOOKUP(B668,'ADP'!A1:E731,4,FALSE),VLOOKUP(B668,'ADP'!A1:E731,5,FALSE))))</f>
        <v>329</v>
      </c>
      <c r="N668" t="s" s="61">
        <f>_xlfn.IFERROR(M668-A668,"N/A")</f>
        <v>158</v>
      </c>
      <c r="O668" s="46"/>
      <c r="P668" t="s" s="47">
        <f>IF('Settings'!$E$27="ON",VLOOKUP(B668,'ADP'!A1:H731,8,FALSE)," ")</f>
        <v>109</v>
      </c>
      <c r="Q668" s="48">
        <f>IF('Settings'!$E$12="YES",VLOOKUP(B668,'Player Data'!A1:E734,5,FALSE),82)</f>
        <v>80.0471428571429</v>
      </c>
      <c r="R668" s="46">
        <f>VLOOKUP(B668,'Player Data'!$A1:$AE734,6,FALSE)</f>
        <v>10.6285509454298</v>
      </c>
      <c r="S668" s="48">
        <f>VLOOKUP(B668,'Player Data'!$A1:$AE734,7,FALSE)*$Q668*_xlfn.IFERROR((VLOOKUP(P668,'Settings'!$E$28:$F$33,2,FALSE)+1),1)</f>
        <v>4.70482391107485</v>
      </c>
      <c r="T668" s="48">
        <f>VLOOKUP(B668,'Player Data'!$A1:$AE734,8,FALSE)*$Q668*_xlfn.IFERROR((VLOOKUP(P668,'Settings'!$E$28:$F$33,2,FALSE)+1),1)</f>
        <v>7.71943018528209</v>
      </c>
      <c r="U668" s="48">
        <f>SUM(S668:T668)</f>
        <v>12.4242540963569</v>
      </c>
      <c r="V668" s="48">
        <f>VLOOKUP(B668,'Player Data'!$A1:$AE734,10,FALSE)*$Q668*_xlfn.IFERROR(((VLOOKUP(P668,'Settings'!$E$28:$F$33,2,FALSE)/2)+1),1)</f>
        <v>79.7164622961744</v>
      </c>
      <c r="W668" s="48">
        <f>VLOOKUP(B668,'Player Data'!$A1:$AE734,11,FALSE)*$Q668*_xlfn.IFERROR((VLOOKUP(P668,'Settings'!$E$28:$F$33,2,FALSE)+1),1)</f>
        <v>0.0538553046872943</v>
      </c>
      <c r="X668" s="48">
        <f>VLOOKUP(B668,'Player Data'!$A1:$AE734,12,FALSE)*$Q668*_xlfn.IFERROR((VLOOKUP(P668,'Settings'!$E$28:$F$33,2,FALSE)+1),1)</f>
        <v>0.137041002128653</v>
      </c>
      <c r="Y668" s="48">
        <f>VLOOKUP(B668,'Player Data'!$A1:$AE734,13,FALSE)*$Q668</f>
        <v>0.0328790865473948</v>
      </c>
      <c r="Z668" s="48">
        <f>VLOOKUP(B668,'Player Data'!$A1:$AE734,14,FALSE)*$Q668</f>
        <v>0.0638605770861581</v>
      </c>
      <c r="AA668" s="48">
        <f>VLOOKUP(B668,'Player Data'!$A1:$AE734,15,FALSE)*$Q668</f>
        <v>36.1561701837794</v>
      </c>
      <c r="AB668" s="48">
        <f>VLOOKUP(B668,'Player Data'!$A1:$AE734,16,FALSE)*$Q668</f>
        <v>248.304753605019</v>
      </c>
      <c r="AC668" s="48">
        <f>VLOOKUP(B668,'Player Data'!$A1:$AE734,17,FALSE)*$Q668*_xlfn.IFERROR((VLOOKUP(P668,'Settings'!$E$28:$F$33,2,FALSE)+1),1)</f>
        <v>-1.0533784012562</v>
      </c>
      <c r="AD668" s="48">
        <f>VLOOKUP(B668,'Player Data'!$A1:$AE734,18,FALSE)*$Q668</f>
        <v>44.6032018845993</v>
      </c>
      <c r="AE668" s="48">
        <f>VLOOKUP(B668,'Player Data'!$A1:$AE734,19,FALSE)*$Q668*_xlfn.IFERROR((VLOOKUP(P668,'Settings'!$E$28:$F$33,2,FALSE)+1),1)</f>
        <v>0.726998129209105</v>
      </c>
      <c r="AF668" s="48">
        <f>VLOOKUP(B668,'Player Data'!$A1:$AE734,20,FALSE)*$Q668</f>
        <v>8.301702562784479</v>
      </c>
      <c r="AG668" s="48">
        <f>VLOOKUP(B668,'Player Data'!$A1:$AE734,21,FALSE)*$Q668</f>
        <v>15.5000615067295</v>
      </c>
      <c r="AH668" s="49">
        <f>VLOOKUP(B668,'Player Data'!$A1:$AE734,22,FALSE)</f>
        <v>0.348785179894189</v>
      </c>
      <c r="AI668" s="46"/>
      <c r="AJ668" s="50"/>
      <c r="AK668" s="48"/>
      <c r="AL668" s="48"/>
      <c r="AM668" s="48"/>
      <c r="AN668" s="48"/>
      <c r="AO668" s="48"/>
      <c r="AP668" s="48"/>
      <c r="AQ668" s="51"/>
      <c r="AR668" s="52"/>
      <c r="AS668" s="46"/>
    </row>
    <row r="669" ht="21.25" customHeight="1">
      <c r="A669" s="53">
        <f>RANK(K669,K2:K730)</f>
        <v>691</v>
      </c>
      <c r="B669" t="s" s="8">
        <v>821</v>
      </c>
      <c r="C669" t="s" s="39">
        <v>106</v>
      </c>
      <c r="D669" t="s" s="40">
        <f>VLOOKUP(B669,'Player Data'!A1:D734,4,FALSE)</f>
        <v>107</v>
      </c>
      <c r="E669" s="41">
        <f>VLOOKUP(B669,'C'!A1:C218,3,FALSE)</f>
        <v>190</v>
      </c>
      <c r="F669" t="s" s="42">
        <f>VLOOKUP(B669,'Player Data'!A1:B734,2,FALSE)</f>
        <v>122</v>
      </c>
      <c r="G669" s="9">
        <f>VLOOKUP(B669,'Player Data'!A1:D734,3,FALSE)</f>
        <v>23</v>
      </c>
      <c r="H669" s="43">
        <f>_xlfn.IFERROR(VLOOKUP(B669,'ADP'!A1:G731,7,FALSE)/1000000,VLOOKUP(B669,'ADP'!A1:G731,7,FALSE))</f>
        <v>0</v>
      </c>
      <c r="I669" s="44">
        <f>IF('Settings'!$E$15="POINTS",((R669*Q669)*'Settings'!$B$12)+(S669*'Settings'!$B$2)+(T669*'Settings'!$B$3)+(U669*'Settings'!$B$4)+(V669*'Settings'!$B$5)+(X669*'Settings'!$B$9)+(AA669*'Settings'!$B$6)+(W669*'Settings'!$B$8)+(AB669*'Settings'!$B$7)+(AC669*'Settings'!$B$14)+(AD669*'Settings'!$B$15)+(AE669*'Settings'!$B$16)+(AF669*'Settings'!$B$17)+(AG669*'Settings'!$B$18)+(Y669*'Settings'!$B$10)+(Z669*'Settings'!$B$11),VLOOKUP(B669,'Standard Deviations'!A1:C731,3,FALSE))</f>
        <v>140.986533359531</v>
      </c>
      <c r="J669" s="45">
        <f>IF(D669="G",I669/AJ669,I669/Q669)</f>
        <v>2.31125464523821</v>
      </c>
      <c r="K669" s="44">
        <f>IF('Settings'!$E$18="C/LW/RW",VLOOKUP(B669,'C'!A1:F218,6,FALSE),VLOOKUP(B669,'F'!A1:F432,6,FALSE))</f>
        <v>-254.787668276484</v>
      </c>
      <c r="L669" t="s" s="60">
        <f>_xlfn.IFERROR(K669/H669,"N/A")</f>
        <v>158</v>
      </c>
      <c r="M669" t="s" s="61">
        <f>IF('Settings'!$E$9="YAHOO",VLOOKUP(B669,'ADP'!A1:E731,2,FALSE),IF('Settings'!$E$9="ESPN",VLOOKUP(B669,'ADP'!A1:E731,3,FALSE),IF('Settings'!$E$9="FANTRAX",VLOOKUP(B669,'ADP'!A1:E731,4,FALSE),VLOOKUP(B669,'ADP'!A1:E731,5,FALSE))))</f>
        <v>329</v>
      </c>
      <c r="N669" t="s" s="61">
        <f>_xlfn.IFERROR(M669-A669,"N/A")</f>
        <v>158</v>
      </c>
      <c r="O669" s="46"/>
      <c r="P669" t="s" s="47">
        <f>IF('Settings'!$E$27="ON",VLOOKUP(B669,'ADP'!A1:H731,8,FALSE)," ")</f>
        <v>109</v>
      </c>
      <c r="Q669" s="48">
        <f>IF('Settings'!$E$12="YES",VLOOKUP(B669,'Player Data'!A1:E734,5,FALSE),82)</f>
        <v>61</v>
      </c>
      <c r="R669" s="46">
        <f>VLOOKUP(B669,'Player Data'!$A1:$AE734,6,FALSE)</f>
        <v>10.4881712267675</v>
      </c>
      <c r="S669" s="48">
        <f>VLOOKUP(B669,'Player Data'!$A1:$AE734,7,FALSE)*$Q669*_xlfn.IFERROR((VLOOKUP(P669,'Settings'!$E$28:$F$33,2,FALSE)+1),1)</f>
        <v>8.954421440031441</v>
      </c>
      <c r="T669" s="48">
        <f>VLOOKUP(B669,'Player Data'!$A1:$AE734,8,FALSE)*$Q669*_xlfn.IFERROR((VLOOKUP(P669,'Settings'!$E$28:$F$33,2,FALSE)+1),1)</f>
        <v>8.955852644178339</v>
      </c>
      <c r="U669" s="48">
        <f>SUM(S669:T669)</f>
        <v>17.9102740842098</v>
      </c>
      <c r="V669" s="48">
        <f>VLOOKUP(B669,'Player Data'!$A1:$AE734,10,FALSE)*$Q669*_xlfn.IFERROR(((VLOOKUP(P669,'Settings'!$E$28:$F$33,2,FALSE)/2)+1),1)</f>
        <v>62.0574377888187</v>
      </c>
      <c r="W669" s="48">
        <f>VLOOKUP(B669,'Player Data'!$A1:$AE734,11,FALSE)*$Q669*_xlfn.IFERROR((VLOOKUP(P669,'Settings'!$E$28:$F$33,2,FALSE)+1),1)</f>
        <v>0.0116932265504876</v>
      </c>
      <c r="X669" s="48">
        <f>VLOOKUP(B669,'Player Data'!$A1:$AE734,12,FALSE)*$Q669*_xlfn.IFERROR((VLOOKUP(P669,'Settings'!$E$28:$F$33,2,FALSE)+1),1)</f>
        <v>0.0297671768526314</v>
      </c>
      <c r="Y669" s="48">
        <f>VLOOKUP(B669,'Player Data'!$A1:$AE734,13,FALSE)*$Q669</f>
        <v>0.103977697192889</v>
      </c>
      <c r="Z669" s="48">
        <f>VLOOKUP(B669,'Player Data'!$A1:$AE734,14,FALSE)*$Q669</f>
        <v>0.191209062331136</v>
      </c>
      <c r="AA669" s="48">
        <f>VLOOKUP(B669,'Player Data'!$A1:$AE734,15,FALSE)*$Q669</f>
        <v>23.4783058269633</v>
      </c>
      <c r="AB669" s="48">
        <f>VLOOKUP(B669,'Player Data'!$A1:$AE734,16,FALSE)*$Q669</f>
        <v>122.695156057205</v>
      </c>
      <c r="AC669" s="48">
        <f>VLOOKUP(B669,'Player Data'!$A1:$AE734,17,FALSE)*$Q669*_xlfn.IFERROR((VLOOKUP(P669,'Settings'!$E$28:$F$33,2,FALSE)+1),1)</f>
        <v>2.27187392977442</v>
      </c>
      <c r="AD669" s="48">
        <f>VLOOKUP(B669,'Player Data'!$A1:$AE734,18,FALSE)*$Q669</f>
        <v>21.077691478323</v>
      </c>
      <c r="AE669" s="48">
        <f>VLOOKUP(B669,'Player Data'!$A1:$AE734,19,FALSE)*$Q669*_xlfn.IFERROR((VLOOKUP(P669,'Settings'!$E$28:$F$33,2,FALSE)+1),1)</f>
        <v>1.50327114231546</v>
      </c>
      <c r="AF669" s="48">
        <f>VLOOKUP(B669,'Player Data'!$A1:$AE734,20,FALSE)*$Q669</f>
        <v>0</v>
      </c>
      <c r="AG669" s="48">
        <f>VLOOKUP(B669,'Player Data'!$A1:$AE734,21,FALSE)*$Q669</f>
        <v>12.5551380038821</v>
      </c>
      <c r="AH669" s="49">
        <f>VLOOKUP(B669,'Player Data'!$A1:$AE734,22,FALSE)</f>
        <v>0</v>
      </c>
      <c r="AI669" s="46"/>
      <c r="AJ669" s="50"/>
      <c r="AK669" s="48"/>
      <c r="AL669" s="48"/>
      <c r="AM669" s="48"/>
      <c r="AN669" s="48"/>
      <c r="AO669" s="48"/>
      <c r="AP669" s="48"/>
      <c r="AQ669" s="51"/>
      <c r="AR669" s="52"/>
      <c r="AS669" s="46"/>
    </row>
    <row r="670" ht="21.25" customHeight="1">
      <c r="A670" s="53">
        <f>RANK(K670,K2:K730)</f>
        <v>702</v>
      </c>
      <c r="B670" t="s" s="8">
        <v>822</v>
      </c>
      <c r="C670" t="s" s="39">
        <v>106</v>
      </c>
      <c r="D670" t="s" s="40">
        <f>VLOOKUP(B670,'Player Data'!A1:D734,4,FALSE)</f>
        <v>121</v>
      </c>
      <c r="E670" s="55">
        <f>VLOOKUP(B670,'RW'!A1:F132,3,FALSE)</f>
        <v>128</v>
      </c>
      <c r="F670" t="s" s="42">
        <f>VLOOKUP(B670,'Player Data'!A1:B734,2,FALSE)</f>
        <v>234</v>
      </c>
      <c r="G670" s="9">
        <f>VLOOKUP(B670,'Player Data'!A1:D734,3,FALSE)</f>
        <v>24</v>
      </c>
      <c r="H670" s="43">
        <f>_xlfn.IFERROR(VLOOKUP(B670,'ADP'!A1:G731,7,FALSE)/1000000,VLOOKUP(B670,'ADP'!A1:G731,7,FALSE))</f>
        <v>0.775</v>
      </c>
      <c r="I670" s="44">
        <f>IF('Settings'!$E$15="POINTS",((R670*Q670)*'Settings'!$B$12)+(S670*'Settings'!$B$2)+(T670*'Settings'!$B$3)+(U670*'Settings'!$B$4)+(V670*'Settings'!$B$5)+(X670*'Settings'!$B$9)+(AA670*'Settings'!$B$6)+(W670*'Settings'!$B$8)+(AB670*'Settings'!$B$7)+(AC670*'Settings'!$B$14)+(AD670*'Settings'!$B$15)+(AE670*'Settings'!$B$16)+(AF670*'Settings'!$B$17)+(AG670*'Settings'!$B$18)+(Y670*'Settings'!$B$10)+(Z670*'Settings'!$B$11),VLOOKUP(B670,'Standard Deviations'!A1:C731,3,FALSE))</f>
        <v>107.343962532845</v>
      </c>
      <c r="J670" s="45">
        <f>IF(D670="G",I670/AJ670,I670/Q670)</f>
        <v>1.71654213692884</v>
      </c>
      <c r="K670" s="44">
        <f>IF('Settings'!$E$18="C/LW/RW",VLOOKUP(B670,'RW'!A1:F132,6,FALSE),VLOOKUP(B670,'F'!A1:F432,6,FALSE))</f>
        <v>-274.284601173511</v>
      </c>
      <c r="L670" s="44">
        <f>_xlfn.IFERROR(K670/H670,"N/A")</f>
        <v>-353.915614417434</v>
      </c>
      <c r="M670" t="s" s="61">
        <f>IF('Settings'!$E$9="YAHOO",VLOOKUP(B670,'ADP'!A1:E731,2,FALSE),IF('Settings'!$E$9="ESPN",VLOOKUP(B670,'ADP'!A1:E731,3,FALSE),IF('Settings'!$E$9="FANTRAX",VLOOKUP(B670,'ADP'!A1:E731,4,FALSE),VLOOKUP(B670,'ADP'!A1:E731,5,FALSE))))</f>
        <v>329</v>
      </c>
      <c r="N670" t="s" s="61">
        <f>_xlfn.IFERROR(M670-A670,"N/A")</f>
        <v>158</v>
      </c>
      <c r="O670" s="46"/>
      <c r="P670" t="s" s="47">
        <f>IF('Settings'!$E$27="ON",VLOOKUP(B670,'ADP'!A1:H731,8,FALSE)," ")</f>
        <v>109</v>
      </c>
      <c r="Q670" s="48">
        <f>IF('Settings'!$E$12="YES",VLOOKUP(B670,'Player Data'!A1:E734,5,FALSE),82)</f>
        <v>62.535</v>
      </c>
      <c r="R670" s="46">
        <f>VLOOKUP(B670,'Player Data'!$A1:$AE734,6,FALSE)</f>
        <v>10.8540220796423</v>
      </c>
      <c r="S670" s="48">
        <f>VLOOKUP(B670,'Player Data'!$A1:$AE734,7,FALSE)*$Q670*_xlfn.IFERROR((VLOOKUP(P670,'Settings'!$E$28:$F$33,2,FALSE)+1),1)</f>
        <v>7.0404457320175</v>
      </c>
      <c r="T670" s="48">
        <f>VLOOKUP(B670,'Player Data'!$A1:$AE734,8,FALSE)*$Q670*_xlfn.IFERROR((VLOOKUP(P670,'Settings'!$E$28:$F$33,2,FALSE)+1),1)</f>
        <v>6.01363788195443</v>
      </c>
      <c r="U670" s="48">
        <f>SUM(S670:T670)</f>
        <v>13.0540836139719</v>
      </c>
      <c r="V670" s="48">
        <f>VLOOKUP(B670,'Player Data'!$A1:$AE734,10,FALSE)*$Q670*_xlfn.IFERROR(((VLOOKUP(P670,'Settings'!$E$28:$F$33,2,FALSE)/2)+1),1)</f>
        <v>65.14713818960441</v>
      </c>
      <c r="W670" s="48">
        <f>VLOOKUP(B670,'Player Data'!$A1:$AE734,11,FALSE)*$Q670*_xlfn.IFERROR((VLOOKUP(P670,'Settings'!$E$28:$F$33,2,FALSE)+1),1)</f>
        <v>0.0496493891266378</v>
      </c>
      <c r="X670" s="48">
        <f>VLOOKUP(B670,'Player Data'!$A1:$AE734,12,FALSE)*$Q670*_xlfn.IFERROR((VLOOKUP(P670,'Settings'!$E$28:$F$33,2,FALSE)+1),1)</f>
        <v>0.127539982502635</v>
      </c>
      <c r="Y670" s="48">
        <f>VLOOKUP(B670,'Player Data'!$A1:$AE734,13,FALSE)*$Q670</f>
        <v>0.0217483292608542</v>
      </c>
      <c r="Z670" s="48">
        <f>VLOOKUP(B670,'Player Data'!$A1:$AE734,14,FALSE)*$Q670</f>
        <v>0.0403574145891331</v>
      </c>
      <c r="AA670" s="48">
        <f>VLOOKUP(B670,'Player Data'!$A1:$AE734,15,FALSE)*$Q670</f>
        <v>23.3257189435382</v>
      </c>
      <c r="AB670" s="48">
        <f>VLOOKUP(B670,'Player Data'!$A1:$AE734,16,FALSE)*$Q670</f>
        <v>53.2155987886137</v>
      </c>
      <c r="AC670" s="48">
        <f>VLOOKUP(B670,'Player Data'!$A1:$AE734,17,FALSE)*$Q670*_xlfn.IFERROR((VLOOKUP(P670,'Settings'!$E$28:$F$33,2,FALSE)+1),1)</f>
        <v>-7.90298459314137</v>
      </c>
      <c r="AD670" s="48">
        <f>VLOOKUP(B670,'Player Data'!$A1:$AE734,18,FALSE)*$Q670</f>
        <v>15.2453783101505</v>
      </c>
      <c r="AE670" s="48">
        <f>VLOOKUP(B670,'Player Data'!$A1:$AE734,19,FALSE)*$Q670*_xlfn.IFERROR((VLOOKUP(P670,'Settings'!$E$28:$F$33,2,FALSE)+1),1)</f>
        <v>0.674918429922866</v>
      </c>
      <c r="AF670" s="48">
        <f>VLOOKUP(B670,'Player Data'!$A1:$AE734,20,FALSE)*$Q670</f>
        <v>2.74663786965487</v>
      </c>
      <c r="AG670" s="48">
        <f>VLOOKUP(B670,'Player Data'!$A1:$AE734,21,FALSE)*$Q670</f>
        <v>5.18345743999684</v>
      </c>
      <c r="AH670" s="49">
        <f>VLOOKUP(B670,'Player Data'!$A1:$AE734,22,FALSE)</f>
        <v>0.346356224282947</v>
      </c>
      <c r="AI670" s="46"/>
      <c r="AJ670" s="50"/>
      <c r="AK670" s="48"/>
      <c r="AL670" s="48"/>
      <c r="AM670" s="48"/>
      <c r="AN670" s="48"/>
      <c r="AO670" s="48"/>
      <c r="AP670" s="48"/>
      <c r="AQ670" s="51"/>
      <c r="AR670" s="52"/>
      <c r="AS670" s="46"/>
    </row>
    <row r="671" ht="21.25" customHeight="1">
      <c r="A671" s="53">
        <f>RANK(K671,K2:K730)</f>
        <v>711</v>
      </c>
      <c r="B671" t="s" s="8">
        <v>823</v>
      </c>
      <c r="C671" t="s" s="39">
        <v>106</v>
      </c>
      <c r="D671" t="s" s="40">
        <f>VLOOKUP(B671,'Player Data'!A1:D734,4,FALSE)</f>
        <v>107</v>
      </c>
      <c r="E671" s="41">
        <f>VLOOKUP(B671,'C'!A1:C218,3,FALSE)</f>
        <v>203</v>
      </c>
      <c r="F671" t="s" s="42">
        <f>VLOOKUP(B671,'Player Data'!A1:B734,2,FALSE)</f>
        <v>202</v>
      </c>
      <c r="G671" s="9">
        <f>VLOOKUP(B671,'Player Data'!A1:D734,3,FALSE)</f>
        <v>23</v>
      </c>
      <c r="H671" s="43">
        <f>_xlfn.IFERROR(VLOOKUP(B671,'ADP'!A1:G731,7,FALSE)/1000000,VLOOKUP(B671,'ADP'!A1:G731,7,FALSE))</f>
        <v>0.925</v>
      </c>
      <c r="I671" s="44">
        <f>IF('Settings'!$E$15="POINTS",((R671*Q671)*'Settings'!$B$12)+(S671*'Settings'!$B$2)+(T671*'Settings'!$B$3)+(U671*'Settings'!$B$4)+(V671*'Settings'!$B$5)+(X671*'Settings'!$B$9)+(AA671*'Settings'!$B$6)+(W671*'Settings'!$B$8)+(AB671*'Settings'!$B$7)+(AC671*'Settings'!$B$14)+(AD671*'Settings'!$B$15)+(AE671*'Settings'!$B$16)+(AF671*'Settings'!$B$17)+(AG671*'Settings'!$B$18)+(Y671*'Settings'!$B$10)+(Z671*'Settings'!$B$11),VLOOKUP(B671,'Standard Deviations'!A1:C731,3,FALSE))</f>
        <v>113.425558840106</v>
      </c>
      <c r="J671" s="45">
        <f>IF(D671="G",I671/AJ671,I671/Q671)</f>
        <v>2.06153323955118</v>
      </c>
      <c r="K671" s="44">
        <f>IF('Settings'!$E$18="C/LW/RW",VLOOKUP(B671,'C'!A1:F218,6,FALSE),VLOOKUP(B671,'F'!A1:F432,6,FALSE))</f>
        <v>-282.348642795909</v>
      </c>
      <c r="L671" s="44">
        <f>_xlfn.IFERROR(K671/H671,"N/A")</f>
        <v>-305.241775995577</v>
      </c>
      <c r="M671" t="s" s="61">
        <f>IF('Settings'!$E$9="YAHOO",VLOOKUP(B671,'ADP'!A1:E731,2,FALSE),IF('Settings'!$E$9="ESPN",VLOOKUP(B671,'ADP'!A1:E731,3,FALSE),IF('Settings'!$E$9="FANTRAX",VLOOKUP(B671,'ADP'!A1:E731,4,FALSE),VLOOKUP(B671,'ADP'!A1:E731,5,FALSE))))</f>
        <v>329</v>
      </c>
      <c r="N671" t="s" s="61">
        <f>_xlfn.IFERROR(M671-A671,"N/A")</f>
        <v>158</v>
      </c>
      <c r="O671" s="46"/>
      <c r="P671" t="s" s="47">
        <f>IF('Settings'!$E$27="ON",VLOOKUP(B671,'ADP'!A1:H731,8,FALSE)," ")</f>
        <v>109</v>
      </c>
      <c r="Q671" s="48">
        <f>IF('Settings'!$E$12="YES",VLOOKUP(B671,'Player Data'!A1:E734,5,FALSE),82)</f>
        <v>55.02</v>
      </c>
      <c r="R671" s="46">
        <f>VLOOKUP(B671,'Player Data'!$A1:$AE734,6,FALSE)</f>
        <v>10.3706214754433</v>
      </c>
      <c r="S671" s="48">
        <f>VLOOKUP(B671,'Player Data'!$A1:$AE734,7,FALSE)*$Q671*_xlfn.IFERROR((VLOOKUP(P671,'Settings'!$E$28:$F$33,2,FALSE)+1),1)</f>
        <v>5.60397026784827</v>
      </c>
      <c r="T671" s="48">
        <f>VLOOKUP(B671,'Player Data'!$A1:$AE734,8,FALSE)*$Q671*_xlfn.IFERROR((VLOOKUP(P671,'Settings'!$E$28:$F$33,2,FALSE)+1),1)</f>
        <v>7.90637859080674</v>
      </c>
      <c r="U671" s="48">
        <f>SUM(S671:T671)</f>
        <v>13.510348858655</v>
      </c>
      <c r="V671" s="48">
        <f>VLOOKUP(B671,'Player Data'!$A1:$AE734,10,FALSE)*$Q671*_xlfn.IFERROR(((VLOOKUP(P671,'Settings'!$E$28:$F$33,2,FALSE)/2)+1),1)</f>
        <v>84.67442375176429</v>
      </c>
      <c r="W671" s="48">
        <f>VLOOKUP(B671,'Player Data'!$A1:$AE734,11,FALSE)*$Q671*_xlfn.IFERROR((VLOOKUP(P671,'Settings'!$E$28:$F$33,2,FALSE)+1),1)</f>
        <v>0.262460037349083</v>
      </c>
      <c r="X671" s="48">
        <f>VLOOKUP(B671,'Player Data'!$A1:$AE734,12,FALSE)*$Q671*_xlfn.IFERROR((VLOOKUP(P671,'Settings'!$E$28:$F$33,2,FALSE)+1),1)</f>
        <v>0.9321884995973621</v>
      </c>
      <c r="Y671" s="48">
        <f>VLOOKUP(B671,'Player Data'!$A1:$AE734,13,FALSE)*$Q671</f>
        <v>0.0738763024711469</v>
      </c>
      <c r="Z671" s="48">
        <f>VLOOKUP(B671,'Player Data'!$A1:$AE734,14,FALSE)*$Q671</f>
        <v>0.13451229992379</v>
      </c>
      <c r="AA671" s="48">
        <f>VLOOKUP(B671,'Player Data'!$A1:$AE734,15,FALSE)*$Q671</f>
        <v>22.8228482713685</v>
      </c>
      <c r="AB671" s="48">
        <f>VLOOKUP(B671,'Player Data'!$A1:$AE734,16,FALSE)*$Q671</f>
        <v>41.8835850038175</v>
      </c>
      <c r="AC671" s="48">
        <f>VLOOKUP(B671,'Player Data'!$A1:$AE734,17,FALSE)*$Q671*_xlfn.IFERROR((VLOOKUP(P671,'Settings'!$E$28:$F$33,2,FALSE)+1),1)</f>
        <v>4.59679303708908</v>
      </c>
      <c r="AD671" s="48">
        <f>VLOOKUP(B671,'Player Data'!$A1:$AE734,18,FALSE)*$Q671</f>
        <v>17.0097805852389</v>
      </c>
      <c r="AE671" s="48">
        <f>VLOOKUP(B671,'Player Data'!$A1:$AE734,19,FALSE)*$Q671*_xlfn.IFERROR((VLOOKUP(P671,'Settings'!$E$28:$F$33,2,FALSE)+1),1)</f>
        <v>1.00547774843572</v>
      </c>
      <c r="AF671" s="48">
        <f>VLOOKUP(B671,'Player Data'!$A1:$AE734,20,FALSE)*$Q671</f>
        <v>96.93930317972131</v>
      </c>
      <c r="AG671" s="48">
        <f>VLOOKUP(B671,'Player Data'!$A1:$AE734,21,FALSE)*$Q671</f>
        <v>79.94945337291141</v>
      </c>
      <c r="AH671" s="49">
        <f>VLOOKUP(B671,'Player Data'!$A1:$AE734,22,FALSE)</f>
        <v>0.5480241088747601</v>
      </c>
      <c r="AI671" s="46"/>
      <c r="AJ671" s="50"/>
      <c r="AK671" s="48"/>
      <c r="AL671" s="48"/>
      <c r="AM671" s="48"/>
      <c r="AN671" s="48"/>
      <c r="AO671" s="48"/>
      <c r="AP671" s="48"/>
      <c r="AQ671" s="51"/>
      <c r="AR671" s="52"/>
      <c r="AS671" s="46"/>
    </row>
    <row r="672" ht="21.25" customHeight="1">
      <c r="A672" s="53">
        <f>RANK(K672,K2:K730)</f>
        <v>687</v>
      </c>
      <c r="B672" t="s" s="8">
        <v>824</v>
      </c>
      <c r="C672" t="s" s="39">
        <v>106</v>
      </c>
      <c r="D672" t="s" s="40">
        <f>VLOOKUP(B672,'Player Data'!A1:D734,4,FALSE)</f>
        <v>121</v>
      </c>
      <c r="E672" s="55">
        <f>VLOOKUP(B672,'RW'!A1:F132,3,FALSE)</f>
        <v>125</v>
      </c>
      <c r="F672" t="s" s="42">
        <f>VLOOKUP(B672,'Player Data'!A1:B734,2,FALSE)</f>
        <v>131</v>
      </c>
      <c r="G672" s="9">
        <f>VLOOKUP(B672,'Player Data'!A1:D734,3,FALSE)</f>
        <v>28</v>
      </c>
      <c r="H672" s="43">
        <f>_xlfn.IFERROR(VLOOKUP(B672,'ADP'!A1:G731,7,FALSE)/1000000,VLOOKUP(B672,'ADP'!A1:G731,7,FALSE))</f>
        <v>0.775</v>
      </c>
      <c r="I672" s="44">
        <f>IF('Settings'!$E$15="POINTS",((R672*Q672)*'Settings'!$B$12)+(S672*'Settings'!$B$2)+(T672*'Settings'!$B$3)+(U672*'Settings'!$B$4)+(V672*'Settings'!$B$5)+(X672*'Settings'!$B$9)+(AA672*'Settings'!$B$6)+(W672*'Settings'!$B$8)+(AB672*'Settings'!$B$7)+(AC672*'Settings'!$B$14)+(AD672*'Settings'!$B$15)+(AE672*'Settings'!$B$16)+(AF672*'Settings'!$B$17)+(AG672*'Settings'!$B$18)+(Y672*'Settings'!$B$10)+(Z672*'Settings'!$B$11),VLOOKUP(B672,'Standard Deviations'!A1:C731,3,FALSE))</f>
        <v>128.068963414366</v>
      </c>
      <c r="J672" s="45">
        <f>IF(D672="G",I672/AJ672,I672/Q672)</f>
        <v>2.08001843143072</v>
      </c>
      <c r="K672" s="44">
        <f>IF('Settings'!$E$18="C/LW/RW",VLOOKUP(B672,'RW'!A1:F132,6,FALSE),VLOOKUP(B672,'F'!A1:F432,6,FALSE))</f>
        <v>-253.559600291990</v>
      </c>
      <c r="L672" s="44">
        <f>_xlfn.IFERROR(K672/H672,"N/A")</f>
        <v>-327.173677796116</v>
      </c>
      <c r="M672" t="s" s="61">
        <f>IF('Settings'!$E$9="YAHOO",VLOOKUP(B672,'ADP'!A1:E731,2,FALSE),IF('Settings'!$E$9="ESPN",VLOOKUP(B672,'ADP'!A1:E731,3,FALSE),IF('Settings'!$E$9="FANTRAX",VLOOKUP(B672,'ADP'!A1:E731,4,FALSE),VLOOKUP(B672,'ADP'!A1:E731,5,FALSE))))</f>
        <v>329</v>
      </c>
      <c r="N672" t="s" s="61">
        <f>_xlfn.IFERROR(M672-A672,"N/A")</f>
        <v>158</v>
      </c>
      <c r="O672" s="46"/>
      <c r="P672" t="s" s="47">
        <f>IF('Settings'!$E$27="ON",VLOOKUP(B672,'ADP'!A1:H731,8,FALSE)," ")</f>
        <v>109</v>
      </c>
      <c r="Q672" s="48">
        <f>IF('Settings'!$E$12="YES",VLOOKUP(B672,'Player Data'!A1:E734,5,FALSE),82)</f>
        <v>61.5710714285714</v>
      </c>
      <c r="R672" s="46">
        <f>VLOOKUP(B672,'Player Data'!$A1:$AE734,6,FALSE)</f>
        <v>10.2932065625</v>
      </c>
      <c r="S672" s="48">
        <f>VLOOKUP(B672,'Player Data'!$A1:$AE734,7,FALSE)*$Q672*_xlfn.IFERROR((VLOOKUP(P672,'Settings'!$E$28:$F$33,2,FALSE)+1),1)</f>
        <v>5.66475676353583</v>
      </c>
      <c r="T672" s="48">
        <f>VLOOKUP(B672,'Player Data'!$A1:$AE734,8,FALSE)*$Q672*_xlfn.IFERROR((VLOOKUP(P672,'Settings'!$E$28:$F$33,2,FALSE)+1),1)</f>
        <v>6.06690083068518</v>
      </c>
      <c r="U672" s="48">
        <f>SUM(S672:T672)</f>
        <v>11.731657594221</v>
      </c>
      <c r="V672" s="48">
        <f>VLOOKUP(B672,'Player Data'!$A1:$AE734,10,FALSE)*$Q672*_xlfn.IFERROR(((VLOOKUP(P672,'Settings'!$E$28:$F$33,2,FALSE)/2)+1),1)</f>
        <v>67.7457632145059</v>
      </c>
      <c r="W672" s="48">
        <f>VLOOKUP(B672,'Player Data'!$A1:$AE734,11,FALSE)*$Q672*_xlfn.IFERROR((VLOOKUP(P672,'Settings'!$E$28:$F$33,2,FALSE)+1),1)</f>
        <v>0.0462890423219598</v>
      </c>
      <c r="X672" s="48">
        <f>VLOOKUP(B672,'Player Data'!$A1:$AE734,12,FALSE)*$Q672*_xlfn.IFERROR((VLOOKUP(P672,'Settings'!$E$28:$F$33,2,FALSE)+1),1)</f>
        <v>0.14599560897268</v>
      </c>
      <c r="Y672" s="48">
        <f>VLOOKUP(B672,'Player Data'!$A1:$AE734,13,FALSE)*$Q672</f>
        <v>0.463247150688015</v>
      </c>
      <c r="Z672" s="48">
        <f>VLOOKUP(B672,'Player Data'!$A1:$AE734,14,FALSE)*$Q672</f>
        <v>1.1768310417138</v>
      </c>
      <c r="AA672" s="48">
        <f>VLOOKUP(B672,'Player Data'!$A1:$AE734,15,FALSE)*$Q672</f>
        <v>33.4857544463995</v>
      </c>
      <c r="AB672" s="48">
        <f>VLOOKUP(B672,'Player Data'!$A1:$AE734,16,FALSE)*$Q672</f>
        <v>125.629738290074</v>
      </c>
      <c r="AC672" s="48">
        <f>VLOOKUP(B672,'Player Data'!$A1:$AE734,17,FALSE)*$Q672*_xlfn.IFERROR((VLOOKUP(P672,'Settings'!$E$28:$F$33,2,FALSE)+1),1)</f>
        <v>-0.69290330945667</v>
      </c>
      <c r="AD672" s="48">
        <f>VLOOKUP(B672,'Player Data'!$A1:$AE734,18,FALSE)*$Q672</f>
        <v>40.9831476336983</v>
      </c>
      <c r="AE672" s="48">
        <f>VLOOKUP(B672,'Player Data'!$A1:$AE734,19,FALSE)*$Q672*_xlfn.IFERROR((VLOOKUP(P672,'Settings'!$E$28:$F$33,2,FALSE)+1),1)</f>
        <v>0.827202643962577</v>
      </c>
      <c r="AF672" s="48">
        <f>VLOOKUP(B672,'Player Data'!$A1:$AE734,20,FALSE)*$Q672</f>
        <v>144.716546729523</v>
      </c>
      <c r="AG672" s="48">
        <f>VLOOKUP(B672,'Player Data'!$A1:$AE734,21,FALSE)*$Q672</f>
        <v>113.854049675599</v>
      </c>
      <c r="AH672" s="49">
        <f>VLOOKUP(B672,'Player Data'!$A1:$AE734,22,FALSE)</f>
        <v>0.559679053772939</v>
      </c>
      <c r="AI672" s="46"/>
      <c r="AJ672" s="50"/>
      <c r="AK672" s="48"/>
      <c r="AL672" s="48"/>
      <c r="AM672" s="48"/>
      <c r="AN672" s="48"/>
      <c r="AO672" s="48"/>
      <c r="AP672" s="48"/>
      <c r="AQ672" s="51"/>
      <c r="AR672" s="52"/>
      <c r="AS672" s="46"/>
    </row>
    <row r="673" ht="21.25" customHeight="1">
      <c r="A673" s="53">
        <f>RANK(K673,K2:K730)</f>
        <v>705</v>
      </c>
      <c r="B673" t="s" s="8">
        <v>825</v>
      </c>
      <c r="C673" t="s" s="39">
        <v>106</v>
      </c>
      <c r="D673" t="s" s="40">
        <f>VLOOKUP(B673,'Player Data'!A1:D734,4,FALSE)</f>
        <v>133</v>
      </c>
      <c r="E673" s="57">
        <f>VLOOKUP(B673,'LW'!A1:C156,3,FALSE)</f>
        <v>149</v>
      </c>
      <c r="F673" t="s" s="42">
        <f>VLOOKUP(B673,'Player Data'!A1:B734,2,FALSE)</f>
        <v>170</v>
      </c>
      <c r="G673" s="9">
        <f>VLOOKUP(B673,'Player Data'!A1:D734,3,FALSE)</f>
        <v>28</v>
      </c>
      <c r="H673" s="43">
        <f>_xlfn.IFERROR(VLOOKUP(B673,'ADP'!A1:G731,7,FALSE)/1000000,VLOOKUP(B673,'ADP'!A1:G731,7,FALSE))</f>
        <v>1.144</v>
      </c>
      <c r="I673" s="44">
        <f>IF('Settings'!$E$15="POINTS",((R673*Q673)*'Settings'!$B$12)+(S673*'Settings'!$B$2)+(T673*'Settings'!$B$3)+(U673*'Settings'!$B$4)+(V673*'Settings'!$B$5)+(X673*'Settings'!$B$9)+(AA673*'Settings'!$B$6)+(W673*'Settings'!$B$8)+(AB673*'Settings'!$B$7)+(AC673*'Settings'!$B$14)+(AD673*'Settings'!$B$15)+(AE673*'Settings'!$B$16)+(AF673*'Settings'!$B$17)+(AG673*'Settings'!$B$18)+(Y673*'Settings'!$B$10)+(Z673*'Settings'!$B$11),VLOOKUP(B673,'Standard Deviations'!A1:C731,3,FALSE))</f>
        <v>104.935772017106</v>
      </c>
      <c r="J673" s="45">
        <f>IF(D673="G",I673/AJ673,I673/Q673)</f>
        <v>2.09871544034212</v>
      </c>
      <c r="K673" s="44">
        <f>IF('Settings'!$E$18="C/LW/RW",VLOOKUP(B673,'LW'!A1:F156,6,FALSE),VLOOKUP(B673,'F'!A1:F432,6,FALSE))</f>
        <v>-276.692791689250</v>
      </c>
      <c r="L673" s="44">
        <f>_xlfn.IFERROR(K673/H673,"N/A")</f>
        <v>-241.864328399694</v>
      </c>
      <c r="M673" t="s" s="61">
        <f>IF('Settings'!$E$9="YAHOO",VLOOKUP(B673,'ADP'!A1:E731,2,FALSE),IF('Settings'!$E$9="ESPN",VLOOKUP(B673,'ADP'!A1:E731,3,FALSE),IF('Settings'!$E$9="FANTRAX",VLOOKUP(B673,'ADP'!A1:E731,4,FALSE),VLOOKUP(B673,'ADP'!A1:E731,5,FALSE))))</f>
        <v>329</v>
      </c>
      <c r="N673" t="s" s="61">
        <f>_xlfn.IFERROR(M673-A673,"N/A")</f>
        <v>158</v>
      </c>
      <c r="O673" s="46"/>
      <c r="P673" t="s" s="47">
        <f>IF('Settings'!$E$27="ON",VLOOKUP(B673,'ADP'!A1:H731,8,FALSE)," ")</f>
        <v>109</v>
      </c>
      <c r="Q673" s="48">
        <f>IF('Settings'!$E$12="YES",VLOOKUP(B673,'Player Data'!A1:E734,5,FALSE),82)</f>
        <v>50</v>
      </c>
      <c r="R673" s="46">
        <f>VLOOKUP(B673,'Player Data'!$A1:$AE734,6,FALSE)</f>
        <v>11.7556413628423</v>
      </c>
      <c r="S673" s="48">
        <f>VLOOKUP(B673,'Player Data'!$A1:$AE734,7,FALSE)*$Q673*_xlfn.IFERROR((VLOOKUP(P673,'Settings'!$E$28:$F$33,2,FALSE)+1),1)</f>
        <v>5.4871792444304</v>
      </c>
      <c r="T673" s="48">
        <f>VLOOKUP(B673,'Player Data'!$A1:$AE734,8,FALSE)*$Q673*_xlfn.IFERROR((VLOOKUP(P673,'Settings'!$E$28:$F$33,2,FALSE)+1),1)</f>
        <v>9.897126208675649</v>
      </c>
      <c r="U673" s="48">
        <f>SUM(S673:T673)</f>
        <v>15.3843054531061</v>
      </c>
      <c r="V673" s="48">
        <f>VLOOKUP(B673,'Player Data'!$A1:$AE734,10,FALSE)*$Q673*_xlfn.IFERROR(((VLOOKUP(P673,'Settings'!$E$28:$F$33,2,FALSE)/2)+1),1)</f>
        <v>62.5749334166425</v>
      </c>
      <c r="W673" s="48">
        <f>VLOOKUP(B673,'Player Data'!$A1:$AE734,11,FALSE)*$Q673*_xlfn.IFERROR((VLOOKUP(P673,'Settings'!$E$28:$F$33,2,FALSE)+1),1)</f>
        <v>0.69291372033776</v>
      </c>
      <c r="X673" s="48">
        <f>VLOOKUP(B673,'Player Data'!$A1:$AE734,12,FALSE)*$Q673*_xlfn.IFERROR((VLOOKUP(P673,'Settings'!$E$28:$F$33,2,FALSE)+1),1)</f>
        <v>1.2599670165392</v>
      </c>
      <c r="Y673" s="48">
        <f>VLOOKUP(B673,'Player Data'!$A1:$AE734,13,FALSE)*$Q673</f>
        <v>0.00209269565157025</v>
      </c>
      <c r="Z673" s="48">
        <f>VLOOKUP(B673,'Player Data'!$A1:$AE734,14,FALSE)*$Q673</f>
        <v>0.00388419267627206</v>
      </c>
      <c r="AA673" s="48">
        <f>VLOOKUP(B673,'Player Data'!$A1:$AE734,15,FALSE)*$Q673</f>
        <v>15.6662582356215</v>
      </c>
      <c r="AB673" s="48">
        <f>VLOOKUP(B673,'Player Data'!$A1:$AE734,16,FALSE)*$Q673</f>
        <v>45.6948903186325</v>
      </c>
      <c r="AC673" s="48">
        <f>VLOOKUP(B673,'Player Data'!$A1:$AE734,17,FALSE)*$Q673*_xlfn.IFERROR((VLOOKUP(P673,'Settings'!$E$28:$F$33,2,FALSE)+1),1)</f>
        <v>1.3194858058412</v>
      </c>
      <c r="AD673" s="48">
        <f>VLOOKUP(B673,'Player Data'!$A1:$AE734,18,FALSE)*$Q673</f>
        <v>15.6435444712093</v>
      </c>
      <c r="AE673" s="48">
        <f>VLOOKUP(B673,'Player Data'!$A1:$AE734,19,FALSE)*$Q673*_xlfn.IFERROR((VLOOKUP(P673,'Settings'!$E$28:$F$33,2,FALSE)+1),1)</f>
        <v>0.88080214087686</v>
      </c>
      <c r="AF673" s="48">
        <f>VLOOKUP(B673,'Player Data'!$A1:$AE734,20,FALSE)*$Q673</f>
        <v>8.1367993707661</v>
      </c>
      <c r="AG673" s="48">
        <f>VLOOKUP(B673,'Player Data'!$A1:$AE734,21,FALSE)*$Q673</f>
        <v>15.942081825915</v>
      </c>
      <c r="AH673" s="49">
        <f>VLOOKUP(B673,'Player Data'!$A1:$AE734,22,FALSE)</f>
        <v>0.337922651152398</v>
      </c>
      <c r="AI673" s="46"/>
      <c r="AJ673" s="48"/>
      <c r="AK673" s="48"/>
      <c r="AL673" s="48"/>
      <c r="AM673" s="48"/>
      <c r="AN673" s="48"/>
      <c r="AO673" s="48"/>
      <c r="AP673" s="48"/>
      <c r="AQ673" s="51"/>
      <c r="AR673" s="52"/>
      <c r="AS673" s="46"/>
    </row>
    <row r="674" ht="21.25" customHeight="1">
      <c r="A674" s="53">
        <f>RANK(K674,K2:K730)</f>
        <v>672</v>
      </c>
      <c r="B674" t="s" s="8">
        <v>826</v>
      </c>
      <c r="C674" t="s" s="39">
        <v>106</v>
      </c>
      <c r="D674" t="s" s="40">
        <f>VLOOKUP(B674,'Player Data'!A1:D734,4,FALSE)</f>
        <v>121</v>
      </c>
      <c r="E674" s="55">
        <f>VLOOKUP(B674,'RW'!A1:F132,3,FALSE)</f>
        <v>123</v>
      </c>
      <c r="F674" t="s" s="42">
        <f>VLOOKUP(B674,'Player Data'!A1:B734,2,FALSE)</f>
        <v>124</v>
      </c>
      <c r="G674" s="9">
        <f>VLOOKUP(B674,'Player Data'!A1:D734,3,FALSE)</f>
        <v>30</v>
      </c>
      <c r="H674" s="43">
        <f>_xlfn.IFERROR(VLOOKUP(B674,'ADP'!A1:G731,7,FALSE)/1000000,VLOOKUP(B674,'ADP'!A1:G731,7,FALSE))</f>
        <v>0.8</v>
      </c>
      <c r="I674" s="44">
        <f>IF('Settings'!$E$15="POINTS",((R674*Q674)*'Settings'!$B$12)+(S674*'Settings'!$B$2)+(T674*'Settings'!$B$3)+(U674*'Settings'!$B$4)+(V674*'Settings'!$B$5)+(X674*'Settings'!$B$9)+(AA674*'Settings'!$B$6)+(W674*'Settings'!$B$8)+(AB674*'Settings'!$B$7)+(AC674*'Settings'!$B$14)+(AD674*'Settings'!$B$15)+(AE674*'Settings'!$B$16)+(AF674*'Settings'!$B$17)+(AG674*'Settings'!$B$18)+(Y674*'Settings'!$B$10)+(Z674*'Settings'!$B$11),VLOOKUP(B674,'Standard Deviations'!A1:C731,3,FALSE))</f>
        <v>135.302550366909</v>
      </c>
      <c r="J674" s="45">
        <f>IF(D674="G",I674/AJ674,I674/Q674)</f>
        <v>1.99799139845869</v>
      </c>
      <c r="K674" s="44">
        <f>IF('Settings'!$E$18="C/LW/RW",VLOOKUP(B674,'RW'!A1:F132,6,FALSE),VLOOKUP(B674,'F'!A1:F432,6,FALSE))</f>
        <v>-246.326013339447</v>
      </c>
      <c r="L674" s="44">
        <f>_xlfn.IFERROR(K674/H674,"N/A")</f>
        <v>-307.907516674309</v>
      </c>
      <c r="M674" t="s" s="61">
        <f>IF('Settings'!$E$9="YAHOO",VLOOKUP(B674,'ADP'!A1:E731,2,FALSE),IF('Settings'!$E$9="ESPN",VLOOKUP(B674,'ADP'!A1:E731,3,FALSE),IF('Settings'!$E$9="FANTRAX",VLOOKUP(B674,'ADP'!A1:E731,4,FALSE),VLOOKUP(B674,'ADP'!A1:E731,5,FALSE))))</f>
        <v>329</v>
      </c>
      <c r="N674" t="s" s="61">
        <f>_xlfn.IFERROR(M674-A674,"N/A")</f>
        <v>158</v>
      </c>
      <c r="O674" s="46"/>
      <c r="P674" t="s" s="47">
        <f>IF('Settings'!$E$27="ON",VLOOKUP(B674,'ADP'!A1:H731,8,FALSE)," ")</f>
        <v>109</v>
      </c>
      <c r="Q674" s="48">
        <f>IF('Settings'!$E$12="YES",VLOOKUP(B674,'Player Data'!A1:E734,5,FALSE),82)</f>
        <v>67.7192857142857</v>
      </c>
      <c r="R674" s="46">
        <f>VLOOKUP(B674,'Player Data'!$A1:$AE734,6,FALSE)</f>
        <v>9.280432620839891</v>
      </c>
      <c r="S674" s="48">
        <f>VLOOKUP(B674,'Player Data'!$A1:$AE734,7,FALSE)*$Q674*_xlfn.IFERROR((VLOOKUP(P674,'Settings'!$E$28:$F$33,2,FALSE)+1),1)</f>
        <v>5.58120069161289</v>
      </c>
      <c r="T674" s="48">
        <f>VLOOKUP(B674,'Player Data'!$A1:$AE734,8,FALSE)*$Q674*_xlfn.IFERROR((VLOOKUP(P674,'Settings'!$E$28:$F$33,2,FALSE)+1),1)</f>
        <v>6.33254321906433</v>
      </c>
      <c r="U674" s="48">
        <f>SUM(S674:T674)</f>
        <v>11.9137439106772</v>
      </c>
      <c r="V674" s="48">
        <f>VLOOKUP(B674,'Player Data'!$A1:$AE734,10,FALSE)*$Q674*_xlfn.IFERROR(((VLOOKUP(P674,'Settings'!$E$28:$F$33,2,FALSE)/2)+1),1)</f>
        <v>67.9914974926473</v>
      </c>
      <c r="W674" s="48">
        <f>VLOOKUP(B674,'Player Data'!$A1:$AE734,11,FALSE)*$Q674*_xlfn.IFERROR((VLOOKUP(P674,'Settings'!$E$28:$F$33,2,FALSE)+1),1)</f>
        <v>0.0425150562291902</v>
      </c>
      <c r="X674" s="48">
        <f>VLOOKUP(B674,'Player Data'!$A1:$AE734,12,FALSE)*$Q674*_xlfn.IFERROR((VLOOKUP(P674,'Settings'!$E$28:$F$33,2,FALSE)+1),1)</f>
        <v>0.108968037856683</v>
      </c>
      <c r="Y674" s="48">
        <f>VLOOKUP(B674,'Player Data'!$A1:$AE734,13,FALSE)*$Q674</f>
        <v>0.0732356025433356</v>
      </c>
      <c r="Z674" s="48">
        <f>VLOOKUP(B674,'Player Data'!$A1:$AE734,14,FALSE)*$Q674</f>
        <v>0.135594984348444</v>
      </c>
      <c r="AA674" s="48">
        <f>VLOOKUP(B674,'Player Data'!$A1:$AE734,15,FALSE)*$Q674</f>
        <v>26.2264373979254</v>
      </c>
      <c r="AB674" s="48">
        <f>VLOOKUP(B674,'Player Data'!$A1:$AE734,16,FALSE)*$Q674</f>
        <v>175.237440733899</v>
      </c>
      <c r="AC674" s="48">
        <f>VLOOKUP(B674,'Player Data'!$A1:$AE734,17,FALSE)*$Q674*_xlfn.IFERROR((VLOOKUP(P674,'Settings'!$E$28:$F$33,2,FALSE)+1),1)</f>
        <v>0.327129382145035</v>
      </c>
      <c r="AD674" s="48">
        <f>VLOOKUP(B674,'Player Data'!$A1:$AE734,18,FALSE)*$Q674</f>
        <v>26.0312664772326</v>
      </c>
      <c r="AE674" s="48">
        <f>VLOOKUP(B674,'Player Data'!$A1:$AE734,19,FALSE)*$Q674*_xlfn.IFERROR((VLOOKUP(P674,'Settings'!$E$28:$F$33,2,FALSE)+1),1)</f>
        <v>0.873459935612054</v>
      </c>
      <c r="AF674" s="48">
        <f>VLOOKUP(B674,'Player Data'!$A1:$AE734,20,FALSE)*$Q674</f>
        <v>1.87275455716686</v>
      </c>
      <c r="AG674" s="48">
        <f>VLOOKUP(B674,'Player Data'!$A1:$AE734,21,FALSE)*$Q674</f>
        <v>3.35112743984445</v>
      </c>
      <c r="AH674" s="49">
        <f>VLOOKUP(B674,'Player Data'!$A1:$AE734,22,FALSE)</f>
        <v>0.358498633437412</v>
      </c>
      <c r="AI674" s="46"/>
      <c r="AJ674" s="48"/>
      <c r="AK674" s="48"/>
      <c r="AL674" s="48"/>
      <c r="AM674" s="48"/>
      <c r="AN674" s="48"/>
      <c r="AO674" s="48"/>
      <c r="AP674" s="48"/>
      <c r="AQ674" s="51"/>
      <c r="AR674" s="52"/>
      <c r="AS674" s="46"/>
    </row>
    <row r="675" ht="21.25" customHeight="1">
      <c r="A675" s="53">
        <f>RANK(K675,K2:K730)</f>
        <v>693</v>
      </c>
      <c r="B675" t="s" s="8">
        <v>827</v>
      </c>
      <c r="C675" t="s" s="39">
        <v>106</v>
      </c>
      <c r="D675" t="s" s="40">
        <f>VLOOKUP(B675,'Player Data'!A1:D734,4,FALSE)</f>
        <v>133</v>
      </c>
      <c r="E675" s="57">
        <f>VLOOKUP(B675,'LW'!A1:C156,3,FALSE)</f>
        <v>146</v>
      </c>
      <c r="F675" t="s" s="42">
        <f>VLOOKUP(B675,'Player Data'!A1:B734,2,FALSE)</f>
        <v>108</v>
      </c>
      <c r="G675" s="9">
        <f>VLOOKUP(B675,'Player Data'!A1:D734,3,FALSE)</f>
        <v>21</v>
      </c>
      <c r="H675" s="43">
        <f>_xlfn.IFERROR(VLOOKUP(B675,'ADP'!A1:G731,7,FALSE)/1000000,VLOOKUP(B675,'ADP'!A1:G731,7,FALSE))</f>
        <v>0.925</v>
      </c>
      <c r="I675" s="44">
        <f>IF('Settings'!$E$15="POINTS",((R675*Q675)*'Settings'!$B$12)+(S675*'Settings'!$B$2)+(T675*'Settings'!$B$3)+(U675*'Settings'!$B$4)+(V675*'Settings'!$B$5)+(X675*'Settings'!$B$9)+(AA675*'Settings'!$B$6)+(W675*'Settings'!$B$8)+(AB675*'Settings'!$B$7)+(AC675*'Settings'!$B$14)+(AD675*'Settings'!$B$15)+(AE675*'Settings'!$B$16)+(AF675*'Settings'!$B$17)+(AG675*'Settings'!$B$18)+(Y675*'Settings'!$B$10)+(Z675*'Settings'!$B$11),VLOOKUP(B675,'Standard Deviations'!A1:C731,3,FALSE))</f>
        <v>122.466145931906</v>
      </c>
      <c r="J675" s="45">
        <f>IF(D675="G",I675/AJ675,I675/Q675)</f>
        <v>1.77063754690821</v>
      </c>
      <c r="K675" s="44">
        <f>IF('Settings'!$E$18="C/LW/RW",VLOOKUP(B675,'LW'!A1:F156,6,FALSE),VLOOKUP(B675,'F'!A1:F432,6,FALSE))</f>
        <v>-259.162417774450</v>
      </c>
      <c r="L675" s="44">
        <f>_xlfn.IFERROR(K675/H675,"N/A")</f>
        <v>-280.175586783189</v>
      </c>
      <c r="M675" t="s" s="61">
        <f>IF('Settings'!$E$9="YAHOO",VLOOKUP(B675,'ADP'!A1:E731,2,FALSE),IF('Settings'!$E$9="ESPN",VLOOKUP(B675,'ADP'!A1:E731,3,FALSE),IF('Settings'!$E$9="FANTRAX",VLOOKUP(B675,'ADP'!A1:E731,4,FALSE),VLOOKUP(B675,'ADP'!A1:E731,5,FALSE))))</f>
        <v>329</v>
      </c>
      <c r="N675" t="s" s="61">
        <f>_xlfn.IFERROR(M675-A675,"N/A")</f>
        <v>158</v>
      </c>
      <c r="O675" s="46"/>
      <c r="P675" t="s" s="47">
        <f>IF('Settings'!$E$27="ON",VLOOKUP(B675,'ADP'!A1:H731,8,FALSE)," ")</f>
        <v>109</v>
      </c>
      <c r="Q675" s="48">
        <f>IF('Settings'!$E$12="YES",VLOOKUP(B675,'Player Data'!A1:E734,5,FALSE),82)</f>
        <v>69.16500000000001</v>
      </c>
      <c r="R675" s="46">
        <f>VLOOKUP(B675,'Player Data'!$A1:$AE734,6,FALSE)</f>
        <v>9.39117533118873</v>
      </c>
      <c r="S675" s="48">
        <f>VLOOKUP(B675,'Player Data'!$A1:$AE734,7,FALSE)*$Q675*_xlfn.IFERROR((VLOOKUP(P675,'Settings'!$E$28:$F$33,2,FALSE)+1),1)</f>
        <v>5.84891976451524</v>
      </c>
      <c r="T675" s="48">
        <f>VLOOKUP(B675,'Player Data'!$A1:$AE734,8,FALSE)*$Q675*_xlfn.IFERROR((VLOOKUP(P675,'Settings'!$E$28:$F$33,2,FALSE)+1),1)</f>
        <v>9.288027839434291</v>
      </c>
      <c r="U675" s="48">
        <f>SUM(S675:T675)</f>
        <v>15.1369476039495</v>
      </c>
      <c r="V675" s="48">
        <f>VLOOKUP(B675,'Player Data'!$A1:$AE734,10,FALSE)*$Q675*_xlfn.IFERROR(((VLOOKUP(P675,'Settings'!$E$28:$F$33,2,FALSE)/2)+1),1)</f>
        <v>60.8293983392244</v>
      </c>
      <c r="W675" s="48">
        <f>VLOOKUP(B675,'Player Data'!$A1:$AE734,11,FALSE)*$Q675*_xlfn.IFERROR((VLOOKUP(P675,'Settings'!$E$28:$F$33,2,FALSE)+1),1)</f>
        <v>0.40754802314356</v>
      </c>
      <c r="X675" s="48">
        <f>VLOOKUP(B675,'Player Data'!$A1:$AE734,12,FALSE)*$Q675*_xlfn.IFERROR((VLOOKUP(P675,'Settings'!$E$28:$F$33,2,FALSE)+1),1)</f>
        <v>1.01446077774182</v>
      </c>
      <c r="Y675" s="48">
        <f>VLOOKUP(B675,'Player Data'!$A1:$AE734,13,FALSE)*$Q675</f>
        <v>0.00294837597954295</v>
      </c>
      <c r="Z675" s="48">
        <f>VLOOKUP(B675,'Player Data'!$A1:$AE734,14,FALSE)*$Q675</f>
        <v>0.00530156788989593</v>
      </c>
      <c r="AA675" s="48">
        <f>VLOOKUP(B675,'Player Data'!$A1:$AE734,15,FALSE)*$Q675</f>
        <v>22.3758120544347</v>
      </c>
      <c r="AB675" s="48">
        <f>VLOOKUP(B675,'Player Data'!$A1:$AE734,16,FALSE)*$Q675</f>
        <v>106.674860562702</v>
      </c>
      <c r="AC675" s="48">
        <f>VLOOKUP(B675,'Player Data'!$A1:$AE734,17,FALSE)*$Q675*_xlfn.IFERROR((VLOOKUP(P675,'Settings'!$E$28:$F$33,2,FALSE)+1),1)</f>
        <v>4.20681330282481</v>
      </c>
      <c r="AD675" s="48">
        <f>VLOOKUP(B675,'Player Data'!$A1:$AE734,18,FALSE)*$Q675</f>
        <v>25.5057846259814</v>
      </c>
      <c r="AE675" s="48">
        <f>VLOOKUP(B675,'Player Data'!$A1:$AE734,19,FALSE)*$Q675*_xlfn.IFERROR((VLOOKUP(P675,'Settings'!$E$28:$F$33,2,FALSE)+1),1)</f>
        <v>0.925821206925559</v>
      </c>
      <c r="AF675" s="48">
        <f>VLOOKUP(B675,'Player Data'!$A1:$AE734,20,FALSE)*$Q675</f>
        <v>29.2316541253894</v>
      </c>
      <c r="AG675" s="48">
        <f>VLOOKUP(B675,'Player Data'!$A1:$AE734,21,FALSE)*$Q675</f>
        <v>53.1484620461627</v>
      </c>
      <c r="AH675" s="49">
        <f>VLOOKUP(B675,'Player Data'!$A1:$AE734,22,FALSE)</f>
        <v>0.354838709677419</v>
      </c>
      <c r="AI675" s="46"/>
      <c r="AJ675" s="50"/>
      <c r="AK675" s="48"/>
      <c r="AL675" s="48"/>
      <c r="AM675" s="48"/>
      <c r="AN675" s="48"/>
      <c r="AO675" s="48"/>
      <c r="AP675" s="48"/>
      <c r="AQ675" s="51"/>
      <c r="AR675" s="52"/>
      <c r="AS675" s="46"/>
    </row>
    <row r="676" ht="21.25" customHeight="1">
      <c r="A676" s="53">
        <f>RANK(K676,K2:K730)</f>
        <v>707</v>
      </c>
      <c r="B676" t="s" s="8">
        <v>828</v>
      </c>
      <c r="C676" t="s" s="39">
        <v>106</v>
      </c>
      <c r="D676" t="s" s="40">
        <f>VLOOKUP(B676,'Player Data'!A1:D734,4,FALSE)</f>
        <v>121</v>
      </c>
      <c r="E676" s="55">
        <f>VLOOKUP(B676,'RW'!A1:F132,3,FALSE)</f>
        <v>129</v>
      </c>
      <c r="F676" t="s" s="42">
        <f>VLOOKUP(B676,'Player Data'!A1:B734,2,FALSE)</f>
        <v>115</v>
      </c>
      <c r="G676" s="9">
        <f>VLOOKUP(B676,'Player Data'!A1:D734,3,FALSE)</f>
        <v>24</v>
      </c>
      <c r="H676" s="43">
        <f>_xlfn.IFERROR(VLOOKUP(B676,'ADP'!A1:G731,7,FALSE)/1000000,VLOOKUP(B676,'ADP'!A1:G731,7,FALSE))</f>
        <v>0.8</v>
      </c>
      <c r="I676" s="44">
        <f>IF('Settings'!$E$15="POINTS",((R676*Q676)*'Settings'!$B$12)+(S676*'Settings'!$B$2)+(T676*'Settings'!$B$3)+(U676*'Settings'!$B$4)+(V676*'Settings'!$B$5)+(X676*'Settings'!$B$9)+(AA676*'Settings'!$B$6)+(W676*'Settings'!$B$8)+(AB676*'Settings'!$B$7)+(AC676*'Settings'!$B$14)+(AD676*'Settings'!$B$15)+(AE676*'Settings'!$B$16)+(AF676*'Settings'!$B$17)+(AG676*'Settings'!$B$18)+(Y676*'Settings'!$B$10)+(Z676*'Settings'!$B$11),VLOOKUP(B676,'Standard Deviations'!A1:C731,3,FALSE))</f>
        <v>104.483777904252</v>
      </c>
      <c r="J676" s="45">
        <f>IF(D676="G",I676/AJ676,I676/Q676)</f>
        <v>1.91476204525133</v>
      </c>
      <c r="K676" s="44">
        <f>IF('Settings'!$E$18="C/LW/RW",VLOOKUP(B676,'RW'!A1:F132,6,FALSE),VLOOKUP(B676,'F'!A1:F432,6,FALSE))</f>
        <v>-277.144785802104</v>
      </c>
      <c r="L676" s="44">
        <f>_xlfn.IFERROR(K676/H676,"N/A")</f>
        <v>-346.430982252630</v>
      </c>
      <c r="M676" t="s" s="61">
        <f>IF('Settings'!$E$9="YAHOO",VLOOKUP(B676,'ADP'!A1:E731,2,FALSE),IF('Settings'!$E$9="ESPN",VLOOKUP(B676,'ADP'!A1:E731,3,FALSE),IF('Settings'!$E$9="FANTRAX",VLOOKUP(B676,'ADP'!A1:E731,4,FALSE),VLOOKUP(B676,'ADP'!A1:E731,5,FALSE))))</f>
        <v>329</v>
      </c>
      <c r="N676" t="s" s="61">
        <f>_xlfn.IFERROR(M676-A676,"N/A")</f>
        <v>158</v>
      </c>
      <c r="O676" s="46"/>
      <c r="P676" t="s" s="47">
        <f>IF('Settings'!$E$27="ON",VLOOKUP(B676,'ADP'!A1:H731,8,FALSE)," ")</f>
        <v>109</v>
      </c>
      <c r="Q676" s="48">
        <f>IF('Settings'!$E$12="YES",VLOOKUP(B676,'Player Data'!A1:E734,5,FALSE),82)</f>
        <v>54.5675</v>
      </c>
      <c r="R676" s="46">
        <f>VLOOKUP(B676,'Player Data'!$A1:$AE734,6,FALSE)</f>
        <v>10.1232863745262</v>
      </c>
      <c r="S676" s="48">
        <f>VLOOKUP(B676,'Player Data'!$A1:$AE734,7,FALSE)*$Q676*_xlfn.IFERROR((VLOOKUP(P676,'Settings'!$E$28:$F$33,2,FALSE)+1),1)</f>
        <v>5.93263661354299</v>
      </c>
      <c r="T676" s="48">
        <f>VLOOKUP(B676,'Player Data'!$A1:$AE734,8,FALSE)*$Q676*_xlfn.IFERROR((VLOOKUP(P676,'Settings'!$E$28:$F$33,2,FALSE)+1),1)</f>
        <v>9.788643264392279</v>
      </c>
      <c r="U676" s="48">
        <f>SUM(S676:T676)</f>
        <v>15.7212798779353</v>
      </c>
      <c r="V676" s="48">
        <f>VLOOKUP(B676,'Player Data'!$A1:$AE734,10,FALSE)*$Q676*_xlfn.IFERROR(((VLOOKUP(P676,'Settings'!$E$28:$F$33,2,FALSE)/2)+1),1)</f>
        <v>44.8460653555586</v>
      </c>
      <c r="W676" s="48">
        <f>VLOOKUP(B676,'Player Data'!$A1:$AE734,11,FALSE)*$Q676*_xlfn.IFERROR((VLOOKUP(P676,'Settings'!$E$28:$F$33,2,FALSE)+1),1)</f>
        <v>0.0744569982576508</v>
      </c>
      <c r="X676" s="48">
        <f>VLOOKUP(B676,'Player Data'!$A1:$AE734,12,FALSE)*$Q676*_xlfn.IFERROR((VLOOKUP(P676,'Settings'!$E$28:$F$33,2,FALSE)+1),1)</f>
        <v>0.1300783656953</v>
      </c>
      <c r="Y676" s="48">
        <f>VLOOKUP(B676,'Player Data'!$A1:$AE734,13,FALSE)*$Q676</f>
        <v>0.0918496092116776</v>
      </c>
      <c r="Z676" s="48">
        <f>VLOOKUP(B676,'Player Data'!$A1:$AE734,14,FALSE)*$Q676</f>
        <v>0.166811633101849</v>
      </c>
      <c r="AA676" s="48">
        <f>VLOOKUP(B676,'Player Data'!$A1:$AE734,15,FALSE)*$Q676</f>
        <v>24.9649040694852</v>
      </c>
      <c r="AB676" s="48">
        <f>VLOOKUP(B676,'Player Data'!$A1:$AE734,16,FALSE)*$Q676</f>
        <v>52.727501485625</v>
      </c>
      <c r="AC676" s="48">
        <f>VLOOKUP(B676,'Player Data'!$A1:$AE734,17,FALSE)*$Q676*_xlfn.IFERROR((VLOOKUP(P676,'Settings'!$E$28:$F$33,2,FALSE)+1),1)</f>
        <v>2.81843359764654</v>
      </c>
      <c r="AD676" s="48">
        <f>VLOOKUP(B676,'Player Data'!$A1:$AE734,18,FALSE)*$Q676</f>
        <v>18.7934637871198</v>
      </c>
      <c r="AE676" s="48">
        <f>VLOOKUP(B676,'Player Data'!$A1:$AE734,19,FALSE)*$Q676*_xlfn.IFERROR((VLOOKUP(P676,'Settings'!$E$28:$F$33,2,FALSE)+1),1)</f>
        <v>0.953076495094769</v>
      </c>
      <c r="AF676" s="48">
        <f>VLOOKUP(B676,'Player Data'!$A1:$AE734,20,FALSE)*$Q676</f>
        <v>133.254029309009</v>
      </c>
      <c r="AG676" s="48">
        <f>VLOOKUP(B676,'Player Data'!$A1:$AE734,21,FALSE)*$Q676</f>
        <v>180.537717128335</v>
      </c>
      <c r="AH676" s="49">
        <f>VLOOKUP(B676,'Player Data'!$A1:$AE734,22,FALSE)</f>
        <v>0.424657534246575</v>
      </c>
      <c r="AI676" s="46"/>
      <c r="AJ676" s="50"/>
      <c r="AK676" s="48"/>
      <c r="AL676" s="48"/>
      <c r="AM676" s="48"/>
      <c r="AN676" s="48"/>
      <c r="AO676" s="48"/>
      <c r="AP676" s="48"/>
      <c r="AQ676" s="51"/>
      <c r="AR676" s="52"/>
      <c r="AS676" s="50"/>
    </row>
    <row r="677" ht="21.25" customHeight="1">
      <c r="A677" s="53">
        <f>RANK(K677,K2:K730)</f>
        <v>679</v>
      </c>
      <c r="B677" t="s" s="8">
        <v>829</v>
      </c>
      <c r="C677" t="s" s="39">
        <v>106</v>
      </c>
      <c r="D677" t="s" s="40">
        <f>VLOOKUP(B677,'Player Data'!A1:D734,4,FALSE)</f>
        <v>133</v>
      </c>
      <c r="E677" s="57">
        <f>VLOOKUP(B677,'LW'!A1:C156,3,FALSE)</f>
        <v>144</v>
      </c>
      <c r="F677" t="s" s="42">
        <f>VLOOKUP(B677,'Player Data'!A1:B734,2,FALSE)</f>
        <v>134</v>
      </c>
      <c r="G677" s="9">
        <f>VLOOKUP(B677,'Player Data'!A1:D734,3,FALSE)</f>
        <v>35</v>
      </c>
      <c r="H677" s="43">
        <f>_xlfn.IFERROR(VLOOKUP(B677,'ADP'!A1:G731,7,FALSE)/1000000,VLOOKUP(B677,'ADP'!A1:G731,7,FALSE))</f>
        <v>1</v>
      </c>
      <c r="I677" s="44">
        <f>IF('Settings'!$E$15="POINTS",((R677*Q677)*'Settings'!$B$12)+(S677*'Settings'!$B$2)+(T677*'Settings'!$B$3)+(U677*'Settings'!$B$4)+(V677*'Settings'!$B$5)+(X677*'Settings'!$B$9)+(AA677*'Settings'!$B$6)+(W677*'Settings'!$B$8)+(AB677*'Settings'!$B$7)+(AC677*'Settings'!$B$14)+(AD677*'Settings'!$B$15)+(AE677*'Settings'!$B$16)+(AF677*'Settings'!$B$17)+(AG677*'Settings'!$B$18)+(Y677*'Settings'!$B$10)+(Z677*'Settings'!$B$11),VLOOKUP(B677,'Standard Deviations'!A1:C731,3,FALSE))</f>
        <v>132.562939715836</v>
      </c>
      <c r="J677" s="45">
        <f>IF(D677="G",I677/AJ677,I677/Q677)</f>
        <v>1.62871599291051</v>
      </c>
      <c r="K677" s="44">
        <f>IF('Settings'!$E$18="C/LW/RW",VLOOKUP(B677,'LW'!A1:F156,6,FALSE),VLOOKUP(B677,'F'!A1:F432,6,FALSE))</f>
        <v>-249.065623990520</v>
      </c>
      <c r="L677" s="44">
        <f>_xlfn.IFERROR(K677/H677,"N/A")</f>
        <v>-249.065623990520</v>
      </c>
      <c r="M677" t="s" s="61">
        <f>IF('Settings'!$E$9="YAHOO",VLOOKUP(B677,'ADP'!A1:E731,2,FALSE),IF('Settings'!$E$9="ESPN",VLOOKUP(B677,'ADP'!A1:E731,3,FALSE),IF('Settings'!$E$9="FANTRAX",VLOOKUP(B677,'ADP'!A1:E731,4,FALSE),VLOOKUP(B677,'ADP'!A1:E731,5,FALSE))))</f>
        <v>329</v>
      </c>
      <c r="N677" t="s" s="61">
        <f>_xlfn.IFERROR(M677-A677,"N/A")</f>
        <v>158</v>
      </c>
      <c r="O677" s="46"/>
      <c r="P677" t="s" s="47">
        <f>IF('Settings'!$E$27="ON",VLOOKUP(B677,'ADP'!A1:H731,8,FALSE)," ")</f>
        <v>109</v>
      </c>
      <c r="Q677" s="48">
        <f>IF('Settings'!$E$12="YES",VLOOKUP(B677,'Player Data'!A1:E734,5,FALSE),82)</f>
        <v>81.39107142857139</v>
      </c>
      <c r="R677" s="46">
        <f>VLOOKUP(B677,'Player Data'!$A1:$AE734,6,FALSE)</f>
        <v>10.3075011365091</v>
      </c>
      <c r="S677" s="48">
        <f>VLOOKUP(B677,'Player Data'!$A1:$AE734,7,FALSE)*$Q677*_xlfn.IFERROR((VLOOKUP(P677,'Settings'!$E$28:$F$33,2,FALSE)+1),1)</f>
        <v>4.92251743242007</v>
      </c>
      <c r="T677" s="48">
        <f>VLOOKUP(B677,'Player Data'!$A1:$AE734,8,FALSE)*$Q677*_xlfn.IFERROR((VLOOKUP(P677,'Settings'!$E$28:$F$33,2,FALSE)+1),1)</f>
        <v>9.61368786602196</v>
      </c>
      <c r="U677" s="48">
        <f>SUM(S677:T677)</f>
        <v>14.536205298442</v>
      </c>
      <c r="V677" s="48">
        <f>VLOOKUP(B677,'Player Data'!$A1:$AE734,10,FALSE)*$Q677*_xlfn.IFERROR(((VLOOKUP(P677,'Settings'!$E$28:$F$33,2,FALSE)/2)+1),1)</f>
        <v>69.7579551312829</v>
      </c>
      <c r="W677" s="48">
        <f>VLOOKUP(B677,'Player Data'!$A1:$AE734,11,FALSE)*$Q677*_xlfn.IFERROR((VLOOKUP(P677,'Settings'!$E$28:$F$33,2,FALSE)+1),1)</f>
        <v>0.0685670964018254</v>
      </c>
      <c r="X677" s="48">
        <f>VLOOKUP(B677,'Player Data'!$A1:$AE734,12,FALSE)*$Q677*_xlfn.IFERROR((VLOOKUP(P677,'Settings'!$E$28:$F$33,2,FALSE)+1),1)</f>
        <v>0.169601354352719</v>
      </c>
      <c r="Y677" s="48">
        <f>VLOOKUP(B677,'Player Data'!$A1:$AE734,13,FALSE)*$Q677</f>
        <v>0.000456013003482655</v>
      </c>
      <c r="Z677" s="48">
        <f>VLOOKUP(B677,'Player Data'!$A1:$AE734,14,FALSE)*$Q677</f>
        <v>0.00090012721846747</v>
      </c>
      <c r="AA677" s="48">
        <f>VLOOKUP(B677,'Player Data'!$A1:$AE734,15,FALSE)*$Q677</f>
        <v>14.5378834035171</v>
      </c>
      <c r="AB677" s="48">
        <f>VLOOKUP(B677,'Player Data'!$A1:$AE734,16,FALSE)*$Q677</f>
        <v>157.683312600171</v>
      </c>
      <c r="AC677" s="48">
        <f>VLOOKUP(B677,'Player Data'!$A1:$AE734,17,FALSE)*$Q677*_xlfn.IFERROR((VLOOKUP(P677,'Settings'!$E$28:$F$33,2,FALSE)+1),1)</f>
        <v>1.48625303941613</v>
      </c>
      <c r="AD677" s="48">
        <f>VLOOKUP(B677,'Player Data'!$A1:$AE734,18,FALSE)*$Q677</f>
        <v>69.39099045619869</v>
      </c>
      <c r="AE677" s="48">
        <f>VLOOKUP(B677,'Player Data'!$A1:$AE734,19,FALSE)*$Q677*_xlfn.IFERROR((VLOOKUP(P677,'Settings'!$E$28:$F$33,2,FALSE)+1),1)</f>
        <v>0.790440204704796</v>
      </c>
      <c r="AF677" s="48">
        <f>VLOOKUP(B677,'Player Data'!$A1:$AE734,20,FALSE)*$Q677</f>
        <v>4.50160176210715</v>
      </c>
      <c r="AG677" s="48">
        <f>VLOOKUP(B677,'Player Data'!$A1:$AE734,21,FALSE)*$Q677</f>
        <v>10.3540803174516</v>
      </c>
      <c r="AH677" s="49">
        <f>VLOOKUP(B677,'Player Data'!$A1:$AE734,22,FALSE)</f>
        <v>0.303022219915523</v>
      </c>
      <c r="AI677" s="46"/>
      <c r="AJ677" s="50"/>
      <c r="AK677" s="48"/>
      <c r="AL677" s="48"/>
      <c r="AM677" s="48"/>
      <c r="AN677" s="48"/>
      <c r="AO677" s="48"/>
      <c r="AP677" s="48"/>
      <c r="AQ677" s="51"/>
      <c r="AR677" s="52"/>
      <c r="AS677" s="46"/>
    </row>
    <row r="678" ht="21.25" customHeight="1">
      <c r="A678" s="53">
        <f>RANK(K678,K2:K730)</f>
        <v>680</v>
      </c>
      <c r="B678" t="s" s="8">
        <v>830</v>
      </c>
      <c r="C678" t="s" s="39">
        <v>106</v>
      </c>
      <c r="D678" t="s" s="40">
        <f>VLOOKUP(B678,'Player Data'!A1:D734,4,FALSE)</f>
        <v>107</v>
      </c>
      <c r="E678" s="41">
        <f>VLOOKUP(B678,'C'!A1:C218,3,FALSE)</f>
        <v>184</v>
      </c>
      <c r="F678" t="s" s="42">
        <f>VLOOKUP(B678,'Player Data'!A1:B734,2,FALSE)</f>
        <v>173</v>
      </c>
      <c r="G678" s="9">
        <f>VLOOKUP(B678,'Player Data'!A1:D734,3,FALSE)</f>
        <v>27</v>
      </c>
      <c r="H678" s="43">
        <f>_xlfn.IFERROR(VLOOKUP(B678,'ADP'!A1:G731,7,FALSE)/1000000,VLOOKUP(B678,'ADP'!A1:G731,7,FALSE))</f>
        <v>0.775</v>
      </c>
      <c r="I678" s="44">
        <f>IF('Settings'!$E$15="POINTS",((R678*Q678)*'Settings'!$B$12)+(S678*'Settings'!$B$2)+(T678*'Settings'!$B$3)+(U678*'Settings'!$B$4)+(V678*'Settings'!$B$5)+(X678*'Settings'!$B$9)+(AA678*'Settings'!$B$6)+(W678*'Settings'!$B$8)+(AB678*'Settings'!$B$7)+(AC678*'Settings'!$B$14)+(AD678*'Settings'!$B$15)+(AE678*'Settings'!$B$16)+(AF678*'Settings'!$B$17)+(AG678*'Settings'!$B$18)+(Y678*'Settings'!$B$10)+(Z678*'Settings'!$B$11),VLOOKUP(B678,'Standard Deviations'!A1:C731,3,FALSE))</f>
        <v>146.140673368827</v>
      </c>
      <c r="J678" s="45">
        <f>IF(D678="G",I678/AJ678,I678/Q678)</f>
        <v>1.99561020367387</v>
      </c>
      <c r="K678" s="44">
        <f>IF('Settings'!$E$18="C/LW/RW",VLOOKUP(B678,'C'!A1:F218,6,FALSE),VLOOKUP(B678,'F'!A1:F432,6,FALSE))</f>
        <v>-249.633528267188</v>
      </c>
      <c r="L678" s="44">
        <f>_xlfn.IFERROR(K678/H678,"N/A")</f>
        <v>-322.107778409275</v>
      </c>
      <c r="M678" t="s" s="61">
        <f>IF('Settings'!$E$9="YAHOO",VLOOKUP(B678,'ADP'!A1:E731,2,FALSE),IF('Settings'!$E$9="ESPN",VLOOKUP(B678,'ADP'!A1:E731,3,FALSE),IF('Settings'!$E$9="FANTRAX",VLOOKUP(B678,'ADP'!A1:E731,4,FALSE),VLOOKUP(B678,'ADP'!A1:E731,5,FALSE))))</f>
        <v>329</v>
      </c>
      <c r="N678" t="s" s="61">
        <f>_xlfn.IFERROR(M678-A678,"N/A")</f>
        <v>158</v>
      </c>
      <c r="O678" s="46"/>
      <c r="P678" t="s" s="47">
        <f>IF('Settings'!$E$27="ON",VLOOKUP(B678,'ADP'!A1:H731,8,FALSE)," ")</f>
        <v>109</v>
      </c>
      <c r="Q678" s="48">
        <f>IF('Settings'!$E$12="YES",VLOOKUP(B678,'Player Data'!A1:E734,5,FALSE),82)</f>
        <v>73.2310714285714</v>
      </c>
      <c r="R678" s="46">
        <f>VLOOKUP(B678,'Player Data'!$A1:$AE734,6,FALSE)</f>
        <v>10.5581199968724</v>
      </c>
      <c r="S678" s="48">
        <f>VLOOKUP(B678,'Player Data'!$A1:$AE734,7,FALSE)*$Q678*_xlfn.IFERROR((VLOOKUP(P678,'Settings'!$E$28:$F$33,2,FALSE)+1),1)</f>
        <v>4.74759586465429</v>
      </c>
      <c r="T678" s="48">
        <f>VLOOKUP(B678,'Player Data'!$A1:$AE734,8,FALSE)*$Q678*_xlfn.IFERROR((VLOOKUP(P678,'Settings'!$E$28:$F$33,2,FALSE)+1),1)</f>
        <v>7.39811003218395</v>
      </c>
      <c r="U678" s="48">
        <f>SUM(S678:T678)</f>
        <v>12.1457058968382</v>
      </c>
      <c r="V678" s="48">
        <f>VLOOKUP(B678,'Player Data'!$A1:$AE734,10,FALSE)*$Q678*_xlfn.IFERROR(((VLOOKUP(P678,'Settings'!$E$28:$F$33,2,FALSE)/2)+1),1)</f>
        <v>87.7984648573056</v>
      </c>
      <c r="W678" s="48">
        <f>VLOOKUP(B678,'Player Data'!$A1:$AE734,11,FALSE)*$Q678*_xlfn.IFERROR((VLOOKUP(P678,'Settings'!$E$28:$F$33,2,FALSE)+1),1)</f>
        <v>0.0395400044633734</v>
      </c>
      <c r="X678" s="48">
        <f>VLOOKUP(B678,'Player Data'!$A1:$AE734,12,FALSE)*$Q678*_xlfn.IFERROR((VLOOKUP(P678,'Settings'!$E$28:$F$33,2,FALSE)+1),1)</f>
        <v>0.10183276445195</v>
      </c>
      <c r="Y678" s="48">
        <f>VLOOKUP(B678,'Player Data'!$A1:$AE734,13,FALSE)*$Q678</f>
        <v>0.0120648412612836</v>
      </c>
      <c r="Z678" s="48">
        <f>VLOOKUP(B678,'Player Data'!$A1:$AE734,14,FALSE)*$Q678</f>
        <v>0.0224459207471236</v>
      </c>
      <c r="AA678" s="48">
        <f>VLOOKUP(B678,'Player Data'!$A1:$AE734,15,FALSE)*$Q678</f>
        <v>33.3276106424954</v>
      </c>
      <c r="AB678" s="48">
        <f>VLOOKUP(B678,'Player Data'!$A1:$AE734,16,FALSE)*$Q678</f>
        <v>167.896929159744</v>
      </c>
      <c r="AC678" s="48">
        <f>VLOOKUP(B678,'Player Data'!$A1:$AE734,17,FALSE)*$Q678*_xlfn.IFERROR((VLOOKUP(P678,'Settings'!$E$28:$F$33,2,FALSE)+1),1)</f>
        <v>-0.16485762761682</v>
      </c>
      <c r="AD678" s="48">
        <f>VLOOKUP(B678,'Player Data'!$A1:$AE734,18,FALSE)*$Q678</f>
        <v>73.0173432812034</v>
      </c>
      <c r="AE678" s="48">
        <f>VLOOKUP(B678,'Player Data'!$A1:$AE734,19,FALSE)*$Q678*_xlfn.IFERROR((VLOOKUP(P678,'Settings'!$E$28:$F$33,2,FALSE)+1),1)</f>
        <v>0.7139715155759609</v>
      </c>
      <c r="AF678" s="48">
        <f>VLOOKUP(B678,'Player Data'!$A1:$AE734,20,FALSE)*$Q678</f>
        <v>16.7091315426081</v>
      </c>
      <c r="AG678" s="48">
        <f>VLOOKUP(B678,'Player Data'!$A1:$AE734,21,FALSE)*$Q678</f>
        <v>17.4091127812436</v>
      </c>
      <c r="AH678" s="49">
        <f>VLOOKUP(B678,'Player Data'!$A1:$AE734,22,FALSE)</f>
        <v>0.489741833841284</v>
      </c>
      <c r="AI678" s="46"/>
      <c r="AJ678" s="50"/>
      <c r="AK678" s="48"/>
      <c r="AL678" s="48"/>
      <c r="AM678" s="48"/>
      <c r="AN678" s="48"/>
      <c r="AO678" s="48"/>
      <c r="AP678" s="48"/>
      <c r="AQ678" s="51"/>
      <c r="AR678" s="52"/>
      <c r="AS678" s="46"/>
    </row>
    <row r="679" ht="21.25" customHeight="1">
      <c r="A679" s="53">
        <f>RANK(K679,K2:K730)</f>
        <v>714</v>
      </c>
      <c r="B679" t="s" s="8">
        <v>831</v>
      </c>
      <c r="C679" t="s" s="39">
        <v>106</v>
      </c>
      <c r="D679" t="s" s="40">
        <f>VLOOKUP(B679,'Player Data'!A1:D734,4,FALSE)</f>
        <v>107</v>
      </c>
      <c r="E679" s="41">
        <f>VLOOKUP(B679,'C'!A1:C218,3,FALSE)</f>
        <v>205</v>
      </c>
      <c r="F679" t="s" s="42">
        <f>VLOOKUP(B679,'Player Data'!A1:B734,2,FALSE)</f>
        <v>170</v>
      </c>
      <c r="G679" s="9">
        <f>VLOOKUP(B679,'Player Data'!A1:D734,3,FALSE)</f>
        <v>29</v>
      </c>
      <c r="H679" s="43">
        <f>_xlfn.IFERROR(VLOOKUP(B679,'ADP'!A1:G731,7,FALSE)/1000000,VLOOKUP(B679,'ADP'!A1:G731,7,FALSE))</f>
        <v>1.115</v>
      </c>
      <c r="I679" s="44">
        <f>IF('Settings'!$E$15="POINTS",((R679*Q679)*'Settings'!$B$12)+(S679*'Settings'!$B$2)+(T679*'Settings'!$B$3)+(U679*'Settings'!$B$4)+(V679*'Settings'!$B$5)+(X679*'Settings'!$B$9)+(AA679*'Settings'!$B$6)+(W679*'Settings'!$B$8)+(AB679*'Settings'!$B$7)+(AC679*'Settings'!$B$14)+(AD679*'Settings'!$B$15)+(AE679*'Settings'!$B$16)+(AF679*'Settings'!$B$17)+(AG679*'Settings'!$B$18)+(Y679*'Settings'!$B$10)+(Z679*'Settings'!$B$11),VLOOKUP(B679,'Standard Deviations'!A1:C731,3,FALSE))</f>
        <v>108.551089449378</v>
      </c>
      <c r="J679" s="45">
        <f>IF(D679="G",I679/AJ679,I679/Q679)</f>
        <v>1.97365617180687</v>
      </c>
      <c r="K679" s="44">
        <f>IF('Settings'!$E$18="C/LW/RW",VLOOKUP(B679,'C'!A1:F218,6,FALSE),VLOOKUP(B679,'F'!A1:F432,6,FALSE))</f>
        <v>-287.223112186637</v>
      </c>
      <c r="L679" s="44">
        <f>_xlfn.IFERROR(K679/H679,"N/A")</f>
        <v>-257.599203754831</v>
      </c>
      <c r="M679" t="s" s="61">
        <f>IF('Settings'!$E$9="YAHOO",VLOOKUP(B679,'ADP'!A1:E731,2,FALSE),IF('Settings'!$E$9="ESPN",VLOOKUP(B679,'ADP'!A1:E731,3,FALSE),IF('Settings'!$E$9="FANTRAX",VLOOKUP(B679,'ADP'!A1:E731,4,FALSE),VLOOKUP(B679,'ADP'!A1:E731,5,FALSE))))</f>
        <v>329</v>
      </c>
      <c r="N679" t="s" s="61">
        <f>_xlfn.IFERROR(M679-A679,"N/A")</f>
        <v>158</v>
      </c>
      <c r="O679" s="46"/>
      <c r="P679" t="s" s="47">
        <f>IF('Settings'!$E$27="ON",VLOOKUP(B679,'ADP'!A1:H731,8,FALSE)," ")</f>
        <v>109</v>
      </c>
      <c r="Q679" s="48">
        <f>IF('Settings'!$E$12="YES",VLOOKUP(B679,'Player Data'!A1:E734,5,FALSE),82)</f>
        <v>55</v>
      </c>
      <c r="R679" s="46">
        <f>VLOOKUP(B679,'Player Data'!$A1:$AE734,6,FALSE)</f>
        <v>11.0089701779689</v>
      </c>
      <c r="S679" s="48">
        <f>VLOOKUP(B679,'Player Data'!$A1:$AE734,7,FALSE)*$Q679*_xlfn.IFERROR((VLOOKUP(P679,'Settings'!$E$28:$F$33,2,FALSE)+1),1)</f>
        <v>6.2509310822535</v>
      </c>
      <c r="T679" s="48">
        <f>VLOOKUP(B679,'Player Data'!$A1:$AE734,8,FALSE)*$Q679*_xlfn.IFERROR((VLOOKUP(P679,'Settings'!$E$28:$F$33,2,FALSE)+1),1)</f>
        <v>10.4856837865039</v>
      </c>
      <c r="U679" s="48">
        <f>SUM(S679:T679)</f>
        <v>16.7366148687574</v>
      </c>
      <c r="V679" s="48">
        <f>VLOOKUP(B679,'Player Data'!$A1:$AE734,10,FALSE)*$Q679*_xlfn.IFERROR(((VLOOKUP(P679,'Settings'!$E$28:$F$33,2,FALSE)/2)+1),1)</f>
        <v>66.67018571933779</v>
      </c>
      <c r="W679" s="48">
        <f>VLOOKUP(B679,'Player Data'!$A1:$AE734,11,FALSE)*$Q679*_xlfn.IFERROR((VLOOKUP(P679,'Settings'!$E$28:$F$33,2,FALSE)+1),1)</f>
        <v>0.0557825471793029</v>
      </c>
      <c r="X679" s="48">
        <f>VLOOKUP(B679,'Player Data'!$A1:$AE734,12,FALSE)*$Q679*_xlfn.IFERROR((VLOOKUP(P679,'Settings'!$E$28:$F$33,2,FALSE)+1),1)</f>
        <v>0.111615475087485</v>
      </c>
      <c r="Y679" s="48">
        <f>VLOOKUP(B679,'Player Data'!$A1:$AE734,13,FALSE)*$Q679</f>
        <v>0.06290747309964149</v>
      </c>
      <c r="Z679" s="48">
        <f>VLOOKUP(B679,'Player Data'!$A1:$AE734,14,FALSE)*$Q679</f>
        <v>0.420492583409985</v>
      </c>
      <c r="AA679" s="48">
        <f>VLOOKUP(B679,'Player Data'!$A1:$AE734,15,FALSE)*$Q679</f>
        <v>13.9747910591794</v>
      </c>
      <c r="AB679" s="48">
        <f>VLOOKUP(B679,'Player Data'!$A1:$AE734,16,FALSE)*$Q679</f>
        <v>31.2054986545888</v>
      </c>
      <c r="AC679" s="48">
        <f>VLOOKUP(B679,'Player Data'!$A1:$AE734,17,FALSE)*$Q679*_xlfn.IFERROR((VLOOKUP(P679,'Settings'!$E$28:$F$33,2,FALSE)+1),1)</f>
        <v>0.484779280100592</v>
      </c>
      <c r="AD679" s="48">
        <f>VLOOKUP(B679,'Player Data'!$A1:$AE734,18,FALSE)*$Q679</f>
        <v>15.0462290506984</v>
      </c>
      <c r="AE679" s="48">
        <f>VLOOKUP(B679,'Player Data'!$A1:$AE734,19,FALSE)*$Q679*_xlfn.IFERROR((VLOOKUP(P679,'Settings'!$E$28:$F$33,2,FALSE)+1),1)</f>
        <v>1.00339960377841</v>
      </c>
      <c r="AF679" s="48">
        <f>VLOOKUP(B679,'Player Data'!$A1:$AE734,20,FALSE)*$Q679</f>
        <v>4.98620144626261</v>
      </c>
      <c r="AG679" s="48">
        <f>VLOOKUP(B679,'Player Data'!$A1:$AE734,21,FALSE)*$Q679</f>
        <v>9.745089236555639</v>
      </c>
      <c r="AH679" s="49">
        <f>VLOOKUP(B679,'Player Data'!$A1:$AE734,22,FALSE)</f>
        <v>0.338476889338572</v>
      </c>
      <c r="AI679" s="46"/>
      <c r="AJ679" s="48"/>
      <c r="AK679" s="48"/>
      <c r="AL679" s="48"/>
      <c r="AM679" s="48"/>
      <c r="AN679" s="48"/>
      <c r="AO679" s="48"/>
      <c r="AP679" s="48"/>
      <c r="AQ679" s="51"/>
      <c r="AR679" s="52"/>
      <c r="AS679" s="46"/>
    </row>
    <row r="680" ht="21.25" customHeight="1">
      <c r="A680" s="53">
        <f>RANK(K680,K2:K730)</f>
        <v>698</v>
      </c>
      <c r="B680" t="s" s="8">
        <v>832</v>
      </c>
      <c r="C680" t="s" s="39">
        <v>106</v>
      </c>
      <c r="D680" t="s" s="40">
        <f>VLOOKUP(B680,'Player Data'!A1:D734,4,FALSE)</f>
        <v>107</v>
      </c>
      <c r="E680" s="41">
        <f>VLOOKUP(B680,'C'!A1:C218,3,FALSE)</f>
        <v>194</v>
      </c>
      <c r="F680" t="s" s="42">
        <f>VLOOKUP(B680,'Player Data'!A1:B734,2,FALSE)</f>
        <v>204</v>
      </c>
      <c r="G680" s="9">
        <f>VLOOKUP(B680,'Player Data'!A1:D734,3,FALSE)</f>
        <v>23</v>
      </c>
      <c r="H680" s="43">
        <f>_xlfn.IFERROR(VLOOKUP(B680,'ADP'!A1:G731,7,FALSE)/1000000,VLOOKUP(B680,'ADP'!A1:G731,7,FALSE))</f>
        <v>0.775</v>
      </c>
      <c r="I680" s="44">
        <f>IF('Settings'!$E$15="POINTS",((R680*Q680)*'Settings'!$B$12)+(S680*'Settings'!$B$2)+(T680*'Settings'!$B$3)+(U680*'Settings'!$B$4)+(V680*'Settings'!$B$5)+(X680*'Settings'!$B$9)+(AA680*'Settings'!$B$6)+(W680*'Settings'!$B$8)+(AB680*'Settings'!$B$7)+(AC680*'Settings'!$B$14)+(AD680*'Settings'!$B$15)+(AE680*'Settings'!$B$16)+(AF680*'Settings'!$B$17)+(AG680*'Settings'!$B$18)+(Y680*'Settings'!$B$10)+(Z680*'Settings'!$B$11),VLOOKUP(B680,'Standard Deviations'!A1:C731,3,FALSE))</f>
        <v>129.508507985598</v>
      </c>
      <c r="J680" s="45">
        <f>IF(D680="G",I680/AJ680,I680/Q680)</f>
        <v>2.08527934558776</v>
      </c>
      <c r="K680" s="44">
        <f>IF('Settings'!$E$18="C/LW/RW",VLOOKUP(B680,'C'!A1:F218,6,FALSE),VLOOKUP(B680,'F'!A1:F432,6,FALSE))</f>
        <v>-266.265693650417</v>
      </c>
      <c r="L680" s="44">
        <f>_xlfn.IFERROR(K680/H680,"N/A")</f>
        <v>-343.568636968280</v>
      </c>
      <c r="M680" t="s" s="61">
        <f>IF('Settings'!$E$9="YAHOO",VLOOKUP(B680,'ADP'!A1:E731,2,FALSE),IF('Settings'!$E$9="ESPN",VLOOKUP(B680,'ADP'!A1:E731,3,FALSE),IF('Settings'!$E$9="FANTRAX",VLOOKUP(B680,'ADP'!A1:E731,4,FALSE),VLOOKUP(B680,'ADP'!A1:E731,5,FALSE))))</f>
        <v>329</v>
      </c>
      <c r="N680" t="s" s="61">
        <f>_xlfn.IFERROR(M680-A680,"N/A")</f>
        <v>158</v>
      </c>
      <c r="O680" s="46"/>
      <c r="P680" t="s" s="47">
        <f>IF('Settings'!$E$27="ON",VLOOKUP(B680,'ADP'!A1:H731,8,FALSE)," ")</f>
        <v>109</v>
      </c>
      <c r="Q680" s="48">
        <f>IF('Settings'!$E$12="YES",VLOOKUP(B680,'Player Data'!A1:E734,5,FALSE),82)</f>
        <v>62.1060714285714</v>
      </c>
      <c r="R680" s="46">
        <f>VLOOKUP(B680,'Player Data'!$A1:$AE734,6,FALSE)</f>
        <v>10.404411525343</v>
      </c>
      <c r="S680" s="48">
        <f>VLOOKUP(B680,'Player Data'!$A1:$AE734,7,FALSE)*$Q680*_xlfn.IFERROR((VLOOKUP(P680,'Settings'!$E$28:$F$33,2,FALSE)+1),1)</f>
        <v>8.23277616721613</v>
      </c>
      <c r="T680" s="48">
        <f>VLOOKUP(B680,'Player Data'!$A1:$AE734,8,FALSE)*$Q680*_xlfn.IFERROR((VLOOKUP(P680,'Settings'!$E$28:$F$33,2,FALSE)+1),1)</f>
        <v>6.82274737561456</v>
      </c>
      <c r="U680" s="48">
        <f>SUM(S680:T680)</f>
        <v>15.0555235428307</v>
      </c>
      <c r="V680" s="48">
        <f>VLOOKUP(B680,'Player Data'!$A1:$AE734,10,FALSE)*$Q680*_xlfn.IFERROR(((VLOOKUP(P680,'Settings'!$E$28:$F$33,2,FALSE)/2)+1),1)</f>
        <v>66.76078003669301</v>
      </c>
      <c r="W680" s="48">
        <f>VLOOKUP(B680,'Player Data'!$A1:$AE734,11,FALSE)*$Q680*_xlfn.IFERROR((VLOOKUP(P680,'Settings'!$E$28:$F$33,2,FALSE)+1),1)</f>
        <v>0.150142112620259</v>
      </c>
      <c r="X680" s="48">
        <f>VLOOKUP(B680,'Player Data'!$A1:$AE734,12,FALSE)*$Q680*_xlfn.IFERROR((VLOOKUP(P680,'Settings'!$E$28:$F$33,2,FALSE)+1),1)</f>
        <v>0.440623157219148</v>
      </c>
      <c r="Y680" s="48">
        <f>VLOOKUP(B680,'Player Data'!$A1:$AE734,13,FALSE)*$Q680</f>
        <v>0.044511409335686</v>
      </c>
      <c r="Z680" s="48">
        <f>VLOOKUP(B680,'Player Data'!$A1:$AE734,14,FALSE)*$Q680</f>
        <v>0.082532034197668</v>
      </c>
      <c r="AA680" s="48">
        <f>VLOOKUP(B680,'Player Data'!$A1:$AE734,15,FALSE)*$Q680</f>
        <v>33.8134301949978</v>
      </c>
      <c r="AB680" s="48">
        <f>VLOOKUP(B680,'Player Data'!$A1:$AE734,16,FALSE)*$Q680</f>
        <v>86.1624156881624</v>
      </c>
      <c r="AC680" s="48">
        <f>VLOOKUP(B680,'Player Data'!$A1:$AE734,17,FALSE)*$Q680*_xlfn.IFERROR((VLOOKUP(P680,'Settings'!$E$28:$F$33,2,FALSE)+1),1)</f>
        <v>-0.651006998978077</v>
      </c>
      <c r="AD680" s="48">
        <f>VLOOKUP(B680,'Player Data'!$A1:$AE734,18,FALSE)*$Q680</f>
        <v>10.488470727737</v>
      </c>
      <c r="AE680" s="48">
        <f>VLOOKUP(B680,'Player Data'!$A1:$AE734,19,FALSE)*$Q680*_xlfn.IFERROR((VLOOKUP(P680,'Settings'!$E$28:$F$33,2,FALSE)+1),1)</f>
        <v>1.21895353072862</v>
      </c>
      <c r="AF680" s="48">
        <f>VLOOKUP(B680,'Player Data'!$A1:$AE734,20,FALSE)*$Q680</f>
        <v>60.2410464567403</v>
      </c>
      <c r="AG680" s="48">
        <f>VLOOKUP(B680,'Player Data'!$A1:$AE734,21,FALSE)*$Q680</f>
        <v>51.7393895049442</v>
      </c>
      <c r="AH680" s="49">
        <f>VLOOKUP(B680,'Player Data'!$A1:$AE734,22,FALSE)</f>
        <v>0.537960456568972</v>
      </c>
      <c r="AI680" s="46"/>
      <c r="AJ680" s="50"/>
      <c r="AK680" s="48"/>
      <c r="AL680" s="48"/>
      <c r="AM680" s="48"/>
      <c r="AN680" s="48"/>
      <c r="AO680" s="48"/>
      <c r="AP680" s="48"/>
      <c r="AQ680" s="51"/>
      <c r="AR680" s="52"/>
      <c r="AS680" s="46"/>
    </row>
    <row r="681" ht="21.25" customHeight="1">
      <c r="A681" s="53">
        <f>RANK(K681,K2:K730)</f>
        <v>659</v>
      </c>
      <c r="B681" t="s" s="8">
        <v>833</v>
      </c>
      <c r="C681" t="s" s="39">
        <v>106</v>
      </c>
      <c r="D681" t="s" s="40">
        <f>VLOOKUP(B681,'Player Data'!A1:D734,4,FALSE)</f>
        <v>133</v>
      </c>
      <c r="E681" s="57">
        <f>VLOOKUP(B681,'LW'!A1:C156,3,FALSE)</f>
        <v>140</v>
      </c>
      <c r="F681" t="s" s="42">
        <f>VLOOKUP(B681,'Player Data'!A1:B734,2,FALSE)</f>
        <v>173</v>
      </c>
      <c r="G681" s="9">
        <f>VLOOKUP(B681,'Player Data'!A1:D734,3,FALSE)</f>
        <v>24</v>
      </c>
      <c r="H681" s="43">
        <f>_xlfn.IFERROR(VLOOKUP(B681,'ADP'!A1:G731,7,FALSE)/1000000,VLOOKUP(B681,'ADP'!A1:G731,7,FALSE))</f>
        <v>0.7625</v>
      </c>
      <c r="I681" s="44">
        <f>IF('Settings'!$E$15="POINTS",((R681*Q681)*'Settings'!$B$12)+(S681*'Settings'!$B$2)+(T681*'Settings'!$B$3)+(U681*'Settings'!$B$4)+(V681*'Settings'!$B$5)+(X681*'Settings'!$B$9)+(AA681*'Settings'!$B$6)+(W681*'Settings'!$B$8)+(AB681*'Settings'!$B$7)+(AC681*'Settings'!$B$14)+(AD681*'Settings'!$B$15)+(AE681*'Settings'!$B$16)+(AF681*'Settings'!$B$17)+(AG681*'Settings'!$B$18)+(Y681*'Settings'!$B$10)+(Z681*'Settings'!$B$11),VLOOKUP(B681,'Standard Deviations'!A1:C731,3,FALSE))</f>
        <v>143.922123350180</v>
      </c>
      <c r="J681" s="45">
        <f>IF(D681="G",I681/AJ681,I681/Q681)</f>
        <v>2.13217960518785</v>
      </c>
      <c r="K681" s="44">
        <f>IF('Settings'!$E$18="C/LW/RW",VLOOKUP(B681,'LW'!A1:F156,6,FALSE),VLOOKUP(B681,'F'!A1:F432,6,FALSE))</f>
        <v>-237.706440356176</v>
      </c>
      <c r="L681" s="44">
        <f>_xlfn.IFERROR(K681/H681,"N/A")</f>
        <v>-311.746151286788</v>
      </c>
      <c r="M681" t="s" s="61">
        <f>IF('Settings'!$E$9="YAHOO",VLOOKUP(B681,'ADP'!A1:E731,2,FALSE),IF('Settings'!$E$9="ESPN",VLOOKUP(B681,'ADP'!A1:E731,3,FALSE),IF('Settings'!$E$9="FANTRAX",VLOOKUP(B681,'ADP'!A1:E731,4,FALSE),VLOOKUP(B681,'ADP'!A1:E731,5,FALSE))))</f>
        <v>329</v>
      </c>
      <c r="N681" t="s" s="61">
        <f>_xlfn.IFERROR(M681-A681,"N/A")</f>
        <v>158</v>
      </c>
      <c r="O681" s="46"/>
      <c r="P681" t="s" s="47">
        <f>IF('Settings'!$E$27="ON",VLOOKUP(B681,'ADP'!A1:H731,8,FALSE)," ")</f>
        <v>109</v>
      </c>
      <c r="Q681" s="48">
        <f>IF('Settings'!$E$12="YES",VLOOKUP(B681,'Player Data'!A1:E734,5,FALSE),82)</f>
        <v>67.5</v>
      </c>
      <c r="R681" s="46">
        <f>VLOOKUP(B681,'Player Data'!$A1:$AE734,6,FALSE)</f>
        <v>10.4975796680987</v>
      </c>
      <c r="S681" s="48">
        <f>VLOOKUP(B681,'Player Data'!$A1:$AE734,7,FALSE)*$Q681*_xlfn.IFERROR((VLOOKUP(P681,'Settings'!$E$28:$F$33,2,FALSE)+1),1)</f>
        <v>5.47344790221815</v>
      </c>
      <c r="T681" s="48">
        <f>VLOOKUP(B681,'Player Data'!$A1:$AE734,8,FALSE)*$Q681*_xlfn.IFERROR((VLOOKUP(P681,'Settings'!$E$28:$F$33,2,FALSE)+1),1)</f>
        <v>6.64540840208135</v>
      </c>
      <c r="U681" s="48">
        <f>SUM(S681:T681)</f>
        <v>12.1188563042995</v>
      </c>
      <c r="V681" s="48">
        <f>VLOOKUP(B681,'Player Data'!$A1:$AE734,10,FALSE)*$Q681*_xlfn.IFERROR(((VLOOKUP(P681,'Settings'!$E$28:$F$33,2,FALSE)/2)+1),1)</f>
        <v>71.9017925355198</v>
      </c>
      <c r="W681" s="48">
        <f>VLOOKUP(B681,'Player Data'!$A1:$AE734,11,FALSE)*$Q681*_xlfn.IFERROR((VLOOKUP(P681,'Settings'!$E$28:$F$33,2,FALSE)+1),1)</f>
        <v>0.0631399443690733</v>
      </c>
      <c r="X681" s="48">
        <f>VLOOKUP(B681,'Player Data'!$A1:$AE734,12,FALSE)*$Q681*_xlfn.IFERROR((VLOOKUP(P681,'Settings'!$E$28:$F$33,2,FALSE)+1),1)</f>
        <v>0.160928083261266</v>
      </c>
      <c r="Y681" s="48">
        <f>VLOOKUP(B681,'Player Data'!$A1:$AE734,13,FALSE)*$Q681</f>
        <v>0.137998740555326</v>
      </c>
      <c r="Z681" s="48">
        <f>VLOOKUP(B681,'Player Data'!$A1:$AE734,14,FALSE)*$Q681</f>
        <v>1.21176988653643</v>
      </c>
      <c r="AA681" s="48">
        <f>VLOOKUP(B681,'Player Data'!$A1:$AE734,15,FALSE)*$Q681</f>
        <v>34.4229184860361</v>
      </c>
      <c r="AB681" s="48">
        <f>VLOOKUP(B681,'Player Data'!$A1:$AE734,16,FALSE)*$Q681</f>
        <v>175.077949200415</v>
      </c>
      <c r="AC681" s="48">
        <f>VLOOKUP(B681,'Player Data'!$A1:$AE734,17,FALSE)*$Q681*_xlfn.IFERROR((VLOOKUP(P681,'Settings'!$E$28:$F$33,2,FALSE)+1),1)</f>
        <v>-0.38695338314376</v>
      </c>
      <c r="AD681" s="48">
        <f>VLOOKUP(B681,'Player Data'!$A1:$AE734,18,FALSE)*$Q681</f>
        <v>35.4691259377992</v>
      </c>
      <c r="AE681" s="48">
        <f>VLOOKUP(B681,'Player Data'!$A1:$AE734,19,FALSE)*$Q681*_xlfn.IFERROR((VLOOKUP(P681,'Settings'!$E$28:$F$33,2,FALSE)+1),1)</f>
        <v>0.823129433418472</v>
      </c>
      <c r="AF681" s="48">
        <f>VLOOKUP(B681,'Player Data'!$A1:$AE734,20,FALSE)*$Q681</f>
        <v>4.16155591297478</v>
      </c>
      <c r="AG681" s="48">
        <f>VLOOKUP(B681,'Player Data'!$A1:$AE734,21,FALSE)*$Q681</f>
        <v>9.194421414916601</v>
      </c>
      <c r="AH681" s="49">
        <f>VLOOKUP(B681,'Player Data'!$A1:$AE734,22,FALSE)</f>
        <v>0.311587524507411</v>
      </c>
      <c r="AI681" s="46"/>
      <c r="AJ681" s="50"/>
      <c r="AK681" s="48"/>
      <c r="AL681" s="48"/>
      <c r="AM681" s="48"/>
      <c r="AN681" s="48"/>
      <c r="AO681" s="48"/>
      <c r="AP681" s="48"/>
      <c r="AQ681" s="51"/>
      <c r="AR681" s="52"/>
      <c r="AS681" s="46"/>
    </row>
    <row r="682" ht="21.25" customHeight="1">
      <c r="A682" s="53">
        <f>RANK(K682,K2:K730)</f>
        <v>431</v>
      </c>
      <c r="B682" t="s" s="8">
        <v>834</v>
      </c>
      <c r="C682" t="s" s="39">
        <v>106</v>
      </c>
      <c r="D682" t="s" s="40">
        <f>VLOOKUP(B682,'Player Data'!A1:D734,4,FALSE)</f>
        <v>146</v>
      </c>
      <c r="E682" s="58">
        <f>VLOOKUP(B682,'G'!A1:D75,3,FALSE)</f>
        <v>55</v>
      </c>
      <c r="F682" t="s" s="42">
        <f>VLOOKUP(B682,'Player Data'!A1:B734,2,FALSE)</f>
        <v>194</v>
      </c>
      <c r="G682" s="9">
        <f>VLOOKUP(B682,'Player Data'!A1:D734,3,FALSE)</f>
        <v>23</v>
      </c>
      <c r="H682" s="43">
        <f>_xlfn.IFERROR(VLOOKUP(B682,'ADP'!A1:G731,7,FALSE)/1000000,VLOOKUP(B682,'ADP'!A1:G731,7,FALSE))</f>
        <v>0</v>
      </c>
      <c r="I682" s="44">
        <f>IF('Settings'!$E$15="POINTS",(AJ682*'Settings'!$B$29)+(AK682*'Settings'!$B$21)+(AL682*'Settings'!$B$22)+(AN682*'Settings'!$B$24)+(AO682*'Settings'!$B$25)+(AP682*'Settings'!$B$27)+(AM682*'Settings'!$B$23),VLOOKUP(B682,'Standard Deviations'!A1:C731,3,FALSE))</f>
        <v>102.575611205235</v>
      </c>
      <c r="J682" s="45">
        <f>IF(D682="G",I682/AJ682,I682/Q682)</f>
        <v>5.12878056026175</v>
      </c>
      <c r="K682" s="44">
        <f>VLOOKUP(B682,'G'!A1:F75,6,FALSE)</f>
        <v>-162.727610294453</v>
      </c>
      <c r="L682" t="s" s="60">
        <f>_xlfn.IFERROR(K682/H682,"N/A")</f>
        <v>158</v>
      </c>
      <c r="M682" s="46">
        <f>IF('Settings'!$E$9="YAHOO",VLOOKUP(B682,'ADP'!A1:E731,2,FALSE),IF('Settings'!$E$9="ESPN",VLOOKUP(B682,'ADP'!A1:E731,3,FALSE),IF('Settings'!$E$9="FANTRAX",VLOOKUP(B682,'ADP'!A1:E731,4,FALSE),VLOOKUP(B682,'ADP'!A1:E731,5,FALSE))))</f>
        <v>416.73</v>
      </c>
      <c r="N682" s="46">
        <f>_xlfn.IFERROR(M682-A682,"N/A")</f>
        <v>-14.27</v>
      </c>
      <c r="O682" s="46"/>
      <c r="P682" t="s" s="47">
        <f>IF('Settings'!$E$27="ON",VLOOKUP(B682,'ADP'!A1:H731,8,FALSE)," ")</f>
        <v>109</v>
      </c>
      <c r="Q682" s="48"/>
      <c r="R682" s="59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9"/>
      <c r="AI682" s="46"/>
      <c r="AJ682" s="50">
        <f>VLOOKUP(B682,'Player Data'!$A1:$AE734,24,FALSE)</f>
        <v>20</v>
      </c>
      <c r="AK682" s="48">
        <f>VLOOKUP(B682,'Player Data'!$A1:$AE734,25,FALSE)*$AJ682*_xlfn.IFERROR((VLOOKUP(P682,'Settings'!$E$28:$F$33,2,FALSE)+1),1)</f>
        <v>7.99785683583124</v>
      </c>
      <c r="AL682" s="48">
        <f>AJ682-AK682-AM682</f>
        <v>9.502143164168761</v>
      </c>
      <c r="AM682" s="48">
        <f>VLOOKUP(B682,'Player Data'!$A1:$AE734,27,FALSE)*$AJ682</f>
        <v>2.5</v>
      </c>
      <c r="AN682" s="48">
        <f>VLOOKUP(B682,'Player Data'!$A1:$AE734,28,FALSE)*AJ682</f>
        <v>0.65689420487998</v>
      </c>
      <c r="AO682" s="48">
        <f>VLOOKUP(B682,'Player Data'!$A1:$AE734,29,FALSE)*$AJ682*_xlfn.IFERROR((VLOOKUP(P682,'Settings'!$E$28:$F$33,2,FALSE)/4)+1,1)</f>
        <v>566.830996955890</v>
      </c>
      <c r="AP682" s="48">
        <f>VLOOKUP(B682,'Player Data'!$A1:$AE734,31,FALSE)*$AJ682*(_xlfn.IFERROR(1-(VLOOKUP(P682,'Settings'!$E$28:$F$33,2,FALSE)/4),1))</f>
        <v>62.2919606691102</v>
      </c>
      <c r="AQ682" s="51">
        <f>1-(AP682/(AO682+AP682))</f>
        <v>0.90098603156326</v>
      </c>
      <c r="AR682" s="52">
        <f>AP682/AJ682</f>
        <v>3.11459803345551</v>
      </c>
      <c r="AS682" s="46"/>
    </row>
    <row r="683" ht="21.25" customHeight="1">
      <c r="A683" s="53">
        <f>RANK(K683,K2:K730)</f>
        <v>709</v>
      </c>
      <c r="B683" t="s" s="8">
        <v>835</v>
      </c>
      <c r="C683" t="s" s="39">
        <v>106</v>
      </c>
      <c r="D683" t="s" s="40">
        <f>VLOOKUP(B683,'Player Data'!A1:D734,4,FALSE)</f>
        <v>107</v>
      </c>
      <c r="E683" s="41">
        <f>VLOOKUP(B683,'C'!A1:C218,3,FALSE)</f>
        <v>201</v>
      </c>
      <c r="F683" t="s" s="42">
        <f>VLOOKUP(B683,'Player Data'!A1:B734,2,FALSE)</f>
        <v>156</v>
      </c>
      <c r="G683" s="9">
        <f>VLOOKUP(B683,'Player Data'!A1:D734,3,FALSE)</f>
        <v>23</v>
      </c>
      <c r="H683" s="43">
        <f>_xlfn.IFERROR(VLOOKUP(B683,'ADP'!A1:G731,7,FALSE)/1000000,VLOOKUP(B683,'ADP'!A1:G731,7,FALSE))</f>
        <v>0.88375</v>
      </c>
      <c r="I683" s="44">
        <f>IF('Settings'!$E$15="POINTS",((R683*Q683)*'Settings'!$B$12)+(S683*'Settings'!$B$2)+(T683*'Settings'!$B$3)+(U683*'Settings'!$B$4)+(V683*'Settings'!$B$5)+(X683*'Settings'!$B$9)+(AA683*'Settings'!$B$6)+(W683*'Settings'!$B$8)+(AB683*'Settings'!$B$7)+(AC683*'Settings'!$B$14)+(AD683*'Settings'!$B$15)+(AE683*'Settings'!$B$16)+(AF683*'Settings'!$B$17)+(AG683*'Settings'!$B$18)+(Y683*'Settings'!$B$10)+(Z683*'Settings'!$B$11),VLOOKUP(B683,'Standard Deviations'!A1:C731,3,FALSE))</f>
        <v>114.569578799826</v>
      </c>
      <c r="J683" s="45">
        <f>IF(D683="G",I683/AJ683,I683/Q683)</f>
        <v>1.90726783419054</v>
      </c>
      <c r="K683" s="44">
        <f>IF('Settings'!$E$18="C/LW/RW",VLOOKUP(B683,'C'!A1:F218,6,FALSE),VLOOKUP(B683,'F'!A1:F432,6,FALSE))</f>
        <v>-281.204622836189</v>
      </c>
      <c r="L683" s="44">
        <f>_xlfn.IFERROR(K683/H683,"N/A")</f>
        <v>-318.194764171077</v>
      </c>
      <c r="M683" t="s" s="61">
        <f>IF('Settings'!$E$9="YAHOO",VLOOKUP(B683,'ADP'!A1:E731,2,FALSE),IF('Settings'!$E$9="ESPN",VLOOKUP(B683,'ADP'!A1:E731,3,FALSE),IF('Settings'!$E$9="FANTRAX",VLOOKUP(B683,'ADP'!A1:E731,4,FALSE),VLOOKUP(B683,'ADP'!A1:E731,5,FALSE))))</f>
        <v>329</v>
      </c>
      <c r="N683" t="s" s="61">
        <f>_xlfn.IFERROR(M683-A683,"N/A")</f>
        <v>158</v>
      </c>
      <c r="O683" s="46"/>
      <c r="P683" t="s" s="47">
        <f>IF('Settings'!$E$27="ON",VLOOKUP(B683,'ADP'!A1:H731,8,FALSE)," ")</f>
        <v>109</v>
      </c>
      <c r="Q683" s="48">
        <f>IF('Settings'!$E$12="YES",VLOOKUP(B683,'Player Data'!A1:E734,5,FALSE),82)</f>
        <v>60.07</v>
      </c>
      <c r="R683" s="46">
        <f>VLOOKUP(B683,'Player Data'!$A1:$AE734,6,FALSE)</f>
        <v>12.4245766449964</v>
      </c>
      <c r="S683" s="48">
        <f>VLOOKUP(B683,'Player Data'!$A1:$AE734,7,FALSE)*$Q683*_xlfn.IFERROR((VLOOKUP(P683,'Settings'!$E$28:$F$33,2,FALSE)+1),1)</f>
        <v>5.49232947266384</v>
      </c>
      <c r="T683" s="48">
        <f>VLOOKUP(B683,'Player Data'!$A1:$AE734,8,FALSE)*$Q683*_xlfn.IFERROR((VLOOKUP(P683,'Settings'!$E$28:$F$33,2,FALSE)+1),1)</f>
        <v>11.234640656368</v>
      </c>
      <c r="U683" s="48">
        <f>SUM(S683:T683)</f>
        <v>16.7269701290318</v>
      </c>
      <c r="V683" s="48">
        <f>VLOOKUP(B683,'Player Data'!$A1:$AE734,10,FALSE)*$Q683*_xlfn.IFERROR(((VLOOKUP(P683,'Settings'!$E$28:$F$33,2,FALSE)/2)+1),1)</f>
        <v>50.2483327456527</v>
      </c>
      <c r="W683" s="48">
        <f>VLOOKUP(B683,'Player Data'!$A1:$AE734,11,FALSE)*$Q683*_xlfn.IFERROR((VLOOKUP(P683,'Settings'!$E$28:$F$33,2,FALSE)+1),1)</f>
        <v>0.0534843845527448</v>
      </c>
      <c r="X683" s="48">
        <f>VLOOKUP(B683,'Player Data'!$A1:$AE734,12,FALSE)*$Q683*_xlfn.IFERROR((VLOOKUP(P683,'Settings'!$E$28:$F$33,2,FALSE)+1),1)</f>
        <v>0.131468550937579</v>
      </c>
      <c r="Y683" s="48">
        <f>VLOOKUP(B683,'Player Data'!$A1:$AE734,13,FALSE)*$Q683</f>
        <v>0.121692658287103</v>
      </c>
      <c r="Z683" s="48">
        <f>VLOOKUP(B683,'Player Data'!$A1:$AE734,14,FALSE)*$Q683</f>
        <v>1.33733799572582</v>
      </c>
      <c r="AA683" s="48">
        <f>VLOOKUP(B683,'Player Data'!$A1:$AE734,15,FALSE)*$Q683</f>
        <v>33.2813895701056</v>
      </c>
      <c r="AB683" s="48">
        <f>VLOOKUP(B683,'Player Data'!$A1:$AE734,16,FALSE)*$Q683</f>
        <v>46.842548217616</v>
      </c>
      <c r="AC683" s="48">
        <f>VLOOKUP(B683,'Player Data'!$A1:$AE734,17,FALSE)*$Q683*_xlfn.IFERROR((VLOOKUP(P683,'Settings'!$E$28:$F$33,2,FALSE)+1),1)</f>
        <v>-1.18276765403024</v>
      </c>
      <c r="AD683" s="48">
        <f>VLOOKUP(B683,'Player Data'!$A1:$AE734,18,FALSE)*$Q683</f>
        <v>16.8429231770567</v>
      </c>
      <c r="AE683" s="48">
        <f>VLOOKUP(B683,'Player Data'!$A1:$AE734,19,FALSE)*$Q683*_xlfn.IFERROR((VLOOKUP(P683,'Settings'!$E$28:$F$33,2,FALSE)+1),1)</f>
        <v>0.777492232089952</v>
      </c>
      <c r="AF683" s="48">
        <f>VLOOKUP(B683,'Player Data'!$A1:$AE734,20,FALSE)*$Q683</f>
        <v>156.397478148483</v>
      </c>
      <c r="AG683" s="48">
        <f>VLOOKUP(B683,'Player Data'!$A1:$AE734,21,FALSE)*$Q683</f>
        <v>253.173818218264</v>
      </c>
      <c r="AH683" s="49">
        <f>VLOOKUP(B683,'Player Data'!$A1:$AE734,22,FALSE)</f>
        <v>0.381856540084388</v>
      </c>
      <c r="AI683" s="46"/>
      <c r="AJ683" s="50"/>
      <c r="AK683" s="48"/>
      <c r="AL683" s="48"/>
      <c r="AM683" s="48"/>
      <c r="AN683" s="48"/>
      <c r="AO683" s="48"/>
      <c r="AP683" s="48"/>
      <c r="AQ683" s="51"/>
      <c r="AR683" s="52"/>
      <c r="AS683" s="46"/>
    </row>
    <row r="684" ht="21.25" customHeight="1">
      <c r="A684" s="53">
        <f>RANK(K684,K2:K730)</f>
        <v>443</v>
      </c>
      <c r="B684" t="s" s="8">
        <v>836</v>
      </c>
      <c r="C684" t="s" s="39">
        <v>106</v>
      </c>
      <c r="D684" t="s" s="40">
        <f>VLOOKUP(B684,'Player Data'!A1:D734,4,FALSE)</f>
        <v>146</v>
      </c>
      <c r="E684" s="58">
        <f>VLOOKUP(B684,'G'!A1:D75,3,FALSE)</f>
        <v>58</v>
      </c>
      <c r="F684" t="s" s="42">
        <f>VLOOKUP(B684,'Player Data'!A1:B734,2,FALSE)</f>
        <v>136</v>
      </c>
      <c r="G684" s="9">
        <f>VLOOKUP(B684,'Player Data'!A1:D734,3,FALSE)</f>
        <v>31</v>
      </c>
      <c r="H684" s="43">
        <f>_xlfn.IFERROR(VLOOKUP(B684,'ADP'!A1:G731,7,FALSE)/1000000,VLOOKUP(B684,'ADP'!A1:G731,7,FALSE))</f>
        <v>1</v>
      </c>
      <c r="I684" s="44">
        <f>IF('Settings'!$E$15="POINTS",(AJ684*'Settings'!$B$29)+(AK684*'Settings'!$B$21)+(AL684*'Settings'!$B$22)+(AN684*'Settings'!$B$24)+(AO684*'Settings'!$B$25)+(AP684*'Settings'!$B$27)+(AM684*'Settings'!$B$23),VLOOKUP(B684,'Standard Deviations'!A1:C731,3,FALSE))</f>
        <v>100.351289166438</v>
      </c>
      <c r="J684" s="45">
        <f>IF(D684="G",I684/AJ684,I684/Q684)</f>
        <v>5.57507162035767</v>
      </c>
      <c r="K684" s="44">
        <f>VLOOKUP(B684,'G'!A1:F75,6,FALSE)</f>
        <v>-164.951932333250</v>
      </c>
      <c r="L684" s="44">
        <f>_xlfn.IFERROR(K684/H684,"N/A")</f>
        <v>-164.951932333250</v>
      </c>
      <c r="M684" t="s" s="61">
        <f>IF('Settings'!$E$9="YAHOO",VLOOKUP(B684,'ADP'!A1:E731,2,FALSE),IF('Settings'!$E$9="ESPN",VLOOKUP(B684,'ADP'!A1:E731,3,FALSE),IF('Settings'!$E$9="FANTRAX",VLOOKUP(B684,'ADP'!A1:E731,4,FALSE),VLOOKUP(B684,'ADP'!A1:E731,5,FALSE))))</f>
        <v>329</v>
      </c>
      <c r="N684" t="s" s="61">
        <f>_xlfn.IFERROR(M684-A684,"N/A")</f>
        <v>158</v>
      </c>
      <c r="O684" s="46"/>
      <c r="P684" t="s" s="47">
        <f>IF('Settings'!$E$27="ON",VLOOKUP(B684,'ADP'!A1:H731,8,FALSE)," ")</f>
        <v>109</v>
      </c>
      <c r="Q684" s="48"/>
      <c r="R684" s="59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9"/>
      <c r="AI684" s="46"/>
      <c r="AJ684" s="50">
        <f>VLOOKUP(B684,'Player Data'!$A1:$AE734,24,FALSE)</f>
        <v>18</v>
      </c>
      <c r="AK684" s="48">
        <f>VLOOKUP(B684,'Player Data'!$A1:$AE734,25,FALSE)*$AJ684*_xlfn.IFERROR((VLOOKUP(P684,'Settings'!$E$28:$F$33,2,FALSE)+1),1)</f>
        <v>10.0310346364798</v>
      </c>
      <c r="AL684" s="48">
        <f>AJ684-AK684-AM684</f>
        <v>5.7189653635202</v>
      </c>
      <c r="AM684" s="48">
        <f>VLOOKUP(B684,'Player Data'!$A1:$AE734,27,FALSE)*$AJ684</f>
        <v>2.25</v>
      </c>
      <c r="AN684" s="48">
        <f>VLOOKUP(B684,'Player Data'!$A1:$AE734,28,FALSE)*AJ684</f>
        <v>0.9867655648542309</v>
      </c>
      <c r="AO684" s="48">
        <f>VLOOKUP(B684,'Player Data'!$A1:$AE734,29,FALSE)*$AJ684*_xlfn.IFERROR((VLOOKUP(P684,'Settings'!$E$28:$F$33,2,FALSE)/4)+1,1)</f>
        <v>478.752632586770</v>
      </c>
      <c r="AP684" s="48">
        <f>VLOOKUP(B684,'Player Data'!$A1:$AE734,31,FALSE)*$AJ684*(_xlfn.IFERROR(1-(VLOOKUP(P684,'Settings'!$E$28:$F$33,2,FALSE)/4),1))</f>
        <v>50.885267475730</v>
      </c>
      <c r="AQ684" s="51">
        <f>1-(AP684/(AO684+AP684))</f>
        <v>0.903924421817764</v>
      </c>
      <c r="AR684" s="52">
        <f>AP684/AJ684</f>
        <v>2.82695930420722</v>
      </c>
      <c r="AS684" s="46"/>
    </row>
    <row r="685" ht="21.25" customHeight="1">
      <c r="A685" s="53">
        <f>RANK(K685,K2:K730)</f>
        <v>630</v>
      </c>
      <c r="B685" t="s" s="8">
        <v>837</v>
      </c>
      <c r="C685" t="s" s="39">
        <v>106</v>
      </c>
      <c r="D685" t="s" s="40">
        <f>VLOOKUP(B685,'Player Data'!A1:D734,4,FALSE)</f>
        <v>133</v>
      </c>
      <c r="E685" s="57">
        <f>VLOOKUP(B685,'LW'!A1:C156,3,FALSE)</f>
        <v>132</v>
      </c>
      <c r="F685" t="s" s="42">
        <f>VLOOKUP(B685,'Player Data'!A1:B734,2,FALSE)</f>
        <v>236</v>
      </c>
      <c r="G685" s="9">
        <f>VLOOKUP(B685,'Player Data'!A1:D734,3,FALSE)</f>
        <v>32</v>
      </c>
      <c r="H685" s="43">
        <f>_xlfn.IFERROR(VLOOKUP(B685,'ADP'!A1:G731,7,FALSE)/1000000,VLOOKUP(B685,'ADP'!A1:G731,7,FALSE))</f>
        <v>1.75</v>
      </c>
      <c r="I685" s="44">
        <f>IF('Settings'!$E$15="POINTS",((R685*Q685)*'Settings'!$B$12)+(S685*'Settings'!$B$2)+(T685*'Settings'!$B$3)+(U685*'Settings'!$B$4)+(V685*'Settings'!$B$5)+(X685*'Settings'!$B$9)+(AA685*'Settings'!$B$6)+(W685*'Settings'!$B$8)+(AB685*'Settings'!$B$7)+(AC685*'Settings'!$B$14)+(AD685*'Settings'!$B$15)+(AE685*'Settings'!$B$16)+(AF685*'Settings'!$B$17)+(AG685*'Settings'!$B$18)+(Y685*'Settings'!$B$10)+(Z685*'Settings'!$B$11),VLOOKUP(B685,'Standard Deviations'!A1:C731,3,FALSE))</f>
        <v>156.356709311373</v>
      </c>
      <c r="J685" s="45">
        <f>IF(D685="G",I685/AJ685,I685/Q685)</f>
        <v>1.94201781476632</v>
      </c>
      <c r="K685" s="44">
        <f>IF('Settings'!$E$18="C/LW/RW",VLOOKUP(B685,'LW'!A1:F156,6,FALSE),VLOOKUP(B685,'F'!A1:F432,6,FALSE))</f>
        <v>-225.271854394983</v>
      </c>
      <c r="L685" s="44">
        <f>_xlfn.IFERROR(K685/H685,"N/A")</f>
        <v>-128.726773939990</v>
      </c>
      <c r="M685" t="s" s="61">
        <f>IF('Settings'!$E$9="YAHOO",VLOOKUP(B685,'ADP'!A1:E731,2,FALSE),IF('Settings'!$E$9="ESPN",VLOOKUP(B685,'ADP'!A1:E731,3,FALSE),IF('Settings'!$E$9="FANTRAX",VLOOKUP(B685,'ADP'!A1:E731,4,FALSE),VLOOKUP(B685,'ADP'!A1:E731,5,FALSE))))</f>
        <v>329</v>
      </c>
      <c r="N685" t="s" s="61">
        <f>_xlfn.IFERROR(M685-A685,"N/A")</f>
        <v>158</v>
      </c>
      <c r="O685" s="46"/>
      <c r="P685" t="s" s="47">
        <f>IF('Settings'!$E$27="ON",VLOOKUP(B685,'ADP'!A1:H731,8,FALSE)," ")</f>
        <v>109</v>
      </c>
      <c r="Q685" s="48">
        <f>IF('Settings'!$E$12="YES",VLOOKUP(B685,'Player Data'!A1:E734,5,FALSE),82)</f>
        <v>80.5125</v>
      </c>
      <c r="R685" s="46">
        <f>VLOOKUP(B685,'Player Data'!$A1:$AE734,6,FALSE)</f>
        <v>9.50943573285061</v>
      </c>
      <c r="S685" s="48">
        <f>VLOOKUP(B685,'Player Data'!$A1:$AE734,7,FALSE)*$Q685*_xlfn.IFERROR((VLOOKUP(P685,'Settings'!$E$28:$F$33,2,FALSE)+1),1)</f>
        <v>5.5436518104811</v>
      </c>
      <c r="T685" s="48">
        <f>VLOOKUP(B685,'Player Data'!$A1:$AE734,8,FALSE)*$Q685*_xlfn.IFERROR((VLOOKUP(P685,'Settings'!$E$28:$F$33,2,FALSE)+1),1)</f>
        <v>5.56182338774603</v>
      </c>
      <c r="U685" s="48">
        <f>SUM(S685:T685)</f>
        <v>11.1054751982271</v>
      </c>
      <c r="V685" s="48">
        <f>VLOOKUP(B685,'Player Data'!$A1:$AE734,10,FALSE)*$Q685*_xlfn.IFERROR(((VLOOKUP(P685,'Settings'!$E$28:$F$33,2,FALSE)/2)+1),1)</f>
        <v>74.07257737476741</v>
      </c>
      <c r="W685" s="48">
        <f>VLOOKUP(B685,'Player Data'!$A1:$AE734,11,FALSE)*$Q685*_xlfn.IFERROR((VLOOKUP(P685,'Settings'!$E$28:$F$33,2,FALSE)+1),1)</f>
        <v>0.0486138099387667</v>
      </c>
      <c r="X685" s="48">
        <f>VLOOKUP(B685,'Player Data'!$A1:$AE734,12,FALSE)*$Q685*_xlfn.IFERROR((VLOOKUP(P685,'Settings'!$E$28:$F$33,2,FALSE)+1),1)</f>
        <v>0.124279110026424</v>
      </c>
      <c r="Y685" s="48">
        <f>VLOOKUP(B685,'Player Data'!$A1:$AE734,13,FALSE)*$Q685</f>
        <v>0.131248978547341</v>
      </c>
      <c r="Z685" s="48">
        <f>VLOOKUP(B685,'Player Data'!$A1:$AE734,14,FALSE)*$Q685</f>
        <v>0.15261956156676</v>
      </c>
      <c r="AA685" s="48">
        <f>VLOOKUP(B685,'Player Data'!$A1:$AE734,15,FALSE)*$Q685</f>
        <v>28.3012497002035</v>
      </c>
      <c r="AB685" s="48">
        <f>VLOOKUP(B685,'Player Data'!$A1:$AE734,16,FALSE)*$Q685</f>
        <v>252.930613361405</v>
      </c>
      <c r="AC685" s="48">
        <f>VLOOKUP(B685,'Player Data'!$A1:$AE734,17,FALSE)*$Q685*_xlfn.IFERROR((VLOOKUP(P685,'Settings'!$E$28:$F$33,2,FALSE)+1),1)</f>
        <v>-6.98631257430641</v>
      </c>
      <c r="AD685" s="48">
        <f>VLOOKUP(B685,'Player Data'!$A1:$AE734,18,FALSE)*$Q685</f>
        <v>65.8248215098766</v>
      </c>
      <c r="AE685" s="48">
        <f>VLOOKUP(B685,'Player Data'!$A1:$AE734,19,FALSE)*$Q685*_xlfn.IFERROR((VLOOKUP(P685,'Settings'!$E$28:$F$33,2,FALSE)+1),1)</f>
        <v>0.651632113320193</v>
      </c>
      <c r="AF685" s="48">
        <f>VLOOKUP(B685,'Player Data'!$A1:$AE734,20,FALSE)*$Q685</f>
        <v>2.26167603323923</v>
      </c>
      <c r="AG685" s="48">
        <f>VLOOKUP(B685,'Player Data'!$A1:$AE734,21,FALSE)*$Q685</f>
        <v>6.44791760811821</v>
      </c>
      <c r="AH685" s="49">
        <f>VLOOKUP(B685,'Player Data'!$A1:$AE734,22,FALSE)</f>
        <v>0.259676412743262</v>
      </c>
      <c r="AI685" s="46"/>
      <c r="AJ685" s="50"/>
      <c r="AK685" s="48"/>
      <c r="AL685" s="48"/>
      <c r="AM685" s="48"/>
      <c r="AN685" s="48"/>
      <c r="AO685" s="48"/>
      <c r="AP685" s="48"/>
      <c r="AQ685" s="51"/>
      <c r="AR685" s="52"/>
      <c r="AS685" s="46"/>
    </row>
    <row r="686" ht="21.25" customHeight="1">
      <c r="A686" s="53">
        <f>RANK(K686,K2:K730)</f>
        <v>695</v>
      </c>
      <c r="B686" t="s" s="8">
        <v>838</v>
      </c>
      <c r="C686" t="s" s="39">
        <v>106</v>
      </c>
      <c r="D686" t="s" s="40">
        <f>VLOOKUP(B686,'Player Data'!A1:D734,4,FALSE)</f>
        <v>121</v>
      </c>
      <c r="E686" s="55">
        <f>VLOOKUP(B686,'RW'!A1:F132,3,FALSE)</f>
        <v>127</v>
      </c>
      <c r="F686" t="s" s="42">
        <f>VLOOKUP(B686,'Player Data'!A1:B734,2,FALSE)</f>
        <v>189</v>
      </c>
      <c r="G686" s="9">
        <f>VLOOKUP(B686,'Player Data'!A1:D734,3,FALSE)</f>
        <v>26</v>
      </c>
      <c r="H686" s="43">
        <f>_xlfn.IFERROR(VLOOKUP(B686,'ADP'!A1:G731,7,FALSE)/1000000,VLOOKUP(B686,'ADP'!A1:G731,7,FALSE))</f>
        <v>1.1</v>
      </c>
      <c r="I686" s="44">
        <f>IF('Settings'!$E$15="POINTS",((R686*Q686)*'Settings'!$B$12)+(S686*'Settings'!$B$2)+(T686*'Settings'!$B$3)+(U686*'Settings'!$B$4)+(V686*'Settings'!$B$5)+(X686*'Settings'!$B$9)+(AA686*'Settings'!$B$6)+(W686*'Settings'!$B$8)+(AB686*'Settings'!$B$7)+(AC686*'Settings'!$B$14)+(AD686*'Settings'!$B$15)+(AE686*'Settings'!$B$16)+(AF686*'Settings'!$B$17)+(AG686*'Settings'!$B$18)+(Y686*'Settings'!$B$10)+(Z686*'Settings'!$B$11),VLOOKUP(B686,'Standard Deviations'!A1:C731,3,FALSE))</f>
        <v>117.284809072262</v>
      </c>
      <c r="J686" s="45">
        <f>IF(D686="G",I686/AJ686,I686/Q686)</f>
        <v>2.01312751583011</v>
      </c>
      <c r="K686" s="44">
        <f>IF('Settings'!$E$18="C/LW/RW",VLOOKUP(B686,'RW'!A1:F132,6,FALSE),VLOOKUP(B686,'F'!A1:F432,6,FALSE))</f>
        <v>-264.343754634094</v>
      </c>
      <c r="L686" s="44">
        <f>_xlfn.IFERROR(K686/H686,"N/A")</f>
        <v>-240.312504212813</v>
      </c>
      <c r="M686" t="s" s="61">
        <f>IF('Settings'!$E$9="YAHOO",VLOOKUP(B686,'ADP'!A1:E731,2,FALSE),IF('Settings'!$E$9="ESPN",VLOOKUP(B686,'ADP'!A1:E731,3,FALSE),IF('Settings'!$E$9="FANTRAX",VLOOKUP(B686,'ADP'!A1:E731,4,FALSE),VLOOKUP(B686,'ADP'!A1:E731,5,FALSE))))</f>
        <v>329</v>
      </c>
      <c r="N686" t="s" s="61">
        <f>_xlfn.IFERROR(M686-A686,"N/A")</f>
        <v>158</v>
      </c>
      <c r="O686" s="46"/>
      <c r="P686" t="s" s="47">
        <f>IF('Settings'!$E$27="ON",VLOOKUP(B686,'ADP'!A1:H731,8,FALSE)," ")</f>
        <v>109</v>
      </c>
      <c r="Q686" s="48">
        <f>IF('Settings'!$E$12="YES",VLOOKUP(B686,'Player Data'!A1:E734,5,FALSE),82)</f>
        <v>58.26</v>
      </c>
      <c r="R686" s="46">
        <f>VLOOKUP(B686,'Player Data'!$A1:$AE734,6,FALSE)</f>
        <v>9.99439249484651</v>
      </c>
      <c r="S686" s="48">
        <f>VLOOKUP(B686,'Player Data'!$A1:$AE734,7,FALSE)*$Q686*_xlfn.IFERROR((VLOOKUP(P686,'Settings'!$E$28:$F$33,2,FALSE)+1),1)</f>
        <v>4.09304112947888</v>
      </c>
      <c r="T686" s="48">
        <f>VLOOKUP(B686,'Player Data'!$A1:$AE734,8,FALSE)*$Q686*_xlfn.IFERROR((VLOOKUP(P686,'Settings'!$E$28:$F$33,2,FALSE)+1),1)</f>
        <v>7.08204416716519</v>
      </c>
      <c r="U686" s="48">
        <f>SUM(S686:T686)</f>
        <v>11.1750852966441</v>
      </c>
      <c r="V686" s="48">
        <f>VLOOKUP(B686,'Player Data'!$A1:$AE734,10,FALSE)*$Q686*_xlfn.IFERROR(((VLOOKUP(P686,'Settings'!$E$28:$F$33,2,FALSE)/2)+1),1)</f>
        <v>55.2664348981318</v>
      </c>
      <c r="W686" s="48">
        <f>VLOOKUP(B686,'Player Data'!$A1:$AE734,11,FALSE)*$Q686*_xlfn.IFERROR((VLOOKUP(P686,'Settings'!$E$28:$F$33,2,FALSE)+1),1)</f>
        <v>0.0157488988094936</v>
      </c>
      <c r="X686" s="48">
        <f>VLOOKUP(B686,'Player Data'!$A1:$AE734,12,FALSE)*$Q686*_xlfn.IFERROR((VLOOKUP(P686,'Settings'!$E$28:$F$33,2,FALSE)+1),1)</f>
        <v>0.0337791563295999</v>
      </c>
      <c r="Y686" s="48">
        <f>VLOOKUP(B686,'Player Data'!$A1:$AE734,13,FALSE)*$Q686</f>
        <v>0.100684683565225</v>
      </c>
      <c r="Z686" s="48">
        <f>VLOOKUP(B686,'Player Data'!$A1:$AE734,14,FALSE)*$Q686</f>
        <v>0.185325144730284</v>
      </c>
      <c r="AA686" s="48">
        <f>VLOOKUP(B686,'Player Data'!$A1:$AE734,15,FALSE)*$Q686</f>
        <v>38.3623729698793</v>
      </c>
      <c r="AB686" s="48">
        <f>VLOOKUP(B686,'Player Data'!$A1:$AE734,16,FALSE)*$Q686</f>
        <v>121.739749058580</v>
      </c>
      <c r="AC686" s="48">
        <f>VLOOKUP(B686,'Player Data'!$A1:$AE734,17,FALSE)*$Q686*_xlfn.IFERROR((VLOOKUP(P686,'Settings'!$E$28:$F$33,2,FALSE)+1),1)</f>
        <v>-4.24371338242283</v>
      </c>
      <c r="AD686" s="48">
        <f>VLOOKUP(B686,'Player Data'!$A1:$AE734,18,FALSE)*$Q686</f>
        <v>49.6738279561396</v>
      </c>
      <c r="AE686" s="48">
        <f>VLOOKUP(B686,'Player Data'!$A1:$AE734,19,FALSE)*$Q686*_xlfn.IFERROR((VLOOKUP(P686,'Settings'!$E$28:$F$33,2,FALSE)+1),1)</f>
        <v>0.438597538378328</v>
      </c>
      <c r="AF686" s="48">
        <f>VLOOKUP(B686,'Player Data'!$A1:$AE734,20,FALSE)*$Q686</f>
        <v>2.18216040689655</v>
      </c>
      <c r="AG686" s="48">
        <f>VLOOKUP(B686,'Player Data'!$A1:$AE734,21,FALSE)*$Q686</f>
        <v>9.28374315675112</v>
      </c>
      <c r="AH686" s="49">
        <f>VLOOKUP(B686,'Player Data'!$A1:$AE734,22,FALSE)</f>
        <v>0.190317352207202</v>
      </c>
      <c r="AI686" s="46"/>
      <c r="AJ686" s="50"/>
      <c r="AK686" s="48"/>
      <c r="AL686" s="48"/>
      <c r="AM686" s="48"/>
      <c r="AN686" s="48"/>
      <c r="AO686" s="48"/>
      <c r="AP686" s="48"/>
      <c r="AQ686" s="51"/>
      <c r="AR686" s="52"/>
      <c r="AS686" s="46"/>
    </row>
    <row r="687" ht="21.25" customHeight="1">
      <c r="A687" s="53">
        <f>RANK(K687,K2:K730)</f>
        <v>452</v>
      </c>
      <c r="B687" t="s" s="8">
        <v>839</v>
      </c>
      <c r="C687" t="s" s="39">
        <v>106</v>
      </c>
      <c r="D687" t="s" s="40">
        <f>VLOOKUP(B687,'Player Data'!A1:D734,4,FALSE)</f>
        <v>146</v>
      </c>
      <c r="E687" s="58">
        <f>VLOOKUP(B687,'G'!A1:D75,3,FALSE)</f>
        <v>59</v>
      </c>
      <c r="F687" t="s" s="42">
        <f>VLOOKUP(B687,'Player Data'!A1:B734,2,FALSE)</f>
        <v>234</v>
      </c>
      <c r="G687" s="9">
        <f>VLOOKUP(B687,'Player Data'!A1:D734,3,FALSE)</f>
        <v>23</v>
      </c>
      <c r="H687" s="43">
        <f>_xlfn.IFERROR(VLOOKUP(B687,'ADP'!A1:G731,7,FALSE)/1000000,VLOOKUP(B687,'ADP'!A1:G731,7,FALSE))</f>
        <v>0</v>
      </c>
      <c r="I687" s="44">
        <f>IF('Settings'!$E$15="POINTS",(AJ687*'Settings'!$B$29)+(AK687*'Settings'!$B$21)+(AL687*'Settings'!$B$22)+(AN687*'Settings'!$B$24)+(AO687*'Settings'!$B$25)+(AP687*'Settings'!$B$27)+(AM687*'Settings'!$B$23),VLOOKUP(B687,'Standard Deviations'!A1:C731,3,FALSE))</f>
        <v>97.13858604710499</v>
      </c>
      <c r="J687" s="45">
        <f>IF(D687="G",I687/AJ687,I687/Q687)</f>
        <v>5.39658811372806</v>
      </c>
      <c r="K687" s="44">
        <f>VLOOKUP(B687,'G'!A1:F75,6,FALSE)</f>
        <v>-168.164635452583</v>
      </c>
      <c r="L687" t="s" s="60">
        <f>_xlfn.IFERROR(K687/H687,"N/A")</f>
        <v>158</v>
      </c>
      <c r="M687" s="46">
        <f>IF('Settings'!$E$9="YAHOO",VLOOKUP(B687,'ADP'!A1:E731,2,FALSE),IF('Settings'!$E$9="ESPN",VLOOKUP(B687,'ADP'!A1:E731,3,FALSE),IF('Settings'!$E$9="FANTRAX",VLOOKUP(B687,'ADP'!A1:E731,4,FALSE),VLOOKUP(B687,'ADP'!A1:E731,5,FALSE))))</f>
        <v>372.6</v>
      </c>
      <c r="N687" s="46">
        <f>_xlfn.IFERROR(M687-A687,"N/A")</f>
        <v>-79.40000000000001</v>
      </c>
      <c r="O687" s="46"/>
      <c r="P687" t="s" s="47">
        <f>IF('Settings'!$E$27="ON",VLOOKUP(B687,'ADP'!A1:H731,8,FALSE)," ")</f>
        <v>109</v>
      </c>
      <c r="Q687" s="48"/>
      <c r="R687" s="59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9"/>
      <c r="AI687" s="46"/>
      <c r="AJ687" s="50">
        <f>VLOOKUP(B687,'Player Data'!$A1:$AE734,24,FALSE)</f>
        <v>18</v>
      </c>
      <c r="AK687" s="48">
        <f>VLOOKUP(B687,'Player Data'!$A1:$AE734,25,FALSE)*$AJ687*_xlfn.IFERROR((VLOOKUP(P687,'Settings'!$E$28:$F$33,2,FALSE)+1),1)</f>
        <v>6.4261430668741</v>
      </c>
      <c r="AL687" s="48">
        <f>AJ687-AK687-AM687</f>
        <v>9.323856933125899</v>
      </c>
      <c r="AM687" s="48">
        <f>VLOOKUP(B687,'Player Data'!$A1:$AE734,27,FALSE)*$AJ687</f>
        <v>2.25</v>
      </c>
      <c r="AN687" s="48">
        <f>VLOOKUP(B687,'Player Data'!$A1:$AE734,28,FALSE)*AJ687</f>
        <v>0.310878230387728</v>
      </c>
      <c r="AO687" s="48">
        <f>VLOOKUP(B687,'Player Data'!$A1:$AE734,29,FALSE)*$AJ687*_xlfn.IFERROR((VLOOKUP(P687,'Settings'!$E$28:$F$33,2,FALSE)/4)+1,1)</f>
        <v>555.084875527261</v>
      </c>
      <c r="AP687" s="48">
        <f>VLOOKUP(B687,'Player Data'!$A1:$AE734,31,FALSE)*$AJ687*(_xlfn.IFERROR(1-(VLOOKUP(P687,'Settings'!$E$28:$F$33,2,FALSE)/4),1))</f>
        <v>59.7319603352392</v>
      </c>
      <c r="AQ687" s="51">
        <f>1-(AP687/(AO687+AP687))</f>
        <v>0.9028459260530109</v>
      </c>
      <c r="AR687" s="52">
        <f>AP687/AJ687</f>
        <v>3.31844224084662</v>
      </c>
      <c r="AS687" s="46"/>
    </row>
    <row r="688" ht="21.25" customHeight="1">
      <c r="A688" s="53">
        <f>RANK(K688,K2:K730)</f>
        <v>700</v>
      </c>
      <c r="B688" t="s" s="8">
        <v>840</v>
      </c>
      <c r="C688" t="s" s="39">
        <v>106</v>
      </c>
      <c r="D688" t="s" s="40">
        <f>VLOOKUP(B688,'Player Data'!A1:D734,4,FALSE)</f>
        <v>107</v>
      </c>
      <c r="E688" s="41">
        <f>VLOOKUP(B688,'C'!A1:C218,3,FALSE)</f>
        <v>196</v>
      </c>
      <c r="F688" t="s" s="42">
        <f>VLOOKUP(B688,'Player Data'!A1:B734,2,FALSE)</f>
        <v>204</v>
      </c>
      <c r="G688" s="9">
        <f>VLOOKUP(B688,'Player Data'!A1:D734,3,FALSE)</f>
        <v>36</v>
      </c>
      <c r="H688" s="43">
        <f>_xlfn.IFERROR(VLOOKUP(B688,'ADP'!A1:G731,7,FALSE)/1000000,VLOOKUP(B688,'ADP'!A1:G731,7,FALSE))</f>
        <v>0.775</v>
      </c>
      <c r="I688" s="44">
        <f>IF('Settings'!$E$15="POINTS",((R688*Q688)*'Settings'!$B$12)+(S688*'Settings'!$B$2)+(T688*'Settings'!$B$3)+(U688*'Settings'!$B$4)+(V688*'Settings'!$B$5)+(X688*'Settings'!$B$9)+(AA688*'Settings'!$B$6)+(W688*'Settings'!$B$8)+(AB688*'Settings'!$B$7)+(AC688*'Settings'!$B$14)+(AD688*'Settings'!$B$15)+(AE688*'Settings'!$B$16)+(AF688*'Settings'!$B$17)+(AG688*'Settings'!$B$18)+(Y688*'Settings'!$B$10)+(Z688*'Settings'!$B$11),VLOOKUP(B688,'Standard Deviations'!A1:C731,3,FALSE))</f>
        <v>123.429680384993</v>
      </c>
      <c r="J688" s="45">
        <f>IF(D688="G",I688/AJ688,I688/Q688)</f>
        <v>1.89891815976912</v>
      </c>
      <c r="K688" s="44">
        <f>IF('Settings'!$E$18="C/LW/RW",VLOOKUP(B688,'C'!A1:F218,6,FALSE),VLOOKUP(B688,'F'!A1:F432,6,FALSE))</f>
        <v>-272.344521251022</v>
      </c>
      <c r="L688" s="44">
        <f>_xlfn.IFERROR(K688/H688,"N/A")</f>
        <v>-351.412285485190</v>
      </c>
      <c r="M688" t="s" s="61">
        <f>IF('Settings'!$E$9="YAHOO",VLOOKUP(B688,'ADP'!A1:E731,2,FALSE),IF('Settings'!$E$9="ESPN",VLOOKUP(B688,'ADP'!A1:E731,3,FALSE),IF('Settings'!$E$9="FANTRAX",VLOOKUP(B688,'ADP'!A1:E731,4,FALSE),VLOOKUP(B688,'ADP'!A1:E731,5,FALSE))))</f>
        <v>329</v>
      </c>
      <c r="N688" t="s" s="61">
        <f>_xlfn.IFERROR(M688-A688,"N/A")</f>
        <v>158</v>
      </c>
      <c r="O688" s="46"/>
      <c r="P688" t="s" s="47">
        <f>IF('Settings'!$E$27="ON",VLOOKUP(B688,'ADP'!A1:H731,8,FALSE)," ")</f>
        <v>109</v>
      </c>
      <c r="Q688" s="48">
        <f>IF('Settings'!$E$12="YES",VLOOKUP(B688,'Player Data'!A1:E734,5,FALSE),82)</f>
        <v>65</v>
      </c>
      <c r="R688" s="46">
        <f>VLOOKUP(B688,'Player Data'!$A1:$AE734,6,FALSE)</f>
        <v>10.7458775203646</v>
      </c>
      <c r="S688" s="48">
        <f>VLOOKUP(B688,'Player Data'!$A1:$AE734,7,FALSE)*$Q688*_xlfn.IFERROR((VLOOKUP(P688,'Settings'!$E$28:$F$33,2,FALSE)+1),1)</f>
        <v>4.34246207921936</v>
      </c>
      <c r="T688" s="48">
        <f>VLOOKUP(B688,'Player Data'!$A1:$AE734,8,FALSE)*$Q688*_xlfn.IFERROR((VLOOKUP(P688,'Settings'!$E$28:$F$33,2,FALSE)+1),1)</f>
        <v>5.82237340616066</v>
      </c>
      <c r="U688" s="48">
        <f>SUM(S688:T688)</f>
        <v>10.164835485380</v>
      </c>
      <c r="V688" s="48">
        <f>VLOOKUP(B688,'Player Data'!$A1:$AE734,10,FALSE)*$Q688*_xlfn.IFERROR(((VLOOKUP(P688,'Settings'!$E$28:$F$33,2,FALSE)/2)+1),1)</f>
        <v>89.9740433209118</v>
      </c>
      <c r="W688" s="48">
        <f>VLOOKUP(B688,'Player Data'!$A1:$AE734,11,FALSE)*$Q688*_xlfn.IFERROR((VLOOKUP(P688,'Settings'!$E$28:$F$33,2,FALSE)+1),1)</f>
        <v>0.132402740957248</v>
      </c>
      <c r="X688" s="48">
        <f>VLOOKUP(B688,'Player Data'!$A1:$AE734,12,FALSE)*$Q688*_xlfn.IFERROR((VLOOKUP(P688,'Settings'!$E$28:$F$33,2,FALSE)+1),1)</f>
        <v>0.28123455484528</v>
      </c>
      <c r="Y688" s="48">
        <f>VLOOKUP(B688,'Player Data'!$A1:$AE734,13,FALSE)*$Q688</f>
        <v>0.716805461710078</v>
      </c>
      <c r="Z688" s="48">
        <f>VLOOKUP(B688,'Player Data'!$A1:$AE734,14,FALSE)*$Q688</f>
        <v>0.7997066180535189</v>
      </c>
      <c r="AA688" s="48">
        <f>VLOOKUP(B688,'Player Data'!$A1:$AE734,15,FALSE)*$Q688</f>
        <v>25.0905276975159</v>
      </c>
      <c r="AB688" s="48">
        <f>VLOOKUP(B688,'Player Data'!$A1:$AE734,16,FALSE)*$Q688</f>
        <v>109.159128258814</v>
      </c>
      <c r="AC688" s="48">
        <f>VLOOKUP(B688,'Player Data'!$A1:$AE734,17,FALSE)*$Q688*_xlfn.IFERROR((VLOOKUP(P688,'Settings'!$E$28:$F$33,2,FALSE)+1),1)</f>
        <v>-0.741230018382471</v>
      </c>
      <c r="AD688" s="48">
        <f>VLOOKUP(B688,'Player Data'!$A1:$AE734,18,FALSE)*$Q688</f>
        <v>11.1982122061604</v>
      </c>
      <c r="AE688" s="48">
        <f>VLOOKUP(B688,'Player Data'!$A1:$AE734,19,FALSE)*$Q688*_xlfn.IFERROR((VLOOKUP(P688,'Settings'!$E$28:$F$33,2,FALSE)+1),1)</f>
        <v>0.642949519822729</v>
      </c>
      <c r="AF688" s="48">
        <f>VLOOKUP(B688,'Player Data'!$A1:$AE734,20,FALSE)*$Q688</f>
        <v>82.92186987097389</v>
      </c>
      <c r="AG688" s="48">
        <f>VLOOKUP(B688,'Player Data'!$A1:$AE734,21,FALSE)*$Q688</f>
        <v>102.698792933764</v>
      </c>
      <c r="AH688" s="49">
        <f>VLOOKUP(B688,'Player Data'!$A1:$AE734,22,FALSE)</f>
        <v>0.446727582037583</v>
      </c>
      <c r="AI688" s="46"/>
      <c r="AJ688" s="50"/>
      <c r="AK688" s="48"/>
      <c r="AL688" s="48"/>
      <c r="AM688" s="48"/>
      <c r="AN688" s="48"/>
      <c r="AO688" s="48"/>
      <c r="AP688" s="48"/>
      <c r="AQ688" s="51"/>
      <c r="AR688" s="52"/>
      <c r="AS688" s="46"/>
    </row>
    <row r="689" ht="21.25" customHeight="1">
      <c r="A689" s="53">
        <f>RANK(K689,K2:K730)</f>
        <v>440</v>
      </c>
      <c r="B689" t="s" s="8">
        <v>841</v>
      </c>
      <c r="C689" t="s" s="39">
        <v>106</v>
      </c>
      <c r="D689" t="s" s="40">
        <f>VLOOKUP(B689,'Player Data'!A1:D734,4,FALSE)</f>
        <v>146</v>
      </c>
      <c r="E689" s="58">
        <f>VLOOKUP(B689,'G'!A1:D75,3,FALSE)</f>
        <v>57</v>
      </c>
      <c r="F689" t="s" s="42">
        <f>VLOOKUP(B689,'Player Data'!A1:B734,2,FALSE)</f>
        <v>184</v>
      </c>
      <c r="G689" s="9">
        <f>VLOOKUP(B689,'Player Data'!A1:D734,3,FALSE)</f>
        <v>35</v>
      </c>
      <c r="H689" s="43">
        <f>_xlfn.IFERROR(VLOOKUP(B689,'ADP'!A1:G731,7,FALSE)/1000000,VLOOKUP(B689,'ADP'!A1:G731,7,FALSE))</f>
        <v>1.5</v>
      </c>
      <c r="I689" s="44">
        <f>IF('Settings'!$E$15="POINTS",(AJ689*'Settings'!$B$29)+(AK689*'Settings'!$B$21)+(AL689*'Settings'!$B$22)+(AN689*'Settings'!$B$24)+(AO689*'Settings'!$B$25)+(AP689*'Settings'!$B$27)+(AM689*'Settings'!$B$23),VLOOKUP(B689,'Standard Deviations'!A1:C731,3,FALSE))</f>
        <v>101.214646955122</v>
      </c>
      <c r="J689" s="45">
        <f>IF(D689="G",I689/AJ689,I689/Q689)</f>
        <v>5.0607323477561</v>
      </c>
      <c r="K689" s="44">
        <f>VLOOKUP(B689,'G'!A1:F75,6,FALSE)</f>
        <v>-164.088574544566</v>
      </c>
      <c r="L689" s="44">
        <f>_xlfn.IFERROR(K689/H689,"N/A")</f>
        <v>-109.392383029711</v>
      </c>
      <c r="M689" t="s" s="61">
        <f>IF('Settings'!$E$9="YAHOO",VLOOKUP(B689,'ADP'!A1:E731,2,FALSE),IF('Settings'!$E$9="ESPN",VLOOKUP(B689,'ADP'!A1:E731,3,FALSE),IF('Settings'!$E$9="FANTRAX",VLOOKUP(B689,'ADP'!A1:E731,4,FALSE),VLOOKUP(B689,'ADP'!A1:E731,5,FALSE))))</f>
        <v>329</v>
      </c>
      <c r="N689" t="s" s="61">
        <f>_xlfn.IFERROR(M689-A689,"N/A")</f>
        <v>158</v>
      </c>
      <c r="O689" s="46"/>
      <c r="P689" t="s" s="47">
        <f>IF('Settings'!$E$27="ON",VLOOKUP(B689,'ADP'!A1:H731,8,FALSE)," ")</f>
        <v>109</v>
      </c>
      <c r="Q689" s="48"/>
      <c r="R689" s="59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9"/>
      <c r="AI689" s="46"/>
      <c r="AJ689" s="50">
        <f>VLOOKUP(B689,'Player Data'!$A1:$AE734,24,FALSE)</f>
        <v>20</v>
      </c>
      <c r="AK689" s="48">
        <f>VLOOKUP(B689,'Player Data'!$A1:$AE734,25,FALSE)*$AJ689*_xlfn.IFERROR((VLOOKUP(P689,'Settings'!$E$28:$F$33,2,FALSE)+1),1)</f>
        <v>8.98917131139714</v>
      </c>
      <c r="AL689" s="48">
        <f>AJ689-AK689-AM689</f>
        <v>8.51082868860286</v>
      </c>
      <c r="AM689" s="48">
        <f>VLOOKUP(B689,'Player Data'!$A1:$AE734,27,FALSE)*$AJ689</f>
        <v>2.5</v>
      </c>
      <c r="AN689" s="48">
        <f>VLOOKUP(B689,'Player Data'!$A1:$AE734,28,FALSE)*AJ689</f>
        <v>0.773773822567568</v>
      </c>
      <c r="AO689" s="48">
        <f>VLOOKUP(B689,'Player Data'!$A1:$AE734,29,FALSE)*$AJ689*_xlfn.IFERROR((VLOOKUP(P689,'Settings'!$E$28:$F$33,2,FALSE)/4)+1,1)</f>
        <v>543.563318883738</v>
      </c>
      <c r="AP689" s="48">
        <f>VLOOKUP(B689,'Player Data'!$A1:$AE734,31,FALSE)*$AJ689*(_xlfn.IFERROR(1-(VLOOKUP(P689,'Settings'!$E$28:$F$33,2,FALSE)/4),1))</f>
        <v>60.7621227412622</v>
      </c>
      <c r="AQ689" s="51">
        <f>1-(AP689/(AO689+AP689))</f>
        <v>0.899454633950416</v>
      </c>
      <c r="AR689" s="52">
        <f>AP689/AJ689</f>
        <v>3.03810613706311</v>
      </c>
      <c r="AS689" s="46"/>
    </row>
    <row r="690" ht="21.25" customHeight="1">
      <c r="A690" s="53">
        <f>RANK(K690,K2:K730)</f>
        <v>439</v>
      </c>
      <c r="B690" t="s" s="8">
        <v>842</v>
      </c>
      <c r="C690" t="s" s="39">
        <v>106</v>
      </c>
      <c r="D690" t="s" s="40">
        <f>VLOOKUP(B690,'Player Data'!A1:D734,4,FALSE)</f>
        <v>146</v>
      </c>
      <c r="E690" s="58">
        <f>VLOOKUP(B690,'G'!A1:D75,3,FALSE)</f>
        <v>56</v>
      </c>
      <c r="F690" t="s" s="42">
        <f>VLOOKUP(B690,'Player Data'!A1:B734,2,FALSE)</f>
        <v>248</v>
      </c>
      <c r="G690" s="9">
        <f>VLOOKUP(B690,'Player Data'!A1:D734,3,FALSE)</f>
        <v>27</v>
      </c>
      <c r="H690" s="43">
        <f>_xlfn.IFERROR(VLOOKUP(B690,'ADP'!A1:G731,7,FALSE)/1000000,VLOOKUP(B690,'ADP'!A1:G731,7,FALSE))</f>
        <v>0</v>
      </c>
      <c r="I690" s="44">
        <f>IF('Settings'!$E$15="POINTS",(AJ690*'Settings'!$B$29)+(AK690*'Settings'!$B$21)+(AL690*'Settings'!$B$22)+(AN690*'Settings'!$B$24)+(AO690*'Settings'!$B$25)+(AP690*'Settings'!$B$27)+(AM690*'Settings'!$B$23),VLOOKUP(B690,'Standard Deviations'!A1:C731,3,FALSE))</f>
        <v>101.328364345897</v>
      </c>
      <c r="J690" s="45">
        <f>IF(D690="G",I690/AJ690,I690/Q690)</f>
        <v>5.06641821729485</v>
      </c>
      <c r="K690" s="44">
        <f>VLOOKUP(B690,'G'!A1:F75,6,FALSE)</f>
        <v>-163.974857153791</v>
      </c>
      <c r="L690" t="s" s="60">
        <f>_xlfn.IFERROR(K690/H690,"N/A")</f>
        <v>158</v>
      </c>
      <c r="M690" t="s" s="61">
        <f>IF('Settings'!$E$9="YAHOO",VLOOKUP(B690,'ADP'!A1:E731,2,FALSE),IF('Settings'!$E$9="ESPN",VLOOKUP(B690,'ADP'!A1:E731,3,FALSE),IF('Settings'!$E$9="FANTRAX",VLOOKUP(B690,'ADP'!A1:E731,4,FALSE),VLOOKUP(B690,'ADP'!A1:E731,5,FALSE))))</f>
        <v>329</v>
      </c>
      <c r="N690" t="s" s="61">
        <f>_xlfn.IFERROR(M690-A690,"N/A")</f>
        <v>158</v>
      </c>
      <c r="O690" s="46"/>
      <c r="P690" t="s" s="47">
        <f>IF('Settings'!$E$27="ON",VLOOKUP(B690,'ADP'!A1:H731,8,FALSE)," ")</f>
        <v>109</v>
      </c>
      <c r="Q690" s="48"/>
      <c r="R690" s="59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9"/>
      <c r="AI690" s="46"/>
      <c r="AJ690" s="50">
        <f>VLOOKUP(B690,'Player Data'!$A1:$AE734,24,FALSE)</f>
        <v>20</v>
      </c>
      <c r="AK690" s="48">
        <f>VLOOKUP(B690,'Player Data'!$A1:$AE734,25,FALSE)*$AJ690*_xlfn.IFERROR((VLOOKUP(P690,'Settings'!$E$28:$F$33,2,FALSE)+1),1)</f>
        <v>9.42825912824048</v>
      </c>
      <c r="AL690" s="48">
        <f>AJ690-AK690-AM690</f>
        <v>8.07174087175952</v>
      </c>
      <c r="AM690" s="48">
        <f>VLOOKUP(B690,'Player Data'!$A1:$AE734,27,FALSE)*$AJ690</f>
        <v>2.5</v>
      </c>
      <c r="AN690" s="48">
        <f>VLOOKUP(B690,'Player Data'!$A1:$AE734,28,FALSE)*AJ690</f>
        <v>0.930765790276386</v>
      </c>
      <c r="AO690" s="48">
        <f>VLOOKUP(B690,'Player Data'!$A1:$AE734,29,FALSE)*$AJ690*_xlfn.IFERROR((VLOOKUP(P690,'Settings'!$E$28:$F$33,2,FALSE)/4)+1,1)</f>
        <v>527.707235571026</v>
      </c>
      <c r="AP690" s="48">
        <f>VLOOKUP(B690,'Player Data'!$A1:$AE734,31,FALSE)*$AJ690*(_xlfn.IFERROR(1-(VLOOKUP(P690,'Settings'!$E$28:$F$33,2,FALSE)/4),1))</f>
        <v>58.707254053974</v>
      </c>
      <c r="AQ690" s="51">
        <f>1-(AP690/(AO690+AP690))</f>
        <v>0.899887783994703</v>
      </c>
      <c r="AR690" s="52">
        <f>AP690/AJ690</f>
        <v>2.9353627026987</v>
      </c>
      <c r="AS690" s="46"/>
    </row>
    <row r="691" ht="21.25" customHeight="1">
      <c r="A691" s="53">
        <f>RANK(K691,K2:K730)</f>
        <v>694</v>
      </c>
      <c r="B691" t="s" s="8">
        <v>843</v>
      </c>
      <c r="C691" t="s" s="39">
        <v>106</v>
      </c>
      <c r="D691" t="s" s="40">
        <f>VLOOKUP(B691,'Player Data'!A1:D734,4,FALSE)</f>
        <v>133</v>
      </c>
      <c r="E691" s="57">
        <f>VLOOKUP(B691,'LW'!A1:C156,3,FALSE)</f>
        <v>147</v>
      </c>
      <c r="F691" t="s" s="42">
        <f>VLOOKUP(B691,'Player Data'!A1:B734,2,FALSE)</f>
        <v>194</v>
      </c>
      <c r="G691" s="9">
        <f>VLOOKUP(B691,'Player Data'!A1:D734,3,FALSE)</f>
        <v>29</v>
      </c>
      <c r="H691" s="43">
        <f>_xlfn.IFERROR(VLOOKUP(B691,'ADP'!A1:G731,7,FALSE)/1000000,VLOOKUP(B691,'ADP'!A1:G731,7,FALSE))</f>
        <v>0.775</v>
      </c>
      <c r="I691" s="44">
        <f>IF('Settings'!$E$15="POINTS",((R691*Q691)*'Settings'!$B$12)+(S691*'Settings'!$B$2)+(T691*'Settings'!$B$3)+(U691*'Settings'!$B$4)+(V691*'Settings'!$B$5)+(X691*'Settings'!$B$9)+(AA691*'Settings'!$B$6)+(W691*'Settings'!$B$8)+(AB691*'Settings'!$B$7)+(AC691*'Settings'!$B$14)+(AD691*'Settings'!$B$15)+(AE691*'Settings'!$B$16)+(AF691*'Settings'!$B$17)+(AG691*'Settings'!$B$18)+(Y691*'Settings'!$B$10)+(Z691*'Settings'!$B$11),VLOOKUP(B691,'Standard Deviations'!A1:C731,3,FALSE))</f>
        <v>118.415479238049</v>
      </c>
      <c r="J691" s="45">
        <f>IF(D691="G",I691/AJ691,I691/Q691)</f>
        <v>1.87258328645637</v>
      </c>
      <c r="K691" s="44">
        <f>IF('Settings'!$E$18="C/LW/RW",VLOOKUP(B691,'LW'!A1:F156,6,FALSE),VLOOKUP(B691,'F'!A1:F432,6,FALSE))</f>
        <v>-263.213084468307</v>
      </c>
      <c r="L691" s="44">
        <f>_xlfn.IFERROR(K691/H691,"N/A")</f>
        <v>-339.629786410719</v>
      </c>
      <c r="M691" t="s" s="61">
        <f>IF('Settings'!$E$9="YAHOO",VLOOKUP(B691,'ADP'!A1:E731,2,FALSE),IF('Settings'!$E$9="ESPN",VLOOKUP(B691,'ADP'!A1:E731,3,FALSE),IF('Settings'!$E$9="FANTRAX",VLOOKUP(B691,'ADP'!A1:E731,4,FALSE),VLOOKUP(B691,'ADP'!A1:E731,5,FALSE))))</f>
        <v>329</v>
      </c>
      <c r="N691" t="s" s="61">
        <f>_xlfn.IFERROR(M691-A691,"N/A")</f>
        <v>158</v>
      </c>
      <c r="O691" s="46"/>
      <c r="P691" t="s" s="47">
        <f>IF('Settings'!$E$27="ON",VLOOKUP(B691,'ADP'!A1:H731,8,FALSE)," ")</f>
        <v>109</v>
      </c>
      <c r="Q691" s="48">
        <f>IF('Settings'!$E$12="YES",VLOOKUP(B691,'Player Data'!A1:E734,5,FALSE),82)</f>
        <v>63.2364285714286</v>
      </c>
      <c r="R691" s="46">
        <f>VLOOKUP(B691,'Player Data'!$A1:$AE734,6,FALSE)</f>
        <v>10.2833493983395</v>
      </c>
      <c r="S691" s="48">
        <f>VLOOKUP(B691,'Player Data'!$A1:$AE734,7,FALSE)*$Q691*_xlfn.IFERROR((VLOOKUP(P691,'Settings'!$E$28:$F$33,2,FALSE)+1),1)</f>
        <v>5.52852447584087</v>
      </c>
      <c r="T691" s="48">
        <f>VLOOKUP(B691,'Player Data'!$A1:$AE734,8,FALSE)*$Q691*_xlfn.IFERROR((VLOOKUP(P691,'Settings'!$E$28:$F$33,2,FALSE)+1),1)</f>
        <v>7.81201345874834</v>
      </c>
      <c r="U691" s="48">
        <f>SUM(S691:T691)</f>
        <v>13.3405379345892</v>
      </c>
      <c r="V691" s="48">
        <f>VLOOKUP(B691,'Player Data'!$A1:$AE734,10,FALSE)*$Q691*_xlfn.IFERROR(((VLOOKUP(P691,'Settings'!$E$28:$F$33,2,FALSE)/2)+1),1)</f>
        <v>55.5680788574954</v>
      </c>
      <c r="W691" s="48">
        <f>VLOOKUP(B691,'Player Data'!$A1:$AE734,11,FALSE)*$Q691*_xlfn.IFERROR((VLOOKUP(P691,'Settings'!$E$28:$F$33,2,FALSE)+1),1)</f>
        <v>0.045678803611873</v>
      </c>
      <c r="X691" s="48">
        <f>VLOOKUP(B691,'Player Data'!$A1:$AE734,12,FALSE)*$Q691*_xlfn.IFERROR((VLOOKUP(P691,'Settings'!$E$28:$F$33,2,FALSE)+1),1)</f>
        <v>0.11769755979402</v>
      </c>
      <c r="Y691" s="48">
        <f>VLOOKUP(B691,'Player Data'!$A1:$AE734,13,FALSE)*$Q691</f>
        <v>0.11917798347126</v>
      </c>
      <c r="Z691" s="48">
        <f>VLOOKUP(B691,'Player Data'!$A1:$AE734,14,FALSE)*$Q691</f>
        <v>0.221826672236931</v>
      </c>
      <c r="AA691" s="48">
        <f>VLOOKUP(B691,'Player Data'!$A1:$AE734,15,FALSE)*$Q691</f>
        <v>36.4639759617723</v>
      </c>
      <c r="AB691" s="48">
        <f>VLOOKUP(B691,'Player Data'!$A1:$AE734,16,FALSE)*$Q691</f>
        <v>94.5655918656511</v>
      </c>
      <c r="AC691" s="48">
        <f>VLOOKUP(B691,'Player Data'!$A1:$AE734,17,FALSE)*$Q691*_xlfn.IFERROR((VLOOKUP(P691,'Settings'!$E$28:$F$33,2,FALSE)+1),1)</f>
        <v>-3.05182932573106</v>
      </c>
      <c r="AD691" s="48">
        <f>VLOOKUP(B691,'Player Data'!$A1:$AE734,18,FALSE)*$Q691</f>
        <v>18.7416654524147</v>
      </c>
      <c r="AE691" s="48">
        <f>VLOOKUP(B691,'Player Data'!$A1:$AE734,19,FALSE)*$Q691*_xlfn.IFERROR((VLOOKUP(P691,'Settings'!$E$28:$F$33,2,FALSE)+1),1)</f>
        <v>0.6361824135066459</v>
      </c>
      <c r="AF691" s="48">
        <f>VLOOKUP(B691,'Player Data'!$A1:$AE734,20,FALSE)*$Q691</f>
        <v>83.2237529167251</v>
      </c>
      <c r="AG691" s="48">
        <f>VLOOKUP(B691,'Player Data'!$A1:$AE734,21,FALSE)*$Q691</f>
        <v>94.2991141664031</v>
      </c>
      <c r="AH691" s="49">
        <f>VLOOKUP(B691,'Player Data'!$A1:$AE734,22,FALSE)</f>
        <v>0.468805818000644</v>
      </c>
      <c r="AI691" s="46"/>
      <c r="AJ691" s="50"/>
      <c r="AK691" s="48"/>
      <c r="AL691" s="48"/>
      <c r="AM691" s="48"/>
      <c r="AN691" s="48"/>
      <c r="AO691" s="48"/>
      <c r="AP691" s="48"/>
      <c r="AQ691" s="51"/>
      <c r="AR691" s="52"/>
      <c r="AS691" s="46"/>
    </row>
    <row r="692" ht="21.25" customHeight="1">
      <c r="A692" s="53">
        <f>RANK(K692,K2:K730)</f>
        <v>706</v>
      </c>
      <c r="B692" t="s" s="8">
        <v>844</v>
      </c>
      <c r="C692" t="s" s="39">
        <v>106</v>
      </c>
      <c r="D692" t="s" s="40">
        <f>VLOOKUP(B692,'Player Data'!A1:D734,4,FALSE)</f>
        <v>107</v>
      </c>
      <c r="E692" s="41">
        <f>VLOOKUP(B692,'C'!A1:C218,3,FALSE)</f>
        <v>199</v>
      </c>
      <c r="F692" t="s" s="42">
        <f>VLOOKUP(B692,'Player Data'!A1:B734,2,FALSE)</f>
        <v>164</v>
      </c>
      <c r="G692" s="9">
        <f>VLOOKUP(B692,'Player Data'!A1:D734,3,FALSE)</f>
        <v>23</v>
      </c>
      <c r="H692" s="43">
        <f>_xlfn.IFERROR(VLOOKUP(B692,'ADP'!A1:G731,7,FALSE)/1000000,VLOOKUP(B692,'ADP'!A1:G731,7,FALSE))</f>
        <v>0</v>
      </c>
      <c r="I692" s="44">
        <f>IF('Settings'!$E$15="POINTS",((R692*Q692)*'Settings'!$B$12)+(S692*'Settings'!$B$2)+(T692*'Settings'!$B$3)+(U692*'Settings'!$B$4)+(V692*'Settings'!$B$5)+(X692*'Settings'!$B$9)+(AA692*'Settings'!$B$6)+(W692*'Settings'!$B$8)+(AB692*'Settings'!$B$7)+(AC692*'Settings'!$B$14)+(AD692*'Settings'!$B$15)+(AE692*'Settings'!$B$16)+(AF692*'Settings'!$B$17)+(AG692*'Settings'!$B$18)+(Y692*'Settings'!$B$10)+(Z692*'Settings'!$B$11),VLOOKUP(B692,'Standard Deviations'!A1:C731,3,FALSE))</f>
        <v>118.729593485320</v>
      </c>
      <c r="J692" s="45">
        <f>IF(D692="G",I692/AJ692,I692/Q692)</f>
        <v>1.73131994437418</v>
      </c>
      <c r="K692" s="44">
        <f>IF('Settings'!$E$18="C/LW/RW",VLOOKUP(B692,'C'!A1:F218,6,FALSE),VLOOKUP(B692,'F'!A1:F432,6,FALSE))</f>
        <v>-277.044608150695</v>
      </c>
      <c r="L692" t="s" s="60">
        <f>_xlfn.IFERROR(K692/H692,"N/A")</f>
        <v>158</v>
      </c>
      <c r="M692" t="s" s="61">
        <f>IF('Settings'!$E$9="YAHOO",VLOOKUP(B692,'ADP'!A1:E731,2,FALSE),IF('Settings'!$E$9="ESPN",VLOOKUP(B692,'ADP'!A1:E731,3,FALSE),IF('Settings'!$E$9="FANTRAX",VLOOKUP(B692,'ADP'!A1:E731,4,FALSE),VLOOKUP(B692,'ADP'!A1:E731,5,FALSE))))</f>
        <v>329</v>
      </c>
      <c r="N692" t="s" s="61">
        <f>_xlfn.IFERROR(M692-A692,"N/A")</f>
        <v>158</v>
      </c>
      <c r="O692" s="46"/>
      <c r="P692" t="s" s="47">
        <f>IF('Settings'!$E$27="ON",VLOOKUP(B692,'ADP'!A1:H731,8,FALSE)," ")</f>
        <v>109</v>
      </c>
      <c r="Q692" s="48">
        <f>IF('Settings'!$E$12="YES",VLOOKUP(B692,'Player Data'!A1:E734,5,FALSE),82)</f>
        <v>68.5775</v>
      </c>
      <c r="R692" s="46">
        <f>VLOOKUP(B692,'Player Data'!$A1:$AE734,6,FALSE)</f>
        <v>10.0692785920177</v>
      </c>
      <c r="S692" s="48">
        <f>VLOOKUP(B692,'Player Data'!$A1:$AE734,7,FALSE)*$Q692*_xlfn.IFERROR((VLOOKUP(P692,'Settings'!$E$28:$F$33,2,FALSE)+1),1)</f>
        <v>4.82285022149833</v>
      </c>
      <c r="T692" s="48">
        <f>VLOOKUP(B692,'Player Data'!$A1:$AE734,8,FALSE)*$Q692*_xlfn.IFERROR((VLOOKUP(P692,'Settings'!$E$28:$F$33,2,FALSE)+1),1)</f>
        <v>10.0914824396822</v>
      </c>
      <c r="U692" s="48">
        <f>SUM(S692:T692)</f>
        <v>14.9143326611805</v>
      </c>
      <c r="V692" s="48">
        <f>VLOOKUP(B692,'Player Data'!$A1:$AE734,10,FALSE)*$Q692*_xlfn.IFERROR(((VLOOKUP(P692,'Settings'!$E$28:$F$33,2,FALSE)/2)+1),1)</f>
        <v>56.6327096837147</v>
      </c>
      <c r="W692" s="48">
        <f>VLOOKUP(B692,'Player Data'!$A1:$AE734,11,FALSE)*$Q692*_xlfn.IFERROR((VLOOKUP(P692,'Settings'!$E$28:$F$33,2,FALSE)+1),1)</f>
        <v>0.0765863458857889</v>
      </c>
      <c r="X692" s="48">
        <f>VLOOKUP(B692,'Player Data'!$A1:$AE734,12,FALSE)*$Q692*_xlfn.IFERROR((VLOOKUP(P692,'Settings'!$E$28:$F$33,2,FALSE)+1),1)</f>
        <v>0.202150950397206</v>
      </c>
      <c r="Y692" s="48">
        <f>VLOOKUP(B692,'Player Data'!$A1:$AE734,13,FALSE)*$Q692</f>
        <v>0.532010877966937</v>
      </c>
      <c r="Z692" s="48">
        <f>VLOOKUP(B692,'Player Data'!$A1:$AE734,14,FALSE)*$Q692</f>
        <v>1.30196224763868</v>
      </c>
      <c r="AA692" s="48">
        <f>VLOOKUP(B692,'Player Data'!$A1:$AE734,15,FALSE)*$Q692</f>
        <v>30.5131139393706</v>
      </c>
      <c r="AB692" s="48">
        <f>VLOOKUP(B692,'Player Data'!$A1:$AE734,16,FALSE)*$Q692</f>
        <v>82.30193545084209</v>
      </c>
      <c r="AC692" s="48">
        <f>VLOOKUP(B692,'Player Data'!$A1:$AE734,17,FALSE)*$Q692*_xlfn.IFERROR((VLOOKUP(P692,'Settings'!$E$28:$F$33,2,FALSE)+1),1)</f>
        <v>0.451580495406649</v>
      </c>
      <c r="AD692" s="48">
        <f>VLOOKUP(B692,'Player Data'!$A1:$AE734,18,FALSE)*$Q692</f>
        <v>15.8190928238523</v>
      </c>
      <c r="AE692" s="48">
        <f>VLOOKUP(B692,'Player Data'!$A1:$AE734,19,FALSE)*$Q692*_xlfn.IFERROR((VLOOKUP(P692,'Settings'!$E$28:$F$33,2,FALSE)+1),1)</f>
        <v>0.75238077751128</v>
      </c>
      <c r="AF692" s="48">
        <f>VLOOKUP(B692,'Player Data'!$A1:$AE734,20,FALSE)*$Q692</f>
        <v>199.684393396576</v>
      </c>
      <c r="AG692" s="48">
        <f>VLOOKUP(B692,'Player Data'!$A1:$AE734,21,FALSE)*$Q692</f>
        <v>204.471850681312</v>
      </c>
      <c r="AH692" s="49">
        <f>VLOOKUP(B692,'Player Data'!$A1:$AE734,22,FALSE)</f>
        <v>0.494077219695492</v>
      </c>
      <c r="AI692" s="46"/>
      <c r="AJ692" s="50"/>
      <c r="AK692" s="48"/>
      <c r="AL692" s="48"/>
      <c r="AM692" s="48"/>
      <c r="AN692" s="48"/>
      <c r="AO692" s="48"/>
      <c r="AP692" s="48"/>
      <c r="AQ692" s="51"/>
      <c r="AR692" s="52"/>
      <c r="AS692" s="46"/>
    </row>
    <row r="693" ht="21.25" customHeight="1">
      <c r="A693" s="53">
        <f>RANK(K693,K2:K730)</f>
        <v>682</v>
      </c>
      <c r="B693" t="s" s="8">
        <v>845</v>
      </c>
      <c r="C693" t="s" s="39">
        <v>106</v>
      </c>
      <c r="D693" t="s" s="40">
        <f>VLOOKUP(B693,'Player Data'!A1:D734,4,FALSE)</f>
        <v>121</v>
      </c>
      <c r="E693" s="55">
        <f>VLOOKUP(B693,'RW'!A1:F132,3,FALSE)</f>
        <v>124</v>
      </c>
      <c r="F693" t="s" s="42">
        <f>VLOOKUP(B693,'Player Data'!A1:B734,2,FALSE)</f>
        <v>115</v>
      </c>
      <c r="G693" s="9">
        <f>VLOOKUP(B693,'Player Data'!A1:D734,3,FALSE)</f>
        <v>36</v>
      </c>
      <c r="H693" s="43">
        <f>_xlfn.IFERROR(VLOOKUP(B693,'ADP'!A1:G731,7,FALSE)/1000000,VLOOKUP(B693,'ADP'!A1:G731,7,FALSE))</f>
        <v>1.3</v>
      </c>
      <c r="I693" s="44">
        <f>IF('Settings'!$E$15="POINTS",((R693*Q693)*'Settings'!$B$12)+(S693*'Settings'!$B$2)+(T693*'Settings'!$B$3)+(U693*'Settings'!$B$4)+(V693*'Settings'!$B$5)+(X693*'Settings'!$B$9)+(AA693*'Settings'!$B$6)+(W693*'Settings'!$B$8)+(AB693*'Settings'!$B$7)+(AC693*'Settings'!$B$14)+(AD693*'Settings'!$B$15)+(AE693*'Settings'!$B$16)+(AF693*'Settings'!$B$17)+(AG693*'Settings'!$B$18)+(Y693*'Settings'!$B$10)+(Z693*'Settings'!$B$11),VLOOKUP(B693,'Standard Deviations'!A1:C731,3,FALSE))</f>
        <v>130.696762552861</v>
      </c>
      <c r="J693" s="45">
        <f>IF(D693="G",I693/AJ693,I693/Q693)</f>
        <v>1.72280306167149</v>
      </c>
      <c r="K693" s="44">
        <f>IF('Settings'!$E$18="C/LW/RW",VLOOKUP(B693,'RW'!A1:F132,6,FALSE),VLOOKUP(B693,'F'!A1:F432,6,FALSE))</f>
        <v>-250.931801153495</v>
      </c>
      <c r="L693" s="44">
        <f>_xlfn.IFERROR(K693/H693,"N/A")</f>
        <v>-193.024462425765</v>
      </c>
      <c r="M693" t="s" s="61">
        <f>IF('Settings'!$E$9="YAHOO",VLOOKUP(B693,'ADP'!A1:E731,2,FALSE),IF('Settings'!$E$9="ESPN",VLOOKUP(B693,'ADP'!A1:E731,3,FALSE),IF('Settings'!$E$9="FANTRAX",VLOOKUP(B693,'ADP'!A1:E731,4,FALSE),VLOOKUP(B693,'ADP'!A1:E731,5,FALSE))))</f>
        <v>329</v>
      </c>
      <c r="N693" t="s" s="61">
        <f>_xlfn.IFERROR(M693-A693,"N/A")</f>
        <v>158</v>
      </c>
      <c r="O693" s="46"/>
      <c r="P693" t="s" s="47">
        <f>IF('Settings'!$E$27="ON",VLOOKUP(B693,'ADP'!A1:H731,8,FALSE)," ")</f>
        <v>109</v>
      </c>
      <c r="Q693" s="48">
        <f>IF('Settings'!$E$12="YES",VLOOKUP(B693,'Player Data'!A1:E734,5,FALSE),82)</f>
        <v>75.8628571428571</v>
      </c>
      <c r="R693" s="46">
        <f>VLOOKUP(B693,'Player Data'!$A1:$AE734,6,FALSE)</f>
        <v>9.31712989498569</v>
      </c>
      <c r="S693" s="48">
        <f>VLOOKUP(B693,'Player Data'!$A1:$AE734,7,FALSE)*$Q693*_xlfn.IFERROR((VLOOKUP(P693,'Settings'!$E$28:$F$33,2,FALSE)+1),1)</f>
        <v>4.01891604811447</v>
      </c>
      <c r="T693" s="48">
        <f>VLOOKUP(B693,'Player Data'!$A1:$AE734,8,FALSE)*$Q693*_xlfn.IFERROR((VLOOKUP(P693,'Settings'!$E$28:$F$33,2,FALSE)+1),1)</f>
        <v>7.95216655417507</v>
      </c>
      <c r="U693" s="48">
        <f>SUM(S693:T693)</f>
        <v>11.9710826022895</v>
      </c>
      <c r="V693" s="48">
        <f>VLOOKUP(B693,'Player Data'!$A1:$AE734,10,FALSE)*$Q693*_xlfn.IFERROR(((VLOOKUP(P693,'Settings'!$E$28:$F$33,2,FALSE)/2)+1),1)</f>
        <v>52.0705906849062</v>
      </c>
      <c r="W693" s="48">
        <f>VLOOKUP(B693,'Player Data'!$A1:$AE734,11,FALSE)*$Q693*_xlfn.IFERROR((VLOOKUP(P693,'Settings'!$E$28:$F$33,2,FALSE)+1),1)</f>
        <v>0.0209762225296446</v>
      </c>
      <c r="X693" s="48">
        <f>VLOOKUP(B693,'Player Data'!$A1:$AE734,12,FALSE)*$Q693*_xlfn.IFERROR((VLOOKUP(P693,'Settings'!$E$28:$F$33,2,FALSE)+1),1)</f>
        <v>0.05762603845292</v>
      </c>
      <c r="Y693" s="48">
        <f>VLOOKUP(B693,'Player Data'!$A1:$AE734,13,FALSE)*$Q693</f>
        <v>0.00230976437383857</v>
      </c>
      <c r="Z693" s="48">
        <f>VLOOKUP(B693,'Player Data'!$A1:$AE734,14,FALSE)*$Q693</f>
        <v>0.00458378410953921</v>
      </c>
      <c r="AA693" s="48">
        <f>VLOOKUP(B693,'Player Data'!$A1:$AE734,15,FALSE)*$Q693</f>
        <v>23.1916213470125</v>
      </c>
      <c r="AB693" s="48">
        <f>VLOOKUP(B693,'Player Data'!$A1:$AE734,16,FALSE)*$Q693</f>
        <v>204.459468358569</v>
      </c>
      <c r="AC693" s="48">
        <f>VLOOKUP(B693,'Player Data'!$A1:$AE734,17,FALSE)*$Q693*_xlfn.IFERROR((VLOOKUP(P693,'Settings'!$E$28:$F$33,2,FALSE)+1),1)</f>
        <v>2.56382699651445</v>
      </c>
      <c r="AD693" s="48">
        <f>VLOOKUP(B693,'Player Data'!$A1:$AE734,18,FALSE)*$Q693</f>
        <v>37.0423344886912</v>
      </c>
      <c r="AE693" s="48">
        <f>VLOOKUP(B693,'Player Data'!$A1:$AE734,19,FALSE)*$Q693*_xlfn.IFERROR((VLOOKUP(P693,'Settings'!$E$28:$F$33,2,FALSE)+1),1)</f>
        <v>0.645637794917896</v>
      </c>
      <c r="AF693" s="48">
        <f>VLOOKUP(B693,'Player Data'!$A1:$AE734,20,FALSE)*$Q693</f>
        <v>5.64385395549736</v>
      </c>
      <c r="AG693" s="48">
        <f>VLOOKUP(B693,'Player Data'!$A1:$AE734,21,FALSE)*$Q693</f>
        <v>9.734456142030909</v>
      </c>
      <c r="AH693" s="49">
        <f>VLOOKUP(B693,'Player Data'!$A1:$AE734,22,FALSE)</f>
        <v>0.367000920107892</v>
      </c>
      <c r="AI693" s="46"/>
      <c r="AJ693" s="50"/>
      <c r="AK693" s="48"/>
      <c r="AL693" s="48"/>
      <c r="AM693" s="48"/>
      <c r="AN693" s="48"/>
      <c r="AO693" s="48"/>
      <c r="AP693" s="48"/>
      <c r="AQ693" s="51"/>
      <c r="AR693" s="52"/>
      <c r="AS693" s="46"/>
    </row>
    <row r="694" ht="21.25" customHeight="1">
      <c r="A694" s="53">
        <f>RANK(K694,K2:K730)</f>
        <v>720</v>
      </c>
      <c r="B694" t="s" s="8">
        <v>846</v>
      </c>
      <c r="C694" t="s" s="39">
        <v>106</v>
      </c>
      <c r="D694" t="s" s="40">
        <f>VLOOKUP(B694,'Player Data'!A1:D734,4,FALSE)</f>
        <v>107</v>
      </c>
      <c r="E694" s="41">
        <f>VLOOKUP(B694,'C'!A1:C218,3,FALSE)</f>
        <v>207</v>
      </c>
      <c r="F694" t="s" s="42">
        <f>VLOOKUP(B694,'Player Data'!A1:B734,2,FALSE)</f>
        <v>119</v>
      </c>
      <c r="G694" s="9">
        <f>VLOOKUP(B694,'Player Data'!A1:D734,3,FALSE)</f>
        <v>25</v>
      </c>
      <c r="H694" s="43">
        <f>_xlfn.IFERROR(VLOOKUP(B694,'ADP'!A1:G731,7,FALSE)/1000000,VLOOKUP(B694,'ADP'!A1:G731,7,FALSE))</f>
        <v>0</v>
      </c>
      <c r="I694" s="44">
        <f>IF('Settings'!$E$15="POINTS",((R694*Q694)*'Settings'!$B$12)+(S694*'Settings'!$B$2)+(T694*'Settings'!$B$3)+(U694*'Settings'!$B$4)+(V694*'Settings'!$B$5)+(X694*'Settings'!$B$9)+(AA694*'Settings'!$B$6)+(W694*'Settings'!$B$8)+(AB694*'Settings'!$B$7)+(AC694*'Settings'!$B$14)+(AD694*'Settings'!$B$15)+(AE694*'Settings'!$B$16)+(AF694*'Settings'!$B$17)+(AG694*'Settings'!$B$18)+(Y694*'Settings'!$B$10)+(Z694*'Settings'!$B$11),VLOOKUP(B694,'Standard Deviations'!A1:C731,3,FALSE))</f>
        <v>101.601723836421</v>
      </c>
      <c r="J694" s="45">
        <f>IF(D694="G",I694/AJ694,I694/Q694)</f>
        <v>1.69336206394035</v>
      </c>
      <c r="K694" s="44">
        <f>IF('Settings'!$E$18="C/LW/RW",VLOOKUP(B694,'C'!A1:F218,6,FALSE),VLOOKUP(B694,'F'!A1:F432,6,FALSE))</f>
        <v>-294.172477799594</v>
      </c>
      <c r="L694" t="s" s="60">
        <f>_xlfn.IFERROR(K694/H694,"N/A")</f>
        <v>158</v>
      </c>
      <c r="M694" t="s" s="61">
        <f>IF('Settings'!$E$9="YAHOO",VLOOKUP(B694,'ADP'!A1:E731,2,FALSE),IF('Settings'!$E$9="ESPN",VLOOKUP(B694,'ADP'!A1:E731,3,FALSE),IF('Settings'!$E$9="FANTRAX",VLOOKUP(B694,'ADP'!A1:E731,4,FALSE),VLOOKUP(B694,'ADP'!A1:E731,5,FALSE))))</f>
        <v>329</v>
      </c>
      <c r="N694" t="s" s="61">
        <f>_xlfn.IFERROR(M694-A694,"N/A")</f>
        <v>158</v>
      </c>
      <c r="O694" s="46"/>
      <c r="P694" t="s" s="47">
        <f>IF('Settings'!$E$27="ON",VLOOKUP(B694,'ADP'!A1:H731,8,FALSE)," ")</f>
        <v>109</v>
      </c>
      <c r="Q694" s="48">
        <f>IF('Settings'!$E$12="YES",VLOOKUP(B694,'Player Data'!A1:E734,5,FALSE),82)</f>
        <v>60</v>
      </c>
      <c r="R694" s="46">
        <f>VLOOKUP(B694,'Player Data'!$A1:$AE734,6,FALSE)</f>
        <v>10.8770651524042</v>
      </c>
      <c r="S694" s="48">
        <f>VLOOKUP(B694,'Player Data'!$A1:$AE734,7,FALSE)*$Q694*_xlfn.IFERROR((VLOOKUP(P694,'Settings'!$E$28:$F$33,2,FALSE)+1),1)</f>
        <v>4.63161519319842</v>
      </c>
      <c r="T694" s="48">
        <f>VLOOKUP(B694,'Player Data'!$A1:$AE734,8,FALSE)*$Q694*_xlfn.IFERROR((VLOOKUP(P694,'Settings'!$E$28:$F$33,2,FALSE)+1),1)</f>
        <v>9.295998492259621</v>
      </c>
      <c r="U694" s="48">
        <f>SUM(S694:T694)</f>
        <v>13.927613685458</v>
      </c>
      <c r="V694" s="48">
        <f>VLOOKUP(B694,'Player Data'!$A1:$AE734,10,FALSE)*$Q694*_xlfn.IFERROR(((VLOOKUP(P694,'Settings'!$E$28:$F$33,2,FALSE)/2)+1),1)</f>
        <v>68.8248132658326</v>
      </c>
      <c r="W694" s="48">
        <f>VLOOKUP(B694,'Player Data'!$A1:$AE734,11,FALSE)*$Q694*_xlfn.IFERROR((VLOOKUP(P694,'Settings'!$E$28:$F$33,2,FALSE)+1),1)</f>
        <v>0.0613843826141778</v>
      </c>
      <c r="X694" s="48">
        <f>VLOOKUP(B694,'Player Data'!$A1:$AE734,12,FALSE)*$Q694*_xlfn.IFERROR((VLOOKUP(P694,'Settings'!$E$28:$F$33,2,FALSE)+1),1)</f>
        <v>0.137499693511673</v>
      </c>
      <c r="Y694" s="48">
        <f>VLOOKUP(B694,'Player Data'!$A1:$AE734,13,FALSE)*$Q694</f>
        <v>0.81627441928572</v>
      </c>
      <c r="Z694" s="48">
        <f>VLOOKUP(B694,'Player Data'!$A1:$AE734,14,FALSE)*$Q694</f>
        <v>0.897228013041294</v>
      </c>
      <c r="AA694" s="48">
        <f>VLOOKUP(B694,'Player Data'!$A1:$AE734,15,FALSE)*$Q694</f>
        <v>14.4159577717687</v>
      </c>
      <c r="AB694" s="48">
        <f>VLOOKUP(B694,'Player Data'!$A1:$AE734,16,FALSE)*$Q694</f>
        <v>37.8264737814626</v>
      </c>
      <c r="AC694" s="48">
        <f>VLOOKUP(B694,'Player Data'!$A1:$AE734,17,FALSE)*$Q694*_xlfn.IFERROR((VLOOKUP(P694,'Settings'!$E$28:$F$33,2,FALSE)+1),1)</f>
        <v>1.36858257600421</v>
      </c>
      <c r="AD694" s="48">
        <f>VLOOKUP(B694,'Player Data'!$A1:$AE734,18,FALSE)*$Q694</f>
        <v>7.85711882500968</v>
      </c>
      <c r="AE694" s="48">
        <f>VLOOKUP(B694,'Player Data'!$A1:$AE734,19,FALSE)*$Q694*_xlfn.IFERROR((VLOOKUP(P694,'Settings'!$E$28:$F$33,2,FALSE)+1),1)</f>
        <v>0.6644157640987201</v>
      </c>
      <c r="AF694" s="48">
        <f>VLOOKUP(B694,'Player Data'!$A1:$AE734,20,FALSE)*$Q694</f>
        <v>23.652234163763</v>
      </c>
      <c r="AG694" s="48">
        <f>VLOOKUP(B694,'Player Data'!$A1:$AE734,21,FALSE)*$Q694</f>
        <v>33.4408544445937</v>
      </c>
      <c r="AH694" s="49">
        <f>VLOOKUP(B694,'Player Data'!$A1:$AE734,22,FALSE)</f>
        <v>0.414274910331284</v>
      </c>
      <c r="AI694" s="46"/>
      <c r="AJ694" s="50"/>
      <c r="AK694" s="48"/>
      <c r="AL694" s="48"/>
      <c r="AM694" s="48"/>
      <c r="AN694" s="48"/>
      <c r="AO694" s="48"/>
      <c r="AP694" s="48"/>
      <c r="AQ694" s="51"/>
      <c r="AR694" s="52"/>
      <c r="AS694" s="46"/>
    </row>
    <row r="695" ht="21.25" customHeight="1">
      <c r="A695" s="53">
        <f>RANK(K695,K2:K730)</f>
        <v>713</v>
      </c>
      <c r="B695" t="s" s="8">
        <v>847</v>
      </c>
      <c r="C695" t="s" s="39">
        <v>106</v>
      </c>
      <c r="D695" t="s" s="40">
        <f>VLOOKUP(B695,'Player Data'!A1:D734,4,FALSE)</f>
        <v>107</v>
      </c>
      <c r="E695" s="41">
        <f>VLOOKUP(B695,'C'!A1:C218,3,FALSE)</f>
        <v>204</v>
      </c>
      <c r="F695" t="s" s="42">
        <f>VLOOKUP(B695,'Player Data'!A1:B734,2,FALSE)</f>
        <v>194</v>
      </c>
      <c r="G695" s="9">
        <f>VLOOKUP(B695,'Player Data'!A1:D734,3,FALSE)</f>
        <v>22</v>
      </c>
      <c r="H695" s="43">
        <f>_xlfn.IFERROR(VLOOKUP(B695,'ADP'!A1:G731,7,FALSE)/1000000,VLOOKUP(B695,'ADP'!A1:G731,7,FALSE))</f>
        <v>0</v>
      </c>
      <c r="I695" s="44">
        <f>IF('Settings'!$E$15="POINTS",((R695*Q695)*'Settings'!$B$12)+(S695*'Settings'!$B$2)+(T695*'Settings'!$B$3)+(U695*'Settings'!$B$4)+(V695*'Settings'!$B$5)+(X695*'Settings'!$B$9)+(AA695*'Settings'!$B$6)+(W695*'Settings'!$B$8)+(AB695*'Settings'!$B$7)+(AC695*'Settings'!$B$14)+(AD695*'Settings'!$B$15)+(AE695*'Settings'!$B$16)+(AF695*'Settings'!$B$17)+(AG695*'Settings'!$B$18)+(Y695*'Settings'!$B$10)+(Z695*'Settings'!$B$11),VLOOKUP(B695,'Standard Deviations'!A1:C731,3,FALSE))</f>
        <v>113.347859382442</v>
      </c>
      <c r="J695" s="45">
        <f>IF(D695="G",I695/AJ695,I695/Q695)</f>
        <v>1.90117174408658</v>
      </c>
      <c r="K695" s="44">
        <f>IF('Settings'!$E$18="C/LW/RW",VLOOKUP(B695,'C'!A1:F218,6,FALSE),VLOOKUP(B695,'F'!A1:F432,6,FALSE))</f>
        <v>-282.426342253573</v>
      </c>
      <c r="L695" t="s" s="60">
        <f>_xlfn.IFERROR(K695/H695,"N/A")</f>
        <v>158</v>
      </c>
      <c r="M695" t="s" s="61">
        <f>IF('Settings'!$E$9="YAHOO",VLOOKUP(B695,'ADP'!A1:E731,2,FALSE),IF('Settings'!$E$9="ESPN",VLOOKUP(B695,'ADP'!A1:E731,3,FALSE),IF('Settings'!$E$9="FANTRAX",VLOOKUP(B695,'ADP'!A1:E731,4,FALSE),VLOOKUP(B695,'ADP'!A1:E731,5,FALSE))))</f>
        <v>329</v>
      </c>
      <c r="N695" t="s" s="61">
        <f>_xlfn.IFERROR(M695-A695,"N/A")</f>
        <v>158</v>
      </c>
      <c r="O695" s="46"/>
      <c r="P695" t="s" s="47">
        <f>IF('Settings'!$E$27="ON",VLOOKUP(B695,'ADP'!A1:H731,8,FALSE)," ")</f>
        <v>109</v>
      </c>
      <c r="Q695" s="48">
        <f>IF('Settings'!$E$12="YES",VLOOKUP(B695,'Player Data'!A1:E734,5,FALSE),82)</f>
        <v>59.62</v>
      </c>
      <c r="R695" s="46">
        <f>VLOOKUP(B695,'Player Data'!$A1:$AE734,6,FALSE)</f>
        <v>9.62535401827091</v>
      </c>
      <c r="S695" s="48">
        <f>VLOOKUP(B695,'Player Data'!$A1:$AE734,7,FALSE)*$Q695*_xlfn.IFERROR((VLOOKUP(P695,'Settings'!$E$28:$F$33,2,FALSE)+1),1)</f>
        <v>6.39229513230431</v>
      </c>
      <c r="T695" s="48">
        <f>VLOOKUP(B695,'Player Data'!$A1:$AE734,8,FALSE)*$Q695*_xlfn.IFERROR((VLOOKUP(P695,'Settings'!$E$28:$F$33,2,FALSE)+1),1)</f>
        <v>8.34402238506684</v>
      </c>
      <c r="U695" s="48">
        <f>SUM(S695:T695)</f>
        <v>14.7363175173712</v>
      </c>
      <c r="V695" s="48">
        <f>VLOOKUP(B695,'Player Data'!$A1:$AE734,10,FALSE)*$Q695*_xlfn.IFERROR(((VLOOKUP(P695,'Settings'!$E$28:$F$33,2,FALSE)/2)+1),1)</f>
        <v>57.8230211968636</v>
      </c>
      <c r="W695" s="48">
        <f>VLOOKUP(B695,'Player Data'!$A1:$AE734,11,FALSE)*$Q695*_xlfn.IFERROR((VLOOKUP(P695,'Settings'!$E$28:$F$33,2,FALSE)+1),1)</f>
        <v>0.0487900255255457</v>
      </c>
      <c r="X695" s="48">
        <f>VLOOKUP(B695,'Player Data'!$A1:$AE734,12,FALSE)*$Q695*_xlfn.IFERROR((VLOOKUP(P695,'Settings'!$E$28:$F$33,2,FALSE)+1),1)</f>
        <v>0.12317254012224</v>
      </c>
      <c r="Y695" s="48">
        <f>VLOOKUP(B695,'Player Data'!$A1:$AE734,13,FALSE)*$Q695</f>
        <v>0.0399464772506003</v>
      </c>
      <c r="Z695" s="48">
        <f>VLOOKUP(B695,'Player Data'!$A1:$AE734,14,FALSE)*$Q695</f>
        <v>0.0728494591774068</v>
      </c>
      <c r="AA695" s="48">
        <f>VLOOKUP(B695,'Player Data'!$A1:$AE734,15,FALSE)*$Q695</f>
        <v>25.2865024743442</v>
      </c>
      <c r="AB695" s="48">
        <f>VLOOKUP(B695,'Player Data'!$A1:$AE734,16,FALSE)*$Q695</f>
        <v>71.4000135116533</v>
      </c>
      <c r="AC695" s="48">
        <f>VLOOKUP(B695,'Player Data'!$A1:$AE734,17,FALSE)*$Q695*_xlfn.IFERROR((VLOOKUP(P695,'Settings'!$E$28:$F$33,2,FALSE)+1),1)</f>
        <v>-2.52131613835028</v>
      </c>
      <c r="AD695" s="48">
        <f>VLOOKUP(B695,'Player Data'!$A1:$AE734,18,FALSE)*$Q695</f>
        <v>15.2224089249669</v>
      </c>
      <c r="AE695" s="48">
        <f>VLOOKUP(B695,'Player Data'!$A1:$AE734,19,FALSE)*$Q695*_xlfn.IFERROR((VLOOKUP(P695,'Settings'!$E$28:$F$33,2,FALSE)+1),1)</f>
        <v>0.735578862477159</v>
      </c>
      <c r="AF695" s="48">
        <f>VLOOKUP(B695,'Player Data'!$A1:$AE734,20,FALSE)*$Q695</f>
        <v>110.691746363043</v>
      </c>
      <c r="AG695" s="48">
        <f>VLOOKUP(B695,'Player Data'!$A1:$AE734,21,FALSE)*$Q695</f>
        <v>202.586781079533</v>
      </c>
      <c r="AH695" s="49">
        <f>VLOOKUP(B695,'Player Data'!$A1:$AE734,22,FALSE)</f>
        <v>0.353333333333333</v>
      </c>
      <c r="AI695" s="46"/>
      <c r="AJ695" s="50"/>
      <c r="AK695" s="48"/>
      <c r="AL695" s="48"/>
      <c r="AM695" s="48"/>
      <c r="AN695" s="48"/>
      <c r="AO695" s="48"/>
      <c r="AP695" s="48"/>
      <c r="AQ695" s="51"/>
      <c r="AR695" s="52"/>
      <c r="AS695" s="46"/>
    </row>
    <row r="696" ht="21.25" customHeight="1">
      <c r="A696" s="53">
        <f>RANK(K696,K2:K730)</f>
        <v>701</v>
      </c>
      <c r="B696" t="s" s="8">
        <v>848</v>
      </c>
      <c r="C696" t="s" s="39">
        <v>106</v>
      </c>
      <c r="D696" t="s" s="40">
        <f>VLOOKUP(B696,'Player Data'!A1:D734,4,FALSE)</f>
        <v>107</v>
      </c>
      <c r="E696" s="41">
        <f>VLOOKUP(B696,'C'!A1:C218,3,FALSE)</f>
        <v>197</v>
      </c>
      <c r="F696" t="s" s="42">
        <f>VLOOKUP(B696,'Player Data'!A1:B734,2,FALSE)</f>
        <v>234</v>
      </c>
      <c r="G696" s="9">
        <f>VLOOKUP(B696,'Player Data'!A1:D734,3,FALSE)</f>
        <v>31</v>
      </c>
      <c r="H696" s="43">
        <f>_xlfn.IFERROR(VLOOKUP(B696,'ADP'!A1:G731,7,FALSE)/1000000,VLOOKUP(B696,'ADP'!A1:G731,7,FALSE))</f>
        <v>0.85</v>
      </c>
      <c r="I696" s="44">
        <f>IF('Settings'!$E$15="POINTS",((R696*Q696)*'Settings'!$B$12)+(S696*'Settings'!$B$2)+(T696*'Settings'!$B$3)+(U696*'Settings'!$B$4)+(V696*'Settings'!$B$5)+(X696*'Settings'!$B$9)+(AA696*'Settings'!$B$6)+(W696*'Settings'!$B$8)+(AB696*'Settings'!$B$7)+(AC696*'Settings'!$B$14)+(AD696*'Settings'!$B$15)+(AE696*'Settings'!$B$16)+(AF696*'Settings'!$B$17)+(AG696*'Settings'!$B$18)+(Y696*'Settings'!$B$10)+(Z696*'Settings'!$B$11),VLOOKUP(B696,'Standard Deviations'!A1:C731,3,FALSE))</f>
        <v>122.466041388118</v>
      </c>
      <c r="J696" s="45">
        <f>IF(D696="G",I696/AJ696,I696/Q696)</f>
        <v>1.90460406513403</v>
      </c>
      <c r="K696" s="44">
        <f>IF('Settings'!$E$18="C/LW/RW",VLOOKUP(B696,'C'!A1:F218,6,FALSE),VLOOKUP(B696,'F'!A1:F432,6,FALSE))</f>
        <v>-273.308160247897</v>
      </c>
      <c r="L696" s="44">
        <f>_xlfn.IFERROR(K696/H696,"N/A")</f>
        <v>-321.539012056349</v>
      </c>
      <c r="M696" t="s" s="61">
        <f>IF('Settings'!$E$9="YAHOO",VLOOKUP(B696,'ADP'!A1:E731,2,FALSE),IF('Settings'!$E$9="ESPN",VLOOKUP(B696,'ADP'!A1:E731,3,FALSE),IF('Settings'!$E$9="FANTRAX",VLOOKUP(B696,'ADP'!A1:E731,4,FALSE),VLOOKUP(B696,'ADP'!A1:E731,5,FALSE))))</f>
        <v>329</v>
      </c>
      <c r="N696" t="s" s="61">
        <f>_xlfn.IFERROR(M696-A696,"N/A")</f>
        <v>158</v>
      </c>
      <c r="O696" s="46"/>
      <c r="P696" t="s" s="47">
        <f>IF('Settings'!$E$27="ON",VLOOKUP(B696,'ADP'!A1:H731,8,FALSE)," ")</f>
        <v>109</v>
      </c>
      <c r="Q696" s="48">
        <f>IF('Settings'!$E$12="YES",VLOOKUP(B696,'Player Data'!A1:E734,5,FALSE),82)</f>
        <v>64.3</v>
      </c>
      <c r="R696" s="46">
        <f>VLOOKUP(B696,'Player Data'!$A1:$AE734,6,FALSE)</f>
        <v>10.5453497192044</v>
      </c>
      <c r="S696" s="48">
        <f>VLOOKUP(B696,'Player Data'!$A1:$AE734,7,FALSE)*$Q696*_xlfn.IFERROR((VLOOKUP(P696,'Settings'!$E$28:$F$33,2,FALSE)+1),1)</f>
        <v>6.11520463617735</v>
      </c>
      <c r="T696" s="48">
        <f>VLOOKUP(B696,'Player Data'!$A1:$AE734,8,FALSE)*$Q696*_xlfn.IFERROR((VLOOKUP(P696,'Settings'!$E$28:$F$33,2,FALSE)+1),1)</f>
        <v>6.58755390183479</v>
      </c>
      <c r="U696" s="48">
        <f>SUM(S696:T696)</f>
        <v>12.7027585380121</v>
      </c>
      <c r="V696" s="48">
        <f>VLOOKUP(B696,'Player Data'!$A1:$AE734,10,FALSE)*$Q696*_xlfn.IFERROR(((VLOOKUP(P696,'Settings'!$E$28:$F$33,2,FALSE)/2)+1),1)</f>
        <v>67.5340989159014</v>
      </c>
      <c r="W696" s="48">
        <f>VLOOKUP(B696,'Player Data'!$A1:$AE734,11,FALSE)*$Q696*_xlfn.IFERROR((VLOOKUP(P696,'Settings'!$E$28:$F$33,2,FALSE)+1),1)</f>
        <v>0.143811705776244</v>
      </c>
      <c r="X696" s="48">
        <f>VLOOKUP(B696,'Player Data'!$A1:$AE734,12,FALSE)*$Q696*_xlfn.IFERROR((VLOOKUP(P696,'Settings'!$E$28:$F$33,2,FALSE)+1),1)</f>
        <v>0.420123404103606</v>
      </c>
      <c r="Y696" s="48">
        <f>VLOOKUP(B696,'Player Data'!$A1:$AE734,13,FALSE)*$Q696</f>
        <v>0.0877434175446403</v>
      </c>
      <c r="Z696" s="48">
        <f>VLOOKUP(B696,'Player Data'!$A1:$AE734,14,FALSE)*$Q696</f>
        <v>0.162150662465745</v>
      </c>
      <c r="AA696" s="48">
        <f>VLOOKUP(B696,'Player Data'!$A1:$AE734,15,FALSE)*$Q696</f>
        <v>25.924587310227</v>
      </c>
      <c r="AB696" s="48">
        <f>VLOOKUP(B696,'Player Data'!$A1:$AE734,16,FALSE)*$Q696</f>
        <v>112.525257527279</v>
      </c>
      <c r="AC696" s="48">
        <f>VLOOKUP(B696,'Player Data'!$A1:$AE734,17,FALSE)*$Q696*_xlfn.IFERROR((VLOOKUP(P696,'Settings'!$E$28:$F$33,2,FALSE)+1),1)</f>
        <v>-7.29503224949075</v>
      </c>
      <c r="AD696" s="48">
        <f>VLOOKUP(B696,'Player Data'!$A1:$AE734,18,FALSE)*$Q696</f>
        <v>59.4129064626178</v>
      </c>
      <c r="AE696" s="48">
        <f>VLOOKUP(B696,'Player Data'!$A1:$AE734,19,FALSE)*$Q696*_xlfn.IFERROR((VLOOKUP(P696,'Settings'!$E$28:$F$33,2,FALSE)+1),1)</f>
        <v>0.586222019003215</v>
      </c>
      <c r="AF696" s="48">
        <f>VLOOKUP(B696,'Player Data'!$A1:$AE734,20,FALSE)*$Q696</f>
        <v>213.655710995721</v>
      </c>
      <c r="AG696" s="48">
        <f>VLOOKUP(B696,'Player Data'!$A1:$AE734,21,FALSE)*$Q696</f>
        <v>217.1201450117</v>
      </c>
      <c r="AH696" s="49">
        <f>VLOOKUP(B696,'Player Data'!$A1:$AE734,22,FALSE)</f>
        <v>0.49597884379119</v>
      </c>
      <c r="AI696" s="46"/>
      <c r="AJ696" s="50"/>
      <c r="AK696" s="48"/>
      <c r="AL696" s="48"/>
      <c r="AM696" s="48"/>
      <c r="AN696" s="48"/>
      <c r="AO696" s="48"/>
      <c r="AP696" s="48"/>
      <c r="AQ696" s="51"/>
      <c r="AR696" s="52"/>
      <c r="AS696" s="46"/>
    </row>
    <row r="697" ht="21.25" customHeight="1">
      <c r="A697" s="53">
        <f>RANK(K697,K2:K730)</f>
        <v>721</v>
      </c>
      <c r="B697" t="s" s="8">
        <v>849</v>
      </c>
      <c r="C697" t="s" s="39">
        <v>106</v>
      </c>
      <c r="D697" t="s" s="40">
        <f>VLOOKUP(B697,'Player Data'!A1:D734,4,FALSE)</f>
        <v>107</v>
      </c>
      <c r="E697" s="41">
        <f>VLOOKUP(B697,'C'!A1:C218,3,FALSE)</f>
        <v>208</v>
      </c>
      <c r="F697" t="s" s="42">
        <f>VLOOKUP(B697,'Player Data'!A1:B734,2,FALSE)</f>
        <v>134</v>
      </c>
      <c r="G697" s="9">
        <f>VLOOKUP(B697,'Player Data'!A1:D734,3,FALSE)</f>
        <v>21</v>
      </c>
      <c r="H697" s="43">
        <f>_xlfn.IFERROR(VLOOKUP(B697,'ADP'!A1:G731,7,FALSE)/1000000,VLOOKUP(B697,'ADP'!A1:G731,7,FALSE))</f>
        <v>0.863333</v>
      </c>
      <c r="I697" s="44">
        <f>IF('Settings'!$E$15="POINTS",((R697*Q697)*'Settings'!$B$12)+(S697*'Settings'!$B$2)+(T697*'Settings'!$B$3)+(U697*'Settings'!$B$4)+(V697*'Settings'!$B$5)+(X697*'Settings'!$B$9)+(AA697*'Settings'!$B$6)+(W697*'Settings'!$B$8)+(AB697*'Settings'!$B$7)+(AC697*'Settings'!$B$14)+(AD697*'Settings'!$B$15)+(AE697*'Settings'!$B$16)+(AF697*'Settings'!$B$17)+(AG697*'Settings'!$B$18)+(Y697*'Settings'!$B$10)+(Z697*'Settings'!$B$11),VLOOKUP(B697,'Standard Deviations'!A1:C731,3,FALSE))</f>
        <v>99.89542539844329</v>
      </c>
      <c r="J697" s="45">
        <f>IF(D697="G",I697/AJ697,I697/Q697)</f>
        <v>1.93417736383065</v>
      </c>
      <c r="K697" s="44">
        <f>IF('Settings'!$E$18="C/LW/RW",VLOOKUP(B697,'C'!A1:F218,6,FALSE),VLOOKUP(B697,'F'!A1:F432,6,FALSE))</f>
        <v>-295.878776237572</v>
      </c>
      <c r="L697" s="44">
        <f>_xlfn.IFERROR(K697/H697,"N/A")</f>
        <v>-342.716861555821</v>
      </c>
      <c r="M697" t="s" s="61">
        <f>IF('Settings'!$E$9="YAHOO",VLOOKUP(B697,'ADP'!A1:E731,2,FALSE),IF('Settings'!$E$9="ESPN",VLOOKUP(B697,'ADP'!A1:E731,3,FALSE),IF('Settings'!$E$9="FANTRAX",VLOOKUP(B697,'ADP'!A1:E731,4,FALSE),VLOOKUP(B697,'ADP'!A1:E731,5,FALSE))))</f>
        <v>329</v>
      </c>
      <c r="N697" t="s" s="61">
        <f>_xlfn.IFERROR(M697-A697,"N/A")</f>
        <v>158</v>
      </c>
      <c r="O697" s="46"/>
      <c r="P697" t="s" s="47">
        <f>IF('Settings'!$E$27="ON",VLOOKUP(B697,'ADP'!A1:H731,8,FALSE)," ")</f>
        <v>109</v>
      </c>
      <c r="Q697" s="48">
        <f>IF('Settings'!$E$12="YES",VLOOKUP(B697,'Player Data'!A1:E734,5,FALSE),82)</f>
        <v>51.6475</v>
      </c>
      <c r="R697" s="46">
        <f>VLOOKUP(B697,'Player Data'!$A1:$AE734,6,FALSE)</f>
        <v>12.886467260524</v>
      </c>
      <c r="S697" s="48">
        <f>VLOOKUP(B697,'Player Data'!$A1:$AE734,7,FALSE)*$Q697*_xlfn.IFERROR((VLOOKUP(P697,'Settings'!$E$28:$F$33,2,FALSE)+1),1)</f>
        <v>5.43241290336965</v>
      </c>
      <c r="T697" s="48">
        <f>VLOOKUP(B697,'Player Data'!$A1:$AE734,8,FALSE)*$Q697*_xlfn.IFERROR((VLOOKUP(P697,'Settings'!$E$28:$F$33,2,FALSE)+1),1)</f>
        <v>8.35994295701494</v>
      </c>
      <c r="U697" s="48">
        <f>SUM(S697:T697)</f>
        <v>13.7923558603846</v>
      </c>
      <c r="V697" s="48">
        <f>VLOOKUP(B697,'Player Data'!$A1:$AE734,10,FALSE)*$Q697*_xlfn.IFERROR(((VLOOKUP(P697,'Settings'!$E$28:$F$33,2,FALSE)/2)+1),1)</f>
        <v>55.8909782438994</v>
      </c>
      <c r="W697" s="48">
        <f>VLOOKUP(B697,'Player Data'!$A1:$AE734,11,FALSE)*$Q697*_xlfn.IFERROR((VLOOKUP(P697,'Settings'!$E$28:$F$33,2,FALSE)+1),1)</f>
        <v>0.69371432909233</v>
      </c>
      <c r="X697" s="48">
        <f>VLOOKUP(B697,'Player Data'!$A1:$AE734,12,FALSE)*$Q697*_xlfn.IFERROR((VLOOKUP(P697,'Settings'!$E$28:$F$33,2,FALSE)+1),1)</f>
        <v>1.71789395087338</v>
      </c>
      <c r="Y697" s="48">
        <f>VLOOKUP(B697,'Player Data'!$A1:$AE734,13,FALSE)*$Q697</f>
        <v>0.0594931725881061</v>
      </c>
      <c r="Z697" s="48">
        <f>VLOOKUP(B697,'Player Data'!$A1:$AE734,14,FALSE)*$Q697</f>
        <v>0.10642601666589</v>
      </c>
      <c r="AA697" s="48">
        <f>VLOOKUP(B697,'Player Data'!$A1:$AE734,15,FALSE)*$Q697</f>
        <v>23.1336961805861</v>
      </c>
      <c r="AB697" s="48">
        <f>VLOOKUP(B697,'Player Data'!$A1:$AE734,16,FALSE)*$Q697</f>
        <v>42.578196866642</v>
      </c>
      <c r="AC697" s="48">
        <f>VLOOKUP(B697,'Player Data'!$A1:$AE734,17,FALSE)*$Q697*_xlfn.IFERROR((VLOOKUP(P697,'Settings'!$E$28:$F$33,2,FALSE)+1),1)</f>
        <v>0.179643102240423</v>
      </c>
      <c r="AD697" s="48">
        <f>VLOOKUP(B697,'Player Data'!$A1:$AE734,18,FALSE)*$Q697</f>
        <v>20.316726024671</v>
      </c>
      <c r="AE697" s="48">
        <f>VLOOKUP(B697,'Player Data'!$A1:$AE734,19,FALSE)*$Q697*_xlfn.IFERROR((VLOOKUP(P697,'Settings'!$E$28:$F$33,2,FALSE)+1),1)</f>
        <v>0.872317391727221</v>
      </c>
      <c r="AF697" s="48">
        <f>VLOOKUP(B697,'Player Data'!$A1:$AE734,20,FALSE)*$Q697</f>
        <v>187.552715533282</v>
      </c>
      <c r="AG697" s="48">
        <f>VLOOKUP(B697,'Player Data'!$A1:$AE734,21,FALSE)*$Q697</f>
        <v>222.426382280846</v>
      </c>
      <c r="AH697" s="49">
        <f>VLOOKUP(B697,'Player Data'!$A1:$AE734,22,FALSE)</f>
        <v>0.45746896984078</v>
      </c>
      <c r="AI697" s="46"/>
      <c r="AJ697" s="50"/>
      <c r="AK697" s="48"/>
      <c r="AL697" s="48"/>
      <c r="AM697" s="48"/>
      <c r="AN697" s="48"/>
      <c r="AO697" s="48"/>
      <c r="AP697" s="48"/>
      <c r="AQ697" s="51"/>
      <c r="AR697" s="52"/>
      <c r="AS697" s="46"/>
    </row>
    <row r="698" ht="21.25" customHeight="1">
      <c r="A698" s="53">
        <f>RANK(K698,K2:K730)</f>
        <v>697</v>
      </c>
      <c r="B698" t="s" s="8">
        <v>850</v>
      </c>
      <c r="C698" t="s" s="39">
        <v>106</v>
      </c>
      <c r="D698" t="s" s="40">
        <f>VLOOKUP(B698,'Player Data'!A1:D734,4,FALSE)</f>
        <v>107</v>
      </c>
      <c r="E698" s="41">
        <f>VLOOKUP(B698,'C'!A1:C218,3,FALSE)</f>
        <v>193</v>
      </c>
      <c r="F698" t="s" s="42">
        <f>VLOOKUP(B698,'Player Data'!A1:B734,2,FALSE)</f>
        <v>173</v>
      </c>
      <c r="G698" s="9">
        <f>VLOOKUP(B698,'Player Data'!A1:D734,3,FALSE)</f>
        <v>24</v>
      </c>
      <c r="H698" s="43">
        <f>_xlfn.IFERROR(VLOOKUP(B698,'ADP'!A1:G731,7,FALSE)/1000000,VLOOKUP(B698,'ADP'!A1:G731,7,FALSE))</f>
        <v>0.835</v>
      </c>
      <c r="I698" s="44">
        <f>IF('Settings'!$E$15="POINTS",((R698*Q698)*'Settings'!$B$12)+(S698*'Settings'!$B$2)+(T698*'Settings'!$B$3)+(U698*'Settings'!$B$4)+(V698*'Settings'!$B$5)+(X698*'Settings'!$B$9)+(AA698*'Settings'!$B$6)+(W698*'Settings'!$B$8)+(AB698*'Settings'!$B$7)+(AC698*'Settings'!$B$14)+(AD698*'Settings'!$B$15)+(AE698*'Settings'!$B$16)+(AF698*'Settings'!$B$17)+(AG698*'Settings'!$B$18)+(Y698*'Settings'!$B$10)+(Z698*'Settings'!$B$11),VLOOKUP(B698,'Standard Deviations'!A1:C731,3,FALSE))</f>
        <v>129.510367729315</v>
      </c>
      <c r="J698" s="45">
        <f>IF(D698="G",I698/AJ698,I698/Q698)</f>
        <v>2.04476601901425</v>
      </c>
      <c r="K698" s="44">
        <f>IF('Settings'!$E$18="C/LW/RW",VLOOKUP(B698,'C'!A1:F218,6,FALSE),VLOOKUP(B698,'F'!A1:F432,6,FALSE))</f>
        <v>-266.2638339067</v>
      </c>
      <c r="L698" s="44">
        <f>_xlfn.IFERROR(K698/H698,"N/A")</f>
        <v>-318.878843002036</v>
      </c>
      <c r="M698" t="s" s="61">
        <f>IF('Settings'!$E$9="YAHOO",VLOOKUP(B698,'ADP'!A1:E731,2,FALSE),IF('Settings'!$E$9="ESPN",VLOOKUP(B698,'ADP'!A1:E731,3,FALSE),IF('Settings'!$E$9="FANTRAX",VLOOKUP(B698,'ADP'!A1:E731,4,FALSE),VLOOKUP(B698,'ADP'!A1:E731,5,FALSE))))</f>
        <v>329</v>
      </c>
      <c r="N698" t="s" s="61">
        <f>_xlfn.IFERROR(M698-A698,"N/A")</f>
        <v>158</v>
      </c>
      <c r="O698" s="46"/>
      <c r="P698" t="s" s="47">
        <f>IF('Settings'!$E$27="ON",VLOOKUP(B698,'ADP'!A1:H731,8,FALSE)," ")</f>
        <v>109</v>
      </c>
      <c r="Q698" s="48">
        <f>IF('Settings'!$E$12="YES",VLOOKUP(B698,'Player Data'!A1:E734,5,FALSE),82)</f>
        <v>63.3375</v>
      </c>
      <c r="R698" s="46">
        <f>VLOOKUP(B698,'Player Data'!$A1:$AE734,6,FALSE)</f>
        <v>8.747423338414629</v>
      </c>
      <c r="S698" s="48">
        <f>VLOOKUP(B698,'Player Data'!$A1:$AE734,7,FALSE)*$Q698*_xlfn.IFERROR((VLOOKUP(P698,'Settings'!$E$28:$F$33,2,FALSE)+1),1)</f>
        <v>6.64023799490479</v>
      </c>
      <c r="T698" s="48">
        <f>VLOOKUP(B698,'Player Data'!$A1:$AE734,8,FALSE)*$Q698*_xlfn.IFERROR((VLOOKUP(P698,'Settings'!$E$28:$F$33,2,FALSE)+1),1)</f>
        <v>5.66110122521952</v>
      </c>
      <c r="U698" s="48">
        <f>SUM(S698:T698)</f>
        <v>12.3013392201243</v>
      </c>
      <c r="V698" s="48">
        <f>VLOOKUP(B698,'Player Data'!$A1:$AE734,10,FALSE)*$Q698*_xlfn.IFERROR(((VLOOKUP(P698,'Settings'!$E$28:$F$33,2,FALSE)/2)+1),1)</f>
        <v>65.51945657528501</v>
      </c>
      <c r="W698" s="48">
        <f>VLOOKUP(B698,'Player Data'!$A1:$AE734,11,FALSE)*$Q698*_xlfn.IFERROR((VLOOKUP(P698,'Settings'!$E$28:$F$33,2,FALSE)+1),1)</f>
        <v>0.0439986415765644</v>
      </c>
      <c r="X698" s="48">
        <f>VLOOKUP(B698,'Player Data'!$A1:$AE734,12,FALSE)*$Q698*_xlfn.IFERROR((VLOOKUP(P698,'Settings'!$E$28:$F$33,2,FALSE)+1),1)</f>
        <v>0.112673580911044</v>
      </c>
      <c r="Y698" s="48">
        <f>VLOOKUP(B698,'Player Data'!$A1:$AE734,13,FALSE)*$Q698</f>
        <v>0.135648273997494</v>
      </c>
      <c r="Z698" s="48">
        <f>VLOOKUP(B698,'Player Data'!$A1:$AE734,14,FALSE)*$Q698</f>
        <v>0.250935493399371</v>
      </c>
      <c r="AA698" s="48">
        <f>VLOOKUP(B698,'Player Data'!$A1:$AE734,15,FALSE)*$Q698</f>
        <v>32.7735682784338</v>
      </c>
      <c r="AB698" s="48">
        <f>VLOOKUP(B698,'Player Data'!$A1:$AE734,16,FALSE)*$Q698</f>
        <v>131.990438651706</v>
      </c>
      <c r="AC698" s="48">
        <f>VLOOKUP(B698,'Player Data'!$A1:$AE734,17,FALSE)*$Q698*_xlfn.IFERROR((VLOOKUP(P698,'Settings'!$E$28:$F$33,2,FALSE)+1),1)</f>
        <v>0.6303539939921921</v>
      </c>
      <c r="AD698" s="48">
        <f>VLOOKUP(B698,'Player Data'!$A1:$AE734,18,FALSE)*$Q698</f>
        <v>38.4930560584674</v>
      </c>
      <c r="AE698" s="48">
        <f>VLOOKUP(B698,'Player Data'!$A1:$AE734,19,FALSE)*$Q698*_xlfn.IFERROR((VLOOKUP(P698,'Settings'!$E$28:$F$33,2,FALSE)+1),1)</f>
        <v>0.998598221113019</v>
      </c>
      <c r="AF698" s="48">
        <f>VLOOKUP(B698,'Player Data'!$A1:$AE734,20,FALSE)*$Q698</f>
        <v>319.666334588743</v>
      </c>
      <c r="AG698" s="48">
        <f>VLOOKUP(B698,'Player Data'!$A1:$AE734,21,FALSE)*$Q698</f>
        <v>239.875362344651</v>
      </c>
      <c r="AH698" s="49">
        <f>VLOOKUP(B698,'Player Data'!$A1:$AE734,22,FALSE)</f>
        <v>0.571300291543411</v>
      </c>
      <c r="AI698" s="46"/>
      <c r="AJ698" s="50"/>
      <c r="AK698" s="48"/>
      <c r="AL698" s="48"/>
      <c r="AM698" s="48"/>
      <c r="AN698" s="48"/>
      <c r="AO698" s="48"/>
      <c r="AP698" s="48"/>
      <c r="AQ698" s="51"/>
      <c r="AR698" s="52"/>
      <c r="AS698" s="46"/>
    </row>
    <row r="699" ht="21.25" customHeight="1">
      <c r="A699" s="53">
        <f>RANK(K699,K2:K730)</f>
        <v>459</v>
      </c>
      <c r="B699" t="s" s="8">
        <v>851</v>
      </c>
      <c r="C699" t="s" s="39">
        <v>106</v>
      </c>
      <c r="D699" t="s" s="40">
        <f>VLOOKUP(B699,'Player Data'!A1:D734,4,FALSE)</f>
        <v>146</v>
      </c>
      <c r="E699" s="58">
        <f>VLOOKUP(B699,'G'!A1:D75,3,FALSE)</f>
        <v>61</v>
      </c>
      <c r="F699" t="s" s="42">
        <f>VLOOKUP(B699,'Player Data'!A1:B734,2,FALSE)</f>
        <v>164</v>
      </c>
      <c r="G699" s="9">
        <f>VLOOKUP(B699,'Player Data'!A1:D734,3,FALSE)</f>
        <v>30</v>
      </c>
      <c r="H699" s="43">
        <f>_xlfn.IFERROR(VLOOKUP(B699,'ADP'!A1:G731,7,FALSE)/1000000,VLOOKUP(B699,'ADP'!A1:G731,7,FALSE))</f>
        <v>1.75</v>
      </c>
      <c r="I699" s="44">
        <f>IF('Settings'!$E$15="POINTS",(AJ699*'Settings'!$B$29)+(AK699*'Settings'!$B$21)+(AL699*'Settings'!$B$22)+(AN699*'Settings'!$B$24)+(AO699*'Settings'!$B$25)+(AP699*'Settings'!$B$27)+(AM699*'Settings'!$B$23),VLOOKUP(B699,'Standard Deviations'!A1:C731,3,FALSE))</f>
        <v>94.94202695627909</v>
      </c>
      <c r="J699" s="45">
        <f>IF(D699="G",I699/AJ699,I699/Q699)</f>
        <v>5.27455705312662</v>
      </c>
      <c r="K699" s="44">
        <f>VLOOKUP(B699,'G'!A1:F75,6,FALSE)</f>
        <v>-170.361194543409</v>
      </c>
      <c r="L699" s="44">
        <f>_xlfn.IFERROR(K699/H699,"N/A")</f>
        <v>-97.34925402480511</v>
      </c>
      <c r="M699" s="46">
        <f>IF('Settings'!$E$9="YAHOO",VLOOKUP(B699,'ADP'!A1:E731,2,FALSE),IF('Settings'!$E$9="ESPN",VLOOKUP(B699,'ADP'!A1:E731,3,FALSE),IF('Settings'!$E$9="FANTRAX",VLOOKUP(B699,'ADP'!A1:E731,4,FALSE),VLOOKUP(B699,'ADP'!A1:E731,5,FALSE))))</f>
        <v>465.9</v>
      </c>
      <c r="N699" s="46">
        <f>_xlfn.IFERROR(M699-A699,"N/A")</f>
        <v>6.9</v>
      </c>
      <c r="O699" s="46"/>
      <c r="P699" t="s" s="47">
        <f>IF('Settings'!$E$27="ON",VLOOKUP(B699,'ADP'!A1:H731,8,FALSE)," ")</f>
        <v>109</v>
      </c>
      <c r="Q699" s="48"/>
      <c r="R699" s="59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9"/>
      <c r="AI699" s="46"/>
      <c r="AJ699" s="50">
        <f>VLOOKUP(B699,'Player Data'!$A1:$AE734,24,FALSE)</f>
        <v>18</v>
      </c>
      <c r="AK699" s="48">
        <f>VLOOKUP(B699,'Player Data'!$A1:$AE734,25,FALSE)*$AJ699*_xlfn.IFERROR((VLOOKUP(P699,'Settings'!$E$28:$F$33,2,FALSE)+1),1)</f>
        <v>8.668448456000171</v>
      </c>
      <c r="AL699" s="48">
        <f>AJ699-AK699-AM699</f>
        <v>7.08155154399983</v>
      </c>
      <c r="AM699" s="48">
        <f>VLOOKUP(B699,'Player Data'!$A1:$AE734,27,FALSE)*$AJ699</f>
        <v>2.25</v>
      </c>
      <c r="AN699" s="48">
        <f>VLOOKUP(B699,'Player Data'!$A1:$AE734,28,FALSE)*AJ699</f>
        <v>0.867175883236733</v>
      </c>
      <c r="AO699" s="48">
        <f>VLOOKUP(B699,'Player Data'!$A1:$AE734,29,FALSE)*$AJ699*_xlfn.IFERROR((VLOOKUP(P699,'Settings'!$E$28:$F$33,2,FALSE)/4)+1,1)</f>
        <v>483.370067017955</v>
      </c>
      <c r="AP699" s="48">
        <f>VLOOKUP(B699,'Player Data'!$A1:$AE734,31,FALSE)*$AJ699*(_xlfn.IFERROR(1-(VLOOKUP(P699,'Settings'!$E$28:$F$33,2,FALSE)/4),1))</f>
        <v>52.4505774445454</v>
      </c>
      <c r="AQ699" s="51">
        <f>1-(AP699/(AO699+AP699))</f>
        <v>0.902111689822701</v>
      </c>
      <c r="AR699" s="52">
        <f>AP699/AJ699</f>
        <v>2.91392096914141</v>
      </c>
      <c r="AS699" s="46"/>
    </row>
    <row r="700" ht="21.25" customHeight="1">
      <c r="A700" s="53">
        <f>RANK(K700,K2:K730)</f>
        <v>458</v>
      </c>
      <c r="B700" t="s" s="8">
        <v>852</v>
      </c>
      <c r="C700" t="s" s="39">
        <v>106</v>
      </c>
      <c r="D700" t="s" s="40">
        <f>VLOOKUP(B700,'Player Data'!A1:D734,4,FALSE)</f>
        <v>146</v>
      </c>
      <c r="E700" s="58">
        <f>VLOOKUP(B700,'G'!A1:D75,3,FALSE)</f>
        <v>60</v>
      </c>
      <c r="F700" t="s" s="42">
        <f>VLOOKUP(B700,'Player Data'!A1:B734,2,FALSE)</f>
        <v>238</v>
      </c>
      <c r="G700" s="9">
        <f>VLOOKUP(B700,'Player Data'!A1:D734,3,FALSE)</f>
        <v>26</v>
      </c>
      <c r="H700" s="43">
        <f>_xlfn.IFERROR(VLOOKUP(B700,'ADP'!A1:G731,7,FALSE)/1000000,VLOOKUP(B700,'ADP'!A1:G731,7,FALSE))</f>
        <v>0</v>
      </c>
      <c r="I700" s="44">
        <f>IF('Settings'!$E$15="POINTS",(AJ700*'Settings'!$B$29)+(AK700*'Settings'!$B$21)+(AL700*'Settings'!$B$22)+(AN700*'Settings'!$B$24)+(AO700*'Settings'!$B$25)+(AP700*'Settings'!$B$27)+(AM700*'Settings'!$B$23),VLOOKUP(B700,'Standard Deviations'!A1:C731,3,FALSE))</f>
        <v>95.2578255617243</v>
      </c>
      <c r="J700" s="45">
        <f>IF(D700="G",I700/AJ700,I700/Q700)</f>
        <v>5.29210142009579</v>
      </c>
      <c r="K700" s="44">
        <f>VLOOKUP(B700,'G'!A1:F75,6,FALSE)</f>
        <v>-170.045395937964</v>
      </c>
      <c r="L700" t="s" s="60">
        <f>_xlfn.IFERROR(K700/H700,"N/A")</f>
        <v>158</v>
      </c>
      <c r="M700" s="46">
        <f>IF('Settings'!$E$9="YAHOO",VLOOKUP(B700,'ADP'!A1:E731,2,FALSE),IF('Settings'!$E$9="ESPN",VLOOKUP(B700,'ADP'!A1:E731,3,FALSE),IF('Settings'!$E$9="FANTRAX",VLOOKUP(B700,'ADP'!A1:E731,4,FALSE),VLOOKUP(B700,'ADP'!A1:E731,5,FALSE))))</f>
        <v>500.1</v>
      </c>
      <c r="N700" s="46">
        <f>_xlfn.IFERROR(M700-A700,"N/A")</f>
        <v>42.1</v>
      </c>
      <c r="O700" s="46"/>
      <c r="P700" t="s" s="47">
        <f>IF('Settings'!$E$27="ON",VLOOKUP(B700,'ADP'!A1:H731,8,FALSE)," ")</f>
        <v>109</v>
      </c>
      <c r="Q700" s="48"/>
      <c r="R700" s="59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9"/>
      <c r="AI700" s="46"/>
      <c r="AJ700" s="50">
        <f>VLOOKUP(B700,'Player Data'!$A1:$AE734,24,FALSE)</f>
        <v>18</v>
      </c>
      <c r="AK700" s="48">
        <f>VLOOKUP(B700,'Player Data'!$A1:$AE734,25,FALSE)*$AJ700*_xlfn.IFERROR((VLOOKUP(P700,'Settings'!$E$28:$F$33,2,FALSE)+1),1)</f>
        <v>9.039981629939399</v>
      </c>
      <c r="AL700" s="48">
        <f>AJ700-AK700-AM700</f>
        <v>6.7100183700606</v>
      </c>
      <c r="AM700" s="48">
        <f>VLOOKUP(B700,'Player Data'!$A1:$AE734,27,FALSE)*$AJ700</f>
        <v>2.25</v>
      </c>
      <c r="AN700" s="48">
        <f>VLOOKUP(B700,'Player Data'!$A1:$AE734,28,FALSE)*AJ700</f>
        <v>0.85108665406127</v>
      </c>
      <c r="AO700" s="48">
        <f>VLOOKUP(B700,'Player Data'!$A1:$AE734,29,FALSE)*$AJ700*_xlfn.IFERROR((VLOOKUP(P700,'Settings'!$E$28:$F$33,2,FALSE)/4)+1,1)</f>
        <v>481.921249613040</v>
      </c>
      <c r="AP700" s="48">
        <f>VLOOKUP(B700,'Player Data'!$A1:$AE734,31,FALSE)*$AJ700*(_xlfn.IFERROR(1-(VLOOKUP(P700,'Settings'!$E$28:$F$33,2,FALSE)/4),1))</f>
        <v>52.6611694494598</v>
      </c>
      <c r="AQ700" s="51">
        <f>1-(AP700/(AO700+AP700))</f>
        <v>0.9014910188370731</v>
      </c>
      <c r="AR700" s="52">
        <f>AP700/AJ700</f>
        <v>2.92562052496999</v>
      </c>
      <c r="AS700" s="46"/>
    </row>
    <row r="701" ht="21.25" customHeight="1">
      <c r="A701" s="53">
        <f>RANK(K701,K2:K730)</f>
        <v>704</v>
      </c>
      <c r="B701" t="s" s="8">
        <v>853</v>
      </c>
      <c r="C701" t="s" s="39">
        <v>106</v>
      </c>
      <c r="D701" t="s" s="40">
        <f>VLOOKUP(B701,'Player Data'!A1:D734,4,FALSE)</f>
        <v>133</v>
      </c>
      <c r="E701" s="57">
        <f>VLOOKUP(B701,'LW'!A1:C156,3,FALSE)</f>
        <v>148</v>
      </c>
      <c r="F701" t="s" s="42">
        <f>VLOOKUP(B701,'Player Data'!A1:B734,2,FALSE)</f>
        <v>248</v>
      </c>
      <c r="G701" s="9">
        <f>VLOOKUP(B701,'Player Data'!A1:D734,3,FALSE)</f>
        <v>38</v>
      </c>
      <c r="H701" s="43">
        <f>_xlfn.IFERROR(VLOOKUP(B701,'ADP'!A1:G731,7,FALSE)/1000000,VLOOKUP(B701,'ADP'!A1:G731,7,FALSE))</f>
        <v>0.775</v>
      </c>
      <c r="I701" s="44">
        <f>IF('Settings'!$E$15="POINTS",((R701*Q701)*'Settings'!$B$12)+(S701*'Settings'!$B$2)+(T701*'Settings'!$B$3)+(U701*'Settings'!$B$4)+(V701*'Settings'!$B$5)+(X701*'Settings'!$B$9)+(AA701*'Settings'!$B$6)+(W701*'Settings'!$B$8)+(AB701*'Settings'!$B$7)+(AC701*'Settings'!$B$14)+(AD701*'Settings'!$B$15)+(AE701*'Settings'!$B$16)+(AF701*'Settings'!$B$17)+(AG701*'Settings'!$B$18)+(Y701*'Settings'!$B$10)+(Z701*'Settings'!$B$11),VLOOKUP(B701,'Standard Deviations'!A1:C731,3,FALSE))</f>
        <v>105.559444800325</v>
      </c>
      <c r="J701" s="45">
        <f>IF(D701="G",I701/AJ701,I701/Q701)</f>
        <v>1.50799206857607</v>
      </c>
      <c r="K701" s="44">
        <f>IF('Settings'!$E$18="C/LW/RW",VLOOKUP(B701,'LW'!A1:F156,6,FALSE),VLOOKUP(B701,'F'!A1:F432,6,FALSE))</f>
        <v>-276.069118906031</v>
      </c>
      <c r="L701" s="44">
        <f>_xlfn.IFERROR(K701/H701,"N/A")</f>
        <v>-356.218217943266</v>
      </c>
      <c r="M701" t="s" s="61">
        <f>IF('Settings'!$E$9="YAHOO",VLOOKUP(B701,'ADP'!A1:E731,2,FALSE),IF('Settings'!$E$9="ESPN",VLOOKUP(B701,'ADP'!A1:E731,3,FALSE),IF('Settings'!$E$9="FANTRAX",VLOOKUP(B701,'ADP'!A1:E731,4,FALSE),VLOOKUP(B701,'ADP'!A1:E731,5,FALSE))))</f>
        <v>329</v>
      </c>
      <c r="N701" t="s" s="61">
        <f>_xlfn.IFERROR(M701-A701,"N/A")</f>
        <v>158</v>
      </c>
      <c r="O701" s="46"/>
      <c r="P701" t="s" s="47">
        <f>IF('Settings'!$E$27="ON",VLOOKUP(B701,'ADP'!A1:H731,8,FALSE)," ")</f>
        <v>109</v>
      </c>
      <c r="Q701" s="48">
        <f>IF('Settings'!$E$12="YES",VLOOKUP(B701,'Player Data'!A1:E734,5,FALSE),82)</f>
        <v>70</v>
      </c>
      <c r="R701" s="46">
        <f>VLOOKUP(B701,'Player Data'!$A1:$AE734,6,FALSE)</f>
        <v>11.2828767123288</v>
      </c>
      <c r="S701" s="48">
        <f>VLOOKUP(B701,'Player Data'!$A1:$AE734,7,FALSE)*$Q701*_xlfn.IFERROR((VLOOKUP(P701,'Settings'!$E$28:$F$33,2,FALSE)+1),1)</f>
        <v>4.26084679476138</v>
      </c>
      <c r="T701" s="48">
        <f>VLOOKUP(B701,'Player Data'!$A1:$AE734,8,FALSE)*$Q701*_xlfn.IFERROR((VLOOKUP(P701,'Settings'!$E$28:$F$33,2,FALSE)+1),1)</f>
        <v>6.49039350974211</v>
      </c>
      <c r="U701" s="48">
        <f>SUM(S701:T701)</f>
        <v>10.7512403045035</v>
      </c>
      <c r="V701" s="48">
        <f>VLOOKUP(B701,'Player Data'!$A1:$AE734,10,FALSE)*$Q701*_xlfn.IFERROR(((VLOOKUP(P701,'Settings'!$E$28:$F$33,2,FALSE)/2)+1),1)</f>
        <v>55.9111514300869</v>
      </c>
      <c r="W701" s="48">
        <f>VLOOKUP(B701,'Player Data'!$A1:$AE734,11,FALSE)*$Q701*_xlfn.IFERROR((VLOOKUP(P701,'Settings'!$E$28:$F$33,2,FALSE)+1),1)</f>
        <v>0.0124569109398498</v>
      </c>
      <c r="X701" s="48">
        <f>VLOOKUP(B701,'Player Data'!$A1:$AE734,12,FALSE)*$Q701*_xlfn.IFERROR((VLOOKUP(P701,'Settings'!$E$28:$F$33,2,FALSE)+1),1)</f>
        <v>0.0331908803015786</v>
      </c>
      <c r="Y701" s="48">
        <f>VLOOKUP(B701,'Player Data'!$A1:$AE734,13,FALSE)*$Q701</f>
        <v>0.242382197128697</v>
      </c>
      <c r="Z701" s="48">
        <f>VLOOKUP(B701,'Player Data'!$A1:$AE734,14,FALSE)*$Q701</f>
        <v>0.668609099679777</v>
      </c>
      <c r="AA701" s="48">
        <f>VLOOKUP(B701,'Player Data'!$A1:$AE734,15,FALSE)*$Q701</f>
        <v>40.7861473832275</v>
      </c>
      <c r="AB701" s="48">
        <f>VLOOKUP(B701,'Player Data'!$A1:$AE734,16,FALSE)*$Q701</f>
        <v>68.9143443546226</v>
      </c>
      <c r="AC701" s="48">
        <f>VLOOKUP(B701,'Player Data'!$A1:$AE734,17,FALSE)*$Q701*_xlfn.IFERROR((VLOOKUP(P701,'Settings'!$E$28:$F$33,2,FALSE)+1),1)</f>
        <v>-0.368838902342132</v>
      </c>
      <c r="AD701" s="48">
        <f>VLOOKUP(B701,'Player Data'!$A1:$AE734,18,FALSE)*$Q701</f>
        <v>20.0242870335056</v>
      </c>
      <c r="AE701" s="48">
        <f>VLOOKUP(B701,'Player Data'!$A1:$AE734,19,FALSE)*$Q701*_xlfn.IFERROR((VLOOKUP(P701,'Settings'!$E$28:$F$33,2,FALSE)+1),1)</f>
        <v>0.59890878477029</v>
      </c>
      <c r="AF701" s="48">
        <f>VLOOKUP(B701,'Player Data'!$A1:$AE734,20,FALSE)*$Q701</f>
        <v>322.371055193142</v>
      </c>
      <c r="AG701" s="48">
        <f>VLOOKUP(B701,'Player Data'!$A1:$AE734,21,FALSE)*$Q701</f>
        <v>280.910458330728</v>
      </c>
      <c r="AH701" s="49">
        <f>VLOOKUP(B701,'Player Data'!$A1:$AE734,22,FALSE)</f>
        <v>0.534362562031973</v>
      </c>
      <c r="AI701" s="46"/>
      <c r="AJ701" s="50"/>
      <c r="AK701" s="48"/>
      <c r="AL701" s="48"/>
      <c r="AM701" s="48"/>
      <c r="AN701" s="48"/>
      <c r="AO701" s="48"/>
      <c r="AP701" s="48"/>
      <c r="AQ701" s="51"/>
      <c r="AR701" s="52"/>
      <c r="AS701" s="46"/>
    </row>
    <row r="702" ht="21.25" customHeight="1">
      <c r="A702" s="53">
        <f>RANK(K702,K2:K730)</f>
        <v>470</v>
      </c>
      <c r="B702" t="s" s="8">
        <v>854</v>
      </c>
      <c r="C702" t="s" s="39">
        <v>106</v>
      </c>
      <c r="D702" t="s" s="40">
        <f>VLOOKUP(B702,'Player Data'!A1:D734,4,FALSE)</f>
        <v>146</v>
      </c>
      <c r="E702" s="58">
        <f>VLOOKUP(B702,'G'!A1:D75,3,FALSE)</f>
        <v>63</v>
      </c>
      <c r="F702" t="s" s="42">
        <f>VLOOKUP(B702,'Player Data'!A1:B734,2,FALSE)</f>
        <v>184</v>
      </c>
      <c r="G702" s="9">
        <f>VLOOKUP(B702,'Player Data'!A1:D734,3,FALSE)</f>
        <v>30</v>
      </c>
      <c r="H702" s="43">
        <f>_xlfn.IFERROR(VLOOKUP(B702,'ADP'!A1:G731,7,FALSE)/1000000,VLOOKUP(B702,'ADP'!A1:G731,7,FALSE))</f>
        <v>0.9</v>
      </c>
      <c r="I702" s="44">
        <f>IF('Settings'!$E$15="POINTS",(AJ702*'Settings'!$B$29)+(AK702*'Settings'!$B$21)+(AL702*'Settings'!$B$22)+(AN702*'Settings'!$B$24)+(AO702*'Settings'!$B$25)+(AP702*'Settings'!$B$27)+(AM702*'Settings'!$B$23),VLOOKUP(B702,'Standard Deviations'!A1:C731,3,FALSE))</f>
        <v>92.9161922089307</v>
      </c>
      <c r="J702" s="45">
        <f>IF(D702="G",I702/AJ702,I702/Q702)</f>
        <v>5.16201067827393</v>
      </c>
      <c r="K702" s="44">
        <f>VLOOKUP(B702,'G'!A1:F75,6,FALSE)</f>
        <v>-172.387029290757</v>
      </c>
      <c r="L702" s="44">
        <f>_xlfn.IFERROR(K702/H702,"N/A")</f>
        <v>-191.541143656397</v>
      </c>
      <c r="M702" t="s" s="61">
        <f>IF('Settings'!$E$9="YAHOO",VLOOKUP(B702,'ADP'!A1:E731,2,FALSE),IF('Settings'!$E$9="ESPN",VLOOKUP(B702,'ADP'!A1:E731,3,FALSE),IF('Settings'!$E$9="FANTRAX",VLOOKUP(B702,'ADP'!A1:E731,4,FALSE),VLOOKUP(B702,'ADP'!A1:E731,5,FALSE))))</f>
        <v>329</v>
      </c>
      <c r="N702" t="s" s="61">
        <f>_xlfn.IFERROR(M702-A702,"N/A")</f>
        <v>158</v>
      </c>
      <c r="O702" s="46"/>
      <c r="P702" t="s" s="47">
        <f>IF('Settings'!$E$27="ON",VLOOKUP(B702,'ADP'!A1:H731,8,FALSE)," ")</f>
        <v>109</v>
      </c>
      <c r="Q702" s="48"/>
      <c r="R702" s="59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9"/>
      <c r="AI702" s="46"/>
      <c r="AJ702" s="50">
        <f>VLOOKUP(B702,'Player Data'!$A1:$AE734,24,FALSE)</f>
        <v>18</v>
      </c>
      <c r="AK702" s="48">
        <f>VLOOKUP(B702,'Player Data'!$A1:$AE734,25,FALSE)*$AJ702*_xlfn.IFERROR((VLOOKUP(P702,'Settings'!$E$28:$F$33,2,FALSE)+1),1)</f>
        <v>8.01925677385492</v>
      </c>
      <c r="AL702" s="48">
        <f>AJ702-AK702-AM702</f>
        <v>7.73074322614508</v>
      </c>
      <c r="AM702" s="48">
        <f>VLOOKUP(B702,'Player Data'!$A1:$AE734,27,FALSE)*$AJ702</f>
        <v>2.25</v>
      </c>
      <c r="AN702" s="48">
        <f>VLOOKUP(B702,'Player Data'!$A1:$AE734,28,FALSE)*AJ702</f>
        <v>0.773052544034233</v>
      </c>
      <c r="AO702" s="48">
        <f>VLOOKUP(B702,'Player Data'!$A1:$AE734,29,FALSE)*$AJ702*_xlfn.IFERROR((VLOOKUP(P702,'Settings'!$E$28:$F$33,2,FALSE)/4)+1,1)</f>
        <v>490.210339138340</v>
      </c>
      <c r="AP702" s="48">
        <f>VLOOKUP(B702,'Player Data'!$A1:$AE734,31,FALSE)*$AJ702*(_xlfn.IFERROR(1-(VLOOKUP(P702,'Settings'!$E$28:$F$33,2,FALSE)/4),1))</f>
        <v>53.6825583241592</v>
      </c>
      <c r="AQ702" s="51">
        <f>1-(AP702/(AO702+AP702))</f>
        <v>0.901299394467896</v>
      </c>
      <c r="AR702" s="52">
        <f>AP702/AJ702</f>
        <v>2.98236435134218</v>
      </c>
      <c r="AS702" s="46"/>
    </row>
    <row r="703" ht="21.25" customHeight="1">
      <c r="A703" s="53">
        <f>RANK(K703,K2:K730)</f>
        <v>464</v>
      </c>
      <c r="B703" t="s" s="8">
        <v>855</v>
      </c>
      <c r="C703" t="s" s="39">
        <v>106</v>
      </c>
      <c r="D703" t="s" s="40">
        <f>VLOOKUP(B703,'Player Data'!A1:D734,4,FALSE)</f>
        <v>146</v>
      </c>
      <c r="E703" s="58">
        <f>VLOOKUP(B703,'G'!A1:D75,3,FALSE)</f>
        <v>62</v>
      </c>
      <c r="F703" t="s" s="42">
        <f>VLOOKUP(B703,'Player Data'!A1:B734,2,FALSE)</f>
        <v>124</v>
      </c>
      <c r="G703" s="9">
        <f>VLOOKUP(B703,'Player Data'!A1:D734,3,FALSE)</f>
        <v>27</v>
      </c>
      <c r="H703" s="43">
        <f>_xlfn.IFERROR(VLOOKUP(B703,'ADP'!A1:G731,7,FALSE)/1000000,VLOOKUP(B703,'ADP'!A1:G731,7,FALSE))</f>
        <v>0</v>
      </c>
      <c r="I703" s="44">
        <f>IF('Settings'!$E$15="POINTS",(AJ703*'Settings'!$B$29)+(AK703*'Settings'!$B$21)+(AL703*'Settings'!$B$22)+(AN703*'Settings'!$B$24)+(AO703*'Settings'!$B$25)+(AP703*'Settings'!$B$27)+(AM703*'Settings'!$B$23),VLOOKUP(B703,'Standard Deviations'!A1:C731,3,FALSE))</f>
        <v>94.2514537258463</v>
      </c>
      <c r="J703" s="45">
        <f>IF(D703="G",I703/AJ703,I703/Q703)</f>
        <v>5.23619187365813</v>
      </c>
      <c r="K703" s="44">
        <f>VLOOKUP(B703,'G'!A1:F75,6,FALSE)</f>
        <v>-171.051767773842</v>
      </c>
      <c r="L703" t="s" s="60">
        <f>_xlfn.IFERROR(K703/H703,"N/A")</f>
        <v>158</v>
      </c>
      <c r="M703" t="s" s="61">
        <f>IF('Settings'!$E$9="YAHOO",VLOOKUP(B703,'ADP'!A1:E731,2,FALSE),IF('Settings'!$E$9="ESPN",VLOOKUP(B703,'ADP'!A1:E731,3,FALSE),IF('Settings'!$E$9="FANTRAX",VLOOKUP(B703,'ADP'!A1:E731,4,FALSE),VLOOKUP(B703,'ADP'!A1:E731,5,FALSE))))</f>
        <v>329</v>
      </c>
      <c r="N703" t="s" s="61">
        <f>_xlfn.IFERROR(M703-A703,"N/A")</f>
        <v>158</v>
      </c>
      <c r="O703" s="46"/>
      <c r="P703" t="s" s="47">
        <f>IF('Settings'!$E$27="ON",VLOOKUP(B703,'ADP'!A1:H731,8,FALSE)," ")</f>
        <v>109</v>
      </c>
      <c r="Q703" s="48"/>
      <c r="R703" s="59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9"/>
      <c r="AI703" s="46"/>
      <c r="AJ703" s="50">
        <f>VLOOKUP(B703,'Player Data'!$A1:$AE734,24,FALSE)</f>
        <v>18</v>
      </c>
      <c r="AK703" s="48">
        <f>VLOOKUP(B703,'Player Data'!$A1:$AE734,25,FALSE)*$AJ703*_xlfn.IFERROR((VLOOKUP(P703,'Settings'!$E$28:$F$33,2,FALSE)+1),1)</f>
        <v>8.71899264530734</v>
      </c>
      <c r="AL703" s="48">
        <f>AJ703-AK703-AM703</f>
        <v>7.03100735469266</v>
      </c>
      <c r="AM703" s="48">
        <f>VLOOKUP(B703,'Player Data'!$A1:$AE734,27,FALSE)*$AJ703</f>
        <v>2.25</v>
      </c>
      <c r="AN703" s="48">
        <f>VLOOKUP(B703,'Player Data'!$A1:$AE734,28,FALSE)*AJ703</f>
        <v>0.496812863077925</v>
      </c>
      <c r="AO703" s="48">
        <f>VLOOKUP(B703,'Player Data'!$A1:$AE734,29,FALSE)*$AJ703*_xlfn.IFERROR((VLOOKUP(P703,'Settings'!$E$28:$F$33,2,FALSE)/4)+1,1)</f>
        <v>508.504762108022</v>
      </c>
      <c r="AP703" s="48">
        <f>VLOOKUP(B703,'Player Data'!$A1:$AE734,31,FALSE)*$AJ703*(_xlfn.IFERROR(1-(VLOOKUP(P703,'Settings'!$E$28:$F$33,2,FALSE)/4),1))</f>
        <v>57.2982609544774</v>
      </c>
      <c r="AQ703" s="51">
        <f>1-(AP703/(AO703+AP703))</f>
        <v>0.898731080218799</v>
      </c>
      <c r="AR703" s="52">
        <f>AP703/AJ703</f>
        <v>3.18323671969319</v>
      </c>
      <c r="AS703" s="46"/>
    </row>
    <row r="704" ht="21.25" customHeight="1">
      <c r="A704" s="53">
        <f>RANK(K704,K2:K730)</f>
        <v>710</v>
      </c>
      <c r="B704" t="s" s="8">
        <v>856</v>
      </c>
      <c r="C704" t="s" s="39">
        <v>106</v>
      </c>
      <c r="D704" t="s" s="40">
        <f>VLOOKUP(B704,'Player Data'!A1:D734,4,FALSE)</f>
        <v>107</v>
      </c>
      <c r="E704" s="41">
        <f>VLOOKUP(B704,'C'!A1:C218,3,FALSE)</f>
        <v>202</v>
      </c>
      <c r="F704" t="s" s="42">
        <f>VLOOKUP(B704,'Player Data'!A1:B734,2,FALSE)</f>
        <v>151</v>
      </c>
      <c r="G704" s="9">
        <f>VLOOKUP(B704,'Player Data'!A1:D734,3,FALSE)</f>
        <v>31</v>
      </c>
      <c r="H704" s="43">
        <f>_xlfn.IFERROR(VLOOKUP(B704,'ADP'!A1:G731,7,FALSE)/1000000,VLOOKUP(B704,'ADP'!A1:G731,7,FALSE))</f>
        <v>0.7875</v>
      </c>
      <c r="I704" s="44">
        <f>IF('Settings'!$E$15="POINTS",((R704*Q704)*'Settings'!$B$12)+(S704*'Settings'!$B$2)+(T704*'Settings'!$B$3)+(U704*'Settings'!$B$4)+(V704*'Settings'!$B$5)+(X704*'Settings'!$B$9)+(AA704*'Settings'!$B$6)+(W704*'Settings'!$B$8)+(AB704*'Settings'!$B$7)+(AC704*'Settings'!$B$14)+(AD704*'Settings'!$B$15)+(AE704*'Settings'!$B$16)+(AF704*'Settings'!$B$17)+(AG704*'Settings'!$B$18)+(Y704*'Settings'!$B$10)+(Z704*'Settings'!$B$11),VLOOKUP(B704,'Standard Deviations'!A1:C731,3,FALSE))</f>
        <v>114.007896823164</v>
      </c>
      <c r="J704" s="45">
        <f>IF(D704="G",I704/AJ704,I704/Q704)</f>
        <v>1.8388370455349</v>
      </c>
      <c r="K704" s="44">
        <f>IF('Settings'!$E$18="C/LW/RW",VLOOKUP(B704,'C'!A1:F218,6,FALSE),VLOOKUP(B704,'F'!A1:F432,6,FALSE))</f>
        <v>-281.766304812851</v>
      </c>
      <c r="L704" s="44">
        <f>_xlfn.IFERROR(K704/H704,"N/A")</f>
        <v>-357.798482302033</v>
      </c>
      <c r="M704" t="s" s="61">
        <f>IF('Settings'!$E$9="YAHOO",VLOOKUP(B704,'ADP'!A1:E731,2,FALSE),IF('Settings'!$E$9="ESPN",VLOOKUP(B704,'ADP'!A1:E731,3,FALSE),IF('Settings'!$E$9="FANTRAX",VLOOKUP(B704,'ADP'!A1:E731,4,FALSE),VLOOKUP(B704,'ADP'!A1:E731,5,FALSE))))</f>
        <v>329</v>
      </c>
      <c r="N704" t="s" s="61">
        <f>_xlfn.IFERROR(M704-A704,"N/A")</f>
        <v>158</v>
      </c>
      <c r="O704" s="46"/>
      <c r="P704" t="s" s="47">
        <f>IF('Settings'!$E$27="ON",VLOOKUP(B704,'ADP'!A1:H731,8,FALSE)," ")</f>
        <v>109</v>
      </c>
      <c r="Q704" s="48">
        <f>IF('Settings'!$E$12="YES",VLOOKUP(B704,'Player Data'!A1:E734,5,FALSE),82)</f>
        <v>62</v>
      </c>
      <c r="R704" s="46">
        <f>VLOOKUP(B704,'Player Data'!$A1:$AE734,6,FALSE)</f>
        <v>10.0809893441686</v>
      </c>
      <c r="S704" s="48">
        <f>VLOOKUP(B704,'Player Data'!$A1:$AE734,7,FALSE)*$Q704*_xlfn.IFERROR((VLOOKUP(P704,'Settings'!$E$28:$F$33,2,FALSE)+1),1)</f>
        <v>5.15310197699635</v>
      </c>
      <c r="T704" s="48">
        <f>VLOOKUP(B704,'Player Data'!$A1:$AE734,8,FALSE)*$Q704*_xlfn.IFERROR((VLOOKUP(P704,'Settings'!$E$28:$F$33,2,FALSE)+1),1)</f>
        <v>7.23955206699599</v>
      </c>
      <c r="U704" s="48">
        <f>SUM(S704:T704)</f>
        <v>12.3926540439923</v>
      </c>
      <c r="V704" s="48">
        <f>VLOOKUP(B704,'Player Data'!$A1:$AE734,10,FALSE)*$Q704*_xlfn.IFERROR(((VLOOKUP(P704,'Settings'!$E$28:$F$33,2,FALSE)/2)+1),1)</f>
        <v>56.6565263278407</v>
      </c>
      <c r="W704" s="48">
        <f>VLOOKUP(B704,'Player Data'!$A1:$AE734,11,FALSE)*$Q704*_xlfn.IFERROR((VLOOKUP(P704,'Settings'!$E$28:$F$33,2,FALSE)+1),1)</f>
        <v>0.0302394037264466</v>
      </c>
      <c r="X704" s="48">
        <f>VLOOKUP(B704,'Player Data'!$A1:$AE734,12,FALSE)*$Q704*_xlfn.IFERROR((VLOOKUP(P704,'Settings'!$E$28:$F$33,2,FALSE)+1),1)</f>
        <v>0.08957846057747409</v>
      </c>
      <c r="Y704" s="48">
        <f>VLOOKUP(B704,'Player Data'!$A1:$AE734,13,FALSE)*$Q704</f>
        <v>0.07733884742569661</v>
      </c>
      <c r="Z704" s="48">
        <f>VLOOKUP(B704,'Player Data'!$A1:$AE734,14,FALSE)*$Q704</f>
        <v>0.104564946204279</v>
      </c>
      <c r="AA704" s="48">
        <f>VLOOKUP(B704,'Player Data'!$A1:$AE734,15,FALSE)*$Q704</f>
        <v>30.1234076435588</v>
      </c>
      <c r="AB704" s="48">
        <f>VLOOKUP(B704,'Player Data'!$A1:$AE734,16,FALSE)*$Q704</f>
        <v>102.004739390336</v>
      </c>
      <c r="AC704" s="48">
        <f>VLOOKUP(B704,'Player Data'!$A1:$AE734,17,FALSE)*$Q704*_xlfn.IFERROR((VLOOKUP(P704,'Settings'!$E$28:$F$33,2,FALSE)+1),1)</f>
        <v>2.71983697504621</v>
      </c>
      <c r="AD704" s="48">
        <f>VLOOKUP(B704,'Player Data'!$A1:$AE734,18,FALSE)*$Q704</f>
        <v>14.1599453720116</v>
      </c>
      <c r="AE704" s="48">
        <f>VLOOKUP(B704,'Player Data'!$A1:$AE734,19,FALSE)*$Q704*_xlfn.IFERROR((VLOOKUP(P704,'Settings'!$E$28:$F$33,2,FALSE)+1),1)</f>
        <v>0.878078954114263</v>
      </c>
      <c r="AF704" s="48">
        <f>VLOOKUP(B704,'Player Data'!$A1:$AE734,20,FALSE)*$Q704</f>
        <v>3.07168602500317</v>
      </c>
      <c r="AG704" s="48">
        <f>VLOOKUP(B704,'Player Data'!$A1:$AE734,21,FALSE)*$Q704</f>
        <v>3.81421602996008</v>
      </c>
      <c r="AH704" s="49">
        <f>VLOOKUP(B704,'Player Data'!$A1:$AE734,22,FALSE)</f>
        <v>0.446083316388322</v>
      </c>
      <c r="AI704" s="46"/>
      <c r="AJ704" s="48"/>
      <c r="AK704" s="48"/>
      <c r="AL704" s="48"/>
      <c r="AM704" s="48"/>
      <c r="AN704" s="48"/>
      <c r="AO704" s="48"/>
      <c r="AP704" s="48"/>
      <c r="AQ704" s="51"/>
      <c r="AR704" s="52"/>
      <c r="AS704" s="46"/>
    </row>
    <row r="705" ht="21.25" customHeight="1">
      <c r="A705" s="53">
        <f>RANK(K705,K2:K730)</f>
        <v>699</v>
      </c>
      <c r="B705" t="s" s="8">
        <v>857</v>
      </c>
      <c r="C705" t="s" s="39">
        <v>106</v>
      </c>
      <c r="D705" t="s" s="40">
        <f>VLOOKUP(B705,'Player Data'!A1:D734,4,FALSE)</f>
        <v>107</v>
      </c>
      <c r="E705" s="41">
        <f>VLOOKUP(B705,'C'!A1:C218,3,FALSE)</f>
        <v>195</v>
      </c>
      <c r="F705" t="s" s="42">
        <f>VLOOKUP(B705,'Player Data'!A1:B734,2,FALSE)</f>
        <v>124</v>
      </c>
      <c r="G705" s="9">
        <f>VLOOKUP(B705,'Player Data'!A1:D734,3,FALSE)</f>
        <v>34</v>
      </c>
      <c r="H705" s="43">
        <f>_xlfn.IFERROR(VLOOKUP(B705,'ADP'!A1:G731,7,FALSE)/1000000,VLOOKUP(B705,'ADP'!A1:G731,7,FALSE))</f>
        <v>0.8</v>
      </c>
      <c r="I705" s="44">
        <f>IF('Settings'!$E$15="POINTS",((R705*Q705)*'Settings'!$B$12)+(S705*'Settings'!$B$2)+(T705*'Settings'!$B$3)+(U705*'Settings'!$B$4)+(V705*'Settings'!$B$5)+(X705*'Settings'!$B$9)+(AA705*'Settings'!$B$6)+(W705*'Settings'!$B$8)+(AB705*'Settings'!$B$7)+(AC705*'Settings'!$B$14)+(AD705*'Settings'!$B$15)+(AE705*'Settings'!$B$16)+(AF705*'Settings'!$B$17)+(AG705*'Settings'!$B$18)+(Y705*'Settings'!$B$10)+(Z705*'Settings'!$B$11),VLOOKUP(B705,'Standard Deviations'!A1:C731,3,FALSE))</f>
        <v>124.158423729645</v>
      </c>
      <c r="J705" s="45">
        <f>IF(D705="G",I705/AJ705,I705/Q705)</f>
        <v>1.71489535538184</v>
      </c>
      <c r="K705" s="44">
        <f>IF('Settings'!$E$18="C/LW/RW",VLOOKUP(B705,'C'!A1:F218,6,FALSE),VLOOKUP(B705,'F'!A1:F432,6,FALSE))</f>
        <v>-271.615777906370</v>
      </c>
      <c r="L705" s="44">
        <f>_xlfn.IFERROR(K705/H705,"N/A")</f>
        <v>-339.519722382963</v>
      </c>
      <c r="M705" t="s" s="61">
        <f>IF('Settings'!$E$9="YAHOO",VLOOKUP(B705,'ADP'!A1:E731,2,FALSE),IF('Settings'!$E$9="ESPN",VLOOKUP(B705,'ADP'!A1:E731,3,FALSE),IF('Settings'!$E$9="FANTRAX",VLOOKUP(B705,'ADP'!A1:E731,4,FALSE),VLOOKUP(B705,'ADP'!A1:E731,5,FALSE))))</f>
        <v>329</v>
      </c>
      <c r="N705" t="s" s="61">
        <f>_xlfn.IFERROR(M705-A705,"N/A")</f>
        <v>158</v>
      </c>
      <c r="O705" s="46"/>
      <c r="P705" t="s" s="47">
        <f>IF('Settings'!$E$27="ON",VLOOKUP(B705,'ADP'!A1:H731,8,FALSE)," ")</f>
        <v>109</v>
      </c>
      <c r="Q705" s="48">
        <f>IF('Settings'!$E$12="YES",VLOOKUP(B705,'Player Data'!A1:E734,5,FALSE),82)</f>
        <v>72.40000000000001</v>
      </c>
      <c r="R705" s="46">
        <f>VLOOKUP(B705,'Player Data'!$A1:$AE734,6,FALSE)</f>
        <v>11.5499818994991</v>
      </c>
      <c r="S705" s="48">
        <f>VLOOKUP(B705,'Player Data'!$A1:$AE734,7,FALSE)*$Q705*_xlfn.IFERROR((VLOOKUP(P705,'Settings'!$E$28:$F$33,2,FALSE)+1),1)</f>
        <v>4.12767993107866</v>
      </c>
      <c r="T705" s="48">
        <f>VLOOKUP(B705,'Player Data'!$A1:$AE734,8,FALSE)*$Q705*_xlfn.IFERROR((VLOOKUP(P705,'Settings'!$E$28:$F$33,2,FALSE)+1),1)</f>
        <v>4.30082433206765</v>
      </c>
      <c r="U705" s="48">
        <f>SUM(S705:T705)</f>
        <v>8.42850426314631</v>
      </c>
      <c r="V705" s="48">
        <f>VLOOKUP(B705,'Player Data'!$A1:$AE734,10,FALSE)*$Q705*_xlfn.IFERROR(((VLOOKUP(P705,'Settings'!$E$28:$F$33,2,FALSE)/2)+1),1)</f>
        <v>71.8995859429737</v>
      </c>
      <c r="W705" s="48">
        <f>VLOOKUP(B705,'Player Data'!$A1:$AE734,11,FALSE)*$Q705*_xlfn.IFERROR((VLOOKUP(P705,'Settings'!$E$28:$F$33,2,FALSE)+1),1)</f>
        <v>0.0426063157523264</v>
      </c>
      <c r="X705" s="48">
        <f>VLOOKUP(B705,'Player Data'!$A1:$AE734,12,FALSE)*$Q705*_xlfn.IFERROR((VLOOKUP(P705,'Settings'!$E$28:$F$33,2,FALSE)+1),1)</f>
        <v>0.109667643036502</v>
      </c>
      <c r="Y705" s="48">
        <f>VLOOKUP(B705,'Player Data'!$A1:$AE734,13,FALSE)*$Q705</f>
        <v>0.654393669767095</v>
      </c>
      <c r="Z705" s="48">
        <f>VLOOKUP(B705,'Player Data'!$A1:$AE734,14,FALSE)*$Q705</f>
        <v>1.06209829361681</v>
      </c>
      <c r="AA705" s="48">
        <f>VLOOKUP(B705,'Player Data'!$A1:$AE734,15,FALSE)*$Q705</f>
        <v>50.542877598274</v>
      </c>
      <c r="AB705" s="48">
        <f>VLOOKUP(B705,'Player Data'!$A1:$AE734,16,FALSE)*$Q705</f>
        <v>117.343850742924</v>
      </c>
      <c r="AC705" s="48">
        <f>VLOOKUP(B705,'Player Data'!$A1:$AE734,17,FALSE)*$Q705*_xlfn.IFERROR((VLOOKUP(P705,'Settings'!$E$28:$F$33,2,FALSE)+1),1)</f>
        <v>-1.14111530191846</v>
      </c>
      <c r="AD705" s="48">
        <f>VLOOKUP(B705,'Player Data'!$A1:$AE734,18,FALSE)*$Q705</f>
        <v>20.5873645549353</v>
      </c>
      <c r="AE705" s="48">
        <f>VLOOKUP(B705,'Player Data'!$A1:$AE734,19,FALSE)*$Q705*_xlfn.IFERROR((VLOOKUP(P705,'Settings'!$E$28:$F$33,2,FALSE)+1),1)</f>
        <v>0.645983408596124</v>
      </c>
      <c r="AF705" s="48">
        <f>VLOOKUP(B705,'Player Data'!$A1:$AE734,20,FALSE)*$Q705</f>
        <v>371.175106756066</v>
      </c>
      <c r="AG705" s="48">
        <f>VLOOKUP(B705,'Player Data'!$A1:$AE734,21,FALSE)*$Q705</f>
        <v>254.955116759827</v>
      </c>
      <c r="AH705" s="49">
        <f>VLOOKUP(B705,'Player Data'!$A1:$AE734,22,FALSE)</f>
        <v>0.592808161650169</v>
      </c>
      <c r="AI705" s="46"/>
      <c r="AJ705" s="50"/>
      <c r="AK705" s="48"/>
      <c r="AL705" s="48"/>
      <c r="AM705" s="48"/>
      <c r="AN705" s="48"/>
      <c r="AO705" s="48"/>
      <c r="AP705" s="48"/>
      <c r="AQ705" s="51"/>
      <c r="AR705" s="52"/>
      <c r="AS705" s="46"/>
    </row>
    <row r="706" ht="21.25" customHeight="1">
      <c r="A706" s="53">
        <f>RANK(K706,K2:K730)</f>
        <v>715</v>
      </c>
      <c r="B706" t="s" s="8">
        <v>858</v>
      </c>
      <c r="C706" t="s" s="39">
        <v>106</v>
      </c>
      <c r="D706" t="s" s="40">
        <f>VLOOKUP(B706,'Player Data'!A1:D734,4,FALSE)</f>
        <v>133</v>
      </c>
      <c r="E706" s="57">
        <f>VLOOKUP(B706,'LW'!A1:C156,3,FALSE)</f>
        <v>151</v>
      </c>
      <c r="F706" t="s" s="42">
        <f>VLOOKUP(B706,'Player Data'!A1:B734,2,FALSE)</f>
        <v>113</v>
      </c>
      <c r="G706" s="9">
        <f>VLOOKUP(B706,'Player Data'!A1:D734,3,FALSE)</f>
        <v>27</v>
      </c>
      <c r="H706" s="43">
        <f>_xlfn.IFERROR(VLOOKUP(B706,'ADP'!A1:G731,7,FALSE)/1000000,VLOOKUP(B706,'ADP'!A1:G731,7,FALSE))</f>
        <v>0.794</v>
      </c>
      <c r="I706" s="44">
        <f>IF('Settings'!$E$15="POINTS",((R706*Q706)*'Settings'!$B$12)+(S706*'Settings'!$B$2)+(T706*'Settings'!$B$3)+(U706*'Settings'!$B$4)+(V706*'Settings'!$B$5)+(X706*'Settings'!$B$9)+(AA706*'Settings'!$B$6)+(W706*'Settings'!$B$8)+(AB706*'Settings'!$B$7)+(AC706*'Settings'!$B$14)+(AD706*'Settings'!$B$15)+(AE706*'Settings'!$B$16)+(AF706*'Settings'!$B$17)+(AG706*'Settings'!$B$18)+(Y706*'Settings'!$B$10)+(Z706*'Settings'!$B$11),VLOOKUP(B706,'Standard Deviations'!A1:C731,3,FALSE))</f>
        <v>91.9132654943847</v>
      </c>
      <c r="J706" s="45">
        <f>IF(D706="G",I706/AJ706,I706/Q706)</f>
        <v>1.73519474220096</v>
      </c>
      <c r="K706" s="44">
        <f>IF('Settings'!$E$18="C/LW/RW",VLOOKUP(B706,'LW'!A1:F156,6,FALSE),VLOOKUP(B706,'F'!A1:F432,6,FALSE))</f>
        <v>-289.715298211971</v>
      </c>
      <c r="L706" s="44">
        <f>_xlfn.IFERROR(K706/H706,"N/A")</f>
        <v>-364.880728226664</v>
      </c>
      <c r="M706" t="s" s="61">
        <f>IF('Settings'!$E$9="YAHOO",VLOOKUP(B706,'ADP'!A1:E731,2,FALSE),IF('Settings'!$E$9="ESPN",VLOOKUP(B706,'ADP'!A1:E731,3,FALSE),IF('Settings'!$E$9="FANTRAX",VLOOKUP(B706,'ADP'!A1:E731,4,FALSE),VLOOKUP(B706,'ADP'!A1:E731,5,FALSE))))</f>
        <v>329</v>
      </c>
      <c r="N706" t="s" s="61">
        <f>_xlfn.IFERROR(M706-A706,"N/A")</f>
        <v>158</v>
      </c>
      <c r="O706" s="46"/>
      <c r="P706" t="s" s="47">
        <f>IF('Settings'!$E$27="ON",VLOOKUP(B706,'ADP'!A1:H731,8,FALSE)," ")</f>
        <v>109</v>
      </c>
      <c r="Q706" s="48">
        <f>IF('Settings'!$E$12="YES",VLOOKUP(B706,'Player Data'!A1:E734,5,FALSE),82)</f>
        <v>52.97</v>
      </c>
      <c r="R706" s="46">
        <f>VLOOKUP(B706,'Player Data'!$A1:$AE734,6,FALSE)</f>
        <v>10.2074892941856</v>
      </c>
      <c r="S706" s="48">
        <f>VLOOKUP(B706,'Player Data'!$A1:$AE734,7,FALSE)*$Q706*_xlfn.IFERROR((VLOOKUP(P706,'Settings'!$E$28:$F$33,2,FALSE)+1),1)</f>
        <v>3.60777701539432</v>
      </c>
      <c r="T706" s="48">
        <f>VLOOKUP(B706,'Player Data'!$A1:$AE734,8,FALSE)*$Q706*_xlfn.IFERROR((VLOOKUP(P706,'Settings'!$E$28:$F$33,2,FALSE)+1),1)</f>
        <v>6.22340632027813</v>
      </c>
      <c r="U706" s="48">
        <f>SUM(S706:T706)</f>
        <v>9.831183335672449</v>
      </c>
      <c r="V706" s="48">
        <f>VLOOKUP(B706,'Player Data'!$A1:$AE734,10,FALSE)*$Q706*_xlfn.IFERROR(((VLOOKUP(P706,'Settings'!$E$28:$F$33,2,FALSE)/2)+1),1)</f>
        <v>61.7169568348946</v>
      </c>
      <c r="W706" s="48">
        <f>VLOOKUP(B706,'Player Data'!$A1:$AE734,11,FALSE)*$Q706*_xlfn.IFERROR((VLOOKUP(P706,'Settings'!$E$28:$F$33,2,FALSE)+1),1)</f>
        <v>0.0328264479351626</v>
      </c>
      <c r="X706" s="48">
        <f>VLOOKUP(B706,'Player Data'!$A1:$AE734,12,FALSE)*$Q706*_xlfn.IFERROR((VLOOKUP(P706,'Settings'!$E$28:$F$33,2,FALSE)+1),1)</f>
        <v>0.0843881046374747</v>
      </c>
      <c r="Y706" s="48">
        <f>VLOOKUP(B706,'Player Data'!$A1:$AE734,13,FALSE)*$Q706</f>
        <v>0</v>
      </c>
      <c r="Z706" s="48">
        <f>VLOOKUP(B706,'Player Data'!$A1:$AE734,14,FALSE)*$Q706</f>
        <v>0</v>
      </c>
      <c r="AA706" s="48">
        <f>VLOOKUP(B706,'Player Data'!$A1:$AE734,15,FALSE)*$Q706</f>
        <v>17.5120611120175</v>
      </c>
      <c r="AB706" s="48">
        <f>VLOOKUP(B706,'Player Data'!$A1:$AE734,16,FALSE)*$Q706</f>
        <v>69.5741639632792</v>
      </c>
      <c r="AC706" s="48">
        <f>VLOOKUP(B706,'Player Data'!$A1:$AE734,17,FALSE)*$Q706*_xlfn.IFERROR((VLOOKUP(P706,'Settings'!$E$28:$F$33,2,FALSE)+1),1)</f>
        <v>2.60242671789085</v>
      </c>
      <c r="AD706" s="48">
        <f>VLOOKUP(B706,'Player Data'!$A1:$AE734,18,FALSE)*$Q706</f>
        <v>10.3045593035848</v>
      </c>
      <c r="AE706" s="48">
        <f>VLOOKUP(B706,'Player Data'!$A1:$AE734,19,FALSE)*$Q706*_xlfn.IFERROR((VLOOKUP(P706,'Settings'!$E$28:$F$33,2,FALSE)+1),1)</f>
        <v>0.570804681273236</v>
      </c>
      <c r="AF706" s="48">
        <f>VLOOKUP(B706,'Player Data'!$A1:$AE734,20,FALSE)*$Q706</f>
        <v>5.67654286522846</v>
      </c>
      <c r="AG706" s="48">
        <f>VLOOKUP(B706,'Player Data'!$A1:$AE734,21,FALSE)*$Q706</f>
        <v>9.460904775380749</v>
      </c>
      <c r="AH706" s="49">
        <f>VLOOKUP(B706,'Player Data'!$A1:$AE734,22,FALSE)</f>
        <v>0.375</v>
      </c>
      <c r="AI706" s="46"/>
      <c r="AJ706" s="50"/>
      <c r="AK706" s="48"/>
      <c r="AL706" s="48"/>
      <c r="AM706" s="48"/>
      <c r="AN706" s="48"/>
      <c r="AO706" s="48"/>
      <c r="AP706" s="48"/>
      <c r="AQ706" s="51"/>
      <c r="AR706" s="52"/>
      <c r="AS706" s="46"/>
    </row>
    <row r="707" ht="21.25" customHeight="1">
      <c r="A707" s="53">
        <f>RANK(K707,K2:K730)</f>
        <v>712</v>
      </c>
      <c r="B707" t="s" s="8">
        <v>859</v>
      </c>
      <c r="C707" t="s" s="39">
        <v>106</v>
      </c>
      <c r="D707" t="s" s="40">
        <f>VLOOKUP(B707,'Player Data'!A1:D734,4,FALSE)</f>
        <v>111</v>
      </c>
      <c r="E707" s="54">
        <f>VLOOKUP(B707,'LW'!A1:C156,3,FALSE)</f>
        <v>150</v>
      </c>
      <c r="F707" t="s" s="42">
        <f>VLOOKUP(B707,'Player Data'!A1:B734,2,FALSE)</f>
        <v>238</v>
      </c>
      <c r="G707" s="9">
        <f>VLOOKUP(B707,'Player Data'!A1:D734,3,FALSE)</f>
        <v>30</v>
      </c>
      <c r="H707" s="43">
        <f>_xlfn.IFERROR(VLOOKUP(B707,'ADP'!A1:G731,7,FALSE)/1000000,VLOOKUP(B707,'ADP'!A1:G731,7,FALSE))</f>
        <v>1.3</v>
      </c>
      <c r="I707" s="44">
        <f>IF('Settings'!$E$15="POINTS",((R707*Q707)*'Settings'!$B$12)+(S707*'Settings'!$B$2)+(T707*'Settings'!$B$3)+(U707*'Settings'!$B$4)+(V707*'Settings'!$B$5)+(X707*'Settings'!$B$9)+(AA707*'Settings'!$B$6)+(W707*'Settings'!$B$8)+(AB707*'Settings'!$B$7)+(AC707*'Settings'!$B$14)+(AD707*'Settings'!$B$15)+(AE707*'Settings'!$B$16)+(AF707*'Settings'!$B$17)+(AG707*'Settings'!$B$18)+(Y707*'Settings'!$B$10)+(Z707*'Settings'!$B$11),VLOOKUP(B707,'Standard Deviations'!A1:C731,3,FALSE))</f>
        <v>99.2453956107273</v>
      </c>
      <c r="J707" s="45">
        <f>IF(D707="G",I707/AJ707,I707/Q707)</f>
        <v>1.47440552919785</v>
      </c>
      <c r="K707" s="44">
        <f>IF('Settings'!$E$18="C/LW/RW",VLOOKUP(B707,'LW'!A1:F156,6,FALSE),VLOOKUP(B707,'F'!A1:F432,6,FALSE))</f>
        <v>-282.383168095629</v>
      </c>
      <c r="L707" s="44">
        <f>_xlfn.IFERROR(K707/H707,"N/A")</f>
        <v>-217.217821612022</v>
      </c>
      <c r="M707" t="s" s="61">
        <f>IF('Settings'!$E$9="YAHOO",VLOOKUP(B707,'ADP'!A1:E731,2,FALSE),IF('Settings'!$E$9="ESPN",VLOOKUP(B707,'ADP'!A1:E731,3,FALSE),IF('Settings'!$E$9="FANTRAX",VLOOKUP(B707,'ADP'!A1:E731,4,FALSE),VLOOKUP(B707,'ADP'!A1:E731,5,FALSE))))</f>
        <v>329</v>
      </c>
      <c r="N707" t="s" s="61">
        <f>_xlfn.IFERROR(M707-A707,"N/A")</f>
        <v>158</v>
      </c>
      <c r="O707" s="46"/>
      <c r="P707" t="s" s="47">
        <f>IF('Settings'!$E$27="ON",VLOOKUP(B707,'ADP'!A1:H731,8,FALSE)," ")</f>
        <v>109</v>
      </c>
      <c r="Q707" s="48">
        <f>IF('Settings'!$E$12="YES",VLOOKUP(B707,'Player Data'!A1:E734,5,FALSE),82)</f>
        <v>67.3121428571429</v>
      </c>
      <c r="R707" s="46">
        <f>VLOOKUP(B707,'Player Data'!$A1:$AE734,6,FALSE)</f>
        <v>8.76643959125493</v>
      </c>
      <c r="S707" s="48">
        <f>VLOOKUP(B707,'Player Data'!$A1:$AE734,7,FALSE)*$Q707*_xlfn.IFERROR((VLOOKUP(P707,'Settings'!$E$28:$F$33,2,FALSE)+1),1)</f>
        <v>4.47269587938597</v>
      </c>
      <c r="T707" s="48">
        <f>VLOOKUP(B707,'Player Data'!$A1:$AE734,8,FALSE)*$Q707*_xlfn.IFERROR((VLOOKUP(P707,'Settings'!$E$28:$F$33,2,FALSE)+1),1)</f>
        <v>5.37003196232821</v>
      </c>
      <c r="U707" s="48">
        <f>SUM(S707:T707)</f>
        <v>9.842727841714179</v>
      </c>
      <c r="V707" s="48">
        <f>VLOOKUP(B707,'Player Data'!$A1:$AE734,10,FALSE)*$Q707*_xlfn.IFERROR(((VLOOKUP(P707,'Settings'!$E$28:$F$33,2,FALSE)/2)+1),1)</f>
        <v>55.6361111891621</v>
      </c>
      <c r="W707" s="48">
        <f>VLOOKUP(B707,'Player Data'!$A1:$AE734,11,FALSE)*$Q707*_xlfn.IFERROR((VLOOKUP(P707,'Settings'!$E$28:$F$33,2,FALSE)+1),1)</f>
        <v>0.0477228750585394</v>
      </c>
      <c r="X707" s="48">
        <f>VLOOKUP(B707,'Player Data'!$A1:$AE734,12,FALSE)*$Q707*_xlfn.IFERROR((VLOOKUP(P707,'Settings'!$E$28:$F$33,2,FALSE)+1),1)</f>
        <v>0.122974114896299</v>
      </c>
      <c r="Y707" s="48">
        <f>VLOOKUP(B707,'Player Data'!$A1:$AE734,13,FALSE)*$Q707</f>
        <v>0.0455666525704928</v>
      </c>
      <c r="Z707" s="48">
        <f>VLOOKUP(B707,'Player Data'!$A1:$AE734,14,FALSE)*$Q707</f>
        <v>0.0611977890816556</v>
      </c>
      <c r="AA707" s="48">
        <f>VLOOKUP(B707,'Player Data'!$A1:$AE734,15,FALSE)*$Q707</f>
        <v>28.7436527488756</v>
      </c>
      <c r="AB707" s="48">
        <f>VLOOKUP(B707,'Player Data'!$A1:$AE734,16,FALSE)*$Q707</f>
        <v>82.7835628772944</v>
      </c>
      <c r="AC707" s="48">
        <f>VLOOKUP(B707,'Player Data'!$A1:$AE734,17,FALSE)*$Q707*_xlfn.IFERROR((VLOOKUP(P707,'Settings'!$E$28:$F$33,2,FALSE)+1),1)</f>
        <v>0.724697970010804</v>
      </c>
      <c r="AD707" s="48">
        <f>VLOOKUP(B707,'Player Data'!$A1:$AE734,18,FALSE)*$Q707</f>
        <v>18.6329124419321</v>
      </c>
      <c r="AE707" s="48">
        <f>VLOOKUP(B707,'Player Data'!$A1:$AE734,19,FALSE)*$Q707*_xlfn.IFERROR((VLOOKUP(P707,'Settings'!$E$28:$F$33,2,FALSE)+1),1)</f>
        <v>0.747379654498785</v>
      </c>
      <c r="AF707" s="48">
        <f>VLOOKUP(B707,'Player Data'!$A1:$AE734,20,FALSE)*$Q707</f>
        <v>158.251305298268</v>
      </c>
      <c r="AG707" s="48">
        <f>VLOOKUP(B707,'Player Data'!$A1:$AE734,21,FALSE)*$Q707</f>
        <v>197.319448137956</v>
      </c>
      <c r="AH707" s="49">
        <f>VLOOKUP(B707,'Player Data'!$A1:$AE734,22,FALSE)</f>
        <v>0.445062772370709</v>
      </c>
      <c r="AI707" s="46"/>
      <c r="AJ707" s="50"/>
      <c r="AK707" s="48"/>
      <c r="AL707" s="48"/>
      <c r="AM707" s="48"/>
      <c r="AN707" s="48"/>
      <c r="AO707" s="48"/>
      <c r="AP707" s="48"/>
      <c r="AQ707" s="51"/>
      <c r="AR707" s="52"/>
      <c r="AS707" s="46"/>
    </row>
    <row r="708" ht="21.25" customHeight="1">
      <c r="A708" s="53">
        <f>RANK(K708,K2:K730)</f>
        <v>716</v>
      </c>
      <c r="B708" t="s" s="8">
        <v>860</v>
      </c>
      <c r="C708" t="s" s="39">
        <v>106</v>
      </c>
      <c r="D708" t="s" s="40">
        <f>VLOOKUP(B708,'Player Data'!A1:D734,4,FALSE)</f>
        <v>133</v>
      </c>
      <c r="E708" s="57">
        <f>VLOOKUP(B708,'LW'!A1:C156,3,FALSE)</f>
        <v>152</v>
      </c>
      <c r="F708" t="s" s="42">
        <f>VLOOKUP(B708,'Player Data'!A1:B734,2,FALSE)</f>
        <v>119</v>
      </c>
      <c r="G708" s="9">
        <f>VLOOKUP(B708,'Player Data'!A1:D734,3,FALSE)</f>
        <v>23</v>
      </c>
      <c r="H708" s="43">
        <f>_xlfn.IFERROR(VLOOKUP(B708,'ADP'!A1:G731,7,FALSE)/1000000,VLOOKUP(B708,'ADP'!A1:G731,7,FALSE))</f>
        <v>0</v>
      </c>
      <c r="I708" s="44">
        <f>IF('Settings'!$E$15="POINTS",((R708*Q708)*'Settings'!$B$12)+(S708*'Settings'!$B$2)+(T708*'Settings'!$B$3)+(U708*'Settings'!$B$4)+(V708*'Settings'!$B$5)+(X708*'Settings'!$B$9)+(AA708*'Settings'!$B$6)+(W708*'Settings'!$B$8)+(AB708*'Settings'!$B$7)+(AC708*'Settings'!$B$14)+(AD708*'Settings'!$B$15)+(AE708*'Settings'!$B$16)+(AF708*'Settings'!$B$17)+(AG708*'Settings'!$B$18)+(Y708*'Settings'!$B$10)+(Z708*'Settings'!$B$11),VLOOKUP(B708,'Standard Deviations'!A1:C731,3,FALSE))</f>
        <v>91.171869739024</v>
      </c>
      <c r="J708" s="45">
        <f>IF(D708="G",I708/AJ708,I708/Q708)</f>
        <v>1.74133351934344</v>
      </c>
      <c r="K708" s="44">
        <f>IF('Settings'!$E$18="C/LW/RW",VLOOKUP(B708,'LW'!A1:F156,6,FALSE),VLOOKUP(B708,'F'!A1:F432,6,FALSE))</f>
        <v>-290.456693967332</v>
      </c>
      <c r="L708" t="s" s="60">
        <f>_xlfn.IFERROR(K708/H708,"N/A")</f>
        <v>158</v>
      </c>
      <c r="M708" t="s" s="61">
        <f>IF('Settings'!$E$9="YAHOO",VLOOKUP(B708,'ADP'!A1:E731,2,FALSE),IF('Settings'!$E$9="ESPN",VLOOKUP(B708,'ADP'!A1:E731,3,FALSE),IF('Settings'!$E$9="FANTRAX",VLOOKUP(B708,'ADP'!A1:E731,4,FALSE),VLOOKUP(B708,'ADP'!A1:E731,5,FALSE))))</f>
        <v>329</v>
      </c>
      <c r="N708" t="s" s="61">
        <f>_xlfn.IFERROR(M708-A708,"N/A")</f>
        <v>158</v>
      </c>
      <c r="O708" s="46"/>
      <c r="P708" t="s" s="47">
        <f>IF('Settings'!$E$27="ON",VLOOKUP(B708,'ADP'!A1:H731,8,FALSE)," ")</f>
        <v>109</v>
      </c>
      <c r="Q708" s="48">
        <f>IF('Settings'!$E$12="YES",VLOOKUP(B708,'Player Data'!A1:E734,5,FALSE),82)</f>
        <v>52.3575</v>
      </c>
      <c r="R708" s="46">
        <f>VLOOKUP(B708,'Player Data'!$A1:$AE734,6,FALSE)</f>
        <v>9.601175418360439</v>
      </c>
      <c r="S708" s="48">
        <f>VLOOKUP(B708,'Player Data'!$A1:$AE734,7,FALSE)*$Q708*_xlfn.IFERROR((VLOOKUP(P708,'Settings'!$E$28:$F$33,2,FALSE)+1),1)</f>
        <v>3.34857090605745</v>
      </c>
      <c r="T708" s="48">
        <f>VLOOKUP(B708,'Player Data'!$A1:$AE734,8,FALSE)*$Q708*_xlfn.IFERROR((VLOOKUP(P708,'Settings'!$E$28:$F$33,2,FALSE)+1),1)</f>
        <v>8.08197647321427</v>
      </c>
      <c r="U708" s="48">
        <f>SUM(S708:T708)</f>
        <v>11.4305473792717</v>
      </c>
      <c r="V708" s="48">
        <f>VLOOKUP(B708,'Player Data'!$A1:$AE734,10,FALSE)*$Q708*_xlfn.IFERROR(((VLOOKUP(P708,'Settings'!$E$28:$F$33,2,FALSE)/2)+1),1)</f>
        <v>48.4361834548639</v>
      </c>
      <c r="W708" s="48">
        <f>VLOOKUP(B708,'Player Data'!$A1:$AE734,11,FALSE)*$Q708*_xlfn.IFERROR((VLOOKUP(P708,'Settings'!$E$28:$F$33,2,FALSE)+1),1)</f>
        <v>0.0926151221658032</v>
      </c>
      <c r="X708" s="48">
        <f>VLOOKUP(B708,'Player Data'!$A1:$AE734,12,FALSE)*$Q708*_xlfn.IFERROR((VLOOKUP(P708,'Settings'!$E$28:$F$33,2,FALSE)+1),1)</f>
        <v>0.225995004958077</v>
      </c>
      <c r="Y708" s="48">
        <f>VLOOKUP(B708,'Player Data'!$A1:$AE734,13,FALSE)*$Q708</f>
        <v>0</v>
      </c>
      <c r="Z708" s="48">
        <f>VLOOKUP(B708,'Player Data'!$A1:$AE734,14,FALSE)*$Q708</f>
        <v>0</v>
      </c>
      <c r="AA708" s="48">
        <f>VLOOKUP(B708,'Player Data'!$A1:$AE734,15,FALSE)*$Q708</f>
        <v>21.4394368724368</v>
      </c>
      <c r="AB708" s="48">
        <f>VLOOKUP(B708,'Player Data'!$A1:$AE734,16,FALSE)*$Q708</f>
        <v>67.67824431388929</v>
      </c>
      <c r="AC708" s="48">
        <f>VLOOKUP(B708,'Player Data'!$A1:$AE734,17,FALSE)*$Q708*_xlfn.IFERROR((VLOOKUP(P708,'Settings'!$E$28:$F$33,2,FALSE)+1),1)</f>
        <v>1.04549671050045</v>
      </c>
      <c r="AD708" s="48">
        <f>VLOOKUP(B708,'Player Data'!$A1:$AE734,18,FALSE)*$Q708</f>
        <v>13.0734572075218</v>
      </c>
      <c r="AE708" s="48">
        <f>VLOOKUP(B708,'Player Data'!$A1:$AE734,19,FALSE)*$Q708*_xlfn.IFERROR((VLOOKUP(P708,'Settings'!$E$28:$F$33,2,FALSE)+1),1)</f>
        <v>0.480360134506451</v>
      </c>
      <c r="AF708" s="48">
        <f>VLOOKUP(B708,'Player Data'!$A1:$AE734,20,FALSE)*$Q708</f>
        <v>0.10683315526594</v>
      </c>
      <c r="AG708" s="48">
        <f>VLOOKUP(B708,'Player Data'!$A1:$AE734,21,FALSE)*$Q708</f>
        <v>0.936367995761679</v>
      </c>
      <c r="AH708" s="49">
        <f>VLOOKUP(B708,'Player Data'!$A1:$AE734,22,FALSE)</f>
        <v>0.102408969891093</v>
      </c>
      <c r="AI708" s="46"/>
      <c r="AJ708" s="50"/>
      <c r="AK708" s="48"/>
      <c r="AL708" s="48"/>
      <c r="AM708" s="48"/>
      <c r="AN708" s="48"/>
      <c r="AO708" s="48"/>
      <c r="AP708" s="48"/>
      <c r="AQ708" s="51"/>
      <c r="AR708" s="52"/>
      <c r="AS708" s="46"/>
    </row>
    <row r="709" ht="21.25" customHeight="1">
      <c r="A709" s="53">
        <f>RANK(K709,K2:K730)</f>
        <v>723</v>
      </c>
      <c r="B709" t="s" s="8">
        <v>861</v>
      </c>
      <c r="C709" t="s" s="39">
        <v>106</v>
      </c>
      <c r="D709" t="s" s="40">
        <f>VLOOKUP(B709,'Player Data'!A1:D734,4,FALSE)</f>
        <v>107</v>
      </c>
      <c r="E709" s="41">
        <f>VLOOKUP(B709,'C'!A1:C218,3,FALSE)</f>
        <v>211</v>
      </c>
      <c r="F709" t="s" s="42">
        <f>VLOOKUP(B709,'Player Data'!A1:B734,2,FALSE)</f>
        <v>124</v>
      </c>
      <c r="G709" s="9">
        <f>VLOOKUP(B709,'Player Data'!A1:D734,3,FALSE)</f>
        <v>25</v>
      </c>
      <c r="H709" s="43">
        <f>_xlfn.IFERROR(VLOOKUP(B709,'ADP'!A1:G731,7,FALSE)/1000000,VLOOKUP(B709,'ADP'!A1:G731,7,FALSE))</f>
        <v>0</v>
      </c>
      <c r="I709" s="44">
        <f>IF('Settings'!$E$15="POINTS",((R709*Q709)*'Settings'!$B$12)+(S709*'Settings'!$B$2)+(T709*'Settings'!$B$3)+(U709*'Settings'!$B$4)+(V709*'Settings'!$B$5)+(X709*'Settings'!$B$9)+(AA709*'Settings'!$B$6)+(W709*'Settings'!$B$8)+(AB709*'Settings'!$B$7)+(AC709*'Settings'!$B$14)+(AD709*'Settings'!$B$15)+(AE709*'Settings'!$B$16)+(AF709*'Settings'!$B$17)+(AG709*'Settings'!$B$18)+(Y709*'Settings'!$B$10)+(Z709*'Settings'!$B$11),VLOOKUP(B709,'Standard Deviations'!A1:C731,3,FALSE))</f>
        <v>94.3934944940781</v>
      </c>
      <c r="J709" s="45">
        <f>IF(D709="G",I709/AJ709,I709/Q709)</f>
        <v>1.60440577037921</v>
      </c>
      <c r="K709" s="44">
        <f>IF('Settings'!$E$18="C/LW/RW",VLOOKUP(B709,'C'!A1:F218,6,FALSE),VLOOKUP(B709,'F'!A1:F432,6,FALSE))</f>
        <v>-301.380707141937</v>
      </c>
      <c r="L709" t="s" s="60">
        <f>_xlfn.IFERROR(K709/H709,"N/A")</f>
        <v>158</v>
      </c>
      <c r="M709" t="s" s="61">
        <f>IF('Settings'!$E$9="YAHOO",VLOOKUP(B709,'ADP'!A1:E731,2,FALSE),IF('Settings'!$E$9="ESPN",VLOOKUP(B709,'ADP'!A1:E731,3,FALSE),IF('Settings'!$E$9="FANTRAX",VLOOKUP(B709,'ADP'!A1:E731,4,FALSE),VLOOKUP(B709,'ADP'!A1:E731,5,FALSE))))</f>
        <v>329</v>
      </c>
      <c r="N709" t="s" s="61">
        <f>_xlfn.IFERROR(M709-A709,"N/A")</f>
        <v>158</v>
      </c>
      <c r="O709" s="46"/>
      <c r="P709" t="s" s="47">
        <f>IF('Settings'!$E$27="ON",VLOOKUP(B709,'ADP'!A1:H731,8,FALSE)," ")</f>
        <v>109</v>
      </c>
      <c r="Q709" s="48">
        <f>IF('Settings'!$E$12="YES",VLOOKUP(B709,'Player Data'!A1:E734,5,FALSE),82)</f>
        <v>58.8339285714286</v>
      </c>
      <c r="R709" s="46">
        <f>VLOOKUP(B709,'Player Data'!$A1:$AE734,6,FALSE)</f>
        <v>9.800326570541159</v>
      </c>
      <c r="S709" s="48">
        <f>VLOOKUP(B709,'Player Data'!$A1:$AE734,7,FALSE)*$Q709*_xlfn.IFERROR((VLOOKUP(P709,'Settings'!$E$28:$F$33,2,FALSE)+1),1)</f>
        <v>5.36878690814005</v>
      </c>
      <c r="T709" s="48">
        <f>VLOOKUP(B709,'Player Data'!$A1:$AE734,8,FALSE)*$Q709*_xlfn.IFERROR((VLOOKUP(P709,'Settings'!$E$28:$F$33,2,FALSE)+1),1)</f>
        <v>8.40011394509698</v>
      </c>
      <c r="U709" s="48">
        <f>SUM(S709:T709)</f>
        <v>13.768900853237</v>
      </c>
      <c r="V709" s="48">
        <f>VLOOKUP(B709,'Player Data'!$A1:$AE734,10,FALSE)*$Q709*_xlfn.IFERROR(((VLOOKUP(P709,'Settings'!$E$28:$F$33,2,FALSE)/2)+1),1)</f>
        <v>45.3403662853122</v>
      </c>
      <c r="W709" s="48">
        <f>VLOOKUP(B709,'Player Data'!$A1:$AE734,11,FALSE)*$Q709*_xlfn.IFERROR((VLOOKUP(P709,'Settings'!$E$28:$F$33,2,FALSE)+1),1)</f>
        <v>0.163900819393514</v>
      </c>
      <c r="X709" s="48">
        <f>VLOOKUP(B709,'Player Data'!$A1:$AE734,12,FALSE)*$Q709*_xlfn.IFERROR((VLOOKUP(P709,'Settings'!$E$28:$F$33,2,FALSE)+1),1)</f>
        <v>0.511654997111853</v>
      </c>
      <c r="Y709" s="48">
        <f>VLOOKUP(B709,'Player Data'!$A1:$AE734,13,FALSE)*$Q709</f>
        <v>0.00355917910447076</v>
      </c>
      <c r="Z709" s="48">
        <f>VLOOKUP(B709,'Player Data'!$A1:$AE734,14,FALSE)*$Q709</f>
        <v>0.00650536604902859</v>
      </c>
      <c r="AA709" s="48">
        <f>VLOOKUP(B709,'Player Data'!$A1:$AE734,15,FALSE)*$Q709</f>
        <v>17.5892613890671</v>
      </c>
      <c r="AB709" s="48">
        <f>VLOOKUP(B709,'Player Data'!$A1:$AE734,16,FALSE)*$Q709</f>
        <v>54.2231480114771</v>
      </c>
      <c r="AC709" s="48">
        <f>VLOOKUP(B709,'Player Data'!$A1:$AE734,17,FALSE)*$Q709*_xlfn.IFERROR((VLOOKUP(P709,'Settings'!$E$28:$F$33,2,FALSE)+1),1)</f>
        <v>-0.375477354719881</v>
      </c>
      <c r="AD709" s="48">
        <f>VLOOKUP(B709,'Player Data'!$A1:$AE734,18,FALSE)*$Q709</f>
        <v>14.396835631134</v>
      </c>
      <c r="AE709" s="48">
        <f>VLOOKUP(B709,'Player Data'!$A1:$AE734,19,FALSE)*$Q709*_xlfn.IFERROR((VLOOKUP(P709,'Settings'!$E$28:$F$33,2,FALSE)+1),1)</f>
        <v>0.840217101339117</v>
      </c>
      <c r="AF709" s="48">
        <f>VLOOKUP(B709,'Player Data'!$A1:$AE734,20,FALSE)*$Q709</f>
        <v>108.557598209968</v>
      </c>
      <c r="AG709" s="48">
        <f>VLOOKUP(B709,'Player Data'!$A1:$AE734,21,FALSE)*$Q709</f>
        <v>187.684106573212</v>
      </c>
      <c r="AH709" s="49">
        <f>VLOOKUP(B709,'Player Data'!$A1:$AE734,22,FALSE)</f>
        <v>0.366449410927544</v>
      </c>
      <c r="AI709" s="46"/>
      <c r="AJ709" s="50"/>
      <c r="AK709" s="48"/>
      <c r="AL709" s="48"/>
      <c r="AM709" s="48"/>
      <c r="AN709" s="48"/>
      <c r="AO709" s="48"/>
      <c r="AP709" s="48"/>
      <c r="AQ709" s="51"/>
      <c r="AR709" s="52"/>
      <c r="AS709" s="50"/>
    </row>
    <row r="710" ht="21.25" customHeight="1">
      <c r="A710" s="53">
        <f>RANK(K710,K2:K730)</f>
        <v>718</v>
      </c>
      <c r="B710" t="s" s="8">
        <v>862</v>
      </c>
      <c r="C710" t="s" s="39">
        <v>106</v>
      </c>
      <c r="D710" t="s" s="40">
        <f>VLOOKUP(B710,'Player Data'!A1:D734,4,FALSE)</f>
        <v>121</v>
      </c>
      <c r="E710" s="55">
        <f>VLOOKUP(B710,'RW'!A1:F132,3,FALSE)</f>
        <v>130</v>
      </c>
      <c r="F710" t="s" s="42">
        <f>VLOOKUP(B710,'Player Data'!A1:B734,2,FALSE)</f>
        <v>141</v>
      </c>
      <c r="G710" s="9">
        <f>VLOOKUP(B710,'Player Data'!A1:D734,3,FALSE)</f>
        <v>25</v>
      </c>
      <c r="H710" s="43">
        <f>_xlfn.IFERROR(VLOOKUP(B710,'ADP'!A1:G731,7,FALSE)/1000000,VLOOKUP(B710,'ADP'!A1:G731,7,FALSE))</f>
        <v>0.8</v>
      </c>
      <c r="I710" s="44">
        <f>IF('Settings'!$E$15="POINTS",((R710*Q710)*'Settings'!$B$12)+(S710*'Settings'!$B$2)+(T710*'Settings'!$B$3)+(U710*'Settings'!$B$4)+(V710*'Settings'!$B$5)+(X710*'Settings'!$B$9)+(AA710*'Settings'!$B$6)+(W710*'Settings'!$B$8)+(AB710*'Settings'!$B$7)+(AC710*'Settings'!$B$14)+(AD710*'Settings'!$B$15)+(AE710*'Settings'!$B$16)+(AF710*'Settings'!$B$17)+(AG710*'Settings'!$B$18)+(Y710*'Settings'!$B$10)+(Z710*'Settings'!$B$11),VLOOKUP(B710,'Standard Deviations'!A1:C731,3,FALSE))</f>
        <v>89.4992297238155</v>
      </c>
      <c r="J710" s="45">
        <f>IF(D710="G",I710/AJ710,I710/Q710)</f>
        <v>1.41931923758614</v>
      </c>
      <c r="K710" s="44">
        <f>IF('Settings'!$E$18="C/LW/RW",VLOOKUP(B710,'RW'!A1:F132,6,FALSE),VLOOKUP(B710,'F'!A1:F432,6,FALSE))</f>
        <v>-292.129333982541</v>
      </c>
      <c r="L710" s="44">
        <f>_xlfn.IFERROR(K710/H710,"N/A")</f>
        <v>-365.161667478176</v>
      </c>
      <c r="M710" t="s" s="61">
        <f>IF('Settings'!$E$9="YAHOO",VLOOKUP(B710,'ADP'!A1:E731,2,FALSE),IF('Settings'!$E$9="ESPN",VLOOKUP(B710,'ADP'!A1:E731,3,FALSE),IF('Settings'!$E$9="FANTRAX",VLOOKUP(B710,'ADP'!A1:E731,4,FALSE),VLOOKUP(B710,'ADP'!A1:E731,5,FALSE))))</f>
        <v>329</v>
      </c>
      <c r="N710" t="s" s="61">
        <f>_xlfn.IFERROR(M710-A710,"N/A")</f>
        <v>158</v>
      </c>
      <c r="O710" s="46"/>
      <c r="P710" t="s" s="47">
        <f>IF('Settings'!$E$27="ON",VLOOKUP(B710,'ADP'!A1:H731,8,FALSE)," ")</f>
        <v>109</v>
      </c>
      <c r="Q710" s="48">
        <f>IF('Settings'!$E$12="YES",VLOOKUP(B710,'Player Data'!A1:E734,5,FALSE),82)</f>
        <v>63.0578571428571</v>
      </c>
      <c r="R710" s="46">
        <f>VLOOKUP(B710,'Player Data'!$A1:$AE734,6,FALSE)</f>
        <v>7.01333333333333</v>
      </c>
      <c r="S710" s="48">
        <f>VLOOKUP(B710,'Player Data'!$A1:$AE734,7,FALSE)*$Q710*_xlfn.IFERROR((VLOOKUP(P710,'Settings'!$E$28:$F$33,2,FALSE)+1),1)</f>
        <v>3.71528192423295</v>
      </c>
      <c r="T710" s="48">
        <f>VLOOKUP(B710,'Player Data'!$A1:$AE734,8,FALSE)*$Q710*_xlfn.IFERROR((VLOOKUP(P710,'Settings'!$E$28:$F$33,2,FALSE)+1),1)</f>
        <v>5.13792346963568</v>
      </c>
      <c r="U710" s="48">
        <f>SUM(S710:T710)</f>
        <v>8.853205393868629</v>
      </c>
      <c r="V710" s="48">
        <f>VLOOKUP(B710,'Player Data'!$A1:$AE734,10,FALSE)*$Q710*_xlfn.IFERROR(((VLOOKUP(P710,'Settings'!$E$28:$F$33,2,FALSE)/2)+1),1)</f>
        <v>50.5218601784103</v>
      </c>
      <c r="W710" s="48">
        <f>VLOOKUP(B710,'Player Data'!$A1:$AE734,11,FALSE)*$Q710*_xlfn.IFERROR((VLOOKUP(P710,'Settings'!$E$28:$F$33,2,FALSE)+1),1)</f>
        <v>0.0443125275517791</v>
      </c>
      <c r="X710" s="48">
        <f>VLOOKUP(B710,'Player Data'!$A1:$AE734,12,FALSE)*$Q710*_xlfn.IFERROR((VLOOKUP(P710,'Settings'!$E$28:$F$33,2,FALSE)+1),1)</f>
        <v>0.112572893033504</v>
      </c>
      <c r="Y710" s="48">
        <f>VLOOKUP(B710,'Player Data'!$A1:$AE734,13,FALSE)*$Q710</f>
        <v>0.00389593670941289</v>
      </c>
      <c r="Z710" s="48">
        <f>VLOOKUP(B710,'Player Data'!$A1:$AE734,14,FALSE)*$Q710</f>
        <v>0.00714964026822127</v>
      </c>
      <c r="AA710" s="48">
        <f>VLOOKUP(B710,'Player Data'!$A1:$AE734,15,FALSE)*$Q710</f>
        <v>17.0192217610032</v>
      </c>
      <c r="AB710" s="48">
        <f>VLOOKUP(B710,'Player Data'!$A1:$AE734,16,FALSE)*$Q710</f>
        <v>94.327401622468</v>
      </c>
      <c r="AC710" s="48">
        <f>VLOOKUP(B710,'Player Data'!$A1:$AE734,17,FALSE)*$Q710*_xlfn.IFERROR((VLOOKUP(P710,'Settings'!$E$28:$F$33,2,FALSE)+1),1)</f>
        <v>-0.359094061564167</v>
      </c>
      <c r="AD710" s="48">
        <f>VLOOKUP(B710,'Player Data'!$A1:$AE734,18,FALSE)*$Q710</f>
        <v>50.0596063581162</v>
      </c>
      <c r="AE710" s="48">
        <f>VLOOKUP(B710,'Player Data'!$A1:$AE734,19,FALSE)*$Q710*_xlfn.IFERROR((VLOOKUP(P710,'Settings'!$E$28:$F$33,2,FALSE)+1),1)</f>
        <v>0.461273630198626</v>
      </c>
      <c r="AF710" s="48">
        <f>VLOOKUP(B710,'Player Data'!$A1:$AE734,20,FALSE)*$Q710</f>
        <v>0.118568065425876</v>
      </c>
      <c r="AG710" s="48">
        <f>VLOOKUP(B710,'Player Data'!$A1:$AE734,21,FALSE)*$Q710</f>
        <v>0.376897549739782</v>
      </c>
      <c r="AH710" s="49">
        <f>VLOOKUP(B710,'Player Data'!$A1:$AE734,22,FALSE)</f>
        <v>0.239306344974581</v>
      </c>
      <c r="AI710" s="46"/>
      <c r="AJ710" s="50"/>
      <c r="AK710" s="48"/>
      <c r="AL710" s="48"/>
      <c r="AM710" s="48"/>
      <c r="AN710" s="48"/>
      <c r="AO710" s="48"/>
      <c r="AP710" s="48"/>
      <c r="AQ710" s="51"/>
      <c r="AR710" s="52"/>
      <c r="AS710" s="46"/>
    </row>
    <row r="711" ht="21.25" customHeight="1">
      <c r="A711" s="53">
        <f>RANK(K711,K2:K730)</f>
        <v>724</v>
      </c>
      <c r="B711" t="s" s="8">
        <v>863</v>
      </c>
      <c r="C711" t="s" s="39">
        <v>106</v>
      </c>
      <c r="D711" t="s" s="40">
        <f>VLOOKUP(B711,'Player Data'!A1:D734,4,FALSE)</f>
        <v>107</v>
      </c>
      <c r="E711" s="41">
        <f>VLOOKUP(B711,'C'!A1:C218,3,FALSE)</f>
        <v>212</v>
      </c>
      <c r="F711" t="s" s="42">
        <f>VLOOKUP(B711,'Player Data'!A1:B734,2,FALSE)</f>
        <v>134</v>
      </c>
      <c r="G711" s="9">
        <f>VLOOKUP(B711,'Player Data'!A1:D734,3,FALSE)</f>
        <v>28</v>
      </c>
      <c r="H711" s="43">
        <f>_xlfn.IFERROR(VLOOKUP(B711,'ADP'!A1:G731,7,FALSE)/1000000,VLOOKUP(B711,'ADP'!A1:G731,7,FALSE))</f>
        <v>0</v>
      </c>
      <c r="I711" s="44">
        <f>IF('Settings'!$E$15="POINTS",((R711*Q711)*'Settings'!$B$12)+(S711*'Settings'!$B$2)+(T711*'Settings'!$B$3)+(U711*'Settings'!$B$4)+(V711*'Settings'!$B$5)+(X711*'Settings'!$B$9)+(AA711*'Settings'!$B$6)+(W711*'Settings'!$B$8)+(AB711*'Settings'!$B$7)+(AC711*'Settings'!$B$14)+(AD711*'Settings'!$B$15)+(AE711*'Settings'!$B$16)+(AF711*'Settings'!$B$17)+(AG711*'Settings'!$B$18)+(Y711*'Settings'!$B$10)+(Z711*'Settings'!$B$11),VLOOKUP(B711,'Standard Deviations'!A1:C731,3,FALSE))</f>
        <v>93.0602826490606</v>
      </c>
      <c r="J711" s="45">
        <f>IF(D711="G",I711/AJ711,I711/Q711)</f>
        <v>1.74679085216444</v>
      </c>
      <c r="K711" s="44">
        <f>IF('Settings'!$E$18="C/LW/RW",VLOOKUP(B711,'C'!A1:F218,6,FALSE),VLOOKUP(B711,'F'!A1:F432,6,FALSE))</f>
        <v>-302.713918986954</v>
      </c>
      <c r="L711" t="s" s="60">
        <f>_xlfn.IFERROR(K711/H711,"N/A")</f>
        <v>158</v>
      </c>
      <c r="M711" t="s" s="61">
        <f>IF('Settings'!$E$9="YAHOO",VLOOKUP(B711,'ADP'!A1:E731,2,FALSE),IF('Settings'!$E$9="ESPN",VLOOKUP(B711,'ADP'!A1:E731,3,FALSE),IF('Settings'!$E$9="FANTRAX",VLOOKUP(B711,'ADP'!A1:E731,4,FALSE),VLOOKUP(B711,'ADP'!A1:E731,5,FALSE))))</f>
        <v>329</v>
      </c>
      <c r="N711" t="s" s="61">
        <f>_xlfn.IFERROR(M711-A711,"N/A")</f>
        <v>158</v>
      </c>
      <c r="O711" s="46"/>
      <c r="P711" t="s" s="47">
        <f>IF('Settings'!$E$27="ON",VLOOKUP(B711,'ADP'!A1:H731,8,FALSE)," ")</f>
        <v>109</v>
      </c>
      <c r="Q711" s="48">
        <f>IF('Settings'!$E$12="YES",VLOOKUP(B711,'Player Data'!A1:E734,5,FALSE),82)</f>
        <v>53.275</v>
      </c>
      <c r="R711" s="46">
        <f>VLOOKUP(B711,'Player Data'!$A1:$AE734,6,FALSE)</f>
        <v>10.9014661127914</v>
      </c>
      <c r="S711" s="48">
        <f>VLOOKUP(B711,'Player Data'!$A1:$AE734,7,FALSE)*$Q711*_xlfn.IFERROR((VLOOKUP(P711,'Settings'!$E$28:$F$33,2,FALSE)+1),1)</f>
        <v>4.01390346514707</v>
      </c>
      <c r="T711" s="48">
        <f>VLOOKUP(B711,'Player Data'!$A1:$AE734,8,FALSE)*$Q711*_xlfn.IFERROR((VLOOKUP(P711,'Settings'!$E$28:$F$33,2,FALSE)+1),1)</f>
        <v>7.05607380011646</v>
      </c>
      <c r="U711" s="48">
        <f>SUM(S711:T711)</f>
        <v>11.0699772652635</v>
      </c>
      <c r="V711" s="48">
        <f>VLOOKUP(B711,'Player Data'!$A1:$AE734,10,FALSE)*$Q711*_xlfn.IFERROR(((VLOOKUP(P711,'Settings'!$E$28:$F$33,2,FALSE)/2)+1),1)</f>
        <v>58.4346408412916</v>
      </c>
      <c r="W711" s="48">
        <f>VLOOKUP(B711,'Player Data'!$A1:$AE734,11,FALSE)*$Q711*_xlfn.IFERROR((VLOOKUP(P711,'Settings'!$E$28:$F$33,2,FALSE)+1),1)</f>
        <v>0.06831762809633279</v>
      </c>
      <c r="X711" s="48">
        <f>VLOOKUP(B711,'Player Data'!$A1:$AE734,12,FALSE)*$Q711*_xlfn.IFERROR((VLOOKUP(P711,'Settings'!$E$28:$F$33,2,FALSE)+1),1)</f>
        <v>0.218183360975835</v>
      </c>
      <c r="Y711" s="48">
        <f>VLOOKUP(B711,'Player Data'!$A1:$AE734,13,FALSE)*$Q711</f>
        <v>0</v>
      </c>
      <c r="Z711" s="48">
        <f>VLOOKUP(B711,'Player Data'!$A1:$AE734,14,FALSE)*$Q711</f>
        <v>0</v>
      </c>
      <c r="AA711" s="48">
        <f>VLOOKUP(B711,'Player Data'!$A1:$AE734,15,FALSE)*$Q711</f>
        <v>20.953951530067</v>
      </c>
      <c r="AB711" s="48">
        <f>VLOOKUP(B711,'Player Data'!$A1:$AE734,16,FALSE)*$Q711</f>
        <v>56.5407978794805</v>
      </c>
      <c r="AC711" s="48">
        <f>VLOOKUP(B711,'Player Data'!$A1:$AE734,17,FALSE)*$Q711*_xlfn.IFERROR((VLOOKUP(P711,'Settings'!$E$28:$F$33,2,FALSE)+1),1)</f>
        <v>0.945034786451328</v>
      </c>
      <c r="AD711" s="48">
        <f>VLOOKUP(B711,'Player Data'!$A1:$AE734,18,FALSE)*$Q711</f>
        <v>14.5659956425442</v>
      </c>
      <c r="AE711" s="48">
        <f>VLOOKUP(B711,'Player Data'!$A1:$AE734,19,FALSE)*$Q711*_xlfn.IFERROR((VLOOKUP(P711,'Settings'!$E$28:$F$33,2,FALSE)+1),1)</f>
        <v>0.644538230735391</v>
      </c>
      <c r="AF711" s="48">
        <f>VLOOKUP(B711,'Player Data'!$A1:$AE734,20,FALSE)*$Q711</f>
        <v>11.7416734273573</v>
      </c>
      <c r="AG711" s="48">
        <f>VLOOKUP(B711,'Player Data'!$A1:$AE734,21,FALSE)*$Q711</f>
        <v>31.1360920267142</v>
      </c>
      <c r="AH711" s="49">
        <f>VLOOKUP(B711,'Player Data'!$A1:$AE734,22,FALSE)</f>
        <v>0.27384060953303</v>
      </c>
      <c r="AI711" s="46"/>
      <c r="AJ711" s="50"/>
      <c r="AK711" s="48"/>
      <c r="AL711" s="48"/>
      <c r="AM711" s="48"/>
      <c r="AN711" s="48"/>
      <c r="AO711" s="48"/>
      <c r="AP711" s="48"/>
      <c r="AQ711" s="51"/>
      <c r="AR711" s="52"/>
      <c r="AS711" s="50"/>
    </row>
    <row r="712" ht="21.25" customHeight="1">
      <c r="A712" s="53">
        <f>RANK(K712,K2:K730)</f>
        <v>708</v>
      </c>
      <c r="B712" t="s" s="8">
        <v>864</v>
      </c>
      <c r="C712" t="s" s="39">
        <v>106</v>
      </c>
      <c r="D712" t="s" s="40">
        <f>VLOOKUP(B712,'Player Data'!A1:D734,4,FALSE)</f>
        <v>107</v>
      </c>
      <c r="E712" s="41">
        <f>VLOOKUP(B712,'C'!A1:C218,3,FALSE)</f>
        <v>200</v>
      </c>
      <c r="F712" t="s" s="42">
        <f>VLOOKUP(B712,'Player Data'!A1:B734,2,FALSE)</f>
        <v>127</v>
      </c>
      <c r="G712" s="9">
        <f>VLOOKUP(B712,'Player Data'!A1:D734,3,FALSE)</f>
        <v>28</v>
      </c>
      <c r="H712" s="43">
        <f>_xlfn.IFERROR(VLOOKUP(B712,'ADP'!A1:G731,7,FALSE)/1000000,VLOOKUP(B712,'ADP'!A1:G731,7,FALSE))</f>
        <v>1</v>
      </c>
      <c r="I712" s="44">
        <f>IF('Settings'!$E$15="POINTS",((R712*Q712)*'Settings'!$B$12)+(S712*'Settings'!$B$2)+(T712*'Settings'!$B$3)+(U712*'Settings'!$B$4)+(V712*'Settings'!$B$5)+(X712*'Settings'!$B$9)+(AA712*'Settings'!$B$6)+(W712*'Settings'!$B$8)+(AB712*'Settings'!$B$7)+(AC712*'Settings'!$B$14)+(AD712*'Settings'!$B$15)+(AE712*'Settings'!$B$16)+(AF712*'Settings'!$B$17)+(AG712*'Settings'!$B$18)+(Y712*'Settings'!$B$10)+(Z712*'Settings'!$B$11),VLOOKUP(B712,'Standard Deviations'!A1:C731,3,FALSE))</f>
        <v>118.428794914196</v>
      </c>
      <c r="J712" s="45">
        <f>IF(D712="G",I712/AJ712,I712/Q712)</f>
        <v>2.277476825273</v>
      </c>
      <c r="K712" s="44">
        <f>IF('Settings'!$E$18="C/LW/RW",VLOOKUP(B712,'C'!A1:F218,6,FALSE),VLOOKUP(B712,'F'!A1:F432,6,FALSE))</f>
        <v>-277.345406721819</v>
      </c>
      <c r="L712" s="44">
        <f>_xlfn.IFERROR(K712/H712,"N/A")</f>
        <v>-277.345406721819</v>
      </c>
      <c r="M712" t="s" s="61">
        <f>IF('Settings'!$E$9="YAHOO",VLOOKUP(B712,'ADP'!A1:E731,2,FALSE),IF('Settings'!$E$9="ESPN",VLOOKUP(B712,'ADP'!A1:E731,3,FALSE),IF('Settings'!$E$9="FANTRAX",VLOOKUP(B712,'ADP'!A1:E731,4,FALSE),VLOOKUP(B712,'ADP'!A1:E731,5,FALSE))))</f>
        <v>329</v>
      </c>
      <c r="N712" t="s" s="61">
        <f>_xlfn.IFERROR(M712-A712,"N/A")</f>
        <v>158</v>
      </c>
      <c r="O712" s="46"/>
      <c r="P712" t="s" s="47">
        <f>IF('Settings'!$E$27="ON",VLOOKUP(B712,'ADP'!A1:H731,8,FALSE)," ")</f>
        <v>109</v>
      </c>
      <c r="Q712" s="48">
        <f>IF('Settings'!$E$12="YES",VLOOKUP(B712,'Player Data'!A1:E734,5,FALSE),82)</f>
        <v>52</v>
      </c>
      <c r="R712" s="46">
        <f>VLOOKUP(B712,'Player Data'!$A1:$AE734,6,FALSE)</f>
        <v>11.6828410374072</v>
      </c>
      <c r="S712" s="48">
        <f>VLOOKUP(B712,'Player Data'!$A1:$AE734,7,FALSE)*$Q712*_xlfn.IFERROR((VLOOKUP(P712,'Settings'!$E$28:$F$33,2,FALSE)+1),1)</f>
        <v>4.75060351987152</v>
      </c>
      <c r="T712" s="48">
        <f>VLOOKUP(B712,'Player Data'!$A1:$AE734,8,FALSE)*$Q712*_xlfn.IFERROR((VLOOKUP(P712,'Settings'!$E$28:$F$33,2,FALSE)+1),1)</f>
        <v>4.75694591509089</v>
      </c>
      <c r="U712" s="48">
        <f>SUM(S712:T712)</f>
        <v>9.50754943496241</v>
      </c>
      <c r="V712" s="48">
        <f>VLOOKUP(B712,'Player Data'!$A1:$AE734,10,FALSE)*$Q712*_xlfn.IFERROR(((VLOOKUP(P712,'Settings'!$E$28:$F$33,2,FALSE)/2)+1),1)</f>
        <v>59.1518047559702</v>
      </c>
      <c r="W712" s="48">
        <f>VLOOKUP(B712,'Player Data'!$A1:$AE734,11,FALSE)*$Q712*_xlfn.IFERROR((VLOOKUP(P712,'Settings'!$E$28:$F$33,2,FALSE)+1),1)</f>
        <v>0.0371127134050857</v>
      </c>
      <c r="X712" s="48">
        <f>VLOOKUP(B712,'Player Data'!$A1:$AE734,12,FALSE)*$Q712*_xlfn.IFERROR((VLOOKUP(P712,'Settings'!$E$28:$F$33,2,FALSE)+1),1)</f>
        <v>0.09501695070783139</v>
      </c>
      <c r="Y712" s="48">
        <f>VLOOKUP(B712,'Player Data'!$A1:$AE734,13,FALSE)*$Q712</f>
        <v>0.076925244411003</v>
      </c>
      <c r="Z712" s="48">
        <f>VLOOKUP(B712,'Player Data'!$A1:$AE734,14,FALSE)*$Q712</f>
        <v>0.353192488109423</v>
      </c>
      <c r="AA712" s="48">
        <f>VLOOKUP(B712,'Player Data'!$A1:$AE734,15,FALSE)*$Q712</f>
        <v>42.4412332437698</v>
      </c>
      <c r="AB712" s="48">
        <f>VLOOKUP(B712,'Player Data'!$A1:$AE734,16,FALSE)*$Q712</f>
        <v>125.109349413649</v>
      </c>
      <c r="AC712" s="48">
        <f>VLOOKUP(B712,'Player Data'!$A1:$AE734,17,FALSE)*$Q712*_xlfn.IFERROR((VLOOKUP(P712,'Settings'!$E$28:$F$33,2,FALSE)+1),1)</f>
        <v>-0.273834881385977</v>
      </c>
      <c r="AD712" s="48">
        <f>VLOOKUP(B712,'Player Data'!$A1:$AE734,18,FALSE)*$Q712</f>
        <v>14.2515514390657</v>
      </c>
      <c r="AE712" s="48">
        <f>VLOOKUP(B712,'Player Data'!$A1:$AE734,19,FALSE)*$Q712*_xlfn.IFERROR((VLOOKUP(P712,'Settings'!$E$28:$F$33,2,FALSE)+1),1)</f>
        <v>0.698234113864066</v>
      </c>
      <c r="AF712" s="48">
        <f>VLOOKUP(B712,'Player Data'!$A1:$AE734,20,FALSE)*$Q712</f>
        <v>133.842936456736</v>
      </c>
      <c r="AG712" s="48">
        <f>VLOOKUP(B712,'Player Data'!$A1:$AE734,21,FALSE)*$Q712</f>
        <v>136.725727414663</v>
      </c>
      <c r="AH712" s="49">
        <f>VLOOKUP(B712,'Player Data'!$A1:$AE734,22,FALSE)</f>
        <v>0.494672718346834</v>
      </c>
      <c r="AI712" s="46"/>
      <c r="AJ712" s="50"/>
      <c r="AK712" s="48"/>
      <c r="AL712" s="48"/>
      <c r="AM712" s="48"/>
      <c r="AN712" s="48"/>
      <c r="AO712" s="48"/>
      <c r="AP712" s="48"/>
      <c r="AQ712" s="51"/>
      <c r="AR712" s="52"/>
      <c r="AS712" s="46"/>
    </row>
    <row r="713" ht="21.25" customHeight="1">
      <c r="A713" s="53">
        <f>RANK(K713,K2:K730)</f>
        <v>717</v>
      </c>
      <c r="B713" t="s" s="8">
        <v>865</v>
      </c>
      <c r="C713" t="s" s="39">
        <v>106</v>
      </c>
      <c r="D713" t="s" s="40">
        <f>VLOOKUP(B713,'Player Data'!A1:D734,4,FALSE)</f>
        <v>133</v>
      </c>
      <c r="E713" s="57">
        <f>VLOOKUP(B713,'LW'!A1:C156,3,FALSE)</f>
        <v>153</v>
      </c>
      <c r="F713" t="s" s="42">
        <f>VLOOKUP(B713,'Player Data'!A1:B734,2,FALSE)</f>
        <v>127</v>
      </c>
      <c r="G713" s="9">
        <f>VLOOKUP(B713,'Player Data'!A1:D734,3,FALSE)</f>
        <v>22</v>
      </c>
      <c r="H713" s="43">
        <f>_xlfn.IFERROR(VLOOKUP(B713,'ADP'!A1:G731,7,FALSE)/1000000,VLOOKUP(B713,'ADP'!A1:G731,7,FALSE))</f>
        <v>0</v>
      </c>
      <c r="I713" s="44">
        <f>IF('Settings'!$E$15="POINTS",((R713*Q713)*'Settings'!$B$12)+(S713*'Settings'!$B$2)+(T713*'Settings'!$B$3)+(U713*'Settings'!$B$4)+(V713*'Settings'!$B$5)+(X713*'Settings'!$B$9)+(AA713*'Settings'!$B$6)+(W713*'Settings'!$B$8)+(AB713*'Settings'!$B$7)+(AC713*'Settings'!$B$14)+(AD713*'Settings'!$B$15)+(AE713*'Settings'!$B$16)+(AF713*'Settings'!$B$17)+(AG713*'Settings'!$B$18)+(U713*'Settings'!$B$13)+(Y713*'Settings'!$B$10)+(Z713*'Settings'!$B$11),VLOOKUP(B713,'Standard Deviations'!A1:C731,3,FALSE))</f>
        <v>90.80716324407329</v>
      </c>
      <c r="J713" s="45">
        <f>IF(D713="G",I713/AJ713,I713/Q713)</f>
        <v>1.81614326488147</v>
      </c>
      <c r="K713" s="44">
        <f>IF('Settings'!$E$18="C/LW/RW",VLOOKUP(B713,'LW'!A1:F156,6,FALSE),VLOOKUP(B713,'F'!A1:F432,6,FALSE))</f>
        <v>-290.821400462283</v>
      </c>
      <c r="L713" t="s" s="60">
        <f>_xlfn.IFERROR(K713/H713,"N/A")</f>
        <v>158</v>
      </c>
      <c r="M713" t="s" s="61">
        <f>IF('Settings'!$E$9="YAHOO",VLOOKUP(B713,'ADP'!A1:E731,2,FALSE),IF('Settings'!$E$9="ESPN",VLOOKUP(B713,'ADP'!A1:E731,3,FALSE),IF('Settings'!$E$9="FANTRAX",VLOOKUP(B713,'ADP'!A1:E731,4,FALSE),VLOOKUP(B713,'ADP'!A1:E731,5,FALSE))))</f>
        <v>329</v>
      </c>
      <c r="N713" t="s" s="61">
        <f>_xlfn.IFERROR(M713-A713,"N/A")</f>
        <v>158</v>
      </c>
      <c r="O713" s="46"/>
      <c r="P713" t="s" s="47">
        <f>IF('Settings'!$E$27="ON",VLOOKUP(B713,'ADP'!A1:H731,8,FALSE)," ")</f>
        <v>109</v>
      </c>
      <c r="Q713" s="48">
        <f>IF('Settings'!$E$12="YES",VLOOKUP(B713,'Player Data'!A1:E734,5,FALSE),82)</f>
        <v>50</v>
      </c>
      <c r="R713" s="46">
        <f>VLOOKUP(B713,'Player Data'!$A1:$AE734,6,FALSE)</f>
        <v>8.3803449690663</v>
      </c>
      <c r="S713" s="48">
        <f>VLOOKUP(B713,'Player Data'!$A1:$AE734,7,FALSE)*$Q713*_xlfn.IFERROR((VLOOKUP(P713,'Settings'!$E$28:$F$33,2,FALSE)+1),1)</f>
        <v>6.6385496096065</v>
      </c>
      <c r="T713" s="48">
        <f>VLOOKUP(B713,'Player Data'!$A1:$AE734,8,FALSE)*$Q713*_xlfn.IFERROR((VLOOKUP(P713,'Settings'!$E$28:$F$33,2,FALSE)+1),1)</f>
        <v>5.2390292049939</v>
      </c>
      <c r="U713" s="48">
        <f>SUM(S713:T713)</f>
        <v>11.8775788146004</v>
      </c>
      <c r="V713" s="48">
        <f>VLOOKUP(B713,'Player Data'!$A1:$AE734,10,FALSE)*$Q713*_xlfn.IFERROR(((VLOOKUP(P713,'Settings'!$E$28:$F$33,2,FALSE)/2)+1),1)</f>
        <v>43.9350580376089</v>
      </c>
      <c r="W713" s="48">
        <f>VLOOKUP(B713,'Player Data'!$A1:$AE734,11,FALSE)*$Q713*_xlfn.IFERROR((VLOOKUP(P713,'Settings'!$E$28:$F$33,2,FALSE)+1),1)</f>
        <v>0.00367475939138762</v>
      </c>
      <c r="X713" s="48">
        <f>VLOOKUP(B713,'Player Data'!$A1:$AE734,12,FALSE)*$Q713*_xlfn.IFERROR((VLOOKUP(P713,'Settings'!$E$28:$F$33,2,FALSE)+1),1)</f>
        <v>0.009427891571983</v>
      </c>
      <c r="Y713" s="48">
        <f>VLOOKUP(B713,'Player Data'!$A1:$AE734,13,FALSE)*$Q713</f>
        <v>0</v>
      </c>
      <c r="Z713" s="48">
        <f>VLOOKUP(B713,'Player Data'!$A1:$AE734,14,FALSE)*$Q713</f>
        <v>0</v>
      </c>
      <c r="AA713" s="48">
        <f>VLOOKUP(B713,'Player Data'!$A1:$AE734,15,FALSE)*$Q713</f>
        <v>16.8818593248143</v>
      </c>
      <c r="AB713" s="48">
        <f>VLOOKUP(B713,'Player Data'!$A1:$AE734,16,FALSE)*$Q713</f>
        <v>59.232574818603</v>
      </c>
      <c r="AC713" s="48">
        <f>VLOOKUP(B713,'Player Data'!$A1:$AE734,17,FALSE)*$Q713*_xlfn.IFERROR((VLOOKUP(P713,'Settings'!$E$28:$F$33,2,FALSE)+1),1)</f>
        <v>0.324780165821776</v>
      </c>
      <c r="AD713" s="48">
        <f>VLOOKUP(B713,'Player Data'!$A1:$AE734,18,FALSE)*$Q713</f>
        <v>8.5813728542895</v>
      </c>
      <c r="AE713" s="48">
        <f>VLOOKUP(B713,'Player Data'!$A1:$AE734,19,FALSE)*$Q713*_xlfn.IFERROR((VLOOKUP(P713,'Settings'!$E$28:$F$33,2,FALSE)+1),1)</f>
        <v>0.975720618362945</v>
      </c>
      <c r="AF713" s="48">
        <f>VLOOKUP(B713,'Player Data'!$A1:$AE734,20,FALSE)*$Q713</f>
        <v>0</v>
      </c>
      <c r="AG713" s="48">
        <f>VLOOKUP(B713,'Player Data'!$A1:$AE734,21,FALSE)*$Q713</f>
        <v>18.080499204270</v>
      </c>
      <c r="AH713" s="49">
        <f>VLOOKUP(B713,'Player Data'!$A1:$AE734,22,FALSE)</f>
        <v>0</v>
      </c>
      <c r="AI713" s="46"/>
      <c r="AJ713" s="50"/>
      <c r="AK713" s="48"/>
      <c r="AL713" s="48"/>
      <c r="AM713" s="48"/>
      <c r="AN713" s="48"/>
      <c r="AO713" s="48"/>
      <c r="AP713" s="48"/>
      <c r="AQ713" s="51"/>
      <c r="AR713" s="52"/>
      <c r="AS713" s="50"/>
    </row>
    <row r="714" ht="21.25" customHeight="1">
      <c r="A714" s="53">
        <f>RANK(K714,K2:K730)</f>
        <v>490</v>
      </c>
      <c r="B714" t="s" s="8">
        <v>866</v>
      </c>
      <c r="C714" t="s" s="39">
        <v>106</v>
      </c>
      <c r="D714" t="s" s="40">
        <f>VLOOKUP(B714,'Player Data'!A1:D734,4,FALSE)</f>
        <v>146</v>
      </c>
      <c r="E714" s="58">
        <f>VLOOKUP(B714,'G'!A1:D75,3,FALSE)</f>
        <v>64</v>
      </c>
      <c r="F714" t="s" s="42">
        <f>VLOOKUP(B714,'Player Data'!A1:B734,2,FALSE)</f>
        <v>119</v>
      </c>
      <c r="G714" s="9">
        <f>VLOOKUP(B714,'Player Data'!A1:D734,3,FALSE)</f>
        <v>29</v>
      </c>
      <c r="H714" s="43">
        <f>_xlfn.IFERROR(VLOOKUP(B714,'ADP'!A1:G731,7,FALSE)/1000000,VLOOKUP(B714,'ADP'!A1:G731,7,FALSE))</f>
        <v>1.1</v>
      </c>
      <c r="I714" s="44">
        <f>IF('Settings'!$E$15="POINTS",(AJ714*'Settings'!$B$29)+(AK714*'Settings'!$B$21)+(AL714*'Settings'!$B$22)+(AN714*'Settings'!$B$24)+(AO714*'Settings'!$B$25)+(AP714*'Settings'!$B$27)+(AM714*'Settings'!$B$23),VLOOKUP(B714,'Standard Deviations'!A1:C731,3,FALSE))</f>
        <v>85.9115253343037</v>
      </c>
      <c r="J714" s="45">
        <f>IF(D714="G",I714/AJ714,I714/Q714)</f>
        <v>5.72743502228691</v>
      </c>
      <c r="K714" s="44">
        <f>VLOOKUP(B714,'G'!A1:F75,6,FALSE)</f>
        <v>-179.391696165384</v>
      </c>
      <c r="L714" s="44">
        <f>_xlfn.IFERROR(K714/H714,"N/A")</f>
        <v>-163.083360150349</v>
      </c>
      <c r="M714" t="s" s="61">
        <f>IF('Settings'!$E$9="YAHOO",VLOOKUP(B714,'ADP'!A1:E731,2,FALSE),IF('Settings'!$E$9="ESPN",VLOOKUP(B714,'ADP'!A1:E731,3,FALSE),IF('Settings'!$E$9="FANTRAX",VLOOKUP(B714,'ADP'!A1:E731,4,FALSE),VLOOKUP(B714,'ADP'!A1:E731,5,FALSE))))</f>
        <v>329</v>
      </c>
      <c r="N714" t="s" s="61">
        <f>_xlfn.IFERROR(M714-A714,"N/A")</f>
        <v>158</v>
      </c>
      <c r="O714" s="46"/>
      <c r="P714" t="s" s="47">
        <f>IF('Settings'!$E$27="ON",VLOOKUP(B714,'ADP'!A1:H731,8,FALSE)," ")</f>
        <v>109</v>
      </c>
      <c r="Q714" s="48"/>
      <c r="R714" s="59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9"/>
      <c r="AI714" s="46"/>
      <c r="AJ714" s="50">
        <f>VLOOKUP(B714,'Player Data'!$A1:$AE734,24,FALSE)</f>
        <v>15</v>
      </c>
      <c r="AK714" s="48">
        <f>VLOOKUP(B714,'Player Data'!$A1:$AE734,25,FALSE)*$AJ714*_xlfn.IFERROR((VLOOKUP(P714,'Settings'!$E$28:$F$33,2,FALSE)+1),1)</f>
        <v>8.21634631951299</v>
      </c>
      <c r="AL714" s="48">
        <f>AJ714-AK714-AM714</f>
        <v>4.90865368048701</v>
      </c>
      <c r="AM714" s="48">
        <f>VLOOKUP(B714,'Player Data'!$A1:$AE734,27,FALSE)*$AJ714</f>
        <v>1.875</v>
      </c>
      <c r="AN714" s="48">
        <f>VLOOKUP(B714,'Player Data'!$A1:$AE734,28,FALSE)*AJ714</f>
        <v>0.55633701545174</v>
      </c>
      <c r="AO714" s="48">
        <f>VLOOKUP(B714,'Player Data'!$A1:$AE734,29,FALSE)*$AJ714*_xlfn.IFERROR((VLOOKUP(P714,'Settings'!$E$28:$F$33,2,FALSE)/4)+1,1)</f>
        <v>428.073123559742</v>
      </c>
      <c r="AP714" s="48">
        <f>VLOOKUP(B714,'Player Data'!$A1:$AE734,31,FALSE)*$AJ714*(_xlfn.IFERROR(1-(VLOOKUP(P714,'Settings'!$E$28:$F$33,2,FALSE)/4),1))</f>
        <v>45.8856411590087</v>
      </c>
      <c r="AQ714" s="51">
        <f>1-(AP714/(AO714+AP714))</f>
        <v>0.903186427650014</v>
      </c>
      <c r="AR714" s="52">
        <f>AP714/AJ714</f>
        <v>3.05904274393391</v>
      </c>
      <c r="AS714" s="46"/>
    </row>
    <row r="715" ht="21.25" customHeight="1">
      <c r="A715" s="53">
        <f>RANK(K715,K2:K730)</f>
        <v>494</v>
      </c>
      <c r="B715" t="s" s="8">
        <v>867</v>
      </c>
      <c r="C715" t="s" s="39">
        <v>106</v>
      </c>
      <c r="D715" t="s" s="40">
        <f>VLOOKUP(B715,'Player Data'!A1:D734,4,FALSE)</f>
        <v>146</v>
      </c>
      <c r="E715" s="58">
        <f>VLOOKUP(B715,'G'!A1:D75,3,FALSE)</f>
        <v>66</v>
      </c>
      <c r="F715" t="s" s="42">
        <f>VLOOKUP(B715,'Player Data'!A1:B734,2,FALSE)</f>
        <v>131</v>
      </c>
      <c r="G715" s="9">
        <f>VLOOKUP(B715,'Player Data'!A1:D734,3,FALSE)</f>
        <v>28</v>
      </c>
      <c r="H715" s="43">
        <f>_xlfn.IFERROR(VLOOKUP(B715,'ADP'!A1:G731,7,FALSE)/1000000,VLOOKUP(B715,'ADP'!A1:G731,7,FALSE))</f>
        <v>0</v>
      </c>
      <c r="I715" s="44">
        <f>IF('Settings'!$E$15="POINTS",(AJ715*'Settings'!$B$29)+(AK715*'Settings'!$B$21)+(AL715*'Settings'!$B$22)+(AN715*'Settings'!$B$24)+(AO715*'Settings'!$B$25)+(AP715*'Settings'!$B$27)+(AM715*'Settings'!$B$23),VLOOKUP(B715,'Standard Deviations'!A1:C731,3,FALSE))</f>
        <v>83.979020380111</v>
      </c>
      <c r="J715" s="45">
        <f>IF(D715="G",I715/AJ715,I715/Q715)</f>
        <v>5.24868877375694</v>
      </c>
      <c r="K715" s="44">
        <f>VLOOKUP(B715,'G'!A1:F75,6,FALSE)</f>
        <v>-181.324201119577</v>
      </c>
      <c r="L715" t="s" s="60">
        <f>_xlfn.IFERROR(K715/H715,"N/A")</f>
        <v>158</v>
      </c>
      <c r="M715" t="s" s="61">
        <f>IF('Settings'!$E$9="YAHOO",VLOOKUP(B715,'ADP'!A1:E731,2,FALSE),IF('Settings'!$E$9="ESPN",VLOOKUP(B715,'ADP'!A1:E731,3,FALSE),IF('Settings'!$E$9="FANTRAX",VLOOKUP(B715,'ADP'!A1:E731,4,FALSE),VLOOKUP(B715,'ADP'!A1:E731,5,FALSE))))</f>
        <v>329</v>
      </c>
      <c r="N715" t="s" s="61">
        <f>_xlfn.IFERROR(M715-A715,"N/A")</f>
        <v>158</v>
      </c>
      <c r="O715" s="46"/>
      <c r="P715" t="s" s="47">
        <f>IF('Settings'!$E$27="ON",VLOOKUP(B715,'ADP'!A1:H731,8,FALSE)," ")</f>
        <v>109</v>
      </c>
      <c r="Q715" s="48"/>
      <c r="R715" s="59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9"/>
      <c r="AI715" s="46"/>
      <c r="AJ715" s="50">
        <f>VLOOKUP(B715,'Player Data'!$A1:$AE734,24,FALSE)</f>
        <v>16</v>
      </c>
      <c r="AK715" s="48">
        <f>VLOOKUP(B715,'Player Data'!$A1:$AE734,25,FALSE)*$AJ715*_xlfn.IFERROR((VLOOKUP(P715,'Settings'!$E$28:$F$33,2,FALSE)+1),1)</f>
        <v>6.6600196733673</v>
      </c>
      <c r="AL715" s="48">
        <f>AJ715-AK715-AM715</f>
        <v>7.3399803266327</v>
      </c>
      <c r="AM715" s="48">
        <f>VLOOKUP(B715,'Player Data'!$A1:$AE734,27,FALSE)*$AJ715</f>
        <v>2</v>
      </c>
      <c r="AN715" s="48">
        <f>VLOOKUP(B715,'Player Data'!$A1:$AE734,28,FALSE)*AJ715</f>
        <v>0.53381864187497</v>
      </c>
      <c r="AO715" s="48">
        <f>VLOOKUP(B715,'Player Data'!$A1:$AE734,29,FALSE)*$AJ715*_xlfn.IFERROR((VLOOKUP(P715,'Settings'!$E$28:$F$33,2,FALSE)/4)+1,1)</f>
        <v>456.616119213547</v>
      </c>
      <c r="AP715" s="48">
        <f>VLOOKUP(B715,'Player Data'!$A1:$AE734,31,FALSE)*$AJ715*(_xlfn.IFERROR(1-(VLOOKUP(P715,'Settings'!$E$28:$F$33,2,FALSE)/4),1))</f>
        <v>49.7248868864533</v>
      </c>
      <c r="AQ715" s="51">
        <f>1-(AP715/(AO715+AP715))</f>
        <v>0.901795654929372</v>
      </c>
      <c r="AR715" s="52">
        <f>AP715/AJ715</f>
        <v>3.10780543040333</v>
      </c>
      <c r="AS715" s="46"/>
    </row>
    <row r="716" ht="21.25" customHeight="1">
      <c r="A716" s="53">
        <f>RANK(K716,K2:K730)</f>
        <v>492</v>
      </c>
      <c r="B716" t="s" s="8">
        <v>868</v>
      </c>
      <c r="C716" t="s" s="39">
        <v>106</v>
      </c>
      <c r="D716" t="s" s="40">
        <f>VLOOKUP(B716,'Player Data'!A1:D734,4,FALSE)</f>
        <v>146</v>
      </c>
      <c r="E716" s="58">
        <f>VLOOKUP(B716,'G'!A1:D75,3,FALSE)</f>
        <v>65</v>
      </c>
      <c r="F716" t="s" s="42">
        <f>VLOOKUP(B716,'Player Data'!A1:B734,2,FALSE)</f>
        <v>119</v>
      </c>
      <c r="G716" s="9">
        <f>VLOOKUP(B716,'Player Data'!A1:D734,3,FALSE)</f>
        <v>22</v>
      </c>
      <c r="H716" s="43">
        <f>_xlfn.IFERROR(VLOOKUP(B716,'ADP'!A1:G731,7,FALSE)/1000000,VLOOKUP(B716,'ADP'!A1:G731,7,FALSE))</f>
        <v>0</v>
      </c>
      <c r="I716" s="44">
        <f>IF('Settings'!$E$15="POINTS",(AJ716*'Settings'!$B$29)+(AK716*'Settings'!$B$21)+(AL716*'Settings'!$B$22)+(AN716*'Settings'!$B$24)+(AO716*'Settings'!$B$25)+(AP716*'Settings'!$B$27)+(AM716*'Settings'!$B$23),VLOOKUP(B716,'Standard Deviations'!A1:C731,3,FALSE))</f>
        <v>84.5889525705819</v>
      </c>
      <c r="J716" s="45">
        <f>IF(D716="G",I716/AJ716,I716/Q716)</f>
        <v>5.63926350470546</v>
      </c>
      <c r="K716" s="44">
        <f>VLOOKUP(B716,'G'!A1:F75,6,FALSE)</f>
        <v>-180.714268929106</v>
      </c>
      <c r="L716" t="s" s="60">
        <f>_xlfn.IFERROR(K716/H716,"N/A")</f>
        <v>158</v>
      </c>
      <c r="M716" t="s" s="61">
        <f>IF('Settings'!$E$9="YAHOO",VLOOKUP(B716,'ADP'!A1:E731,2,FALSE),IF('Settings'!$E$9="ESPN",VLOOKUP(B716,'ADP'!A1:E731,3,FALSE),IF('Settings'!$E$9="FANTRAX",VLOOKUP(B716,'ADP'!A1:E731,4,FALSE),VLOOKUP(B716,'ADP'!A1:E731,5,FALSE))))</f>
        <v>329</v>
      </c>
      <c r="N716" t="s" s="61">
        <f>_xlfn.IFERROR(M716-A716,"N/A")</f>
        <v>158</v>
      </c>
      <c r="O716" s="46"/>
      <c r="P716" t="s" s="47">
        <f>IF('Settings'!$E$27="ON",VLOOKUP(B716,'ADP'!A1:H731,8,FALSE)," ")</f>
        <v>109</v>
      </c>
      <c r="Q716" s="48"/>
      <c r="R716" s="59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9"/>
      <c r="AI716" s="46"/>
      <c r="AJ716" s="50">
        <f>VLOOKUP(B716,'Player Data'!$A1:$AE734,24,FALSE)</f>
        <v>15</v>
      </c>
      <c r="AK716" s="48">
        <f>VLOOKUP(B716,'Player Data'!$A1:$AE734,25,FALSE)*$AJ716*_xlfn.IFERROR((VLOOKUP(P716,'Settings'!$E$28:$F$33,2,FALSE)+1),1)</f>
        <v>8.09238557756214</v>
      </c>
      <c r="AL716" s="48">
        <f>AJ716-AK716-AM716</f>
        <v>5.03261442243786</v>
      </c>
      <c r="AM716" s="48">
        <f>VLOOKUP(B716,'Player Data'!$A1:$AE734,27,FALSE)*$AJ716</f>
        <v>1.875</v>
      </c>
      <c r="AN716" s="48">
        <f>VLOOKUP(B716,'Player Data'!$A1:$AE734,28,FALSE)*AJ716</f>
        <v>0.520543226227809</v>
      </c>
      <c r="AO716" s="48">
        <f>VLOOKUP(B716,'Player Data'!$A1:$AE734,29,FALSE)*$AJ716*_xlfn.IFERROR((VLOOKUP(P716,'Settings'!$E$28:$F$33,2,FALSE)/4)+1,1)</f>
        <v>427.604618465187</v>
      </c>
      <c r="AP716" s="48">
        <f>VLOOKUP(B716,'Player Data'!$A1:$AE734,31,FALSE)*$AJ716*(_xlfn.IFERROR(1-(VLOOKUP(P716,'Settings'!$E$28:$F$33,2,FALSE)/4),1))</f>
        <v>46.3541462535627</v>
      </c>
      <c r="AQ716" s="51">
        <f>1-(AP716/(AO716+AP716))</f>
        <v>0.902197934284284</v>
      </c>
      <c r="AR716" s="52">
        <f>AP716/AJ716</f>
        <v>3.09027641690418</v>
      </c>
      <c r="AS716" s="46"/>
    </row>
    <row r="717" ht="21.25" customHeight="1">
      <c r="A717" s="53">
        <f>RANK(K717,K2:K730)</f>
        <v>719</v>
      </c>
      <c r="B717" t="s" s="8">
        <v>869</v>
      </c>
      <c r="C717" t="s" s="39">
        <v>106</v>
      </c>
      <c r="D717" t="s" s="40">
        <f>VLOOKUP(B717,'Player Data'!A1:D734,4,FALSE)</f>
        <v>107</v>
      </c>
      <c r="E717" s="41">
        <f>VLOOKUP(B717,'C'!A1:C218,3,FALSE)</f>
        <v>206</v>
      </c>
      <c r="F717" t="s" s="42">
        <f>VLOOKUP(B717,'Player Data'!A1:B734,2,FALSE)</f>
        <v>108</v>
      </c>
      <c r="G717" s="9">
        <f>VLOOKUP(B717,'Player Data'!A1:D734,3,FALSE)</f>
        <v>26</v>
      </c>
      <c r="H717" s="43">
        <f>_xlfn.IFERROR(VLOOKUP(B717,'ADP'!A1:G731,7,FALSE)/1000000,VLOOKUP(B717,'ADP'!A1:G731,7,FALSE))</f>
        <v>0.8313</v>
      </c>
      <c r="I717" s="44">
        <f>IF('Settings'!$E$15="POINTS",((R717*Q717)*'Settings'!$B$12)+(S717*'Settings'!$B$2)+(T717*'Settings'!$B$3)+(U717*'Settings'!$B$4)+(V717*'Settings'!$B$5)+(X717*'Settings'!$B$9)+(AA717*'Settings'!$B$6)+(W717*'Settings'!$B$8)+(AB717*'Settings'!$B$7)+(AC717*'Settings'!$B$14)+(AD717*'Settings'!$B$15)+(AE717*'Settings'!$B$16)+(AF717*'Settings'!$B$17)+(AG717*'Settings'!$B$18)+(Y717*'Settings'!$B$10)+(Z717*'Settings'!$B$11),VLOOKUP(B717,'Standard Deviations'!A1:C731,3,FALSE))</f>
        <v>101.673029668278</v>
      </c>
      <c r="J717" s="45">
        <f>IF(D717="G",I717/AJ717,I717/Q717)</f>
        <v>1.72396043862062</v>
      </c>
      <c r="K717" s="44">
        <f>IF('Settings'!$E$18="C/LW/RW",VLOOKUP(B717,'C'!A1:F218,6,FALSE),VLOOKUP(B717,'F'!A1:F432,6,FALSE))</f>
        <v>-294.101171967737</v>
      </c>
      <c r="L717" s="44">
        <f>_xlfn.IFERROR(K717/H717,"N/A")</f>
        <v>-353.784640885044</v>
      </c>
      <c r="M717" t="s" s="61">
        <f>IF('Settings'!$E$9="YAHOO",VLOOKUP(B717,'ADP'!A1:E731,2,FALSE),IF('Settings'!$E$9="ESPN",VLOOKUP(B717,'ADP'!A1:E731,3,FALSE),IF('Settings'!$E$9="FANTRAX",VLOOKUP(B717,'ADP'!A1:E731,4,FALSE),VLOOKUP(B717,'ADP'!A1:E731,5,FALSE))))</f>
        <v>329</v>
      </c>
      <c r="N717" t="s" s="61">
        <f>_xlfn.IFERROR(M717-A717,"N/A")</f>
        <v>158</v>
      </c>
      <c r="O717" s="46"/>
      <c r="P717" t="s" s="47">
        <f>IF('Settings'!$E$27="ON",VLOOKUP(B717,'ADP'!A1:H731,8,FALSE)," ")</f>
        <v>109</v>
      </c>
      <c r="Q717" s="48">
        <f>IF('Settings'!$E$12="YES",VLOOKUP(B717,'Player Data'!A1:E734,5,FALSE),82)</f>
        <v>58.9764285714286</v>
      </c>
      <c r="R717" s="46">
        <f>VLOOKUP(B717,'Player Data'!$A1:$AE734,6,FALSE)</f>
        <v>9.849333371738551</v>
      </c>
      <c r="S717" s="48">
        <f>VLOOKUP(B717,'Player Data'!$A1:$AE734,7,FALSE)*$Q717*_xlfn.IFERROR((VLOOKUP(P717,'Settings'!$E$28:$F$33,2,FALSE)+1),1)</f>
        <v>4.44263626491402</v>
      </c>
      <c r="T717" s="48">
        <f>VLOOKUP(B717,'Player Data'!$A1:$AE734,8,FALSE)*$Q717*_xlfn.IFERROR((VLOOKUP(P717,'Settings'!$E$28:$F$33,2,FALSE)+1),1)</f>
        <v>6.07981284920024</v>
      </c>
      <c r="U717" s="48">
        <f>SUM(S717:T717)</f>
        <v>10.5224491141143</v>
      </c>
      <c r="V717" s="48">
        <f>VLOOKUP(B717,'Player Data'!$A1:$AE734,10,FALSE)*$Q717*_xlfn.IFERROR(((VLOOKUP(P717,'Settings'!$E$28:$F$33,2,FALSE)/2)+1),1)</f>
        <v>51.3375715177598</v>
      </c>
      <c r="W717" s="48">
        <f>VLOOKUP(B717,'Player Data'!$A1:$AE734,11,FALSE)*$Q717*_xlfn.IFERROR((VLOOKUP(P717,'Settings'!$E$28:$F$33,2,FALSE)+1),1)</f>
        <v>0.156206751845294</v>
      </c>
      <c r="X717" s="48">
        <f>VLOOKUP(B717,'Player Data'!$A1:$AE734,12,FALSE)*$Q717*_xlfn.IFERROR((VLOOKUP(P717,'Settings'!$E$28:$F$33,2,FALSE)+1),1)</f>
        <v>0.455477107771757</v>
      </c>
      <c r="Y717" s="48">
        <f>VLOOKUP(B717,'Player Data'!$A1:$AE734,13,FALSE)*$Q717</f>
        <v>0.072120892527991</v>
      </c>
      <c r="Z717" s="48">
        <f>VLOOKUP(B717,'Player Data'!$A1:$AE734,14,FALSE)*$Q717</f>
        <v>0.133029937916634</v>
      </c>
      <c r="AA717" s="48">
        <f>VLOOKUP(B717,'Player Data'!$A1:$AE734,15,FALSE)*$Q717</f>
        <v>20.7599681187713</v>
      </c>
      <c r="AB717" s="48">
        <f>VLOOKUP(B717,'Player Data'!$A1:$AE734,16,FALSE)*$Q717</f>
        <v>108.507592937863</v>
      </c>
      <c r="AC717" s="48">
        <f>VLOOKUP(B717,'Player Data'!$A1:$AE734,17,FALSE)*$Q717*_xlfn.IFERROR((VLOOKUP(P717,'Settings'!$E$28:$F$33,2,FALSE)+1),1)</f>
        <v>3.16028183751445</v>
      </c>
      <c r="AD717" s="48">
        <f>VLOOKUP(B717,'Player Data'!$A1:$AE734,18,FALSE)*$Q717</f>
        <v>23.5301401181159</v>
      </c>
      <c r="AE717" s="48">
        <f>VLOOKUP(B717,'Player Data'!$A1:$AE734,19,FALSE)*$Q717*_xlfn.IFERROR((VLOOKUP(P717,'Settings'!$E$28:$F$33,2,FALSE)+1),1)</f>
        <v>0.703221626268089</v>
      </c>
      <c r="AF717" s="48">
        <f>VLOOKUP(B717,'Player Data'!$A1:$AE734,20,FALSE)*$Q717</f>
        <v>124.387425027653</v>
      </c>
      <c r="AG717" s="48">
        <f>VLOOKUP(B717,'Player Data'!$A1:$AE734,21,FALSE)*$Q717</f>
        <v>133.208675333266</v>
      </c>
      <c r="AH717" s="49">
        <f>VLOOKUP(B717,'Player Data'!$A1:$AE734,22,FALSE)</f>
        <v>0.48287774874454</v>
      </c>
      <c r="AI717" s="46"/>
      <c r="AJ717" s="50"/>
      <c r="AK717" s="48"/>
      <c r="AL717" s="48"/>
      <c r="AM717" s="48"/>
      <c r="AN717" s="48"/>
      <c r="AO717" s="48"/>
      <c r="AP717" s="48"/>
      <c r="AQ717" s="51"/>
      <c r="AR717" s="52"/>
      <c r="AS717" s="46"/>
    </row>
    <row r="718" ht="21.25" customHeight="1">
      <c r="A718" s="53">
        <f>RANK(K718,K2:K730)</f>
        <v>728</v>
      </c>
      <c r="B718" t="s" s="8">
        <v>870</v>
      </c>
      <c r="C718" t="s" s="39">
        <v>106</v>
      </c>
      <c r="D718" t="s" s="40">
        <f>VLOOKUP(B718,'Player Data'!A1:D734,4,FALSE)</f>
        <v>107</v>
      </c>
      <c r="E718" s="41">
        <f>VLOOKUP(B718,'C'!A1:C218,3,FALSE)</f>
        <v>215</v>
      </c>
      <c r="F718" t="s" s="42">
        <f>VLOOKUP(B718,'Player Data'!A1:B734,2,FALSE)</f>
        <v>164</v>
      </c>
      <c r="G718" s="9">
        <f>VLOOKUP(B718,'Player Data'!A1:D734,3,FALSE)</f>
        <v>23</v>
      </c>
      <c r="H718" s="43">
        <f>_xlfn.IFERROR(VLOOKUP(B718,'ADP'!A1:G731,7,FALSE)/1000000,VLOOKUP(B718,'ADP'!A1:G731,7,FALSE))</f>
        <v>0</v>
      </c>
      <c r="I718" s="44">
        <f>IF('Settings'!$E$15="POINTS",((R718*Q718)*'Settings'!$B$12)+(S718*'Settings'!$B$2)+(T718*'Settings'!$B$3)+(U718*'Settings'!$B$4)+(V718*'Settings'!$B$5)+(X718*'Settings'!$B$9)+(AA718*'Settings'!$B$6)+(W718*'Settings'!$B$8)+(AB718*'Settings'!$B$7)+(AC718*'Settings'!$B$14)+(AD718*'Settings'!$B$15)+(AE718*'Settings'!$B$16)+(AF718*'Settings'!$B$17)+(AG718*'Settings'!$B$18)+(Y718*'Settings'!$B$10)+(Z718*'Settings'!$B$11),VLOOKUP(B718,'Standard Deviations'!A1:C731,3,FALSE))</f>
        <v>84.0798642632196</v>
      </c>
      <c r="J718" s="45">
        <f>IF(D718="G",I718/AJ718,I718/Q718)</f>
        <v>1.47442018598762</v>
      </c>
      <c r="K718" s="44">
        <f>IF('Settings'!$E$18="C/LW/RW",VLOOKUP(B718,'C'!A1:F218,6,FALSE),VLOOKUP(B718,'F'!A1:F432,6,FALSE))</f>
        <v>-311.694337372795</v>
      </c>
      <c r="L718" t="s" s="60">
        <f>_xlfn.IFERROR(K718/H718,"N/A")</f>
        <v>158</v>
      </c>
      <c r="M718" t="s" s="61">
        <f>IF('Settings'!$E$9="YAHOO",VLOOKUP(B718,'ADP'!A1:E731,2,FALSE),IF('Settings'!$E$9="ESPN",VLOOKUP(B718,'ADP'!A1:E731,3,FALSE),IF('Settings'!$E$9="FANTRAX",VLOOKUP(B718,'ADP'!A1:E731,4,FALSE),VLOOKUP(B718,'ADP'!A1:E731,5,FALSE))))</f>
        <v>329</v>
      </c>
      <c r="N718" t="s" s="61">
        <f>_xlfn.IFERROR(M718-A718,"N/A")</f>
        <v>158</v>
      </c>
      <c r="O718" s="46"/>
      <c r="P718" t="s" s="47">
        <f>IF('Settings'!$E$27="ON",VLOOKUP(B718,'ADP'!A1:H731,8,FALSE)," ")</f>
        <v>109</v>
      </c>
      <c r="Q718" s="48">
        <f>IF('Settings'!$E$12="YES",VLOOKUP(B718,'Player Data'!A1:E734,5,FALSE),82)</f>
        <v>57.0257142857143</v>
      </c>
      <c r="R718" s="46">
        <f>VLOOKUP(B718,'Player Data'!$A1:$AE734,6,FALSE)</f>
        <v>9.532786811704669</v>
      </c>
      <c r="S718" s="48">
        <f>VLOOKUP(B718,'Player Data'!$A1:$AE734,7,FALSE)*$Q718*_xlfn.IFERROR((VLOOKUP(P718,'Settings'!$E$28:$F$33,2,FALSE)+1),1)</f>
        <v>2.62545655970239</v>
      </c>
      <c r="T718" s="48">
        <f>VLOOKUP(B718,'Player Data'!$A1:$AE734,8,FALSE)*$Q718*_xlfn.IFERROR((VLOOKUP(P718,'Settings'!$E$28:$F$33,2,FALSE)+1),1)</f>
        <v>7.23432477877379</v>
      </c>
      <c r="U718" s="48">
        <f>SUM(S718:T718)</f>
        <v>9.85978133847618</v>
      </c>
      <c r="V718" s="48">
        <f>VLOOKUP(B718,'Player Data'!$A1:$AE734,10,FALSE)*$Q718*_xlfn.IFERROR(((VLOOKUP(P718,'Settings'!$E$28:$F$33,2,FALSE)/2)+1),1)</f>
        <v>54.0838099284859</v>
      </c>
      <c r="W718" s="48">
        <f>VLOOKUP(B718,'Player Data'!$A1:$AE734,11,FALSE)*$Q718*_xlfn.IFERROR((VLOOKUP(P718,'Settings'!$E$28:$F$33,2,FALSE)+1),1)</f>
        <v>0.0537886004037776</v>
      </c>
      <c r="X718" s="48">
        <f>VLOOKUP(B718,'Player Data'!$A1:$AE734,12,FALSE)*$Q718*_xlfn.IFERROR((VLOOKUP(P718,'Settings'!$E$28:$F$33,2,FALSE)+1),1)</f>
        <v>0.128221798843208</v>
      </c>
      <c r="Y718" s="48">
        <f>VLOOKUP(B718,'Player Data'!$A1:$AE734,13,FALSE)*$Q718</f>
        <v>0.142259642997959</v>
      </c>
      <c r="Z718" s="48">
        <f>VLOOKUP(B718,'Player Data'!$A1:$AE734,14,FALSE)*$Q718</f>
        <v>0.8805494829156451</v>
      </c>
      <c r="AA718" s="48">
        <f>VLOOKUP(B718,'Player Data'!$A1:$AE734,15,FALSE)*$Q718</f>
        <v>20.9153785405029</v>
      </c>
      <c r="AB718" s="48">
        <f>VLOOKUP(B718,'Player Data'!$A1:$AE734,16,FALSE)*$Q718</f>
        <v>45.2065688316471</v>
      </c>
      <c r="AC718" s="48">
        <f>VLOOKUP(B718,'Player Data'!$A1:$AE734,17,FALSE)*$Q718*_xlfn.IFERROR((VLOOKUP(P718,'Settings'!$E$28:$F$33,2,FALSE)+1),1)</f>
        <v>0.763191839408397</v>
      </c>
      <c r="AD718" s="48">
        <f>VLOOKUP(B718,'Player Data'!$A1:$AE734,18,FALSE)*$Q718</f>
        <v>10.4992493501911</v>
      </c>
      <c r="AE718" s="48">
        <f>VLOOKUP(B718,'Player Data'!$A1:$AE734,19,FALSE)*$Q718*_xlfn.IFERROR((VLOOKUP(P718,'Settings'!$E$28:$F$33,2,FALSE)+1),1)</f>
        <v>0.40958001119456</v>
      </c>
      <c r="AF718" s="48">
        <f>VLOOKUP(B718,'Player Data'!$A1:$AE734,20,FALSE)*$Q718</f>
        <v>121.148832730525</v>
      </c>
      <c r="AG718" s="48">
        <f>VLOOKUP(B718,'Player Data'!$A1:$AE734,21,FALSE)*$Q718</f>
        <v>125.185571411452</v>
      </c>
      <c r="AH718" s="49">
        <f>VLOOKUP(B718,'Player Data'!$A1:$AE734,22,FALSE)</f>
        <v>0.491806384709054</v>
      </c>
      <c r="AI718" s="46"/>
      <c r="AJ718" s="48"/>
      <c r="AK718" s="48"/>
      <c r="AL718" s="48"/>
      <c r="AM718" s="48"/>
      <c r="AN718" s="48"/>
      <c r="AO718" s="48"/>
      <c r="AP718" s="48"/>
      <c r="AQ718" s="51"/>
      <c r="AR718" s="52"/>
      <c r="AS718" s="46"/>
    </row>
    <row r="719" ht="21.25" customHeight="1">
      <c r="A719" s="53">
        <f>RANK(K719,K2:K730)</f>
        <v>722</v>
      </c>
      <c r="B719" t="s" s="8">
        <v>871</v>
      </c>
      <c r="C719" t="s" s="39">
        <v>106</v>
      </c>
      <c r="D719" t="s" s="40">
        <f>VLOOKUP(B719,'Player Data'!A1:D734,4,FALSE)</f>
        <v>107</v>
      </c>
      <c r="E719" s="41">
        <f>VLOOKUP(B719,'C'!A1:C218,3,FALSE)</f>
        <v>210</v>
      </c>
      <c r="F719" t="s" s="42">
        <f>VLOOKUP(B719,'Player Data'!A1:B734,2,FALSE)</f>
        <v>141</v>
      </c>
      <c r="G719" s="9">
        <f>VLOOKUP(B719,'Player Data'!A1:D734,3,FALSE)</f>
        <v>32</v>
      </c>
      <c r="H719" s="43">
        <f>_xlfn.IFERROR(VLOOKUP(B719,'ADP'!A1:G731,7,FALSE)/1000000,VLOOKUP(B719,'ADP'!A1:G731,7,FALSE))</f>
        <v>0.8228</v>
      </c>
      <c r="I719" s="44">
        <f>IF('Settings'!$E$15="POINTS",((R719*Q719)*'Settings'!$B$12)+(S719*'Settings'!$B$2)+(T719*'Settings'!$B$3)+(U719*'Settings'!$B$4)+(V719*'Settings'!$B$5)+(X719*'Settings'!$B$9)+(AA719*'Settings'!$B$6)+(W719*'Settings'!$B$8)+(AB719*'Settings'!$B$7)+(AC719*'Settings'!$B$14)+(AD719*'Settings'!$B$15)+(AE719*'Settings'!$B$16)+(AF719*'Settings'!$B$17)+(AG719*'Settings'!$B$18)+(Y719*'Settings'!$B$10)+(Z719*'Settings'!$B$11),VLOOKUP(B719,'Standard Deviations'!A1:C731,3,FALSE))</f>
        <v>97.4685326120683</v>
      </c>
      <c r="J719" s="45">
        <f>IF(D719="G",I719/AJ719,I719/Q719)</f>
        <v>1.45530499983358</v>
      </c>
      <c r="K719" s="44">
        <f>IF('Settings'!$E$18="C/LW/RW",VLOOKUP(B719,'C'!A1:F218,6,FALSE),VLOOKUP(B719,'F'!A1:F432,6,FALSE))</f>
        <v>-298.305669023947</v>
      </c>
      <c r="L719" s="44">
        <f>_xlfn.IFERROR(K719/H719,"N/A")</f>
        <v>-362.549427593518</v>
      </c>
      <c r="M719" t="s" s="61">
        <f>IF('Settings'!$E$9="YAHOO",VLOOKUP(B719,'ADP'!A1:E731,2,FALSE),IF('Settings'!$E$9="ESPN",VLOOKUP(B719,'ADP'!A1:E731,3,FALSE),IF('Settings'!$E$9="FANTRAX",VLOOKUP(B719,'ADP'!A1:E731,4,FALSE),VLOOKUP(B719,'ADP'!A1:E731,5,FALSE))))</f>
        <v>329</v>
      </c>
      <c r="N719" t="s" s="61">
        <f>_xlfn.IFERROR(M719-A719,"N/A")</f>
        <v>158</v>
      </c>
      <c r="O719" s="46"/>
      <c r="P719" t="s" s="47">
        <f>IF('Settings'!$E$27="ON",VLOOKUP(B719,'ADP'!A1:H731,8,FALSE)," ")</f>
        <v>109</v>
      </c>
      <c r="Q719" s="48">
        <f>IF('Settings'!$E$12="YES",VLOOKUP(B719,'Player Data'!A1:E734,5,FALSE),82)</f>
        <v>66.9746428571429</v>
      </c>
      <c r="R719" s="46">
        <f>VLOOKUP(B719,'Player Data'!$A1:$AE734,6,FALSE)</f>
        <v>9.151168831168841</v>
      </c>
      <c r="S719" s="48">
        <f>VLOOKUP(B719,'Player Data'!$A1:$AE734,7,FALSE)*$Q719*_xlfn.IFERROR((VLOOKUP(P719,'Settings'!$E$28:$F$33,2,FALSE)+1),1)</f>
        <v>2.94214252668329</v>
      </c>
      <c r="T719" s="48">
        <f>VLOOKUP(B719,'Player Data'!$A1:$AE734,8,FALSE)*$Q719*_xlfn.IFERROR((VLOOKUP(P719,'Settings'!$E$28:$F$33,2,FALSE)+1),1)</f>
        <v>5.53324849902554</v>
      </c>
      <c r="U719" s="48">
        <f>SUM(S719:T719)</f>
        <v>8.475391025708831</v>
      </c>
      <c r="V719" s="48">
        <f>VLOOKUP(B719,'Player Data'!$A1:$AE734,10,FALSE)*$Q719*_xlfn.IFERROR(((VLOOKUP(P719,'Settings'!$E$28:$F$33,2,FALSE)/2)+1),1)</f>
        <v>54.9196570437612</v>
      </c>
      <c r="W719" s="48">
        <f>VLOOKUP(B719,'Player Data'!$A1:$AE734,11,FALSE)*$Q719*_xlfn.IFERROR((VLOOKUP(P719,'Settings'!$E$28:$F$33,2,FALSE)+1),1)</f>
        <v>0.0460829115327284</v>
      </c>
      <c r="X719" s="48">
        <f>VLOOKUP(B719,'Player Data'!$A1:$AE734,12,FALSE)*$Q719*_xlfn.IFERROR((VLOOKUP(P719,'Settings'!$E$28:$F$33,2,FALSE)+1),1)</f>
        <v>0.127239613730442</v>
      </c>
      <c r="Y719" s="48">
        <f>VLOOKUP(B719,'Player Data'!$A1:$AE734,13,FALSE)*$Q719</f>
        <v>0.195312306724427</v>
      </c>
      <c r="Z719" s="48">
        <f>VLOOKUP(B719,'Player Data'!$A1:$AE734,14,FALSE)*$Q719</f>
        <v>0.277161452714022</v>
      </c>
      <c r="AA719" s="48">
        <f>VLOOKUP(B719,'Player Data'!$A1:$AE734,15,FALSE)*$Q719</f>
        <v>29.5955728572598</v>
      </c>
      <c r="AB719" s="48">
        <f>VLOOKUP(B719,'Player Data'!$A1:$AE734,16,FALSE)*$Q719</f>
        <v>99.2688315559132</v>
      </c>
      <c r="AC719" s="48">
        <f>VLOOKUP(B719,'Player Data'!$A1:$AE734,17,FALSE)*$Q719*_xlfn.IFERROR((VLOOKUP(P719,'Settings'!$E$28:$F$33,2,FALSE)+1),1)</f>
        <v>-0.479948081566357</v>
      </c>
      <c r="AD719" s="48">
        <f>VLOOKUP(B719,'Player Data'!$A1:$AE734,18,FALSE)*$Q719</f>
        <v>19.8720067081435</v>
      </c>
      <c r="AE719" s="48">
        <f>VLOOKUP(B719,'Player Data'!$A1:$AE734,19,FALSE)*$Q719*_xlfn.IFERROR((VLOOKUP(P719,'Settings'!$E$28:$F$33,2,FALSE)+1),1)</f>
        <v>0.365283925021424</v>
      </c>
      <c r="AF719" s="48">
        <f>VLOOKUP(B719,'Player Data'!$A1:$AE734,20,FALSE)*$Q719</f>
        <v>150.405409739083</v>
      </c>
      <c r="AG719" s="48">
        <f>VLOOKUP(B719,'Player Data'!$A1:$AE734,21,FALSE)*$Q719</f>
        <v>143.451322514413</v>
      </c>
      <c r="AH719" s="49">
        <f>VLOOKUP(B719,'Player Data'!$A1:$AE734,22,FALSE)</f>
        <v>0.511832444966194</v>
      </c>
      <c r="AI719" s="46"/>
      <c r="AJ719" s="48"/>
      <c r="AK719" s="48"/>
      <c r="AL719" s="48"/>
      <c r="AM719" s="48"/>
      <c r="AN719" s="48"/>
      <c r="AO719" s="48"/>
      <c r="AP719" s="48"/>
      <c r="AQ719" s="51"/>
      <c r="AR719" s="52"/>
      <c r="AS719" s="46"/>
    </row>
    <row r="720" ht="21.25" customHeight="1">
      <c r="A720" s="53">
        <f>RANK(K720,K2:K730)</f>
        <v>726</v>
      </c>
      <c r="B720" t="s" s="8">
        <v>872</v>
      </c>
      <c r="C720" t="s" s="39">
        <v>106</v>
      </c>
      <c r="D720" t="s" s="40">
        <f>VLOOKUP(B720,'Player Data'!A1:D734,4,FALSE)</f>
        <v>107</v>
      </c>
      <c r="E720" s="41">
        <f>VLOOKUP(B720,'C'!A1:C218,3,FALSE)</f>
        <v>213</v>
      </c>
      <c r="F720" t="s" s="42">
        <f>VLOOKUP(B720,'Player Data'!A1:B734,2,FALSE)</f>
        <v>122</v>
      </c>
      <c r="G720" s="9">
        <f>VLOOKUP(B720,'Player Data'!A1:D734,3,FALSE)</f>
        <v>33</v>
      </c>
      <c r="H720" s="43">
        <f>_xlfn.IFERROR(VLOOKUP(B720,'ADP'!A1:G731,7,FALSE)/1000000,VLOOKUP(B720,'ADP'!A1:G731,7,FALSE))</f>
        <v>0.8677</v>
      </c>
      <c r="I720" s="44">
        <f>IF('Settings'!$E$15="POINTS",((R720*Q720)*'Settings'!$B$12)+(S720*'Settings'!$B$2)+(T720*'Settings'!$B$3)+(U720*'Settings'!$B$4)+(V720*'Settings'!$B$5)+(X720*'Settings'!$B$9)+(AA720*'Settings'!$B$6)+(W720*'Settings'!$B$8)+(AB720*'Settings'!$B$7)+(AC720*'Settings'!$B$14)+(AD720*'Settings'!$B$15)+(AE720*'Settings'!$B$16)+(AF720*'Settings'!$B$17)+(AG720*'Settings'!$B$18)+(Y720*'Settings'!$B$10)+(Z720*'Settings'!$B$11),VLOOKUP(B720,'Standard Deviations'!A1:C731,3,FALSE))</f>
        <v>86.7827716662041</v>
      </c>
      <c r="J720" s="45">
        <f>IF(D720="G",I720/AJ720,I720/Q720)</f>
        <v>1.41024207460823</v>
      </c>
      <c r="K720" s="44">
        <f>IF('Settings'!$E$18="C/LW/RW",VLOOKUP(B720,'C'!A1:F218,6,FALSE),VLOOKUP(B720,'F'!A1:F432,6,FALSE))</f>
        <v>-308.991429969811</v>
      </c>
      <c r="L720" s="44">
        <f>_xlfn.IFERROR(K720/H720,"N/A")</f>
        <v>-356.103987518510</v>
      </c>
      <c r="M720" t="s" s="61">
        <f>IF('Settings'!$E$9="YAHOO",VLOOKUP(B720,'ADP'!A1:E731,2,FALSE),IF('Settings'!$E$9="ESPN",VLOOKUP(B720,'ADP'!A1:E731,3,FALSE),IF('Settings'!$E$9="FANTRAX",VLOOKUP(B720,'ADP'!A1:E731,4,FALSE),VLOOKUP(B720,'ADP'!A1:E731,5,FALSE))))</f>
        <v>329</v>
      </c>
      <c r="N720" t="s" s="61">
        <f>_xlfn.IFERROR(M720-A720,"N/A")</f>
        <v>158</v>
      </c>
      <c r="O720" s="46"/>
      <c r="P720" t="s" s="47">
        <f>IF('Settings'!$E$27="ON",VLOOKUP(B720,'ADP'!A1:H731,8,FALSE)," ")</f>
        <v>109</v>
      </c>
      <c r="Q720" s="48">
        <f>IF('Settings'!$E$12="YES",VLOOKUP(B720,'Player Data'!A1:E734,5,FALSE),82)</f>
        <v>61.5375</v>
      </c>
      <c r="R720" s="46">
        <f>VLOOKUP(B720,'Player Data'!$A1:$AE734,6,FALSE)</f>
        <v>10.7685301689509</v>
      </c>
      <c r="S720" s="48">
        <f>VLOOKUP(B720,'Player Data'!$A1:$AE734,7,FALSE)*$Q720*_xlfn.IFERROR((VLOOKUP(P720,'Settings'!$E$28:$F$33,2,FALSE)+1),1)</f>
        <v>2.49579880221933</v>
      </c>
      <c r="T720" s="48">
        <f>VLOOKUP(B720,'Player Data'!$A1:$AE734,8,FALSE)*$Q720*_xlfn.IFERROR((VLOOKUP(P720,'Settings'!$E$28:$F$33,2,FALSE)+1),1)</f>
        <v>7.38478132597271</v>
      </c>
      <c r="U720" s="48">
        <f>SUM(S720:T720)</f>
        <v>9.88058012819204</v>
      </c>
      <c r="V720" s="48">
        <f>VLOOKUP(B720,'Player Data'!$A1:$AE734,10,FALSE)*$Q720*_xlfn.IFERROR(((VLOOKUP(P720,'Settings'!$E$28:$F$33,2,FALSE)/2)+1),1)</f>
        <v>47.9345335170354</v>
      </c>
      <c r="W720" s="48">
        <f>VLOOKUP(B720,'Player Data'!$A1:$AE734,11,FALSE)*$Q720*_xlfn.IFERROR((VLOOKUP(P720,'Settings'!$E$28:$F$33,2,FALSE)+1),1)</f>
        <v>0.0131239968258258</v>
      </c>
      <c r="X720" s="48">
        <f>VLOOKUP(B720,'Player Data'!$A1:$AE734,12,FALSE)*$Q720*_xlfn.IFERROR((VLOOKUP(P720,'Settings'!$E$28:$F$33,2,FALSE)+1),1)</f>
        <v>0.0389602698372058</v>
      </c>
      <c r="Y720" s="48">
        <f>VLOOKUP(B720,'Player Data'!$A1:$AE734,13,FALSE)*$Q720</f>
        <v>0.112885695067012</v>
      </c>
      <c r="Z720" s="48">
        <f>VLOOKUP(B720,'Player Data'!$A1:$AE734,14,FALSE)*$Q720</f>
        <v>0.242080464546459</v>
      </c>
      <c r="AA720" s="48">
        <f>VLOOKUP(B720,'Player Data'!$A1:$AE734,15,FALSE)*$Q720</f>
        <v>25.5837747118187</v>
      </c>
      <c r="AB720" s="48">
        <f>VLOOKUP(B720,'Player Data'!$A1:$AE734,16,FALSE)*$Q720</f>
        <v>64.6160721391162</v>
      </c>
      <c r="AC720" s="48">
        <f>VLOOKUP(B720,'Player Data'!$A1:$AE734,17,FALSE)*$Q720*_xlfn.IFERROR((VLOOKUP(P720,'Settings'!$E$28:$F$33,2,FALSE)+1),1)</f>
        <v>0.76571400774137</v>
      </c>
      <c r="AD720" s="48">
        <f>VLOOKUP(B720,'Player Data'!$A1:$AE734,18,FALSE)*$Q720</f>
        <v>11.716640649109</v>
      </c>
      <c r="AE720" s="48">
        <f>VLOOKUP(B720,'Player Data'!$A1:$AE734,19,FALSE)*$Q720*_xlfn.IFERROR((VLOOKUP(P720,'Settings'!$E$28:$F$33,2,FALSE)+1),1)</f>
        <v>0.418995503118586</v>
      </c>
      <c r="AF720" s="48">
        <f>VLOOKUP(B720,'Player Data'!$A1:$AE734,20,FALSE)*$Q720</f>
        <v>172.849919744536</v>
      </c>
      <c r="AG720" s="48">
        <f>VLOOKUP(B720,'Player Data'!$A1:$AE734,21,FALSE)*$Q720</f>
        <v>162.491005623436</v>
      </c>
      <c r="AH720" s="49">
        <f>VLOOKUP(B720,'Player Data'!$A1:$AE734,22,FALSE)</f>
        <v>0.515445347312938</v>
      </c>
      <c r="AI720" s="46"/>
      <c r="AJ720" s="50"/>
      <c r="AK720" s="48"/>
      <c r="AL720" s="48"/>
      <c r="AM720" s="48"/>
      <c r="AN720" s="48"/>
      <c r="AO720" s="48"/>
      <c r="AP720" s="48"/>
      <c r="AQ720" s="51"/>
      <c r="AR720" s="52"/>
      <c r="AS720" s="46"/>
    </row>
    <row r="721" ht="21.25" customHeight="1">
      <c r="A721" s="53">
        <f>RANK(K721,K2:K730)</f>
        <v>727</v>
      </c>
      <c r="B721" t="s" s="8">
        <v>873</v>
      </c>
      <c r="C721" t="s" s="39">
        <v>106</v>
      </c>
      <c r="D721" t="s" s="40">
        <f>VLOOKUP(B721,'Player Data'!A1:D734,4,FALSE)</f>
        <v>107</v>
      </c>
      <c r="E721" s="41">
        <f>VLOOKUP(B721,'C'!A1:C218,3,FALSE)</f>
        <v>214</v>
      </c>
      <c r="F721" t="s" s="42">
        <f>VLOOKUP(B721,'Player Data'!A1:B734,2,FALSE)</f>
        <v>113</v>
      </c>
      <c r="G721" s="9">
        <f>VLOOKUP(B721,'Player Data'!A1:D734,3,FALSE)</f>
        <v>24</v>
      </c>
      <c r="H721" s="43">
        <f>_xlfn.IFERROR(VLOOKUP(B721,'ADP'!A1:G731,7,FALSE)/1000000,VLOOKUP(B721,'ADP'!A1:G731,7,FALSE))</f>
        <v>0.775</v>
      </c>
      <c r="I721" s="44">
        <f>IF('Settings'!$E$15="POINTS",((R721*Q721)*'Settings'!$B$12)+(S721*'Settings'!$B$2)+(T721*'Settings'!$B$3)+(U721*'Settings'!$B$4)+(V721*'Settings'!$B$5)+(X721*'Settings'!$B$9)+(AA721*'Settings'!$B$6)+(W721*'Settings'!$B$8)+(AB721*'Settings'!$B$7)+(AC721*'Settings'!$B$14)+(AD721*'Settings'!$B$15)+(AE721*'Settings'!$B$16)+(AF721*'Settings'!$B$17)+(AG721*'Settings'!$B$18)+(Y721*'Settings'!$B$10)+(Z721*'Settings'!$B$11),VLOOKUP(B721,'Standard Deviations'!A1:C731,3,FALSE))</f>
        <v>84.3135069181856</v>
      </c>
      <c r="J721" s="45">
        <f>IF(D721="G",I721/AJ721,I721/Q721)</f>
        <v>1.51615729038277</v>
      </c>
      <c r="K721" s="44">
        <f>IF('Settings'!$E$18="C/LW/RW",VLOOKUP(B721,'C'!A1:F218,6,FALSE),VLOOKUP(B721,'F'!A1:F432,6,FALSE))</f>
        <v>-311.460694717829</v>
      </c>
      <c r="L721" s="44">
        <f>_xlfn.IFERROR(K721/H721,"N/A")</f>
        <v>-401.884767377844</v>
      </c>
      <c r="M721" t="s" s="61">
        <f>IF('Settings'!$E$9="YAHOO",VLOOKUP(B721,'ADP'!A1:E731,2,FALSE),IF('Settings'!$E$9="ESPN",VLOOKUP(B721,'ADP'!A1:E731,3,FALSE),IF('Settings'!$E$9="FANTRAX",VLOOKUP(B721,'ADP'!A1:E731,4,FALSE),VLOOKUP(B721,'ADP'!A1:E731,5,FALSE))))</f>
        <v>329</v>
      </c>
      <c r="N721" t="s" s="61">
        <f>_xlfn.IFERROR(M721-A721,"N/A")</f>
        <v>158</v>
      </c>
      <c r="O721" s="46"/>
      <c r="P721" t="s" s="47">
        <f>IF('Settings'!$E$27="ON",VLOOKUP(B721,'ADP'!A1:H731,8,FALSE)," ")</f>
        <v>109</v>
      </c>
      <c r="Q721" s="48">
        <f>IF('Settings'!$E$12="YES",VLOOKUP(B721,'Player Data'!A1:E734,5,FALSE),82)</f>
        <v>55.61</v>
      </c>
      <c r="R721" s="46">
        <f>VLOOKUP(B721,'Player Data'!$A1:$AE734,6,FALSE)</f>
        <v>9.42002204222366</v>
      </c>
      <c r="S721" s="48">
        <f>VLOOKUP(B721,'Player Data'!$A1:$AE734,7,FALSE)*$Q721*_xlfn.IFERROR((VLOOKUP(P721,'Settings'!$E$28:$F$33,2,FALSE)+1),1)</f>
        <v>5.89546315248367</v>
      </c>
      <c r="T721" s="48">
        <f>VLOOKUP(B721,'Player Data'!$A1:$AE734,8,FALSE)*$Q721*_xlfn.IFERROR((VLOOKUP(P721,'Settings'!$E$28:$F$33,2,FALSE)+1),1)</f>
        <v>3.31717770928806</v>
      </c>
      <c r="U721" s="48">
        <f>SUM(S721:T721)</f>
        <v>9.21264086177173</v>
      </c>
      <c r="V721" s="48">
        <f>VLOOKUP(B721,'Player Data'!$A1:$AE734,10,FALSE)*$Q721*_xlfn.IFERROR(((VLOOKUP(P721,'Settings'!$E$28:$F$33,2,FALSE)/2)+1),1)</f>
        <v>51.6329829176399</v>
      </c>
      <c r="W721" s="48">
        <f>VLOOKUP(B721,'Player Data'!$A1:$AE734,11,FALSE)*$Q721*_xlfn.IFERROR((VLOOKUP(P721,'Settings'!$E$28:$F$33,2,FALSE)+1),1)</f>
        <v>0.0434070331819192</v>
      </c>
      <c r="X721" s="48">
        <f>VLOOKUP(B721,'Player Data'!$A1:$AE734,12,FALSE)*$Q721*_xlfn.IFERROR((VLOOKUP(P721,'Settings'!$E$28:$F$33,2,FALSE)+1),1)</f>
        <v>0.112681756130919</v>
      </c>
      <c r="Y721" s="48">
        <f>VLOOKUP(B721,'Player Data'!$A1:$AE734,13,FALSE)*$Q721</f>
        <v>0.00544302696086305</v>
      </c>
      <c r="Z721" s="48">
        <f>VLOOKUP(B721,'Player Data'!$A1:$AE734,14,FALSE)*$Q721</f>
        <v>0.010207020386437</v>
      </c>
      <c r="AA721" s="48">
        <f>VLOOKUP(B721,'Player Data'!$A1:$AE734,15,FALSE)*$Q721</f>
        <v>18.8351345487994</v>
      </c>
      <c r="AB721" s="48">
        <f>VLOOKUP(B721,'Player Data'!$A1:$AE734,16,FALSE)*$Q721</f>
        <v>50.3116673206094</v>
      </c>
      <c r="AC721" s="48">
        <f>VLOOKUP(B721,'Player Data'!$A1:$AE734,17,FALSE)*$Q721*_xlfn.IFERROR((VLOOKUP(P721,'Settings'!$E$28:$F$33,2,FALSE)+1),1)</f>
        <v>2.3476784679232</v>
      </c>
      <c r="AD721" s="48">
        <f>VLOOKUP(B721,'Player Data'!$A1:$AE734,18,FALSE)*$Q721</f>
        <v>10.8655346948358</v>
      </c>
      <c r="AE721" s="48">
        <f>VLOOKUP(B721,'Player Data'!$A1:$AE734,19,FALSE)*$Q721*_xlfn.IFERROR((VLOOKUP(P721,'Settings'!$E$28:$F$33,2,FALSE)+1),1)</f>
        <v>0.932751096132735</v>
      </c>
      <c r="AF721" s="48">
        <f>VLOOKUP(B721,'Player Data'!$A1:$AE734,20,FALSE)*$Q721</f>
        <v>132.805605318369</v>
      </c>
      <c r="AG721" s="48">
        <f>VLOOKUP(B721,'Player Data'!$A1:$AE734,21,FALSE)*$Q721</f>
        <v>128.671111557242</v>
      </c>
      <c r="AH721" s="49">
        <f>VLOOKUP(B721,'Player Data'!$A1:$AE734,22,FALSE)</f>
        <v>0.507906045728526</v>
      </c>
      <c r="AI721" s="46"/>
      <c r="AJ721" s="48"/>
      <c r="AK721" s="48"/>
      <c r="AL721" s="48"/>
      <c r="AM721" s="48"/>
      <c r="AN721" s="48"/>
      <c r="AO721" s="48"/>
      <c r="AP721" s="48"/>
      <c r="AQ721" s="51"/>
      <c r="AR721" s="52"/>
      <c r="AS721" s="46"/>
    </row>
    <row r="722" ht="21.25" customHeight="1">
      <c r="A722" s="53">
        <f>RANK(K722,K2:K730)</f>
        <v>729</v>
      </c>
      <c r="B722" t="s" s="8">
        <v>874</v>
      </c>
      <c r="C722" t="s" s="39">
        <v>106</v>
      </c>
      <c r="D722" t="s" s="40">
        <f>VLOOKUP(B722,'Player Data'!A1:D734,4,FALSE)</f>
        <v>107</v>
      </c>
      <c r="E722" s="41">
        <f>VLOOKUP(B722,'C'!A1:C218,3,FALSE)</f>
        <v>216</v>
      </c>
      <c r="F722" t="s" s="42">
        <f>VLOOKUP(B722,'Player Data'!A1:B734,2,FALSE)</f>
        <v>236</v>
      </c>
      <c r="G722" s="9">
        <f>VLOOKUP(B722,'Player Data'!A1:D734,3,FALSE)</f>
        <v>26</v>
      </c>
      <c r="H722" s="43">
        <f>_xlfn.IFERROR(VLOOKUP(B722,'ADP'!A1:G731,7,FALSE)/1000000,VLOOKUP(B722,'ADP'!A1:G731,7,FALSE))</f>
        <v>0.7625</v>
      </c>
      <c r="I722" s="44">
        <f>IF('Settings'!$E$15="POINTS",((R722*Q722)*'Settings'!$B$12)+(S722*'Settings'!$B$2)+(T722*'Settings'!$B$3)+(U722*'Settings'!$B$4)+(V722*'Settings'!$B$5)+(X722*'Settings'!$B$9)+(AA722*'Settings'!$B$6)+(W722*'Settings'!$B$8)+(AB722*'Settings'!$B$7)+(AC722*'Settings'!$B$14)+(AD722*'Settings'!$B$15)+(AE722*'Settings'!$B$16)+(AF722*'Settings'!$B$17)+(AG722*'Settings'!$B$18)+(Y722*'Settings'!$B$10)+(Z722*'Settings'!$B$11),VLOOKUP(B722,'Standard Deviations'!A1:C731,3,FALSE))</f>
        <v>81.7889663432105</v>
      </c>
      <c r="J722" s="45">
        <f>IF(D722="G",I722/AJ722,I722/Q722)</f>
        <v>1.4993492543554</v>
      </c>
      <c r="K722" s="44">
        <f>IF('Settings'!$E$18="C/LW/RW",VLOOKUP(B722,'C'!A1:F218,6,FALSE),VLOOKUP(B722,'F'!A1:F432,6,FALSE))</f>
        <v>-313.985235292805</v>
      </c>
      <c r="L722" s="44">
        <f>_xlfn.IFERROR(K722/H722,"N/A")</f>
        <v>-411.783915138105</v>
      </c>
      <c r="M722" t="s" s="61">
        <f>IF('Settings'!$E$9="YAHOO",VLOOKUP(B722,'ADP'!A1:E731,2,FALSE),IF('Settings'!$E$9="ESPN",VLOOKUP(B722,'ADP'!A1:E731,3,FALSE),IF('Settings'!$E$9="FANTRAX",VLOOKUP(B722,'ADP'!A1:E731,4,FALSE),VLOOKUP(B722,'ADP'!A1:E731,5,FALSE))))</f>
        <v>329</v>
      </c>
      <c r="N722" t="s" s="61">
        <f>_xlfn.IFERROR(M722-A722,"N/A")</f>
        <v>158</v>
      </c>
      <c r="O722" s="46"/>
      <c r="P722" t="s" s="47">
        <f>IF('Settings'!$E$27="ON",VLOOKUP(B722,'ADP'!A1:H731,8,FALSE)," ")</f>
        <v>109</v>
      </c>
      <c r="Q722" s="48">
        <f>IF('Settings'!$E$12="YES",VLOOKUP(B722,'Player Data'!A1:E734,5,FALSE),82)</f>
        <v>54.5496428571429</v>
      </c>
      <c r="R722" s="46">
        <f>VLOOKUP(B722,'Player Data'!$A1:$AE734,6,FALSE)</f>
        <v>9.45279411341463</v>
      </c>
      <c r="S722" s="48">
        <f>VLOOKUP(B722,'Player Data'!$A1:$AE734,7,FALSE)*$Q722*_xlfn.IFERROR((VLOOKUP(P722,'Settings'!$E$28:$F$33,2,FALSE)+1),1)</f>
        <v>4.18665663165508</v>
      </c>
      <c r="T722" s="48">
        <f>VLOOKUP(B722,'Player Data'!$A1:$AE734,8,FALSE)*$Q722*_xlfn.IFERROR((VLOOKUP(P722,'Settings'!$E$28:$F$33,2,FALSE)+1),1)</f>
        <v>5.04465363463304</v>
      </c>
      <c r="U722" s="48">
        <f>SUM(S722:T722)</f>
        <v>9.231310266288119</v>
      </c>
      <c r="V722" s="48">
        <f>VLOOKUP(B722,'Player Data'!$A1:$AE734,10,FALSE)*$Q722*_xlfn.IFERROR(((VLOOKUP(P722,'Settings'!$E$28:$F$33,2,FALSE)/2)+1),1)</f>
        <v>45.5192568967454</v>
      </c>
      <c r="W722" s="48">
        <f>VLOOKUP(B722,'Player Data'!$A1:$AE734,11,FALSE)*$Q722*_xlfn.IFERROR((VLOOKUP(P722,'Settings'!$E$28:$F$33,2,FALSE)+1),1)</f>
        <v>0.120140934388181</v>
      </c>
      <c r="X722" s="48">
        <f>VLOOKUP(B722,'Player Data'!$A1:$AE734,12,FALSE)*$Q722*_xlfn.IFERROR((VLOOKUP(P722,'Settings'!$E$28:$F$33,2,FALSE)+1),1)</f>
        <v>0.307001230774842</v>
      </c>
      <c r="Y722" s="48">
        <f>VLOOKUP(B722,'Player Data'!$A1:$AE734,13,FALSE)*$Q722</f>
        <v>0.0470990131722117</v>
      </c>
      <c r="Z722" s="48">
        <f>VLOOKUP(B722,'Player Data'!$A1:$AE734,14,FALSE)*$Q722</f>
        <v>0.08694125646965339</v>
      </c>
      <c r="AA722" s="48">
        <f>VLOOKUP(B722,'Player Data'!$A1:$AE734,15,FALSE)*$Q722</f>
        <v>18.5171166789598</v>
      </c>
      <c r="AB722" s="48">
        <f>VLOOKUP(B722,'Player Data'!$A1:$AE734,16,FALSE)*$Q722</f>
        <v>62.4919251842865</v>
      </c>
      <c r="AC722" s="48">
        <f>VLOOKUP(B722,'Player Data'!$A1:$AE734,17,FALSE)*$Q722*_xlfn.IFERROR((VLOOKUP(P722,'Settings'!$E$28:$F$33,2,FALSE)+1),1)</f>
        <v>-4.17315944481089</v>
      </c>
      <c r="AD722" s="48">
        <f>VLOOKUP(B722,'Player Data'!$A1:$AE734,18,FALSE)*$Q722</f>
        <v>9.225790686540799</v>
      </c>
      <c r="AE722" s="48">
        <f>VLOOKUP(B722,'Player Data'!$A1:$AE734,19,FALSE)*$Q722*_xlfn.IFERROR((VLOOKUP(P722,'Settings'!$E$28:$F$33,2,FALSE)+1),1)</f>
        <v>0.492123243287648</v>
      </c>
      <c r="AF722" s="48">
        <f>VLOOKUP(B722,'Player Data'!$A1:$AE734,20,FALSE)*$Q722</f>
        <v>84.8573776442438</v>
      </c>
      <c r="AG722" s="48">
        <f>VLOOKUP(B722,'Player Data'!$A1:$AE734,21,FALSE)*$Q722</f>
        <v>83.6626763078916</v>
      </c>
      <c r="AH722" s="49">
        <f>VLOOKUP(B722,'Player Data'!$A1:$AE734,22,FALSE)</f>
        <v>0.50354468595379</v>
      </c>
      <c r="AI722" s="46"/>
      <c r="AJ722" s="50"/>
      <c r="AK722" s="48"/>
      <c r="AL722" s="48"/>
      <c r="AM722" s="48"/>
      <c r="AN722" s="48"/>
      <c r="AO722" s="48"/>
      <c r="AP722" s="48"/>
      <c r="AQ722" s="51"/>
      <c r="AR722" s="52"/>
      <c r="AS722" s="46"/>
    </row>
    <row r="723" ht="21.25" customHeight="1">
      <c r="A723" s="53">
        <f>RANK(K723,K2:K730)</f>
        <v>521</v>
      </c>
      <c r="B723" t="s" s="8">
        <v>875</v>
      </c>
      <c r="C723" t="s" s="39">
        <v>106</v>
      </c>
      <c r="D723" t="s" s="40">
        <f>VLOOKUP(B723,'Player Data'!A1:D734,4,FALSE)</f>
        <v>146</v>
      </c>
      <c r="E723" s="58">
        <f>VLOOKUP(B723,'G'!A1:D75,3,FALSE)</f>
        <v>67</v>
      </c>
      <c r="F723" t="s" s="42">
        <f>VLOOKUP(B723,'Player Data'!A1:B734,2,FALSE)</f>
        <v>248</v>
      </c>
      <c r="G723" s="9">
        <f>VLOOKUP(B723,'Player Data'!A1:D734,3,FALSE)</f>
        <v>29</v>
      </c>
      <c r="H723" s="43">
        <f>_xlfn.IFERROR(VLOOKUP(B723,'ADP'!A1:G731,7,FALSE)/1000000,VLOOKUP(B723,'ADP'!A1:G731,7,FALSE))</f>
        <v>3.5</v>
      </c>
      <c r="I723" s="44">
        <f>IF('Settings'!$E$15="POINTS",(AJ723*'Settings'!$B$29)+(AK723*'Settings'!$B$21)+(AL723*'Settings'!$B$22)+(AN723*'Settings'!$B$24)+(AO723*'Settings'!$B$25)+(AP723*'Settings'!$B$27)+(AM723*'Settings'!$B$23),VLOOKUP(B723,'Standard Deviations'!A1:C731,3,FALSE))</f>
        <v>77.0849741720215</v>
      </c>
      <c r="J723" s="45">
        <f>IF(D723="G",I723/AJ723,I723/Q723)</f>
        <v>5.13899827813477</v>
      </c>
      <c r="K723" s="44">
        <f>VLOOKUP(B723,'G'!A1:F75,6,FALSE)</f>
        <v>-188.218247327667</v>
      </c>
      <c r="L723" s="44">
        <f>_xlfn.IFERROR(K723/H723,"N/A")</f>
        <v>-53.7766420936191</v>
      </c>
      <c r="M723" t="s" s="61">
        <f>IF('Settings'!$E$9="YAHOO",VLOOKUP(B723,'ADP'!A1:E731,2,FALSE),IF('Settings'!$E$9="ESPN",VLOOKUP(B723,'ADP'!A1:E731,3,FALSE),IF('Settings'!$E$9="FANTRAX",VLOOKUP(B723,'ADP'!A1:E731,4,FALSE),VLOOKUP(B723,'ADP'!A1:E731,5,FALSE))))</f>
        <v>329</v>
      </c>
      <c r="N723" t="s" s="61">
        <f>_xlfn.IFERROR(M723-A723,"N/A")</f>
        <v>158</v>
      </c>
      <c r="O723" s="46"/>
      <c r="P723" t="s" s="47">
        <f>IF('Settings'!$E$27="ON",VLOOKUP(B723,'ADP'!A1:H731,8,FALSE)," ")</f>
        <v>109</v>
      </c>
      <c r="Q723" s="48"/>
      <c r="R723" s="59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9"/>
      <c r="AI723" s="46"/>
      <c r="AJ723" s="50">
        <f>VLOOKUP(B723,'Player Data'!$A1:$AE734,24,FALSE)</f>
        <v>15</v>
      </c>
      <c r="AK723" s="48">
        <f>VLOOKUP(B723,'Player Data'!$A1:$AE734,25,FALSE)*$AJ723*_xlfn.IFERROR((VLOOKUP(P723,'Settings'!$E$28:$F$33,2,FALSE)+1),1)</f>
        <v>7.16290230952334</v>
      </c>
      <c r="AL723" s="48">
        <f>AJ723-AK723-AM723</f>
        <v>5.96209769047666</v>
      </c>
      <c r="AM723" s="48">
        <f>VLOOKUP(B723,'Player Data'!$A1:$AE734,27,FALSE)*$AJ723</f>
        <v>1.875</v>
      </c>
      <c r="AN723" s="48">
        <f>VLOOKUP(B723,'Player Data'!$A1:$AE734,28,FALSE)*AJ723</f>
        <v>0.728705766186644</v>
      </c>
      <c r="AO723" s="48">
        <f>VLOOKUP(B723,'Player Data'!$A1:$AE734,29,FALSE)*$AJ723*_xlfn.IFERROR((VLOOKUP(P723,'Settings'!$E$28:$F$33,2,FALSE)/4)+1,1)</f>
        <v>396.181361540565</v>
      </c>
      <c r="AP723" s="48">
        <f>VLOOKUP(B723,'Player Data'!$A1:$AE734,31,FALSE)*$AJ723*(_xlfn.IFERROR(1-(VLOOKUP(P723,'Settings'!$E$28:$F$33,2,FALSE)/4),1))</f>
        <v>43.6295056781853</v>
      </c>
      <c r="AQ723" s="51">
        <f>1-(AP723/(AO723+AP723))</f>
        <v>0.900799391442765</v>
      </c>
      <c r="AR723" s="52">
        <f>AP723/AJ723</f>
        <v>2.90863371187902</v>
      </c>
      <c r="AS723" s="46"/>
    </row>
    <row r="724" ht="21.25" customHeight="1">
      <c r="A724" s="53">
        <f>RANK(K724,K2:K730)</f>
        <v>725</v>
      </c>
      <c r="B724" t="s" s="8">
        <v>876</v>
      </c>
      <c r="C724" t="s" s="39">
        <v>106</v>
      </c>
      <c r="D724" t="s" s="40">
        <f>VLOOKUP(B724,'Player Data'!A1:D734,4,FALSE)</f>
        <v>133</v>
      </c>
      <c r="E724" s="57">
        <f>VLOOKUP(B724,'LW'!A1:C156,3,FALSE)</f>
        <v>154</v>
      </c>
      <c r="F724" t="s" s="42">
        <f>VLOOKUP(B724,'Player Data'!A1:B734,2,FALSE)</f>
        <v>149</v>
      </c>
      <c r="G724" s="9">
        <f>VLOOKUP(B724,'Player Data'!A1:D734,3,FALSE)</f>
        <v>29</v>
      </c>
      <c r="H724" s="43">
        <f>_xlfn.IFERROR(VLOOKUP(B724,'ADP'!A1:G731,7,FALSE)/1000000,VLOOKUP(B724,'ADP'!A1:G731,7,FALSE))</f>
        <v>1.1</v>
      </c>
      <c r="I724" s="44">
        <f>IF('Settings'!$E$15="POINTS",((R724*Q724)*'Settings'!$B$12)+(S724*'Settings'!$B$2)+(T724*'Settings'!$B$3)+(U724*'Settings'!$B$4)+(V724*'Settings'!$B$5)+(X724*'Settings'!$B$9)+(AA724*'Settings'!$B$6)+(W724*'Settings'!$B$8)+(AB724*'Settings'!$B$7)+(AC724*'Settings'!$B$14)+(AD724*'Settings'!$B$15)+(AE724*'Settings'!$B$16)+(AF724*'Settings'!$B$17)+(AG724*'Settings'!$B$18)+(Y724*'Settings'!$B$10)+(Z724*'Settings'!$B$11),VLOOKUP(B724,'Standard Deviations'!A1:C731,3,FALSE))</f>
        <v>75.5628573166704</v>
      </c>
      <c r="J724" s="45">
        <f>IF(D724="G",I724/AJ724,I724/Q724)</f>
        <v>1.32573061611282</v>
      </c>
      <c r="K724" s="44">
        <f>IF('Settings'!$E$18="C/LW/RW",VLOOKUP(B724,'LW'!A1:F156,6,FALSE),VLOOKUP(B724,'F'!A1:F432,6,FALSE))</f>
        <v>-306.065706389686</v>
      </c>
      <c r="L724" s="44">
        <f>_xlfn.IFERROR(K724/H724,"N/A")</f>
        <v>-278.241551263351</v>
      </c>
      <c r="M724" t="s" s="61">
        <f>IF('Settings'!$E$9="YAHOO",VLOOKUP(B724,'ADP'!A1:E731,2,FALSE),IF('Settings'!$E$9="ESPN",VLOOKUP(B724,'ADP'!A1:E731,3,FALSE),IF('Settings'!$E$9="FANTRAX",VLOOKUP(B724,'ADP'!A1:E731,4,FALSE),VLOOKUP(B724,'ADP'!A1:E731,5,FALSE))))</f>
        <v>329</v>
      </c>
      <c r="N724" t="s" s="61">
        <f>_xlfn.IFERROR(M724-A724,"N/A")</f>
        <v>158</v>
      </c>
      <c r="O724" s="46"/>
      <c r="P724" t="s" s="47">
        <f>IF('Settings'!$E$27="ON",VLOOKUP(B724,'ADP'!A1:H731,8,FALSE)," ")</f>
        <v>109</v>
      </c>
      <c r="Q724" s="48">
        <f>IF('Settings'!$E$12="YES",VLOOKUP(B724,'Player Data'!A1:E734,5,FALSE),82)</f>
        <v>56.9971428571429</v>
      </c>
      <c r="R724" s="46">
        <f>VLOOKUP(B724,'Player Data'!$A1:$AE734,6,FALSE)</f>
        <v>7.80004271775915</v>
      </c>
      <c r="S724" s="48">
        <f>VLOOKUP(B724,'Player Data'!$A1:$AE734,7,FALSE)*$Q724*_xlfn.IFERROR((VLOOKUP(P724,'Settings'!$E$28:$F$33,2,FALSE)+1),1)</f>
        <v>2.56723789207634</v>
      </c>
      <c r="T724" s="48">
        <f>VLOOKUP(B724,'Player Data'!$A1:$AE734,8,FALSE)*$Q724*_xlfn.IFERROR((VLOOKUP(P724,'Settings'!$E$28:$F$33,2,FALSE)+1),1)</f>
        <v>5.88002534431378</v>
      </c>
      <c r="U724" s="48">
        <f>SUM(S724:T724)</f>
        <v>8.447263236390119</v>
      </c>
      <c r="V724" s="48">
        <f>VLOOKUP(B724,'Player Data'!$A1:$AE734,10,FALSE)*$Q724*_xlfn.IFERROR(((VLOOKUP(P724,'Settings'!$E$28:$F$33,2,FALSE)/2)+1),1)</f>
        <v>24.7670456220322</v>
      </c>
      <c r="W724" s="48">
        <f>VLOOKUP(B724,'Player Data'!$A1:$AE734,11,FALSE)*$Q724*_xlfn.IFERROR((VLOOKUP(P724,'Settings'!$E$28:$F$33,2,FALSE)+1),1)</f>
        <v>0.0163126760260353</v>
      </c>
      <c r="X724" s="48">
        <f>VLOOKUP(B724,'Player Data'!$A1:$AE734,12,FALSE)*$Q724*_xlfn.IFERROR((VLOOKUP(P724,'Settings'!$E$28:$F$33,2,FALSE)+1),1)</f>
        <v>0.0431852995852161</v>
      </c>
      <c r="Y724" s="48">
        <f>VLOOKUP(B724,'Player Data'!$A1:$AE734,13,FALSE)*$Q724</f>
        <v>0</v>
      </c>
      <c r="Z724" s="48">
        <f>VLOOKUP(B724,'Player Data'!$A1:$AE734,14,FALSE)*$Q724</f>
        <v>0</v>
      </c>
      <c r="AA724" s="48">
        <f>VLOOKUP(B724,'Player Data'!$A1:$AE734,15,FALSE)*$Q724</f>
        <v>18.6766955924937</v>
      </c>
      <c r="AB724" s="48">
        <f>VLOOKUP(B724,'Player Data'!$A1:$AE734,16,FALSE)*$Q724</f>
        <v>98.5933606484905</v>
      </c>
      <c r="AC724" s="48">
        <f>VLOOKUP(B724,'Player Data'!$A1:$AE734,17,FALSE)*$Q724*_xlfn.IFERROR((VLOOKUP(P724,'Settings'!$E$28:$F$33,2,FALSE)+1),1)</f>
        <v>-0.403720644164437</v>
      </c>
      <c r="AD724" s="48">
        <f>VLOOKUP(B724,'Player Data'!$A1:$AE734,18,FALSE)*$Q724</f>
        <v>33.7343783273527</v>
      </c>
      <c r="AE724" s="48">
        <f>VLOOKUP(B724,'Player Data'!$A1:$AE734,19,FALSE)*$Q724*_xlfn.IFERROR((VLOOKUP(P724,'Settings'!$E$28:$F$33,2,FALSE)+1),1)</f>
        <v>0.396694367323908</v>
      </c>
      <c r="AF724" s="48">
        <f>VLOOKUP(B724,'Player Data'!$A1:$AE734,20,FALSE)*$Q724</f>
        <v>1.2872762976261</v>
      </c>
      <c r="AG724" s="48">
        <f>VLOOKUP(B724,'Player Data'!$A1:$AE734,21,FALSE)*$Q724</f>
        <v>2.92807104250375</v>
      </c>
      <c r="AH724" s="49">
        <f>VLOOKUP(B724,'Player Data'!$A1:$AE734,22,FALSE)</f>
        <v>0.305378464396352</v>
      </c>
      <c r="AI724" s="46"/>
      <c r="AJ724" s="50"/>
      <c r="AK724" s="48"/>
      <c r="AL724" s="48"/>
      <c r="AM724" s="48"/>
      <c r="AN724" s="48"/>
      <c r="AO724" s="48"/>
      <c r="AP724" s="48"/>
      <c r="AQ724" s="51"/>
      <c r="AR724" s="52"/>
      <c r="AS724" s="46"/>
    </row>
    <row r="725" ht="21.25" customHeight="1">
      <c r="A725" s="53">
        <f>RANK(K725,K2:K730)</f>
        <v>540</v>
      </c>
      <c r="B725" t="s" s="8">
        <v>877</v>
      </c>
      <c r="C725" t="s" s="39">
        <v>106</v>
      </c>
      <c r="D725" t="s" s="40">
        <f>VLOOKUP(B725,'Player Data'!A1:D734,4,FALSE)</f>
        <v>146</v>
      </c>
      <c r="E725" s="58">
        <f>VLOOKUP(B725,'G'!A1:D75,3,FALSE)</f>
        <v>68</v>
      </c>
      <c r="F725" t="s" s="42">
        <f>VLOOKUP(B725,'Player Data'!A1:B734,2,FALSE)</f>
        <v>258</v>
      </c>
      <c r="G725" s="9">
        <f>VLOOKUP(B725,'Player Data'!A1:D734,3,FALSE)</f>
        <v>32</v>
      </c>
      <c r="H725" s="43">
        <f>_xlfn.IFERROR(VLOOKUP(B725,'ADP'!A1:G731,7,FALSE)/1000000,VLOOKUP(B725,'ADP'!A1:G731,7,FALSE))</f>
        <v>1.8</v>
      </c>
      <c r="I725" s="44">
        <f>IF('Settings'!$E$15="POINTS",(AJ725*'Settings'!$B$29)+(AK725*'Settings'!$B$21)+(AL725*'Settings'!$B$22)+(AN725*'Settings'!$B$24)+(AO725*'Settings'!$B$25)+(AP725*'Settings'!$B$27)+(AM725*'Settings'!$B$23),VLOOKUP(B725,'Standard Deviations'!A1:C731,3,FALSE))</f>
        <v>69.4677267023314</v>
      </c>
      <c r="J725" s="45">
        <f>IF(D725="G",I725/AJ725,I725/Q725)</f>
        <v>4.96198047873796</v>
      </c>
      <c r="K725" s="44">
        <f>VLOOKUP(B725,'G'!A1:F75,6,FALSE)</f>
        <v>-195.835494797357</v>
      </c>
      <c r="L725" s="44">
        <f>_xlfn.IFERROR(K725/H725,"N/A")</f>
        <v>-108.797497109643</v>
      </c>
      <c r="M725" t="s" s="61">
        <f>IF('Settings'!$E$9="YAHOO",VLOOKUP(B725,'ADP'!A1:E731,2,FALSE),IF('Settings'!$E$9="ESPN",VLOOKUP(B725,'ADP'!A1:E731,3,FALSE),IF('Settings'!$E$9="FANTRAX",VLOOKUP(B725,'ADP'!A1:E731,4,FALSE),VLOOKUP(B725,'ADP'!A1:E731,5,FALSE))))</f>
        <v>329</v>
      </c>
      <c r="N725" t="s" s="61">
        <f>_xlfn.IFERROR(M725-A725,"N/A")</f>
        <v>158</v>
      </c>
      <c r="O725" s="46"/>
      <c r="P725" t="s" s="47">
        <f>IF('Settings'!$E$27="ON",VLOOKUP(B725,'ADP'!A1:H731,8,FALSE)," ")</f>
        <v>109</v>
      </c>
      <c r="Q725" s="48"/>
      <c r="R725" s="59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9"/>
      <c r="AI725" s="46"/>
      <c r="AJ725" s="50">
        <f>VLOOKUP(B725,'Player Data'!$A1:$AE734,24,FALSE)</f>
        <v>14</v>
      </c>
      <c r="AK725" s="48">
        <f>VLOOKUP(B725,'Player Data'!$A1:$AE734,25,FALSE)*$AJ725*_xlfn.IFERROR((VLOOKUP(P725,'Settings'!$E$28:$F$33,2,FALSE)+1),1)</f>
        <v>5.01289718632324</v>
      </c>
      <c r="AL725" s="48">
        <f>AJ725-AK725-AM725</f>
        <v>7.23710281367676</v>
      </c>
      <c r="AM725" s="48">
        <f>VLOOKUP(B725,'Player Data'!$A1:$AE734,27,FALSE)*$AJ725</f>
        <v>1.75</v>
      </c>
      <c r="AN725" s="48">
        <f>VLOOKUP(B725,'Player Data'!$A1:$AE734,28,FALSE)*AJ725</f>
        <v>0.421810898092507</v>
      </c>
      <c r="AO725" s="48">
        <f>VLOOKUP(B725,'Player Data'!$A1:$AE734,29,FALSE)*$AJ725*_xlfn.IFERROR((VLOOKUP(P725,'Settings'!$E$28:$F$33,2,FALSE)/4)+1,1)</f>
        <v>397.721766141853</v>
      </c>
      <c r="AP725" s="48">
        <f>VLOOKUP(B725,'Player Data'!$A1:$AE734,31,FALSE)*$AJ725*(_xlfn.IFERROR(1-(VLOOKUP(P725,'Settings'!$E$28:$F$33,2,FALSE)/4),1))</f>
        <v>44.1019515956478</v>
      </c>
      <c r="AQ725" s="51">
        <f>1-(AP725/(AO725+AP725))</f>
        <v>0.9001820186985749</v>
      </c>
      <c r="AR725" s="52">
        <f>AP725/AJ725</f>
        <v>3.15013939968913</v>
      </c>
      <c r="AS725" s="46"/>
    </row>
    <row r="726" ht="21.25" customHeight="1">
      <c r="A726" s="53">
        <f>RANK(K726,K2:K730)</f>
        <v>556</v>
      </c>
      <c r="B726" t="s" s="8">
        <v>878</v>
      </c>
      <c r="C726" t="s" s="39">
        <v>106</v>
      </c>
      <c r="D726" t="s" s="40">
        <f>VLOOKUP(B726,'Player Data'!A1:D734,4,FALSE)</f>
        <v>146</v>
      </c>
      <c r="E726" s="58">
        <f>VLOOKUP(B726,'G'!A1:D75,3,FALSE)</f>
        <v>69</v>
      </c>
      <c r="F726" t="s" s="42">
        <f>VLOOKUP(B726,'Player Data'!A1:B734,2,FALSE)</f>
        <v>139</v>
      </c>
      <c r="G726" s="9">
        <f>VLOOKUP(B726,'Player Data'!A1:D734,3,FALSE)</f>
        <v>24</v>
      </c>
      <c r="H726" s="43">
        <f>_xlfn.IFERROR(VLOOKUP(B726,'ADP'!A1:G731,7,FALSE)/1000000,VLOOKUP(B726,'ADP'!A1:G731,7,FALSE))</f>
        <v>0.8375</v>
      </c>
      <c r="I726" s="44">
        <f>IF('Settings'!$E$15="POINTS",(AJ726*'Settings'!$B$29)+(AK726*'Settings'!$B$21)+(AL726*'Settings'!$B$22)+(AN726*'Settings'!$B$24)+(AO726*'Settings'!$B$25)+(AP726*'Settings'!$B$27)+(AM726*'Settings'!$B$23),VLOOKUP(B726,'Standard Deviations'!A1:C731,3,FALSE))</f>
        <v>62.4273957209848</v>
      </c>
      <c r="J726" s="45">
        <f>IF(D726="G",I726/AJ726,I726/Q726)</f>
        <v>5.20228297674873</v>
      </c>
      <c r="K726" s="44">
        <f>VLOOKUP(B726,'G'!A1:F75,6,FALSE)</f>
        <v>-202.875825778703</v>
      </c>
      <c r="L726" s="44">
        <f>_xlfn.IFERROR(K726/H726,"N/A")</f>
        <v>-242.239791974571</v>
      </c>
      <c r="M726" s="46">
        <f>IF('Settings'!$E$9="YAHOO",VLOOKUP(B726,'ADP'!A1:E731,2,FALSE),IF('Settings'!$E$9="ESPN",VLOOKUP(B726,'ADP'!A1:E731,3,FALSE),IF('Settings'!$E$9="FANTRAX",VLOOKUP(B726,'ADP'!A1:E731,4,FALSE),VLOOKUP(B726,'ADP'!A1:E731,5,FALSE))))</f>
        <v>234.4</v>
      </c>
      <c r="N726" s="46">
        <f>_xlfn.IFERROR(M726-A726,"N/A")</f>
        <v>-321.6</v>
      </c>
      <c r="O726" s="46"/>
      <c r="P726" t="s" s="47">
        <f>IF('Settings'!$E$27="ON",VLOOKUP(B726,'ADP'!A1:H731,8,FALSE)," ")</f>
        <v>109</v>
      </c>
      <c r="Q726" s="48"/>
      <c r="R726" s="59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9"/>
      <c r="AI726" s="46"/>
      <c r="AJ726" s="50">
        <f>VLOOKUP(B726,'Player Data'!$A1:$AE734,24,FALSE)</f>
        <v>12</v>
      </c>
      <c r="AK726" s="48">
        <f>VLOOKUP(B726,'Player Data'!$A1:$AE734,25,FALSE)*$AJ726*_xlfn.IFERROR((VLOOKUP(P726,'Settings'!$E$28:$F$33,2,FALSE)+1),1)</f>
        <v>5.35478782745714</v>
      </c>
      <c r="AL726" s="48">
        <f>AJ726-AK726-AM726</f>
        <v>5.14521217254286</v>
      </c>
      <c r="AM726" s="48">
        <f>VLOOKUP(B726,'Player Data'!$A1:$AE734,27,FALSE)*$AJ726</f>
        <v>1.5</v>
      </c>
      <c r="AN726" s="48">
        <f>VLOOKUP(B726,'Player Data'!$A1:$AE734,28,FALSE)*AJ726</f>
        <v>0.389795816942182</v>
      </c>
      <c r="AO726" s="48">
        <f>VLOOKUP(B726,'Player Data'!$A1:$AE734,29,FALSE)*$AJ726*_xlfn.IFERROR((VLOOKUP(P726,'Settings'!$E$28:$F$33,2,FALSE)/4)+1,1)</f>
        <v>337.805442250159</v>
      </c>
      <c r="AP726" s="48">
        <f>VLOOKUP(B726,'Player Data'!$A1:$AE734,31,FALSE)*$AJ726*(_xlfn.IFERROR(1-(VLOOKUP(P726,'Settings'!$E$28:$F$33,2,FALSE)/4),1))</f>
        <v>37.4319919248406</v>
      </c>
      <c r="AQ726" s="51">
        <f>1-(AP726/(AO726+AP726))</f>
        <v>0.900244515829987</v>
      </c>
      <c r="AR726" s="52">
        <f>AP726/AJ726</f>
        <v>3.11933266040338</v>
      </c>
      <c r="AS726" s="46"/>
    </row>
    <row r="727" ht="21.25" customHeight="1">
      <c r="A727" s="53">
        <f>RANK(K727,K2:K730)</f>
        <v>601</v>
      </c>
      <c r="B727" t="s" s="8">
        <v>879</v>
      </c>
      <c r="C727" t="s" s="39">
        <v>106</v>
      </c>
      <c r="D727" t="s" s="40">
        <f>VLOOKUP(B727,'Player Data'!A1:D734,4,FALSE)</f>
        <v>146</v>
      </c>
      <c r="E727" s="58">
        <f>VLOOKUP(B727,'G'!A1:D75,3,FALSE)</f>
        <v>70</v>
      </c>
      <c r="F727" t="s" s="42">
        <f>VLOOKUP(B727,'Player Data'!A1:B734,2,FALSE)</f>
        <v>236</v>
      </c>
      <c r="G727" s="9">
        <f>VLOOKUP(B727,'Player Data'!A1:D734,3,FALSE)</f>
        <v>26</v>
      </c>
      <c r="H727" s="43">
        <f>_xlfn.IFERROR(VLOOKUP(B727,'ADP'!A1:G731,7,FALSE)/1000000,VLOOKUP(B727,'ADP'!A1:G731,7,FALSE))</f>
        <v>0.775</v>
      </c>
      <c r="I727" s="44">
        <f>IF('Settings'!$E$15="POINTS",(AJ727*'Settings'!$B$29)+(AK727*'Settings'!$B$21)+(AL727*'Settings'!$B$22)+(AN727*'Settings'!$B$24)+(AO727*'Settings'!$B$25)+(AP727*'Settings'!$B$27)+(AM727*'Settings'!$B$23),VLOOKUP(B727,'Standard Deviations'!A1:C731,3,FALSE))</f>
        <v>47.7900855249467</v>
      </c>
      <c r="J727" s="45">
        <f>IF(D727="G",I727/AJ727,I727/Q727)</f>
        <v>4.77900855249467</v>
      </c>
      <c r="K727" s="44">
        <f>VLOOKUP(B727,'G'!A1:F75,6,FALSE)</f>
        <v>-217.513135974741</v>
      </c>
      <c r="L727" s="44">
        <f>_xlfn.IFERROR(K727/H727,"N/A")</f>
        <v>-280.662110935150</v>
      </c>
      <c r="M727" t="s" s="61">
        <f>IF('Settings'!$E$9="YAHOO",VLOOKUP(B727,'ADP'!A1:E731,2,FALSE),IF('Settings'!$E$9="ESPN",VLOOKUP(B727,'ADP'!A1:E731,3,FALSE),IF('Settings'!$E$9="FANTRAX",VLOOKUP(B727,'ADP'!A1:E731,4,FALSE),VLOOKUP(B727,'ADP'!A1:E731,5,FALSE))))</f>
        <v>329</v>
      </c>
      <c r="N727" t="s" s="61">
        <f>_xlfn.IFERROR(M727-A727,"N/A")</f>
        <v>158</v>
      </c>
      <c r="O727" s="46"/>
      <c r="P727" t="s" s="47">
        <f>IF('Settings'!$E$27="ON",VLOOKUP(B727,'ADP'!A1:H731,8,FALSE)," ")</f>
        <v>109</v>
      </c>
      <c r="Q727" s="48"/>
      <c r="R727" s="59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9"/>
      <c r="AI727" s="46"/>
      <c r="AJ727" s="50">
        <f>VLOOKUP(B727,'Player Data'!$A1:$AE734,24,FALSE)</f>
        <v>10</v>
      </c>
      <c r="AK727" s="48">
        <f>VLOOKUP(B727,'Player Data'!$A1:$AE734,25,FALSE)*$AJ727*_xlfn.IFERROR((VLOOKUP(P727,'Settings'!$E$28:$F$33,2,FALSE)+1),1)</f>
        <v>3.4446584467287</v>
      </c>
      <c r="AL727" s="48">
        <f>AJ727-AK727-AM727</f>
        <v>5.3053415532713</v>
      </c>
      <c r="AM727" s="48">
        <f>VLOOKUP(B727,'Player Data'!$A1:$AE734,27,FALSE)*$AJ727</f>
        <v>1.25</v>
      </c>
      <c r="AN727" s="48">
        <f>VLOOKUP(B727,'Player Data'!$A1:$AE734,28,FALSE)*AJ727</f>
        <v>0.237023690623504</v>
      </c>
      <c r="AO727" s="48">
        <f>VLOOKUP(B727,'Player Data'!$A1:$AE734,29,FALSE)*$AJ727*_xlfn.IFERROR((VLOOKUP(P727,'Settings'!$E$28:$F$33,2,FALSE)/4)+1,1)</f>
        <v>284.196572962022</v>
      </c>
      <c r="AP727" s="48">
        <f>VLOOKUP(B727,'Player Data'!$A1:$AE734,31,FALSE)*$AJ727*(_xlfn.IFERROR(1-(VLOOKUP(P727,'Settings'!$E$28:$F$33,2,FALSE)/4),1))</f>
        <v>32.3426218504777</v>
      </c>
      <c r="AQ727" s="51">
        <f>1-(AP727/(AO727+AP727))</f>
        <v>0.89782427459059</v>
      </c>
      <c r="AR727" s="52">
        <f>AP727/AJ727</f>
        <v>3.23426218504777</v>
      </c>
      <c r="AS727" s="46"/>
    </row>
    <row r="728" ht="21.25" customHeight="1">
      <c r="A728" s="53">
        <f>RANK(K728,K2:K730)</f>
        <v>614</v>
      </c>
      <c r="B728" t="s" s="8">
        <v>880</v>
      </c>
      <c r="C728" t="s" s="39">
        <v>106</v>
      </c>
      <c r="D728" t="s" s="40">
        <f>VLOOKUP(B728,'Player Data'!A1:D734,4,FALSE)</f>
        <v>146</v>
      </c>
      <c r="E728" s="58">
        <f>VLOOKUP(B728,'G'!A1:D75,3,FALSE)</f>
        <v>72</v>
      </c>
      <c r="F728" t="s" s="42">
        <f>VLOOKUP(B728,'Player Data'!A1:B734,2,FALSE)</f>
        <v>238</v>
      </c>
      <c r="G728" s="9">
        <f>VLOOKUP(B728,'Player Data'!A1:D734,3,FALSE)</f>
        <v>22</v>
      </c>
      <c r="H728" s="43">
        <f>_xlfn.IFERROR(VLOOKUP(B728,'ADP'!A1:G731,7,FALSE)/1000000,VLOOKUP(B728,'ADP'!A1:G731,7,FALSE))</f>
        <v>0</v>
      </c>
      <c r="I728" s="44">
        <f>IF('Settings'!$E$15="POINTS",(AJ728*'Settings'!$B$29)+(AK728*'Settings'!$B$21)+(AL728*'Settings'!$B$22)+(AN728*'Settings'!$B$24)+(AO728*'Settings'!$B$25)+(AP728*'Settings'!$B$27)+(AM728*'Settings'!$B$23),VLOOKUP(B728,'Standard Deviations'!A1:C731,3,FALSE))</f>
        <v>44.596536705218</v>
      </c>
      <c r="J728" s="45">
        <f>IF(D728="G",I728/AJ728,I728/Q728)</f>
        <v>5.57456708815225</v>
      </c>
      <c r="K728" s="44">
        <f>VLOOKUP(B728,'G'!A1:F75,6,FALSE)</f>
        <v>-220.706684794470</v>
      </c>
      <c r="L728" t="s" s="60">
        <f>_xlfn.IFERROR(K728/H728,"N/A")</f>
        <v>158</v>
      </c>
      <c r="M728" s="46">
        <f>IF('Settings'!$E$9="YAHOO",VLOOKUP(B728,'ADP'!A1:E731,2,FALSE),IF('Settings'!$E$9="ESPN",VLOOKUP(B728,'ADP'!A1:E731,3,FALSE),IF('Settings'!$E$9="FANTRAX",VLOOKUP(B728,'ADP'!A1:E731,4,FALSE),VLOOKUP(B728,'ADP'!A1:E731,5,FALSE))))</f>
        <v>374.85</v>
      </c>
      <c r="N728" s="46">
        <f>_xlfn.IFERROR(M728-A728,"N/A")</f>
        <v>-239.15</v>
      </c>
      <c r="O728" s="46"/>
      <c r="P728" t="s" s="47">
        <f>IF('Settings'!$E$27="ON",VLOOKUP(B728,'ADP'!A1:H731,8,FALSE)," ")</f>
        <v>109</v>
      </c>
      <c r="Q728" s="48"/>
      <c r="R728" s="59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9"/>
      <c r="AI728" s="46"/>
      <c r="AJ728" s="50">
        <f>VLOOKUP(B728,'Player Data'!$A1:$AE734,24,FALSE)</f>
        <v>8</v>
      </c>
      <c r="AK728" s="48">
        <f>VLOOKUP(B728,'Player Data'!$A1:$AE734,25,FALSE)*$AJ728*_xlfn.IFERROR((VLOOKUP(P728,'Settings'!$E$28:$F$33,2,FALSE)+1),1)</f>
        <v>4.22670397227075</v>
      </c>
      <c r="AL728" s="48">
        <f>AJ728-AK728-AM728</f>
        <v>2.77329602772925</v>
      </c>
      <c r="AM728" s="48">
        <f>VLOOKUP(B728,'Player Data'!$A1:$AE734,27,FALSE)*$AJ728</f>
        <v>1</v>
      </c>
      <c r="AN728" s="48">
        <f>VLOOKUP(B728,'Player Data'!$A1:$AE734,28,FALSE)*AJ728</f>
        <v>0.439740757433572</v>
      </c>
      <c r="AO728" s="48">
        <f>VLOOKUP(B728,'Player Data'!$A1:$AE734,29,FALSE)*$AJ728*_xlfn.IFERROR((VLOOKUP(P728,'Settings'!$E$28:$F$33,2,FALSE)/4)+1,1)</f>
        <v>214.991934383947</v>
      </c>
      <c r="AP728" s="48">
        <f>VLOOKUP(B728,'Player Data'!$A1:$AE734,31,FALSE)*$AJ728*(_xlfn.IFERROR(1-(VLOOKUP(P728,'Settings'!$E$28:$F$33,2,FALSE)/4),1))</f>
        <v>22.6002518660527</v>
      </c>
      <c r="AQ728" s="51">
        <f>1-(AP728/(AO728+AP728))</f>
        <v>0.904877966642084</v>
      </c>
      <c r="AR728" s="52">
        <f>AP728/AJ728</f>
        <v>2.82503148325659</v>
      </c>
      <c r="AS728" s="46"/>
    </row>
    <row r="729" ht="21.25" customHeight="1">
      <c r="A729" s="53">
        <f>RANK(K729,K2:K730)</f>
        <v>613</v>
      </c>
      <c r="B729" t="s" s="8">
        <v>881</v>
      </c>
      <c r="C729" t="s" s="39">
        <v>106</v>
      </c>
      <c r="D729" t="s" s="40">
        <f>VLOOKUP(B729,'Player Data'!A1:D734,4,FALSE)</f>
        <v>146</v>
      </c>
      <c r="E729" s="58">
        <f>VLOOKUP(B729,'G'!A1:D75,3,FALSE)</f>
        <v>71</v>
      </c>
      <c r="F729" t="s" s="42">
        <f>VLOOKUP(B729,'Player Data'!A1:B734,2,FALSE)</f>
        <v>115</v>
      </c>
      <c r="G729" s="9">
        <f>VLOOKUP(B729,'Player Data'!A1:D734,3,FALSE)</f>
        <v>29</v>
      </c>
      <c r="H729" s="43">
        <f>_xlfn.IFERROR(VLOOKUP(B729,'ADP'!A1:G731,7,FALSE)/1000000,VLOOKUP(B729,'ADP'!A1:G731,7,FALSE))</f>
        <v>4.6875</v>
      </c>
      <c r="I729" s="44">
        <f>IF('Settings'!$E$15="POINTS",(AJ729*'Settings'!$B$29)+(AK729*'Settings'!$B$21)+(AL729*'Settings'!$B$22)+(AN729*'Settings'!$B$24)+(AO729*'Settings'!$B$25)+(AP729*'Settings'!$B$27)+(AM729*'Settings'!$B$23),VLOOKUP(B729,'Standard Deviations'!A1:C731,3,FALSE))</f>
        <v>44.7561002849079</v>
      </c>
      <c r="J729" s="45">
        <f>IF(D729="G",I729/AJ729,I729/Q729)</f>
        <v>5.59451253561349</v>
      </c>
      <c r="K729" s="44">
        <f>VLOOKUP(B729,'G'!A1:F75,6,FALSE)</f>
        <v>-220.547121214780</v>
      </c>
      <c r="L729" s="44">
        <f>_xlfn.IFERROR(K729/H729,"N/A")</f>
        <v>-47.0500525258197</v>
      </c>
      <c r="M729" t="s" s="61">
        <f>IF('Settings'!$E$9="YAHOO",VLOOKUP(B729,'ADP'!A1:E731,2,FALSE),IF('Settings'!$E$9="ESPN",VLOOKUP(B729,'ADP'!A1:E731,3,FALSE),IF('Settings'!$E$9="FANTRAX",VLOOKUP(B729,'ADP'!A1:E731,4,FALSE),VLOOKUP(B729,'ADP'!A1:E731,5,FALSE))))</f>
        <v>329</v>
      </c>
      <c r="N729" t="s" s="61">
        <f>_xlfn.IFERROR(M729-A729,"N/A")</f>
        <v>158</v>
      </c>
      <c r="O729" s="46"/>
      <c r="P729" t="s" s="47">
        <f>IF('Settings'!$E$27="ON",VLOOKUP(B729,'ADP'!A1:H731,8,FALSE)," ")</f>
        <v>109</v>
      </c>
      <c r="Q729" s="48"/>
      <c r="R729" s="59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9"/>
      <c r="AI729" s="46"/>
      <c r="AJ729" s="50">
        <f>VLOOKUP(B729,'Player Data'!$A1:$AE734,24,FALSE)</f>
        <v>8</v>
      </c>
      <c r="AK729" s="48">
        <f>VLOOKUP(B729,'Player Data'!$A1:$AE734,25,FALSE)*$AJ729*_xlfn.IFERROR((VLOOKUP(P729,'Settings'!$E$28:$F$33,2,FALSE)+1),1)</f>
        <v>4.42725566115014</v>
      </c>
      <c r="AL729" s="48">
        <f>AJ729-AK729-AM729</f>
        <v>2.57274433884986</v>
      </c>
      <c r="AM729" s="48">
        <f>VLOOKUP(B729,'Player Data'!$A1:$AE734,27,FALSE)*$AJ729</f>
        <v>1</v>
      </c>
      <c r="AN729" s="48">
        <f>VLOOKUP(B729,'Player Data'!$A1:$AE734,28,FALSE)*AJ729</f>
        <v>0.278199134834099</v>
      </c>
      <c r="AO729" s="48">
        <f>VLOOKUP(B729,'Player Data'!$A1:$AE734,29,FALSE)*$AJ729*_xlfn.IFERROR((VLOOKUP(P729,'Settings'!$E$28:$F$33,2,FALSE)/4)+1,1)</f>
        <v>225.705808039975</v>
      </c>
      <c r="AP729" s="48">
        <f>VLOOKUP(B729,'Player Data'!$A1:$AE734,31,FALSE)*$AJ729*(_xlfn.IFERROR(1-(VLOOKUP(P729,'Settings'!$E$28:$F$33,2,FALSE)/4),1))</f>
        <v>24.7146710100249</v>
      </c>
      <c r="AQ729" s="51">
        <f>1-(AP729/(AO729+AP729))</f>
        <v>0.901307308796058</v>
      </c>
      <c r="AR729" s="52">
        <f>AP729/AJ729</f>
        <v>3.08933387625311</v>
      </c>
      <c r="AS729" s="46"/>
    </row>
    <row r="730" ht="21.25" customHeight="1">
      <c r="A730" s="53">
        <f>RANK(K730,K2:K730)</f>
        <v>627</v>
      </c>
      <c r="B730" t="s" s="8">
        <v>882</v>
      </c>
      <c r="C730" t="s" s="39">
        <v>106</v>
      </c>
      <c r="D730" t="s" s="40">
        <f>VLOOKUP(B730,'Player Data'!A1:D734,4,FALSE)</f>
        <v>146</v>
      </c>
      <c r="E730" s="58">
        <f>VLOOKUP(B730,'G'!A1:D75,3,FALSE)</f>
        <v>73</v>
      </c>
      <c r="F730" t="s" s="42">
        <f>VLOOKUP(B730,'Player Data'!A1:B734,2,FALSE)</f>
        <v>156</v>
      </c>
      <c r="G730" s="9">
        <f>VLOOKUP(B730,'Player Data'!A1:D734,3,FALSE)</f>
        <v>28</v>
      </c>
      <c r="H730" s="43">
        <f>_xlfn.IFERROR(VLOOKUP(B730,'ADP'!A1:G731,7,FALSE)/1000000,VLOOKUP(B730,'ADP'!A1:G731,7,FALSE))</f>
        <v>0.7625</v>
      </c>
      <c r="I730" s="44">
        <f>IF('Settings'!$E$15="POINTS",(AJ730*'Settings'!$B$29)+(AK730*'Settings'!$B$21)+(AL730*'Settings'!$B$22)+(AN730*'Settings'!$B$24)+(AO730*'Settings'!$B$25)+(AP730*'Settings'!$B$27)+(AM730*'Settings'!$B$23),VLOOKUP(B730,'Standard Deviations'!A1:C731,3,FALSE))</f>
        <v>40.4520108482961</v>
      </c>
      <c r="J730" s="45">
        <f>IF(D730="G",I730/AJ730,I730/Q730)</f>
        <v>5.05650135603701</v>
      </c>
      <c r="K730" s="44">
        <f>VLOOKUP(B730,'G'!A1:F75,6,FALSE)</f>
        <v>-224.851210651392</v>
      </c>
      <c r="L730" s="44">
        <f>_xlfn.IFERROR(K730/H730,"N/A")</f>
        <v>-294.886833641170</v>
      </c>
      <c r="M730" t="s" s="61">
        <f>IF('Settings'!$E$9="YAHOO",VLOOKUP(B730,'ADP'!A1:E731,2,FALSE),IF('Settings'!$E$9="ESPN",VLOOKUP(B730,'ADP'!A1:E731,3,FALSE),IF('Settings'!$E$9="FANTRAX",VLOOKUP(B730,'ADP'!A1:E731,4,FALSE),VLOOKUP(B730,'ADP'!A1:E731,5,FALSE))))</f>
        <v>329</v>
      </c>
      <c r="N730" t="s" s="61">
        <f>_xlfn.IFERROR(M730-A730,"N/A")</f>
        <v>158</v>
      </c>
      <c r="O730" s="62"/>
      <c r="P730" t="s" s="47">
        <f>IF('Settings'!$E$27="ON",VLOOKUP(B730,'ADP'!A1:H731,8,FALSE)," ")</f>
        <v>109</v>
      </c>
      <c r="Q730" s="48"/>
      <c r="R730" s="59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9"/>
      <c r="AI730" s="62"/>
      <c r="AJ730" s="50">
        <f>VLOOKUP(B730,'Player Data'!$A1:$AE734,24,FALSE)</f>
        <v>8</v>
      </c>
      <c r="AK730" s="48">
        <f>VLOOKUP(B730,'Player Data'!$A1:$AE734,25,FALSE)*$AJ730*_xlfn.IFERROR((VLOOKUP(P730,'Settings'!$E$28:$F$33,2,FALSE)+1),1)</f>
        <v>3.62290626847898</v>
      </c>
      <c r="AL730" s="48">
        <f>AJ730-AK730-AM730</f>
        <v>3.37709373152102</v>
      </c>
      <c r="AM730" s="48">
        <f>VLOOKUP(B730,'Player Data'!$A1:$AE734,27,FALSE)*$AJ730</f>
        <v>1</v>
      </c>
      <c r="AN730" s="48">
        <f>VLOOKUP(B730,'Player Data'!$A1:$AE734,28,FALSE)*AJ730</f>
        <v>0.264605676558474</v>
      </c>
      <c r="AO730" s="48">
        <f>VLOOKUP(B730,'Player Data'!$A1:$AE734,29,FALSE)*$AJ730*_xlfn.IFERROR((VLOOKUP(P730,'Settings'!$E$28:$F$33,2,FALSE)/4)+1,1)</f>
        <v>220.427895993435</v>
      </c>
      <c r="AP730" s="48">
        <f>VLOOKUP(B730,'Player Data'!$A1:$AE734,31,FALSE)*$AJ730*(_xlfn.IFERROR(1-(VLOOKUP(P730,'Settings'!$E$28:$F$33,2,FALSE)/4),1))</f>
        <v>24.8925958565645</v>
      </c>
      <c r="AQ730" s="51">
        <f>1-(AP730/(AO730+AP730))</f>
        <v>0.89853030348649</v>
      </c>
      <c r="AR730" s="52">
        <f>AP730/AJ730</f>
        <v>3.11157448207056</v>
      </c>
      <c r="AS730" s="46"/>
    </row>
  </sheetData>
  <mergeCells count="1">
    <mergeCell ref="D1:E1"/>
  </mergeCells>
  <conditionalFormatting sqref="D2:D730">
    <cfRule type="containsText" dxfId="0" priority="1" stopIfTrue="1" text=",">
      <formula>NOT(ISERROR(FIND(UPPER(","),UPPER(D2))))</formula>
      <formula>","</formula>
    </cfRule>
    <cfRule type="containsText" dxfId="1" priority="2" stopIfTrue="1" text="C">
      <formula>NOT(ISERROR(FIND(UPPER("C"),UPPER(D2))))</formula>
      <formula>"C"</formula>
    </cfRule>
    <cfRule type="containsText" dxfId="2" priority="3" stopIfTrue="1" text="D">
      <formula>NOT(ISERROR(FIND(UPPER("D"),UPPER(D2))))</formula>
      <formula>"D"</formula>
    </cfRule>
    <cfRule type="containsText" dxfId="3" priority="4" stopIfTrue="1" text="LW">
      <formula>NOT(ISERROR(FIND(UPPER("LW"),UPPER(D2))))</formula>
      <formula>"LW"</formula>
    </cfRule>
    <cfRule type="containsText" dxfId="4" priority="5" stopIfTrue="1" text="RW">
      <formula>NOT(ISERROR(FIND(UPPER("RW"),UPPER(D2))))</formula>
      <formula>"RW"</formula>
    </cfRule>
    <cfRule type="containsText" dxfId="5" priority="6" stopIfTrue="1" text="G">
      <formula>NOT(ISERROR(FIND(UPPER("G"),UPPER(D2))))</formula>
      <formula>"G"</formula>
    </cfRule>
  </conditionalFormatting>
  <conditionalFormatting sqref="E2:E730">
    <cfRule type="containsText" dxfId="6" priority="1" stopIfTrue="1" text="/">
      <formula>NOT(ISERROR(FIND(UPPER("/"),UPPER(E2))))</formula>
      <formula>"/"</formula>
    </cfRule>
    <cfRule type="containsText" dxfId="7" priority="2" stopIfTrue="1" text="C">
      <formula>NOT(ISERROR(FIND(UPPER("C"),UPPER(E2))))</formula>
      <formula>"C"</formula>
    </cfRule>
    <cfRule type="containsText" dxfId="8" priority="3" stopIfTrue="1" text="D">
      <formula>NOT(ISERROR(FIND(UPPER("D"),UPPER(E2))))</formula>
      <formula>"D"</formula>
    </cfRule>
    <cfRule type="containsText" dxfId="9" priority="4" stopIfTrue="1" text="LW">
      <formula>NOT(ISERROR(FIND(UPPER("LW"),UPPER(E2))))</formula>
      <formula>"LW"</formula>
    </cfRule>
    <cfRule type="containsText" dxfId="10" priority="5" stopIfTrue="1" text="RW">
      <formula>NOT(ISERROR(FIND(UPPER("RW"),UPPER(E2))))</formula>
      <formula>"RW"</formula>
    </cfRule>
    <cfRule type="containsText" dxfId="11" priority="6" stopIfTrue="1" text="G">
      <formula>NOT(ISERROR(FIND(UPPER("G"),UPPER(E2))))</formula>
      <formula>"G"</formula>
    </cfRule>
  </conditionalFormatting>
  <conditionalFormatting sqref="N2:N730">
    <cfRule type="cellIs" dxfId="12" priority="1" operator="between" stopIfTrue="1">
      <formula>1</formula>
      <formula>10</formula>
    </cfRule>
    <cfRule type="cellIs" dxfId="13" priority="2" operator="between" stopIfTrue="1">
      <formula>-1</formula>
      <formula>-10</formula>
    </cfRule>
    <cfRule type="cellIs" dxfId="14" priority="3" operator="greaterThanOrEqual" stopIfTrue="1">
      <formula>10</formula>
    </cfRule>
    <cfRule type="cellIs" dxfId="15" priority="4" operator="lessThanOrEqual" stopIfTrue="1">
      <formula>-10</formula>
    </cfRule>
    <cfRule type="cellIs" dxfId="16" priority="5" operator="between" stopIfTrue="1">
      <formula>-1</formula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464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63" customWidth="1"/>
    <col min="2" max="2" width="7.10938" style="63" customWidth="1"/>
    <col min="3" max="3" width="5.92969" style="63" customWidth="1"/>
    <col min="4" max="7" width="8.28125" style="63" customWidth="1"/>
    <col min="8" max="8" width="3.55469" style="63" customWidth="1"/>
    <col min="9" max="29" width="7.10938" style="63" customWidth="1"/>
    <col min="30" max="30" width="18.9141" style="63" customWidth="1"/>
    <col min="31" max="32" width="11.8359" style="63" customWidth="1"/>
    <col min="33" max="16384" width="8" style="63" customWidth="1"/>
  </cols>
  <sheetData>
    <row r="1" ht="21.25" customHeight="1">
      <c r="A1" t="s" s="32">
        <v>883</v>
      </c>
      <c r="B1" t="s" s="33">
        <v>68</v>
      </c>
      <c r="C1" s="25"/>
      <c r="D1" t="s" s="33">
        <v>69</v>
      </c>
      <c r="E1" t="s" s="33">
        <v>70</v>
      </c>
      <c r="F1" t="s" s="34">
        <v>72</v>
      </c>
      <c r="G1" t="s" s="34">
        <v>74</v>
      </c>
      <c r="H1" s="35"/>
      <c r="I1" t="s" s="37">
        <v>79</v>
      </c>
      <c r="J1" t="s" s="37">
        <v>80</v>
      </c>
      <c r="K1" t="s" s="37">
        <v>81</v>
      </c>
      <c r="L1" t="s" s="37">
        <v>82</v>
      </c>
      <c r="M1" t="s" s="37">
        <v>83</v>
      </c>
      <c r="N1" t="s" s="37">
        <v>84</v>
      </c>
      <c r="O1" t="s" s="37">
        <v>85</v>
      </c>
      <c r="P1" t="s" s="37">
        <v>86</v>
      </c>
      <c r="Q1" t="s" s="37">
        <v>87</v>
      </c>
      <c r="R1" t="s" s="37">
        <v>88</v>
      </c>
      <c r="S1" t="s" s="37">
        <v>89</v>
      </c>
      <c r="T1" t="s" s="37">
        <v>90</v>
      </c>
      <c r="U1" t="s" s="37">
        <v>91</v>
      </c>
      <c r="V1" t="s" s="37">
        <v>92</v>
      </c>
      <c r="W1" t="s" s="37">
        <v>93</v>
      </c>
      <c r="X1" t="s" s="37">
        <v>94</v>
      </c>
      <c r="Y1" t="s" s="37">
        <v>95</v>
      </c>
      <c r="Z1" t="s" s="37">
        <v>96</v>
      </c>
      <c r="AA1" s="64"/>
      <c r="AB1" s="65"/>
      <c r="AC1" s="65"/>
      <c r="AD1" t="s" s="32">
        <v>884</v>
      </c>
      <c r="AE1" t="s" s="34">
        <v>72</v>
      </c>
      <c r="AF1" t="s" s="34">
        <v>74</v>
      </c>
    </row>
    <row r="2" ht="21.25" customHeight="1">
      <c r="A2" t="s" s="8">
        <v>105</v>
      </c>
      <c r="B2" t="s" s="66">
        <f>_xlfn.IFERROR(VLOOKUP($A2,'The List'!$B1:$AS730,3,FALSE)," ")</f>
        <v>107</v>
      </c>
      <c r="C2" s="67">
        <f>_xlfn.IFERROR(VLOOKUP($A2,'The List'!$B1:$AS730,4,FALSE)," ")</f>
        <v>1</v>
      </c>
      <c r="D2" t="s" s="42">
        <f>_xlfn.IFERROR(VLOOKUP($A2,'The List'!$B1:$AS730,5,FALSE)," ")</f>
        <v>108</v>
      </c>
      <c r="E2" s="68">
        <f>_xlfn.IFERROR(VLOOKUP($A2,'The List'!$B1:$AS730,6,FALSE)," ")</f>
        <v>26</v>
      </c>
      <c r="F2" s="44">
        <f>_xlfn.IFERROR(VLOOKUP($A2,'The List'!$B1:$AS730,8,FALSE)," ")</f>
        <v>720.352510769289</v>
      </c>
      <c r="G2" s="44">
        <f>_xlfn.IFERROR(VLOOKUP($A2,'The List'!$B1:$AS730,10,FALSE)," ")</f>
        <v>324.578309133274</v>
      </c>
      <c r="H2" s="46"/>
      <c r="I2" s="48">
        <f>_xlfn.IFERROR(VLOOKUP($A2,'The List'!$B1:$AS730,16,FALSE)," ")</f>
        <v>81.755</v>
      </c>
      <c r="J2" s="48">
        <f>_xlfn.IFERROR(VLOOKUP($A2,'The List'!$B1:$AS730,17,FALSE)," ")</f>
        <v>22.2907840015244</v>
      </c>
      <c r="K2" s="48">
        <f>_xlfn.IFERROR(VLOOKUP($A2,'The List'!$B1:$AS730,18,FALSE)," ")</f>
        <v>54.3427907022479</v>
      </c>
      <c r="L2" s="48">
        <f>_xlfn.IFERROR(VLOOKUP($A2,'The List'!$B1:$AS730,19,FALSE)," ")</f>
        <v>87.2357339738217</v>
      </c>
      <c r="M2" s="48">
        <f>_xlfn.IFERROR(VLOOKUP($A2,'The List'!$B1:$AS730,20,FALSE)," ")</f>
        <v>141.578524676070</v>
      </c>
      <c r="N2" s="48">
        <f>_xlfn.IFERROR(VLOOKUP($A2,'The List'!$B1:$AS730,21,FALSE)," ")</f>
        <v>333.405711836614</v>
      </c>
      <c r="O2" s="48">
        <f>_xlfn.IFERROR(VLOOKUP($A2,'The List'!$B1:$AS730,22,FALSE)," ")</f>
        <v>16.2134987619268</v>
      </c>
      <c r="P2" s="48">
        <f>_xlfn.IFERROR(VLOOKUP($A2,'The List'!$B1:$AS730,23,FALSE)," ")</f>
        <v>59.4210594691607</v>
      </c>
      <c r="Q2" s="48">
        <f>_xlfn.IFERROR(VLOOKUP($A2,'The List'!$B1:$AS730,24,FALSE)," ")</f>
        <v>1.91571901426942</v>
      </c>
      <c r="R2" s="48">
        <f>_xlfn.IFERROR(VLOOKUP($A2,'The List'!$B1:$AS730,25,FALSE)," ")</f>
        <v>4.16321252640623</v>
      </c>
      <c r="S2" s="48">
        <f>_xlfn.IFERROR(VLOOKUP($A2,'The List'!$B1:$AS730,26,FALSE)," ")</f>
        <v>36.7265537733008</v>
      </c>
      <c r="T2" s="48">
        <f>_xlfn.IFERROR(VLOOKUP($A2,'The List'!$B1:$AS730,27,FALSE)," ")</f>
        <v>82.84077131975209</v>
      </c>
      <c r="U2" s="48">
        <f>_xlfn.IFERROR(VLOOKUP($A2,'The List'!$B1:$AS730,28,FALSE)," ")</f>
        <v>10.9721762153012</v>
      </c>
      <c r="V2" s="48">
        <f>_xlfn.IFERROR(VLOOKUP($A2,'The List'!$B1:$AS730,29,FALSE)," ")</f>
        <v>36.1078115292742</v>
      </c>
      <c r="W2" s="48">
        <f>_xlfn.IFERROR(VLOOKUP($A2,'The List'!$B1:$AS730,30,FALSE)," ")</f>
        <v>8.60188036445537</v>
      </c>
      <c r="X2" s="48">
        <f>_xlfn.IFERROR(VLOOKUP($A2,'The List'!$B1:$AS730,31,FALSE)," ")</f>
        <v>525.231824393953</v>
      </c>
      <c r="Y2" s="48">
        <f>_xlfn.IFERROR(VLOOKUP($A2,'The List'!$B1:$AS730,32,FALSE)," ")</f>
        <v>482.828535263638</v>
      </c>
      <c r="Z2" s="49">
        <f>_xlfn.IFERROR(VLOOKUP($A2,'The List'!$B1:$AS730,33,FALSE)," ")</f>
        <v>0.521032118128679</v>
      </c>
      <c r="AA2" s="64"/>
      <c r="AB2" s="69"/>
      <c r="AC2" s="69"/>
      <c r="AD2" t="s" s="8">
        <v>883</v>
      </c>
      <c r="AE2" s="44">
        <f>VLOOKUP(AD2,T1:Y464,2,FALSE)</f>
        <v>2762.799528266820</v>
      </c>
      <c r="AF2" s="44">
        <f>VLOOKUP(AD2,T1:AA464,5,FALSE)</f>
        <v>997.729839071877</v>
      </c>
    </row>
    <row r="3" ht="21.25" customHeight="1">
      <c r="A3" s="29"/>
      <c r="B3" t="s" s="66">
        <f>_xlfn.IFERROR(VLOOKUP($A3,'The List'!$B1:$AS730,3,FALSE)," ")</f>
        <v>885</v>
      </c>
      <c r="C3" t="s" s="70">
        <f>_xlfn.IFERROR(VLOOKUP($A3,'The List'!$B1:$AS730,4,FALSE)," ")</f>
        <v>885</v>
      </c>
      <c r="D3" t="s" s="42">
        <f>_xlfn.IFERROR(VLOOKUP($A3,'The List'!$B1:$AS730,5,FALSE)," ")</f>
        <v>885</v>
      </c>
      <c r="E3" t="s" s="42">
        <f>_xlfn.IFERROR(VLOOKUP($A3,'The List'!$B1:$AS730,6,FALSE)," ")</f>
        <v>885</v>
      </c>
      <c r="F3" t="s" s="60">
        <f>_xlfn.IFERROR(VLOOKUP($A3,'The List'!$B1:$AS730,8,FALSE)," ")</f>
        <v>885</v>
      </c>
      <c r="G3" t="s" s="60">
        <f>_xlfn.IFERROR(VLOOKUP($A3,'The List'!$B1:$AS730,10,FALSE)," ")</f>
        <v>885</v>
      </c>
      <c r="H3" s="46"/>
      <c r="I3" t="s" s="61">
        <f>_xlfn.IFERROR(VLOOKUP($A3,'The List'!$B1:$AS730,16,FALSE)," ")</f>
        <v>885</v>
      </c>
      <c r="J3" t="s" s="61">
        <f>_xlfn.IFERROR(VLOOKUP($A3,'The List'!$B1:$AS730,17,FALSE)," ")</f>
        <v>885</v>
      </c>
      <c r="K3" t="s" s="61">
        <f>_xlfn.IFERROR(VLOOKUP($A3,'The List'!$B1:$AS730,18,FALSE)," ")</f>
        <v>885</v>
      </c>
      <c r="L3" t="s" s="61">
        <f>_xlfn.IFERROR(VLOOKUP($A3,'The List'!$B1:$AS730,19,FALSE)," ")</f>
        <v>885</v>
      </c>
      <c r="M3" t="s" s="61">
        <f>_xlfn.IFERROR(VLOOKUP($A3,'The List'!$B1:$AS730,20,FALSE)," ")</f>
        <v>885</v>
      </c>
      <c r="N3" t="s" s="61">
        <f>_xlfn.IFERROR(VLOOKUP($A3,'The List'!$B1:$AS730,21,FALSE)," ")</f>
        <v>885</v>
      </c>
      <c r="O3" t="s" s="61">
        <f>_xlfn.IFERROR(VLOOKUP($A3,'The List'!$B1:$AS730,22,FALSE)," ")</f>
        <v>885</v>
      </c>
      <c r="P3" t="s" s="61">
        <f>_xlfn.IFERROR(VLOOKUP($A3,'The List'!$B1:$AS730,23,FALSE)," ")</f>
        <v>885</v>
      </c>
      <c r="Q3" t="s" s="61">
        <f>_xlfn.IFERROR(VLOOKUP($A3,'The List'!$B1:$AS730,24,FALSE)," ")</f>
        <v>885</v>
      </c>
      <c r="R3" t="s" s="61">
        <f>_xlfn.IFERROR(VLOOKUP($A3,'The List'!$B1:$AS730,25,FALSE)," ")</f>
        <v>885</v>
      </c>
      <c r="S3" t="s" s="61">
        <f>_xlfn.IFERROR(VLOOKUP($A3,'The List'!$B1:$AS730,26,FALSE)," ")</f>
        <v>885</v>
      </c>
      <c r="T3" t="s" s="61">
        <f>_xlfn.IFERROR(VLOOKUP($A3,'The List'!$B1:$AS730,27,FALSE)," ")</f>
        <v>885</v>
      </c>
      <c r="U3" t="s" s="61">
        <f>_xlfn.IFERROR(VLOOKUP($A3,'The List'!$B1:$AS730,28,FALSE)," ")</f>
        <v>885</v>
      </c>
      <c r="V3" t="s" s="61">
        <f>_xlfn.IFERROR(VLOOKUP($A3,'The List'!$B1:$AS730,29,FALSE)," ")</f>
        <v>885</v>
      </c>
      <c r="W3" t="s" s="61">
        <f>_xlfn.IFERROR(VLOOKUP($A3,'The List'!$B1:$AS730,30,FALSE)," ")</f>
        <v>885</v>
      </c>
      <c r="X3" t="s" s="61">
        <f>_xlfn.IFERROR(VLOOKUP($A3,'The List'!$B1:$AS730,31,FALSE)," ")</f>
        <v>885</v>
      </c>
      <c r="Y3" t="s" s="61">
        <f>_xlfn.IFERROR(VLOOKUP($A3,'The List'!$B1:$AS730,32,FALSE)," ")</f>
        <v>885</v>
      </c>
      <c r="Z3" t="s" s="61">
        <f>_xlfn.IFERROR(VLOOKUP($A3,'The List'!$B1:$AS730,33,FALSE)," ")</f>
        <v>885</v>
      </c>
      <c r="AA3" s="64"/>
      <c r="AB3" s="69"/>
      <c r="AC3" s="69"/>
      <c r="AD3" t="s" s="8">
        <v>886</v>
      </c>
      <c r="AE3" s="44">
        <f>VLOOKUP(AD3,T1:Y464,2,FALSE)</f>
        <v>0</v>
      </c>
      <c r="AF3" s="44">
        <f>VLOOKUP(AD3,T1:AA464,5,FALSE)</f>
        <v>0</v>
      </c>
    </row>
    <row r="4" ht="21.25" customHeight="1">
      <c r="A4" s="29"/>
      <c r="B4" t="s" s="66">
        <f>_xlfn.IFERROR(VLOOKUP($A4,'The List'!$B1:$AS730,3,FALSE)," ")</f>
        <v>885</v>
      </c>
      <c r="C4" t="s" s="70">
        <f>_xlfn.IFERROR(VLOOKUP($A4,'The List'!$B1:$AS730,4,FALSE)," ")</f>
        <v>885</v>
      </c>
      <c r="D4" t="s" s="42">
        <f>_xlfn.IFERROR(VLOOKUP($A4,'The List'!$B1:$AS730,5,FALSE)," ")</f>
        <v>885</v>
      </c>
      <c r="E4" t="s" s="42">
        <f>_xlfn.IFERROR(VLOOKUP($A4,'The List'!$B1:$AS730,6,FALSE)," ")</f>
        <v>885</v>
      </c>
      <c r="F4" t="s" s="60">
        <f>_xlfn.IFERROR(VLOOKUP($A4,'The List'!$B1:$AS730,8,FALSE)," ")</f>
        <v>885</v>
      </c>
      <c r="G4" t="s" s="60">
        <f>_xlfn.IFERROR(VLOOKUP($A4,'The List'!$B1:$AS730,10,FALSE)," ")</f>
        <v>885</v>
      </c>
      <c r="H4" s="46"/>
      <c r="I4" t="s" s="61">
        <f>_xlfn.IFERROR(VLOOKUP($A4,'The List'!$B1:$AS730,16,FALSE)," ")</f>
        <v>885</v>
      </c>
      <c r="J4" t="s" s="61">
        <f>_xlfn.IFERROR(VLOOKUP($A4,'The List'!$B1:$AS730,17,FALSE)," ")</f>
        <v>885</v>
      </c>
      <c r="K4" t="s" s="61">
        <f>_xlfn.IFERROR(VLOOKUP($A4,'The List'!$B1:$AS730,18,FALSE)," ")</f>
        <v>885</v>
      </c>
      <c r="L4" t="s" s="61">
        <f>_xlfn.IFERROR(VLOOKUP($A4,'The List'!$B1:$AS730,19,FALSE)," ")</f>
        <v>885</v>
      </c>
      <c r="M4" t="s" s="61">
        <f>_xlfn.IFERROR(VLOOKUP($A4,'The List'!$B1:$AS730,20,FALSE)," ")</f>
        <v>885</v>
      </c>
      <c r="N4" t="s" s="61">
        <f>_xlfn.IFERROR(VLOOKUP($A4,'The List'!$B1:$AS730,21,FALSE)," ")</f>
        <v>885</v>
      </c>
      <c r="O4" t="s" s="61">
        <f>_xlfn.IFERROR(VLOOKUP($A4,'The List'!$B1:$AS730,22,FALSE)," ")</f>
        <v>885</v>
      </c>
      <c r="P4" t="s" s="61">
        <f>_xlfn.IFERROR(VLOOKUP($A4,'The List'!$B1:$AS730,23,FALSE)," ")</f>
        <v>885</v>
      </c>
      <c r="Q4" t="s" s="61">
        <f>_xlfn.IFERROR(VLOOKUP($A4,'The List'!$B1:$AS730,24,FALSE)," ")</f>
        <v>885</v>
      </c>
      <c r="R4" t="s" s="61">
        <f>_xlfn.IFERROR(VLOOKUP($A4,'The List'!$B1:$AS730,25,FALSE)," ")</f>
        <v>885</v>
      </c>
      <c r="S4" t="s" s="61">
        <f>_xlfn.IFERROR(VLOOKUP($A4,'The List'!$B1:$AS730,26,FALSE)," ")</f>
        <v>885</v>
      </c>
      <c r="T4" t="s" s="61">
        <f>_xlfn.IFERROR(VLOOKUP($A4,'The List'!$B1:$AS730,27,FALSE)," ")</f>
        <v>885</v>
      </c>
      <c r="U4" t="s" s="61">
        <f>_xlfn.IFERROR(VLOOKUP($A4,'The List'!$B1:$AS730,28,FALSE)," ")</f>
        <v>885</v>
      </c>
      <c r="V4" t="s" s="61">
        <f>_xlfn.IFERROR(VLOOKUP($A4,'The List'!$B1:$AS730,29,FALSE)," ")</f>
        <v>885</v>
      </c>
      <c r="W4" t="s" s="61">
        <f>_xlfn.IFERROR(VLOOKUP($A4,'The List'!$B1:$AS730,30,FALSE)," ")</f>
        <v>885</v>
      </c>
      <c r="X4" t="s" s="61">
        <f>_xlfn.IFERROR(VLOOKUP($A4,'The List'!$B1:$AS730,31,FALSE)," ")</f>
        <v>885</v>
      </c>
      <c r="Y4" t="s" s="61">
        <f>_xlfn.IFERROR(VLOOKUP($A4,'The List'!$B1:$AS730,32,FALSE)," ")</f>
        <v>885</v>
      </c>
      <c r="Z4" t="s" s="61">
        <f>_xlfn.IFERROR(VLOOKUP($A4,'The List'!$B1:$AS730,33,FALSE)," ")</f>
        <v>885</v>
      </c>
      <c r="AA4" s="64"/>
      <c r="AB4" s="69"/>
      <c r="AC4" s="69"/>
      <c r="AD4" t="s" s="8">
        <v>887</v>
      </c>
      <c r="AE4" s="44">
        <f>VLOOKUP(AD4,T1:Y464,2,FALSE)</f>
        <v>0</v>
      </c>
      <c r="AF4" s="44">
        <f>VLOOKUP(AD4,T1:AA464,5,FALSE)</f>
        <v>0</v>
      </c>
    </row>
    <row r="5" ht="21.25" customHeight="1">
      <c r="A5" s="29"/>
      <c r="B5" t="s" s="66">
        <f>_xlfn.IFERROR(VLOOKUP($A5,'The List'!$B1:$AS730,3,FALSE)," ")</f>
        <v>885</v>
      </c>
      <c r="C5" t="s" s="70">
        <f>_xlfn.IFERROR(VLOOKUP($A5,'The List'!$B1:$AS730,4,FALSE)," ")</f>
        <v>885</v>
      </c>
      <c r="D5" t="s" s="42">
        <f>_xlfn.IFERROR(VLOOKUP($A5,'The List'!$B1:$AS730,5,FALSE)," ")</f>
        <v>885</v>
      </c>
      <c r="E5" t="s" s="42">
        <f>_xlfn.IFERROR(VLOOKUP($A5,'The List'!$B1:$AS730,6,FALSE)," ")</f>
        <v>885</v>
      </c>
      <c r="F5" t="s" s="60">
        <f>_xlfn.IFERROR(VLOOKUP($A5,'The List'!$B1:$AS730,8,FALSE)," ")</f>
        <v>885</v>
      </c>
      <c r="G5" t="s" s="60">
        <f>_xlfn.IFERROR(VLOOKUP($A5,'The List'!$B1:$AS730,10,FALSE)," ")</f>
        <v>885</v>
      </c>
      <c r="H5" s="46"/>
      <c r="I5" t="s" s="61">
        <f>_xlfn.IFERROR(VLOOKUP($A5,'The List'!$B1:$AS730,16,FALSE)," ")</f>
        <v>885</v>
      </c>
      <c r="J5" t="s" s="61">
        <f>_xlfn.IFERROR(VLOOKUP($A5,'The List'!$B1:$AS730,17,FALSE)," ")</f>
        <v>885</v>
      </c>
      <c r="K5" t="s" s="61">
        <f>_xlfn.IFERROR(VLOOKUP($A5,'The List'!$B1:$AS730,18,FALSE)," ")</f>
        <v>885</v>
      </c>
      <c r="L5" t="s" s="61">
        <f>_xlfn.IFERROR(VLOOKUP($A5,'The List'!$B1:$AS730,19,FALSE)," ")</f>
        <v>885</v>
      </c>
      <c r="M5" t="s" s="61">
        <f>_xlfn.IFERROR(VLOOKUP($A5,'The List'!$B1:$AS730,20,FALSE)," ")</f>
        <v>885</v>
      </c>
      <c r="N5" t="s" s="61">
        <f>_xlfn.IFERROR(VLOOKUP($A5,'The List'!$B1:$AS730,21,FALSE)," ")</f>
        <v>885</v>
      </c>
      <c r="O5" t="s" s="61">
        <f>_xlfn.IFERROR(VLOOKUP($A5,'The List'!$B1:$AS730,22,FALSE)," ")</f>
        <v>885</v>
      </c>
      <c r="P5" t="s" s="61">
        <f>_xlfn.IFERROR(VLOOKUP($A5,'The List'!$B1:$AS730,23,FALSE)," ")</f>
        <v>885</v>
      </c>
      <c r="Q5" t="s" s="61">
        <f>_xlfn.IFERROR(VLOOKUP($A5,'The List'!$B1:$AS730,24,FALSE)," ")</f>
        <v>885</v>
      </c>
      <c r="R5" t="s" s="61">
        <f>_xlfn.IFERROR(VLOOKUP($A5,'The List'!$B1:$AS730,25,FALSE)," ")</f>
        <v>885</v>
      </c>
      <c r="S5" t="s" s="61">
        <f>_xlfn.IFERROR(VLOOKUP($A5,'The List'!$B1:$AS730,26,FALSE)," ")</f>
        <v>885</v>
      </c>
      <c r="T5" t="s" s="61">
        <f>_xlfn.IFERROR(VLOOKUP($A5,'The List'!$B1:$AS730,27,FALSE)," ")</f>
        <v>885</v>
      </c>
      <c r="U5" t="s" s="61">
        <f>_xlfn.IFERROR(VLOOKUP($A5,'The List'!$B1:$AS730,28,FALSE)," ")</f>
        <v>885</v>
      </c>
      <c r="V5" t="s" s="61">
        <f>_xlfn.IFERROR(VLOOKUP($A5,'The List'!$B1:$AS730,29,FALSE)," ")</f>
        <v>885</v>
      </c>
      <c r="W5" t="s" s="61">
        <f>_xlfn.IFERROR(VLOOKUP($A5,'The List'!$B1:$AS730,30,FALSE)," ")</f>
        <v>885</v>
      </c>
      <c r="X5" t="s" s="61">
        <f>_xlfn.IFERROR(VLOOKUP($A5,'The List'!$B1:$AS730,31,FALSE)," ")</f>
        <v>885</v>
      </c>
      <c r="Y5" t="s" s="61">
        <f>_xlfn.IFERROR(VLOOKUP($A5,'The List'!$B1:$AS730,32,FALSE)," ")</f>
        <v>885</v>
      </c>
      <c r="Z5" t="s" s="61">
        <f>_xlfn.IFERROR(VLOOKUP($A5,'The List'!$B1:$AS730,33,FALSE)," ")</f>
        <v>885</v>
      </c>
      <c r="AA5" s="64"/>
      <c r="AB5" s="69"/>
      <c r="AC5" s="69"/>
      <c r="AD5" t="s" s="8">
        <v>888</v>
      </c>
      <c r="AE5" s="44">
        <f>VLOOKUP(AD5,T1:Y464,2,FALSE)</f>
        <v>0</v>
      </c>
      <c r="AF5" s="44">
        <f>VLOOKUP(AD5,T1:AA464,5,FALSE)</f>
        <v>0</v>
      </c>
    </row>
    <row r="6" ht="21.25" customHeight="1">
      <c r="A6" t="s" s="8">
        <v>117</v>
      </c>
      <c r="B6" t="s" s="71">
        <f>_xlfn.IFERROR(VLOOKUP($A6,'The List'!$B1:$AS730,3,FALSE)," ")</f>
        <v>118</v>
      </c>
      <c r="C6" s="72">
        <f>_xlfn.IFERROR(VLOOKUP($A6,'The List'!$B1:$AS730,4,FALSE)," ")</f>
        <v>2</v>
      </c>
      <c r="D6" t="s" s="42">
        <f>_xlfn.IFERROR(VLOOKUP($A6,'The List'!$B1:$AS730,5,FALSE)," ")</f>
        <v>119</v>
      </c>
      <c r="E6" s="68">
        <f>_xlfn.IFERROR(VLOOKUP($A6,'The List'!$B1:$AS730,6,FALSE)," ")</f>
        <v>25</v>
      </c>
      <c r="F6" s="44">
        <f>_xlfn.IFERROR(VLOOKUP($A6,'The List'!$B1:$AS730,8,FALSE)," ")</f>
        <v>574.238329765201</v>
      </c>
      <c r="G6" s="44">
        <f>_xlfn.IFERROR(VLOOKUP($A6,'The List'!$B1:$AS730,10,FALSE)," ")</f>
        <v>192.609766058845</v>
      </c>
      <c r="H6" s="46"/>
      <c r="I6" s="48">
        <f>_xlfn.IFERROR(VLOOKUP($A6,'The List'!$B1:$AS730,16,FALSE)," ")</f>
        <v>81.4975</v>
      </c>
      <c r="J6" s="48">
        <f>_xlfn.IFERROR(VLOOKUP($A6,'The List'!$B1:$AS730,17,FALSE)," ")</f>
        <v>20.1249183329808</v>
      </c>
      <c r="K6" s="48">
        <f>_xlfn.IFERROR(VLOOKUP($A6,'The List'!$B1:$AS730,18,FALSE)," ")</f>
        <v>41.1909881710399</v>
      </c>
      <c r="L6" s="48">
        <f>_xlfn.IFERROR(VLOOKUP($A6,'The List'!$B1:$AS730,19,FALSE)," ")</f>
        <v>66.2182953919507</v>
      </c>
      <c r="M6" s="48">
        <f>_xlfn.IFERROR(VLOOKUP($A6,'The List'!$B1:$AS730,20,FALSE)," ")</f>
        <v>107.409283562991</v>
      </c>
      <c r="N6" s="48">
        <f>_xlfn.IFERROR(VLOOKUP($A6,'The List'!$B1:$AS730,21,FALSE)," ")</f>
        <v>306.853939623315</v>
      </c>
      <c r="O6" s="48">
        <f>_xlfn.IFERROR(VLOOKUP($A6,'The List'!$B1:$AS730,22,FALSE)," ")</f>
        <v>13.330312280029</v>
      </c>
      <c r="P6" s="48">
        <f>_xlfn.IFERROR(VLOOKUP($A6,'The List'!$B1:$AS730,23,FALSE)," ")</f>
        <v>35.1358557274223</v>
      </c>
      <c r="Q6" s="48">
        <f>_xlfn.IFERROR(VLOOKUP($A6,'The List'!$B1:$AS730,24,FALSE)," ")</f>
        <v>0.0981290559651382</v>
      </c>
      <c r="R6" s="48">
        <f>_xlfn.IFERROR(VLOOKUP($A6,'The List'!$B1:$AS730,25,FALSE)," ")</f>
        <v>0.64167476494873</v>
      </c>
      <c r="S6" s="48">
        <f>_xlfn.IFERROR(VLOOKUP($A6,'The List'!$B1:$AS730,26,FALSE)," ")</f>
        <v>29.2781657265038</v>
      </c>
      <c r="T6" s="48">
        <f>_xlfn.IFERROR(VLOOKUP($A6,'The List'!$B1:$AS730,27,FALSE)," ")</f>
        <v>83.4983784594493</v>
      </c>
      <c r="U6" s="48">
        <f>_xlfn.IFERROR(VLOOKUP($A6,'The List'!$B1:$AS730,28,FALSE)," ")</f>
        <v>11.3033035991299</v>
      </c>
      <c r="V6" s="48">
        <f>_xlfn.IFERROR(VLOOKUP($A6,'The List'!$B1:$AS730,29,FALSE)," ")</f>
        <v>72.1574745794954</v>
      </c>
      <c r="W6" s="48">
        <f>_xlfn.IFERROR(VLOOKUP($A6,'The List'!$B1:$AS730,30,FALSE)," ")</f>
        <v>5.90894120906959</v>
      </c>
      <c r="X6" s="48">
        <f>_xlfn.IFERROR(VLOOKUP($A6,'The List'!$B1:$AS730,31,FALSE)," ")</f>
        <v>13.6663970761677</v>
      </c>
      <c r="Y6" s="48">
        <f>_xlfn.IFERROR(VLOOKUP($A6,'The List'!$B1:$AS730,32,FALSE)," ")</f>
        <v>16.6483226539217</v>
      </c>
      <c r="Z6" s="49">
        <f>_xlfn.IFERROR(VLOOKUP($A6,'The List'!$B1:$AS730,33,FALSE)," ")</f>
        <v>0.450817200285806</v>
      </c>
      <c r="AA6" s="64"/>
      <c r="AB6" s="69"/>
      <c r="AC6" s="69"/>
      <c r="AD6" t="s" s="8">
        <v>889</v>
      </c>
      <c r="AE6" s="44">
        <f>VLOOKUP(AD6,T1:Y464,2,FALSE)</f>
        <v>0</v>
      </c>
      <c r="AF6" s="44">
        <f>VLOOKUP(AD6,T1:AA464,5,FALSE)</f>
        <v>0</v>
      </c>
    </row>
    <row r="7" ht="21.25" customHeight="1">
      <c r="A7" s="29"/>
      <c r="B7" t="s" s="71">
        <f>_xlfn.IFERROR(VLOOKUP($A7,'The List'!$B1:$AS730,3,FALSE)," ")</f>
        <v>885</v>
      </c>
      <c r="C7" t="s" s="73">
        <f>_xlfn.IFERROR(VLOOKUP($A7,'The List'!$B1:$AS730,4,FALSE)," ")</f>
        <v>885</v>
      </c>
      <c r="D7" t="s" s="42">
        <f>_xlfn.IFERROR(VLOOKUP($A7,'The List'!$B1:$AS730,5,FALSE)," ")</f>
        <v>885</v>
      </c>
      <c r="E7" t="s" s="42">
        <f>_xlfn.IFERROR(VLOOKUP($A7,'The List'!$B1:$AS730,6,FALSE)," ")</f>
        <v>885</v>
      </c>
      <c r="F7" t="s" s="60">
        <f>_xlfn.IFERROR(VLOOKUP($A7,'The List'!$B1:$AS730,8,FALSE)," ")</f>
        <v>885</v>
      </c>
      <c r="G7" t="s" s="60">
        <f>_xlfn.IFERROR(VLOOKUP($A7,'The List'!$B1:$AS730,10,FALSE)," ")</f>
        <v>885</v>
      </c>
      <c r="H7" s="46"/>
      <c r="I7" t="s" s="61">
        <f>_xlfn.IFERROR(VLOOKUP($A7,'The List'!$B1:$AS730,16,FALSE)," ")</f>
        <v>885</v>
      </c>
      <c r="J7" t="s" s="61">
        <f>_xlfn.IFERROR(VLOOKUP($A7,'The List'!$B1:$AS730,17,FALSE)," ")</f>
        <v>885</v>
      </c>
      <c r="K7" t="s" s="61">
        <f>_xlfn.IFERROR(VLOOKUP($A7,'The List'!$B1:$AS730,18,FALSE)," ")</f>
        <v>885</v>
      </c>
      <c r="L7" t="s" s="61">
        <f>_xlfn.IFERROR(VLOOKUP($A7,'The List'!$B1:$AS730,19,FALSE)," ")</f>
        <v>885</v>
      </c>
      <c r="M7" t="s" s="61">
        <f>_xlfn.IFERROR(VLOOKUP($A7,'The List'!$B1:$AS730,20,FALSE)," ")</f>
        <v>885</v>
      </c>
      <c r="N7" t="s" s="61">
        <f>_xlfn.IFERROR(VLOOKUP($A7,'The List'!$B1:$AS730,21,FALSE)," ")</f>
        <v>885</v>
      </c>
      <c r="O7" t="s" s="61">
        <f>_xlfn.IFERROR(VLOOKUP($A7,'The List'!$B1:$AS730,22,FALSE)," ")</f>
        <v>885</v>
      </c>
      <c r="P7" t="s" s="61">
        <f>_xlfn.IFERROR(VLOOKUP($A7,'The List'!$B1:$AS730,23,FALSE)," ")</f>
        <v>885</v>
      </c>
      <c r="Q7" t="s" s="61">
        <f>_xlfn.IFERROR(VLOOKUP($A7,'The List'!$B1:$AS730,24,FALSE)," ")</f>
        <v>885</v>
      </c>
      <c r="R7" t="s" s="61">
        <f>_xlfn.IFERROR(VLOOKUP($A7,'The List'!$B1:$AS730,25,FALSE)," ")</f>
        <v>885</v>
      </c>
      <c r="S7" t="s" s="61">
        <f>_xlfn.IFERROR(VLOOKUP($A7,'The List'!$B1:$AS730,26,FALSE)," ")</f>
        <v>885</v>
      </c>
      <c r="T7" t="s" s="61">
        <f>_xlfn.IFERROR(VLOOKUP($A7,'The List'!$B1:$AS730,27,FALSE)," ")</f>
        <v>885</v>
      </c>
      <c r="U7" t="s" s="61">
        <f>_xlfn.IFERROR(VLOOKUP($A7,'The List'!$B1:$AS730,28,FALSE)," ")</f>
        <v>885</v>
      </c>
      <c r="V7" t="s" s="61">
        <f>_xlfn.IFERROR(VLOOKUP($A7,'The List'!$B1:$AS730,29,FALSE)," ")</f>
        <v>885</v>
      </c>
      <c r="W7" t="s" s="61">
        <f>_xlfn.IFERROR(VLOOKUP($A7,'The List'!$B1:$AS730,30,FALSE)," ")</f>
        <v>885</v>
      </c>
      <c r="X7" t="s" s="61">
        <f>_xlfn.IFERROR(VLOOKUP($A7,'The List'!$B1:$AS730,31,FALSE)," ")</f>
        <v>885</v>
      </c>
      <c r="Y7" t="s" s="61">
        <f>_xlfn.IFERROR(VLOOKUP($A7,'The List'!$B1:$AS730,32,FALSE)," ")</f>
        <v>885</v>
      </c>
      <c r="Z7" t="s" s="61">
        <f>_xlfn.IFERROR(VLOOKUP($A7,'The List'!$B1:$AS730,33,FALSE)," ")</f>
        <v>885</v>
      </c>
      <c r="AA7" s="64"/>
      <c r="AB7" s="69"/>
      <c r="AC7" s="69"/>
      <c r="AD7" t="s" s="8">
        <v>890</v>
      </c>
      <c r="AE7" s="44">
        <f>VLOOKUP(AD7,T1:Y464,2,FALSE)</f>
        <v>0</v>
      </c>
      <c r="AF7" s="44">
        <f>VLOOKUP(AD7,T1:AA464,5,FALSE)</f>
        <v>0</v>
      </c>
    </row>
    <row r="8" ht="21.25" customHeight="1">
      <c r="A8" s="29"/>
      <c r="B8" t="s" s="71">
        <f>_xlfn.IFERROR(VLOOKUP($A8,'The List'!$B1:$AS730,3,FALSE)," ")</f>
        <v>885</v>
      </c>
      <c r="C8" t="s" s="73">
        <f>_xlfn.IFERROR(VLOOKUP($A8,'The List'!$B1:$AS730,4,FALSE)," ")</f>
        <v>885</v>
      </c>
      <c r="D8" t="s" s="42">
        <f>_xlfn.IFERROR(VLOOKUP($A8,'The List'!$B1:$AS730,5,FALSE)," ")</f>
        <v>885</v>
      </c>
      <c r="E8" t="s" s="42">
        <f>_xlfn.IFERROR(VLOOKUP($A8,'The List'!$B1:$AS730,6,FALSE)," ")</f>
        <v>885</v>
      </c>
      <c r="F8" t="s" s="60">
        <f>_xlfn.IFERROR(VLOOKUP($A8,'The List'!$B1:$AS730,8,FALSE)," ")</f>
        <v>885</v>
      </c>
      <c r="G8" t="s" s="60">
        <f>_xlfn.IFERROR(VLOOKUP($A8,'The List'!$B1:$AS730,10,FALSE)," ")</f>
        <v>885</v>
      </c>
      <c r="H8" s="46"/>
      <c r="I8" t="s" s="61">
        <f>_xlfn.IFERROR(VLOOKUP($A8,'The List'!$B1:$AS730,16,FALSE)," ")</f>
        <v>885</v>
      </c>
      <c r="J8" t="s" s="61">
        <f>_xlfn.IFERROR(VLOOKUP($A8,'The List'!$B1:$AS730,17,FALSE)," ")</f>
        <v>885</v>
      </c>
      <c r="K8" t="s" s="61">
        <f>_xlfn.IFERROR(VLOOKUP($A8,'The List'!$B1:$AS730,18,FALSE)," ")</f>
        <v>885</v>
      </c>
      <c r="L8" t="s" s="61">
        <f>_xlfn.IFERROR(VLOOKUP($A8,'The List'!$B1:$AS730,19,FALSE)," ")</f>
        <v>885</v>
      </c>
      <c r="M8" t="s" s="61">
        <f>_xlfn.IFERROR(VLOOKUP($A8,'The List'!$B1:$AS730,20,FALSE)," ")</f>
        <v>885</v>
      </c>
      <c r="N8" t="s" s="61">
        <f>_xlfn.IFERROR(VLOOKUP($A8,'The List'!$B1:$AS730,21,FALSE)," ")</f>
        <v>885</v>
      </c>
      <c r="O8" t="s" s="61">
        <f>_xlfn.IFERROR(VLOOKUP($A8,'The List'!$B1:$AS730,22,FALSE)," ")</f>
        <v>885</v>
      </c>
      <c r="P8" t="s" s="61">
        <f>_xlfn.IFERROR(VLOOKUP($A8,'The List'!$B1:$AS730,23,FALSE)," ")</f>
        <v>885</v>
      </c>
      <c r="Q8" t="s" s="61">
        <f>_xlfn.IFERROR(VLOOKUP($A8,'The List'!$B1:$AS730,24,FALSE)," ")</f>
        <v>885</v>
      </c>
      <c r="R8" t="s" s="61">
        <f>_xlfn.IFERROR(VLOOKUP($A8,'The List'!$B1:$AS730,25,FALSE)," ")</f>
        <v>885</v>
      </c>
      <c r="S8" t="s" s="61">
        <f>_xlfn.IFERROR(VLOOKUP($A8,'The List'!$B1:$AS730,26,FALSE)," ")</f>
        <v>885</v>
      </c>
      <c r="T8" t="s" s="61">
        <f>_xlfn.IFERROR(VLOOKUP($A8,'The List'!$B1:$AS730,27,FALSE)," ")</f>
        <v>885</v>
      </c>
      <c r="U8" t="s" s="61">
        <f>_xlfn.IFERROR(VLOOKUP($A8,'The List'!$B1:$AS730,28,FALSE)," ")</f>
        <v>885</v>
      </c>
      <c r="V8" t="s" s="61">
        <f>_xlfn.IFERROR(VLOOKUP($A8,'The List'!$B1:$AS730,29,FALSE)," ")</f>
        <v>885</v>
      </c>
      <c r="W8" t="s" s="61">
        <f>_xlfn.IFERROR(VLOOKUP($A8,'The List'!$B1:$AS730,30,FALSE)," ")</f>
        <v>885</v>
      </c>
      <c r="X8" t="s" s="61">
        <f>_xlfn.IFERROR(VLOOKUP($A8,'The List'!$B1:$AS730,31,FALSE)," ")</f>
        <v>885</v>
      </c>
      <c r="Y8" t="s" s="61">
        <f>_xlfn.IFERROR(VLOOKUP($A8,'The List'!$B1:$AS730,32,FALSE)," ")</f>
        <v>885</v>
      </c>
      <c r="Z8" t="s" s="61">
        <f>_xlfn.IFERROR(VLOOKUP($A8,'The List'!$B1:$AS730,33,FALSE)," ")</f>
        <v>885</v>
      </c>
      <c r="AA8" s="64"/>
      <c r="AB8" s="69"/>
      <c r="AC8" s="69"/>
      <c r="AD8" t="s" s="8">
        <v>891</v>
      </c>
      <c r="AE8" s="44">
        <f>VLOOKUP(AD8,T1:Y464,2,FALSE)</f>
        <v>0</v>
      </c>
      <c r="AF8" s="44">
        <f>VLOOKUP(AD8,T1:AA464,5,FALSE)</f>
        <v>0</v>
      </c>
    </row>
    <row r="9" ht="21.25" customHeight="1">
      <c r="A9" s="29"/>
      <c r="B9" t="s" s="71">
        <f>_xlfn.IFERROR(VLOOKUP($A9,'The List'!$B1:$AS730,3,FALSE)," ")</f>
        <v>885</v>
      </c>
      <c r="C9" t="s" s="73">
        <f>_xlfn.IFERROR(VLOOKUP($A9,'The List'!$B1:$AS730,4,FALSE)," ")</f>
        <v>885</v>
      </c>
      <c r="D9" t="s" s="42">
        <f>_xlfn.IFERROR(VLOOKUP($A9,'The List'!$B1:$AS730,5,FALSE)," ")</f>
        <v>885</v>
      </c>
      <c r="E9" t="s" s="42">
        <f>_xlfn.IFERROR(VLOOKUP($A9,'The List'!$B1:$AS730,6,FALSE)," ")</f>
        <v>885</v>
      </c>
      <c r="F9" t="s" s="60">
        <f>_xlfn.IFERROR(VLOOKUP($A9,'The List'!$B1:$AS730,8,FALSE)," ")</f>
        <v>885</v>
      </c>
      <c r="G9" t="s" s="60">
        <f>_xlfn.IFERROR(VLOOKUP($A9,'The List'!$B1:$AS730,10,FALSE)," ")</f>
        <v>885</v>
      </c>
      <c r="H9" s="46"/>
      <c r="I9" t="s" s="61">
        <f>_xlfn.IFERROR(VLOOKUP($A9,'The List'!$B1:$AS730,16,FALSE)," ")</f>
        <v>885</v>
      </c>
      <c r="J9" t="s" s="61">
        <f>_xlfn.IFERROR(VLOOKUP($A9,'The List'!$B1:$AS730,17,FALSE)," ")</f>
        <v>885</v>
      </c>
      <c r="K9" t="s" s="61">
        <f>_xlfn.IFERROR(VLOOKUP($A9,'The List'!$B1:$AS730,18,FALSE)," ")</f>
        <v>885</v>
      </c>
      <c r="L9" t="s" s="61">
        <f>_xlfn.IFERROR(VLOOKUP($A9,'The List'!$B1:$AS730,19,FALSE)," ")</f>
        <v>885</v>
      </c>
      <c r="M9" t="s" s="61">
        <f>_xlfn.IFERROR(VLOOKUP($A9,'The List'!$B1:$AS730,20,FALSE)," ")</f>
        <v>885</v>
      </c>
      <c r="N9" t="s" s="61">
        <f>_xlfn.IFERROR(VLOOKUP($A9,'The List'!$B1:$AS730,21,FALSE)," ")</f>
        <v>885</v>
      </c>
      <c r="O9" t="s" s="61">
        <f>_xlfn.IFERROR(VLOOKUP($A9,'The List'!$B1:$AS730,22,FALSE)," ")</f>
        <v>885</v>
      </c>
      <c r="P9" t="s" s="61">
        <f>_xlfn.IFERROR(VLOOKUP($A9,'The List'!$B1:$AS730,23,FALSE)," ")</f>
        <v>885</v>
      </c>
      <c r="Q9" t="s" s="61">
        <f>_xlfn.IFERROR(VLOOKUP($A9,'The List'!$B1:$AS730,24,FALSE)," ")</f>
        <v>885</v>
      </c>
      <c r="R9" t="s" s="61">
        <f>_xlfn.IFERROR(VLOOKUP($A9,'The List'!$B1:$AS730,25,FALSE)," ")</f>
        <v>885</v>
      </c>
      <c r="S9" t="s" s="61">
        <f>_xlfn.IFERROR(VLOOKUP($A9,'The List'!$B1:$AS730,26,FALSE)," ")</f>
        <v>885</v>
      </c>
      <c r="T9" t="s" s="61">
        <f>_xlfn.IFERROR(VLOOKUP($A9,'The List'!$B1:$AS730,27,FALSE)," ")</f>
        <v>885</v>
      </c>
      <c r="U9" t="s" s="61">
        <f>_xlfn.IFERROR(VLOOKUP($A9,'The List'!$B1:$AS730,28,FALSE)," ")</f>
        <v>885</v>
      </c>
      <c r="V9" t="s" s="61">
        <f>_xlfn.IFERROR(VLOOKUP($A9,'The List'!$B1:$AS730,29,FALSE)," ")</f>
        <v>885</v>
      </c>
      <c r="W9" t="s" s="61">
        <f>_xlfn.IFERROR(VLOOKUP($A9,'The List'!$B1:$AS730,30,FALSE)," ")</f>
        <v>885</v>
      </c>
      <c r="X9" t="s" s="61">
        <f>_xlfn.IFERROR(VLOOKUP($A9,'The List'!$B1:$AS730,31,FALSE)," ")</f>
        <v>885</v>
      </c>
      <c r="Y9" t="s" s="61">
        <f>_xlfn.IFERROR(VLOOKUP($A9,'The List'!$B1:$AS730,32,FALSE)," ")</f>
        <v>885</v>
      </c>
      <c r="Z9" t="s" s="61">
        <f>_xlfn.IFERROR(VLOOKUP($A9,'The List'!$B1:$AS730,33,FALSE)," ")</f>
        <v>885</v>
      </c>
      <c r="AA9" s="64"/>
      <c r="AB9" s="69"/>
      <c r="AC9" s="69"/>
      <c r="AD9" t="s" s="8">
        <v>892</v>
      </c>
      <c r="AE9" s="44">
        <f>VLOOKUP(AD9,T1:Y464,2,FALSE)</f>
        <v>0</v>
      </c>
      <c r="AF9" s="44">
        <f>VLOOKUP(AD9,T1:AA464,5,FALSE)</f>
        <v>0</v>
      </c>
    </row>
    <row r="10" ht="21.25" customHeight="1">
      <c r="A10" t="s" s="8">
        <v>120</v>
      </c>
      <c r="B10" t="s" s="74">
        <f>_xlfn.IFERROR(VLOOKUP($A10,'The List'!$B1:$AS730,3,FALSE)," ")</f>
        <v>121</v>
      </c>
      <c r="C10" s="75">
        <f>_xlfn.IFERROR(VLOOKUP($A10,'The List'!$B1:$AS730,4,FALSE)," ")</f>
        <v>1</v>
      </c>
      <c r="D10" t="s" s="42">
        <f>_xlfn.IFERROR(VLOOKUP($A10,'The List'!$B1:$AS730,5,FALSE)," ")</f>
        <v>122</v>
      </c>
      <c r="E10" s="68">
        <f>_xlfn.IFERROR(VLOOKUP($A10,'The List'!$B1:$AS730,6,FALSE)," ")</f>
        <v>27</v>
      </c>
      <c r="F10" s="44">
        <f>_xlfn.IFERROR(VLOOKUP($A10,'The List'!$B1:$AS730,8,FALSE)," ")</f>
        <v>582.797881387140</v>
      </c>
      <c r="G10" s="44">
        <f>_xlfn.IFERROR(VLOOKUP($A10,'The List'!$B1:$AS730,10,FALSE)," ")</f>
        <v>201.169317680784</v>
      </c>
      <c r="H10" s="46"/>
      <c r="I10" s="48">
        <f>_xlfn.IFERROR(VLOOKUP($A10,'The List'!$B1:$AS730,16,FALSE)," ")</f>
        <v>79.48357142857139</v>
      </c>
      <c r="J10" s="48">
        <f>_xlfn.IFERROR(VLOOKUP($A10,'The List'!$B1:$AS730,17,FALSE)," ")</f>
        <v>19.4361396922256</v>
      </c>
      <c r="K10" s="48">
        <f>_xlfn.IFERROR(VLOOKUP($A10,'The List'!$B1:$AS730,18,FALSE)," ")</f>
        <v>49.3033182765991</v>
      </c>
      <c r="L10" s="48">
        <f>_xlfn.IFERROR(VLOOKUP($A10,'The List'!$B1:$AS730,19,FALSE)," ")</f>
        <v>47.5739878192507</v>
      </c>
      <c r="M10" s="48">
        <f>_xlfn.IFERROR(VLOOKUP($A10,'The List'!$B1:$AS730,20,FALSE)," ")</f>
        <v>96.8773060958498</v>
      </c>
      <c r="N10" s="48">
        <f>_xlfn.IFERROR(VLOOKUP($A10,'The List'!$B1:$AS730,21,FALSE)," ")</f>
        <v>365.685387557154</v>
      </c>
      <c r="O10" s="48">
        <f>_xlfn.IFERROR(VLOOKUP($A10,'The List'!$B1:$AS730,22,FALSE)," ")</f>
        <v>15.3429391798478</v>
      </c>
      <c r="P10" s="48">
        <f>_xlfn.IFERROR(VLOOKUP($A10,'The List'!$B1:$AS730,23,FALSE)," ")</f>
        <v>31.4419392908647</v>
      </c>
      <c r="Q10" s="48">
        <f>_xlfn.IFERROR(VLOOKUP($A10,'The List'!$B1:$AS730,24,FALSE)," ")</f>
        <v>0.0305693890060897</v>
      </c>
      <c r="R10" s="48">
        <f>_xlfn.IFERROR(VLOOKUP($A10,'The List'!$B1:$AS730,25,FALSE)," ")</f>
        <v>0.0557492409438144</v>
      </c>
      <c r="S10" s="48">
        <f>_xlfn.IFERROR(VLOOKUP($A10,'The List'!$B1:$AS730,26,FALSE)," ")</f>
        <v>29.0651178425324</v>
      </c>
      <c r="T10" s="48">
        <f>_xlfn.IFERROR(VLOOKUP($A10,'The List'!$B1:$AS730,27,FALSE)," ")</f>
        <v>82.89693801184249</v>
      </c>
      <c r="U10" s="48">
        <f>_xlfn.IFERROR(VLOOKUP($A10,'The List'!$B1:$AS730,28,FALSE)," ")</f>
        <v>6.88320130843286</v>
      </c>
      <c r="V10" s="48">
        <f>_xlfn.IFERROR(VLOOKUP($A10,'The List'!$B1:$AS730,29,FALSE)," ")</f>
        <v>34.0786753343817</v>
      </c>
      <c r="W10" s="48">
        <f>_xlfn.IFERROR(VLOOKUP($A10,'The List'!$B1:$AS730,30,FALSE)," ")</f>
        <v>8.27705687988548</v>
      </c>
      <c r="X10" s="48">
        <f>_xlfn.IFERROR(VLOOKUP($A10,'The List'!$B1:$AS730,31,FALSE)," ")</f>
        <v>6.84128517106024</v>
      </c>
      <c r="Y10" s="48">
        <f>_xlfn.IFERROR(VLOOKUP($A10,'The List'!$B1:$AS730,32,FALSE)," ")</f>
        <v>11.6972939745937</v>
      </c>
      <c r="Z10" s="49">
        <f>_xlfn.IFERROR(VLOOKUP($A10,'The List'!$B1:$AS730,33,FALSE)," ")</f>
        <v>0.369029639073719</v>
      </c>
      <c r="AA10" s="64"/>
      <c r="AB10" s="69"/>
      <c r="AC10" s="69"/>
      <c r="AD10" t="s" s="8">
        <v>893</v>
      </c>
      <c r="AE10" s="44">
        <f>VLOOKUP(AD10,T1:Y464,2,FALSE)</f>
        <v>0</v>
      </c>
      <c r="AF10" s="44">
        <f>VLOOKUP(AD10,T1:AA464,5,FALSE)</f>
        <v>0</v>
      </c>
    </row>
    <row r="11" ht="21.25" customHeight="1">
      <c r="A11" s="29"/>
      <c r="B11" t="s" s="74">
        <f>_xlfn.IFERROR(VLOOKUP($A11,'The List'!$B1:$AS730,3,FALSE)," ")</f>
        <v>885</v>
      </c>
      <c r="C11" t="s" s="76">
        <f>_xlfn.IFERROR(VLOOKUP($A11,'The List'!$B1:$AS730,4,FALSE)," ")</f>
        <v>885</v>
      </c>
      <c r="D11" t="s" s="42">
        <f>_xlfn.IFERROR(VLOOKUP($A11,'The List'!$B1:$AS730,5,FALSE)," ")</f>
        <v>885</v>
      </c>
      <c r="E11" t="s" s="42">
        <f>_xlfn.IFERROR(VLOOKUP($A11,'The List'!$B1:$AS730,6,FALSE)," ")</f>
        <v>885</v>
      </c>
      <c r="F11" t="s" s="60">
        <f>_xlfn.IFERROR(VLOOKUP($A11,'The List'!$B1:$AS730,8,FALSE)," ")</f>
        <v>885</v>
      </c>
      <c r="G11" t="s" s="60">
        <f>_xlfn.IFERROR(VLOOKUP($A11,'The List'!$B1:$AS730,10,FALSE)," ")</f>
        <v>885</v>
      </c>
      <c r="H11" s="46"/>
      <c r="I11" t="s" s="61">
        <f>_xlfn.IFERROR(VLOOKUP($A11,'The List'!$B1:$AS730,16,FALSE)," ")</f>
        <v>885</v>
      </c>
      <c r="J11" t="s" s="61">
        <f>_xlfn.IFERROR(VLOOKUP($A11,'The List'!$B1:$AS730,17,FALSE)," ")</f>
        <v>885</v>
      </c>
      <c r="K11" t="s" s="61">
        <f>_xlfn.IFERROR(VLOOKUP($A11,'The List'!$B1:$AS730,18,FALSE)," ")</f>
        <v>885</v>
      </c>
      <c r="L11" t="s" s="61">
        <f>_xlfn.IFERROR(VLOOKUP($A11,'The List'!$B1:$AS730,19,FALSE)," ")</f>
        <v>885</v>
      </c>
      <c r="M11" t="s" s="61">
        <f>_xlfn.IFERROR(VLOOKUP($A11,'The List'!$B1:$AS730,20,FALSE)," ")</f>
        <v>885</v>
      </c>
      <c r="N11" t="s" s="61">
        <f>_xlfn.IFERROR(VLOOKUP($A11,'The List'!$B1:$AS730,21,FALSE)," ")</f>
        <v>885</v>
      </c>
      <c r="O11" t="s" s="61">
        <f>_xlfn.IFERROR(VLOOKUP($A11,'The List'!$B1:$AS730,22,FALSE)," ")</f>
        <v>885</v>
      </c>
      <c r="P11" t="s" s="61">
        <f>_xlfn.IFERROR(VLOOKUP($A11,'The List'!$B1:$AS730,23,FALSE)," ")</f>
        <v>885</v>
      </c>
      <c r="Q11" t="s" s="61">
        <f>_xlfn.IFERROR(VLOOKUP($A11,'The List'!$B1:$AS730,24,FALSE)," ")</f>
        <v>885</v>
      </c>
      <c r="R11" t="s" s="61">
        <f>_xlfn.IFERROR(VLOOKUP($A11,'The List'!$B1:$AS730,25,FALSE)," ")</f>
        <v>885</v>
      </c>
      <c r="S11" t="s" s="61">
        <f>_xlfn.IFERROR(VLOOKUP($A11,'The List'!$B1:$AS730,26,FALSE)," ")</f>
        <v>885</v>
      </c>
      <c r="T11" t="s" s="61">
        <f>_xlfn.IFERROR(VLOOKUP($A11,'The List'!$B1:$AS730,27,FALSE)," ")</f>
        <v>885</v>
      </c>
      <c r="U11" t="s" s="61">
        <f>_xlfn.IFERROR(VLOOKUP($A11,'The List'!$B1:$AS730,28,FALSE)," ")</f>
        <v>885</v>
      </c>
      <c r="V11" t="s" s="61">
        <f>_xlfn.IFERROR(VLOOKUP($A11,'The List'!$B1:$AS730,29,FALSE)," ")</f>
        <v>885</v>
      </c>
      <c r="W11" t="s" s="61">
        <f>_xlfn.IFERROR(VLOOKUP($A11,'The List'!$B1:$AS730,30,FALSE)," ")</f>
        <v>885</v>
      </c>
      <c r="X11" t="s" s="61">
        <f>_xlfn.IFERROR(VLOOKUP($A11,'The List'!$B1:$AS730,31,FALSE)," ")</f>
        <v>885</v>
      </c>
      <c r="Y11" t="s" s="61">
        <f>_xlfn.IFERROR(VLOOKUP($A11,'The List'!$B1:$AS730,32,FALSE)," ")</f>
        <v>885</v>
      </c>
      <c r="Z11" t="s" s="61">
        <f>_xlfn.IFERROR(VLOOKUP($A11,'The List'!$B1:$AS730,33,FALSE)," ")</f>
        <v>885</v>
      </c>
      <c r="AA11" s="64"/>
      <c r="AB11" s="69"/>
      <c r="AC11" s="69"/>
      <c r="AD11" t="s" s="8">
        <v>894</v>
      </c>
      <c r="AE11" s="44">
        <f>VLOOKUP(AD11,T1:Y464,2,FALSE)</f>
        <v>0</v>
      </c>
      <c r="AF11" s="44">
        <f>VLOOKUP(AD11,T1:AA464,5,FALSE)</f>
        <v>0</v>
      </c>
    </row>
    <row r="12" ht="21.25" customHeight="1">
      <c r="A12" s="29"/>
      <c r="B12" t="s" s="74">
        <f>_xlfn.IFERROR(VLOOKUP($A12,'The List'!$B1:$AS730,3,FALSE)," ")</f>
        <v>885</v>
      </c>
      <c r="C12" t="s" s="76">
        <f>_xlfn.IFERROR(VLOOKUP($A12,'The List'!$B1:$AS730,4,FALSE)," ")</f>
        <v>885</v>
      </c>
      <c r="D12" t="s" s="42">
        <f>_xlfn.IFERROR(VLOOKUP($A12,'The List'!$B1:$AS730,5,FALSE)," ")</f>
        <v>885</v>
      </c>
      <c r="E12" t="s" s="42">
        <f>_xlfn.IFERROR(VLOOKUP($A12,'The List'!$B1:$AS730,6,FALSE)," ")</f>
        <v>885</v>
      </c>
      <c r="F12" t="s" s="60">
        <f>_xlfn.IFERROR(VLOOKUP($A12,'The List'!$B1:$AS730,8,FALSE)," ")</f>
        <v>885</v>
      </c>
      <c r="G12" t="s" s="60">
        <f>_xlfn.IFERROR(VLOOKUP($A12,'The List'!$B1:$AS730,10,FALSE)," ")</f>
        <v>885</v>
      </c>
      <c r="H12" s="46"/>
      <c r="I12" t="s" s="61">
        <f>_xlfn.IFERROR(VLOOKUP($A12,'The List'!$B1:$AS730,16,FALSE)," ")</f>
        <v>885</v>
      </c>
      <c r="J12" t="s" s="61">
        <f>_xlfn.IFERROR(VLOOKUP($A12,'The List'!$B1:$AS730,17,FALSE)," ")</f>
        <v>885</v>
      </c>
      <c r="K12" t="s" s="61">
        <f>_xlfn.IFERROR(VLOOKUP($A12,'The List'!$B1:$AS730,18,FALSE)," ")</f>
        <v>885</v>
      </c>
      <c r="L12" t="s" s="61">
        <f>_xlfn.IFERROR(VLOOKUP($A12,'The List'!$B1:$AS730,19,FALSE)," ")</f>
        <v>885</v>
      </c>
      <c r="M12" t="s" s="61">
        <f>_xlfn.IFERROR(VLOOKUP($A12,'The List'!$B1:$AS730,20,FALSE)," ")</f>
        <v>885</v>
      </c>
      <c r="N12" t="s" s="61">
        <f>_xlfn.IFERROR(VLOOKUP($A12,'The List'!$B1:$AS730,21,FALSE)," ")</f>
        <v>885</v>
      </c>
      <c r="O12" t="s" s="61">
        <f>_xlfn.IFERROR(VLOOKUP($A12,'The List'!$B1:$AS730,22,FALSE)," ")</f>
        <v>885</v>
      </c>
      <c r="P12" t="s" s="61">
        <f>_xlfn.IFERROR(VLOOKUP($A12,'The List'!$B1:$AS730,23,FALSE)," ")</f>
        <v>885</v>
      </c>
      <c r="Q12" t="s" s="61">
        <f>_xlfn.IFERROR(VLOOKUP($A12,'The List'!$B1:$AS730,24,FALSE)," ")</f>
        <v>885</v>
      </c>
      <c r="R12" t="s" s="61">
        <f>_xlfn.IFERROR(VLOOKUP($A12,'The List'!$B1:$AS730,25,FALSE)," ")</f>
        <v>885</v>
      </c>
      <c r="S12" t="s" s="61">
        <f>_xlfn.IFERROR(VLOOKUP($A12,'The List'!$B1:$AS730,26,FALSE)," ")</f>
        <v>885</v>
      </c>
      <c r="T12" t="s" s="61">
        <f>_xlfn.IFERROR(VLOOKUP($A12,'The List'!$B1:$AS730,27,FALSE)," ")</f>
        <v>885</v>
      </c>
      <c r="U12" t="s" s="61">
        <f>_xlfn.IFERROR(VLOOKUP($A12,'The List'!$B1:$AS730,28,FALSE)," ")</f>
        <v>885</v>
      </c>
      <c r="V12" t="s" s="61">
        <f>_xlfn.IFERROR(VLOOKUP($A12,'The List'!$B1:$AS730,29,FALSE)," ")</f>
        <v>885</v>
      </c>
      <c r="W12" t="s" s="61">
        <f>_xlfn.IFERROR(VLOOKUP($A12,'The List'!$B1:$AS730,30,FALSE)," ")</f>
        <v>885</v>
      </c>
      <c r="X12" t="s" s="61">
        <f>_xlfn.IFERROR(VLOOKUP($A12,'The List'!$B1:$AS730,31,FALSE)," ")</f>
        <v>885</v>
      </c>
      <c r="Y12" t="s" s="61">
        <f>_xlfn.IFERROR(VLOOKUP($A12,'The List'!$B1:$AS730,32,FALSE)," ")</f>
        <v>885</v>
      </c>
      <c r="Z12" t="s" s="61">
        <f>_xlfn.IFERROR(VLOOKUP($A12,'The List'!$B1:$AS730,33,FALSE)," ")</f>
        <v>885</v>
      </c>
      <c r="AA12" s="64"/>
      <c r="AB12" s="69"/>
      <c r="AC12" s="69"/>
      <c r="AD12" t="s" s="8">
        <v>895</v>
      </c>
      <c r="AE12" s="44">
        <f>VLOOKUP(AD12,T1:Y464,2,FALSE)</f>
        <v>0</v>
      </c>
      <c r="AF12" s="44">
        <f>VLOOKUP(AD12,T1:AA464,5,FALSE)</f>
        <v>0</v>
      </c>
    </row>
    <row r="13" ht="21.25" customHeight="1">
      <c r="A13" s="29"/>
      <c r="B13" t="s" s="74">
        <f>_xlfn.IFERROR(VLOOKUP($A13,'The List'!$B1:$AS730,3,FALSE)," ")</f>
        <v>885</v>
      </c>
      <c r="C13" t="s" s="76">
        <f>_xlfn.IFERROR(VLOOKUP($A13,'The List'!$B1:$AS730,4,FALSE)," ")</f>
        <v>885</v>
      </c>
      <c r="D13" t="s" s="42">
        <f>_xlfn.IFERROR(VLOOKUP($A13,'The List'!$B1:$AS730,5,FALSE)," ")</f>
        <v>885</v>
      </c>
      <c r="E13" t="s" s="42">
        <f>_xlfn.IFERROR(VLOOKUP($A13,'The List'!$B1:$AS730,6,FALSE)," ")</f>
        <v>885</v>
      </c>
      <c r="F13" t="s" s="60">
        <f>_xlfn.IFERROR(VLOOKUP($A13,'The List'!$B1:$AS730,8,FALSE)," ")</f>
        <v>885</v>
      </c>
      <c r="G13" t="s" s="60">
        <f>_xlfn.IFERROR(VLOOKUP($A13,'The List'!$B1:$AS730,10,FALSE)," ")</f>
        <v>885</v>
      </c>
      <c r="H13" s="46"/>
      <c r="I13" t="s" s="61">
        <f>_xlfn.IFERROR(VLOOKUP($A13,'The List'!$B1:$AS730,16,FALSE)," ")</f>
        <v>885</v>
      </c>
      <c r="J13" t="s" s="61">
        <f>_xlfn.IFERROR(VLOOKUP($A13,'The List'!$B1:$AS730,17,FALSE)," ")</f>
        <v>885</v>
      </c>
      <c r="K13" t="s" s="61">
        <f>_xlfn.IFERROR(VLOOKUP($A13,'The List'!$B1:$AS730,18,FALSE)," ")</f>
        <v>885</v>
      </c>
      <c r="L13" t="s" s="61">
        <f>_xlfn.IFERROR(VLOOKUP($A13,'The List'!$B1:$AS730,19,FALSE)," ")</f>
        <v>885</v>
      </c>
      <c r="M13" t="s" s="61">
        <f>_xlfn.IFERROR(VLOOKUP($A13,'The List'!$B1:$AS730,20,FALSE)," ")</f>
        <v>885</v>
      </c>
      <c r="N13" t="s" s="61">
        <f>_xlfn.IFERROR(VLOOKUP($A13,'The List'!$B1:$AS730,21,FALSE)," ")</f>
        <v>885</v>
      </c>
      <c r="O13" t="s" s="61">
        <f>_xlfn.IFERROR(VLOOKUP($A13,'The List'!$B1:$AS730,22,FALSE)," ")</f>
        <v>885</v>
      </c>
      <c r="P13" t="s" s="61">
        <f>_xlfn.IFERROR(VLOOKUP($A13,'The List'!$B1:$AS730,23,FALSE)," ")</f>
        <v>885</v>
      </c>
      <c r="Q13" t="s" s="61">
        <f>_xlfn.IFERROR(VLOOKUP($A13,'The List'!$B1:$AS730,24,FALSE)," ")</f>
        <v>885</v>
      </c>
      <c r="R13" t="s" s="61">
        <f>_xlfn.IFERROR(VLOOKUP($A13,'The List'!$B1:$AS730,25,FALSE)," ")</f>
        <v>885</v>
      </c>
      <c r="S13" t="s" s="61">
        <f>_xlfn.IFERROR(VLOOKUP($A13,'The List'!$B1:$AS730,26,FALSE)," ")</f>
        <v>885</v>
      </c>
      <c r="T13" t="s" s="61">
        <f>_xlfn.IFERROR(VLOOKUP($A13,'The List'!$B1:$AS730,27,FALSE)," ")</f>
        <v>885</v>
      </c>
      <c r="U13" t="s" s="61">
        <f>_xlfn.IFERROR(VLOOKUP($A13,'The List'!$B1:$AS730,28,FALSE)," ")</f>
        <v>885</v>
      </c>
      <c r="V13" t="s" s="61">
        <f>_xlfn.IFERROR(VLOOKUP($A13,'The List'!$B1:$AS730,29,FALSE)," ")</f>
        <v>885</v>
      </c>
      <c r="W13" t="s" s="61">
        <f>_xlfn.IFERROR(VLOOKUP($A13,'The List'!$B1:$AS730,30,FALSE)," ")</f>
        <v>885</v>
      </c>
      <c r="X13" t="s" s="61">
        <f>_xlfn.IFERROR(VLOOKUP($A13,'The List'!$B1:$AS730,31,FALSE)," ")</f>
        <v>885</v>
      </c>
      <c r="Y13" t="s" s="61">
        <f>_xlfn.IFERROR(VLOOKUP($A13,'The List'!$B1:$AS730,32,FALSE)," ")</f>
        <v>885</v>
      </c>
      <c r="Z13" t="s" s="61">
        <f>_xlfn.IFERROR(VLOOKUP($A13,'The List'!$B1:$AS730,33,FALSE)," ")</f>
        <v>885</v>
      </c>
      <c r="AA13" s="64"/>
      <c r="AB13" s="69"/>
      <c r="AC13" s="69"/>
      <c r="AD13" t="s" s="8">
        <v>896</v>
      </c>
      <c r="AE13" s="44">
        <f>VLOOKUP(AD13,T1:Y464,2,FALSE)</f>
        <v>0</v>
      </c>
      <c r="AF13" s="44">
        <f>VLOOKUP(AD13,T1:AA464,5,FALSE)</f>
        <v>0</v>
      </c>
    </row>
    <row r="14" ht="21.25" customHeight="1">
      <c r="A14" t="s" s="8">
        <v>128</v>
      </c>
      <c r="B14" t="s" s="77">
        <f>_xlfn.IFERROR(VLOOKUP($A14,'The List'!$B1:$AS730,3,FALSE)," ")</f>
        <v>129</v>
      </c>
      <c r="C14" s="78">
        <f>_xlfn.IFERROR(VLOOKUP($A14,'The List'!$B1:$AS730,4,FALSE)," ")</f>
        <v>2</v>
      </c>
      <c r="D14" t="s" s="42">
        <f>_xlfn.IFERROR(VLOOKUP($A14,'The List'!$B1:$AS730,5,FALSE)," ")</f>
        <v>113</v>
      </c>
      <c r="E14" s="68">
        <f>_xlfn.IFERROR(VLOOKUP($A14,'The List'!$B1:$AS730,6,FALSE)," ")</f>
        <v>24</v>
      </c>
      <c r="F14" s="44">
        <f>_xlfn.IFERROR(VLOOKUP($A14,'The List'!$B1:$AS730,8,FALSE)," ")</f>
        <v>473.615951175709</v>
      </c>
      <c r="G14" s="44">
        <f>_xlfn.IFERROR(VLOOKUP($A14,'The List'!$B1:$AS730,10,FALSE)," ")</f>
        <v>132.880812529186</v>
      </c>
      <c r="H14" s="46"/>
      <c r="I14" s="48">
        <f>_xlfn.IFERROR(VLOOKUP($A14,'The List'!$B1:$AS730,16,FALSE)," ")</f>
        <v>75.6803571428571</v>
      </c>
      <c r="J14" s="48">
        <f>_xlfn.IFERROR(VLOOKUP($A14,'The List'!$B1:$AS730,17,FALSE)," ")</f>
        <v>26.224361519690</v>
      </c>
      <c r="K14" s="48">
        <f>_xlfn.IFERROR(VLOOKUP($A14,'The List'!$B1:$AS730,18,FALSE)," ")</f>
        <v>22.2530327888236</v>
      </c>
      <c r="L14" s="48">
        <f>_xlfn.IFERROR(VLOOKUP($A14,'The List'!$B1:$AS730,19,FALSE)," ")</f>
        <v>61.8785698774013</v>
      </c>
      <c r="M14" s="48">
        <f>_xlfn.IFERROR(VLOOKUP($A14,'The List'!$B1:$AS730,20,FALSE)," ")</f>
        <v>84.13160266622489</v>
      </c>
      <c r="N14" s="48">
        <f>_xlfn.IFERROR(VLOOKUP($A14,'The List'!$B1:$AS730,21,FALSE)," ")</f>
        <v>221.649332492764</v>
      </c>
      <c r="O14" s="48">
        <f>_xlfn.IFERROR(VLOOKUP($A14,'The List'!$B1:$AS730,22,FALSE)," ")</f>
        <v>7.48513929555621</v>
      </c>
      <c r="P14" s="48">
        <f>_xlfn.IFERROR(VLOOKUP($A14,'The List'!$B1:$AS730,23,FALSE)," ")</f>
        <v>37.3027625524826</v>
      </c>
      <c r="Q14" s="48">
        <f>_xlfn.IFERROR(VLOOKUP($A14,'The List'!$B1:$AS730,24,FALSE)," ")</f>
        <v>0.034085358529998</v>
      </c>
      <c r="R14" s="48">
        <f>_xlfn.IFERROR(VLOOKUP($A14,'The List'!$B1:$AS730,25,FALSE)," ")</f>
        <v>0.179901390184728</v>
      </c>
      <c r="S14" s="48">
        <f>_xlfn.IFERROR(VLOOKUP($A14,'The List'!$B1:$AS730,26,FALSE)," ")</f>
        <v>108.444308567290</v>
      </c>
      <c r="T14" s="48">
        <f>_xlfn.IFERROR(VLOOKUP($A14,'The List'!$B1:$AS730,27,FALSE)," ")</f>
        <v>89.7398827336112</v>
      </c>
      <c r="U14" s="48">
        <f>_xlfn.IFERROR(VLOOKUP($A14,'The List'!$B1:$AS730,28,FALSE)," ")</f>
        <v>9.24665115515163</v>
      </c>
      <c r="V14" s="48">
        <f>_xlfn.IFERROR(VLOOKUP($A14,'The List'!$B1:$AS730,29,FALSE)," ")</f>
        <v>33.0717972656488</v>
      </c>
      <c r="W14" s="48">
        <f>_xlfn.IFERROR(VLOOKUP($A14,'The List'!$B1:$AS730,30,FALSE)," ")</f>
        <v>3.52076506784859</v>
      </c>
      <c r="X14" s="48">
        <f>_xlfn.IFERROR(VLOOKUP($A14,'The List'!$B1:$AS730,31,FALSE)," ")</f>
        <v>0</v>
      </c>
      <c r="Y14" s="48">
        <f>_xlfn.IFERROR(VLOOKUP($A14,'The List'!$B1:$AS730,32,FALSE)," ")</f>
        <v>0</v>
      </c>
      <c r="Z14" s="49">
        <f>_xlfn.IFERROR(VLOOKUP($A14,'The List'!$B1:$AS730,33,FALSE)," ")</f>
        <v>0</v>
      </c>
      <c r="AA14" s="64"/>
      <c r="AB14" s="69"/>
      <c r="AC14" s="69"/>
      <c r="AD14" t="s" s="8">
        <v>897</v>
      </c>
      <c r="AE14" s="44">
        <f>VLOOKUP(AD14,T1:Y464,2,FALSE)</f>
        <v>0</v>
      </c>
      <c r="AF14" s="44">
        <f>VLOOKUP(AD14,T1:AA464,5,FALSE)</f>
        <v>0</v>
      </c>
    </row>
    <row r="15" ht="21.25" customHeight="1">
      <c r="A15" s="29"/>
      <c r="B15" t="s" s="77">
        <f>_xlfn.IFERROR(VLOOKUP($A15,'The List'!$B1:$AS730,3,FALSE)," ")</f>
        <v>885</v>
      </c>
      <c r="C15" t="s" s="79">
        <f>_xlfn.IFERROR(VLOOKUP($A15,'The List'!$B1:$AS730,4,FALSE)," ")</f>
        <v>885</v>
      </c>
      <c r="D15" t="s" s="42">
        <f>_xlfn.IFERROR(VLOOKUP($A15,'The List'!$B1:$AS730,5,FALSE)," ")</f>
        <v>885</v>
      </c>
      <c r="E15" t="s" s="42">
        <f>_xlfn.IFERROR(VLOOKUP($A15,'The List'!$B1:$AS730,6,FALSE)," ")</f>
        <v>885</v>
      </c>
      <c r="F15" t="s" s="60">
        <f>_xlfn.IFERROR(VLOOKUP($A15,'The List'!$B1:$AS730,8,FALSE)," ")</f>
        <v>885</v>
      </c>
      <c r="G15" t="s" s="60">
        <f>_xlfn.IFERROR(VLOOKUP($A15,'The List'!$B1:$AS730,10,FALSE)," ")</f>
        <v>885</v>
      </c>
      <c r="H15" s="46"/>
      <c r="I15" t="s" s="61">
        <f>_xlfn.IFERROR(VLOOKUP($A15,'The List'!$B1:$AS730,16,FALSE)," ")</f>
        <v>885</v>
      </c>
      <c r="J15" t="s" s="61">
        <f>_xlfn.IFERROR(VLOOKUP($A15,'The List'!$B1:$AS730,17,FALSE)," ")</f>
        <v>885</v>
      </c>
      <c r="K15" t="s" s="61">
        <f>_xlfn.IFERROR(VLOOKUP($A15,'The List'!$B1:$AS730,18,FALSE)," ")</f>
        <v>885</v>
      </c>
      <c r="L15" t="s" s="61">
        <f>_xlfn.IFERROR(VLOOKUP($A15,'The List'!$B1:$AS730,19,FALSE)," ")</f>
        <v>885</v>
      </c>
      <c r="M15" t="s" s="61">
        <f>_xlfn.IFERROR(VLOOKUP($A15,'The List'!$B1:$AS730,20,FALSE)," ")</f>
        <v>885</v>
      </c>
      <c r="N15" t="s" s="61">
        <f>_xlfn.IFERROR(VLOOKUP($A15,'The List'!$B1:$AS730,21,FALSE)," ")</f>
        <v>885</v>
      </c>
      <c r="O15" t="s" s="61">
        <f>_xlfn.IFERROR(VLOOKUP($A15,'The List'!$B1:$AS730,22,FALSE)," ")</f>
        <v>885</v>
      </c>
      <c r="P15" t="s" s="61">
        <f>_xlfn.IFERROR(VLOOKUP($A15,'The List'!$B1:$AS730,23,FALSE)," ")</f>
        <v>885</v>
      </c>
      <c r="Q15" t="s" s="61">
        <f>_xlfn.IFERROR(VLOOKUP($A15,'The List'!$B1:$AS730,24,FALSE)," ")</f>
        <v>885</v>
      </c>
      <c r="R15" t="s" s="61">
        <f>_xlfn.IFERROR(VLOOKUP($A15,'The List'!$B1:$AS730,25,FALSE)," ")</f>
        <v>885</v>
      </c>
      <c r="S15" t="s" s="61">
        <f>_xlfn.IFERROR(VLOOKUP($A15,'The List'!$B1:$AS730,26,FALSE)," ")</f>
        <v>885</v>
      </c>
      <c r="T15" t="s" s="61">
        <f>_xlfn.IFERROR(VLOOKUP($A15,'The List'!$B1:$AS730,27,FALSE)," ")</f>
        <v>885</v>
      </c>
      <c r="U15" t="s" s="61">
        <f>_xlfn.IFERROR(VLOOKUP($A15,'The List'!$B1:$AS730,28,FALSE)," ")</f>
        <v>885</v>
      </c>
      <c r="V15" t="s" s="61">
        <f>_xlfn.IFERROR(VLOOKUP($A15,'The List'!$B1:$AS730,29,FALSE)," ")</f>
        <v>885</v>
      </c>
      <c r="W15" t="s" s="61">
        <f>_xlfn.IFERROR(VLOOKUP($A15,'The List'!$B1:$AS730,30,FALSE)," ")</f>
        <v>885</v>
      </c>
      <c r="X15" t="s" s="61">
        <f>_xlfn.IFERROR(VLOOKUP($A15,'The List'!$B1:$AS730,31,FALSE)," ")</f>
        <v>885</v>
      </c>
      <c r="Y15" t="s" s="61">
        <f>_xlfn.IFERROR(VLOOKUP($A15,'The List'!$B1:$AS730,32,FALSE)," ")</f>
        <v>885</v>
      </c>
      <c r="Z15" t="s" s="61">
        <f>_xlfn.IFERROR(VLOOKUP($A15,'The List'!$B1:$AS730,33,FALSE)," ")</f>
        <v>885</v>
      </c>
      <c r="AA15" s="64"/>
      <c r="AB15" s="69"/>
      <c r="AC15" s="69"/>
      <c r="AD15" t="s" s="8">
        <v>898</v>
      </c>
      <c r="AE15" s="44">
        <f>VLOOKUP(AD15,T1:Y464,2,FALSE)</f>
        <v>0</v>
      </c>
      <c r="AF15" s="44">
        <f>VLOOKUP(AD15,T1:AA464,5,FALSE)</f>
        <v>0</v>
      </c>
    </row>
    <row r="16" ht="21.25" customHeight="1">
      <c r="A16" s="29"/>
      <c r="B16" t="s" s="77">
        <f>_xlfn.IFERROR(VLOOKUP($A16,'The List'!$B1:$AS730,3,FALSE)," ")</f>
        <v>885</v>
      </c>
      <c r="C16" t="s" s="79">
        <f>_xlfn.IFERROR(VLOOKUP($A16,'The List'!$B1:$AS730,4,FALSE)," ")</f>
        <v>885</v>
      </c>
      <c r="D16" t="s" s="42">
        <f>_xlfn.IFERROR(VLOOKUP($A16,'The List'!$B1:$AS730,5,FALSE)," ")</f>
        <v>885</v>
      </c>
      <c r="E16" t="s" s="42">
        <f>_xlfn.IFERROR(VLOOKUP($A16,'The List'!$B1:$AS730,6,FALSE)," ")</f>
        <v>885</v>
      </c>
      <c r="F16" t="s" s="60">
        <f>_xlfn.IFERROR(VLOOKUP($A16,'The List'!$B1:$AS730,8,FALSE)," ")</f>
        <v>885</v>
      </c>
      <c r="G16" t="s" s="60">
        <f>_xlfn.IFERROR(VLOOKUP($A16,'The List'!$B1:$AS730,10,FALSE)," ")</f>
        <v>885</v>
      </c>
      <c r="H16" s="46"/>
      <c r="I16" t="s" s="61">
        <f>_xlfn.IFERROR(VLOOKUP($A16,'The List'!$B1:$AS730,16,FALSE)," ")</f>
        <v>885</v>
      </c>
      <c r="J16" t="s" s="61">
        <f>_xlfn.IFERROR(VLOOKUP($A16,'The List'!$B1:$AS730,17,FALSE)," ")</f>
        <v>885</v>
      </c>
      <c r="K16" t="s" s="61">
        <f>_xlfn.IFERROR(VLOOKUP($A16,'The List'!$B1:$AS730,18,FALSE)," ")</f>
        <v>885</v>
      </c>
      <c r="L16" t="s" s="61">
        <f>_xlfn.IFERROR(VLOOKUP($A16,'The List'!$B1:$AS730,19,FALSE)," ")</f>
        <v>885</v>
      </c>
      <c r="M16" t="s" s="61">
        <f>_xlfn.IFERROR(VLOOKUP($A16,'The List'!$B1:$AS730,20,FALSE)," ")</f>
        <v>885</v>
      </c>
      <c r="N16" t="s" s="61">
        <f>_xlfn.IFERROR(VLOOKUP($A16,'The List'!$B1:$AS730,21,FALSE)," ")</f>
        <v>885</v>
      </c>
      <c r="O16" t="s" s="61">
        <f>_xlfn.IFERROR(VLOOKUP($A16,'The List'!$B1:$AS730,22,FALSE)," ")</f>
        <v>885</v>
      </c>
      <c r="P16" t="s" s="61">
        <f>_xlfn.IFERROR(VLOOKUP($A16,'The List'!$B1:$AS730,23,FALSE)," ")</f>
        <v>885</v>
      </c>
      <c r="Q16" t="s" s="61">
        <f>_xlfn.IFERROR(VLOOKUP($A16,'The List'!$B1:$AS730,24,FALSE)," ")</f>
        <v>885</v>
      </c>
      <c r="R16" t="s" s="61">
        <f>_xlfn.IFERROR(VLOOKUP($A16,'The List'!$B1:$AS730,25,FALSE)," ")</f>
        <v>885</v>
      </c>
      <c r="S16" t="s" s="61">
        <f>_xlfn.IFERROR(VLOOKUP($A16,'The List'!$B1:$AS730,26,FALSE)," ")</f>
        <v>885</v>
      </c>
      <c r="T16" t="s" s="61">
        <f>_xlfn.IFERROR(VLOOKUP($A16,'The List'!$B1:$AS730,27,FALSE)," ")</f>
        <v>885</v>
      </c>
      <c r="U16" t="s" s="61">
        <f>_xlfn.IFERROR(VLOOKUP($A16,'The List'!$B1:$AS730,28,FALSE)," ")</f>
        <v>885</v>
      </c>
      <c r="V16" t="s" s="61">
        <f>_xlfn.IFERROR(VLOOKUP($A16,'The List'!$B1:$AS730,29,FALSE)," ")</f>
        <v>885</v>
      </c>
      <c r="W16" t="s" s="61">
        <f>_xlfn.IFERROR(VLOOKUP($A16,'The List'!$B1:$AS730,30,FALSE)," ")</f>
        <v>885</v>
      </c>
      <c r="X16" t="s" s="61">
        <f>_xlfn.IFERROR(VLOOKUP($A16,'The List'!$B1:$AS730,31,FALSE)," ")</f>
        <v>885</v>
      </c>
      <c r="Y16" t="s" s="61">
        <f>_xlfn.IFERROR(VLOOKUP($A16,'The List'!$B1:$AS730,32,FALSE)," ")</f>
        <v>885</v>
      </c>
      <c r="Z16" t="s" s="61">
        <f>_xlfn.IFERROR(VLOOKUP($A16,'The List'!$B1:$AS730,33,FALSE)," ")</f>
        <v>885</v>
      </c>
      <c r="AA16" s="64"/>
      <c r="AB16" s="69"/>
      <c r="AC16" s="69"/>
      <c r="AD16" t="s" s="8">
        <v>899</v>
      </c>
      <c r="AE16" s="44">
        <f>VLOOKUP(AD16,T1:Y464,2,FALSE)</f>
        <v>0</v>
      </c>
      <c r="AF16" s="44">
        <f>VLOOKUP(AD16,T1:AA464,5,FALSE)</f>
        <v>0</v>
      </c>
    </row>
    <row r="17" ht="21.25" customHeight="1">
      <c r="A17" s="29"/>
      <c r="B17" t="s" s="77">
        <f>_xlfn.IFERROR(VLOOKUP($A17,'The List'!$B1:$AS730,3,FALSE)," ")</f>
        <v>885</v>
      </c>
      <c r="C17" t="s" s="79">
        <f>_xlfn.IFERROR(VLOOKUP($A17,'The List'!$B1:$AS730,4,FALSE)," ")</f>
        <v>885</v>
      </c>
      <c r="D17" t="s" s="42">
        <f>_xlfn.IFERROR(VLOOKUP($A17,'The List'!$B1:$AS730,5,FALSE)," ")</f>
        <v>885</v>
      </c>
      <c r="E17" t="s" s="42">
        <f>_xlfn.IFERROR(VLOOKUP($A17,'The List'!$B1:$AS730,6,FALSE)," ")</f>
        <v>885</v>
      </c>
      <c r="F17" t="s" s="60">
        <f>_xlfn.IFERROR(VLOOKUP($A17,'The List'!$B1:$AS730,8,FALSE)," ")</f>
        <v>885</v>
      </c>
      <c r="G17" t="s" s="60">
        <f>_xlfn.IFERROR(VLOOKUP($A17,'The List'!$B1:$AS730,10,FALSE)," ")</f>
        <v>885</v>
      </c>
      <c r="H17" s="46"/>
      <c r="I17" t="s" s="61">
        <f>_xlfn.IFERROR(VLOOKUP($A17,'The List'!$B1:$AS730,16,FALSE)," ")</f>
        <v>885</v>
      </c>
      <c r="J17" t="s" s="61">
        <f>_xlfn.IFERROR(VLOOKUP($A17,'The List'!$B1:$AS730,17,FALSE)," ")</f>
        <v>885</v>
      </c>
      <c r="K17" t="s" s="61">
        <f>_xlfn.IFERROR(VLOOKUP($A17,'The List'!$B1:$AS730,18,FALSE)," ")</f>
        <v>885</v>
      </c>
      <c r="L17" t="s" s="61">
        <f>_xlfn.IFERROR(VLOOKUP($A17,'The List'!$B1:$AS730,19,FALSE)," ")</f>
        <v>885</v>
      </c>
      <c r="M17" t="s" s="61">
        <f>_xlfn.IFERROR(VLOOKUP($A17,'The List'!$B1:$AS730,20,FALSE)," ")</f>
        <v>885</v>
      </c>
      <c r="N17" t="s" s="61">
        <f>_xlfn.IFERROR(VLOOKUP($A17,'The List'!$B1:$AS730,21,FALSE)," ")</f>
        <v>885</v>
      </c>
      <c r="O17" t="s" s="61">
        <f>_xlfn.IFERROR(VLOOKUP($A17,'The List'!$B1:$AS730,22,FALSE)," ")</f>
        <v>885</v>
      </c>
      <c r="P17" t="s" s="61">
        <f>_xlfn.IFERROR(VLOOKUP($A17,'The List'!$B1:$AS730,23,FALSE)," ")</f>
        <v>885</v>
      </c>
      <c r="Q17" t="s" s="61">
        <f>_xlfn.IFERROR(VLOOKUP($A17,'The List'!$B1:$AS730,24,FALSE)," ")</f>
        <v>885</v>
      </c>
      <c r="R17" t="s" s="61">
        <f>_xlfn.IFERROR(VLOOKUP($A17,'The List'!$B1:$AS730,25,FALSE)," ")</f>
        <v>885</v>
      </c>
      <c r="S17" t="s" s="61">
        <f>_xlfn.IFERROR(VLOOKUP($A17,'The List'!$B1:$AS730,26,FALSE)," ")</f>
        <v>885</v>
      </c>
      <c r="T17" t="s" s="61">
        <f>_xlfn.IFERROR(VLOOKUP($A17,'The List'!$B1:$AS730,27,FALSE)," ")</f>
        <v>885</v>
      </c>
      <c r="U17" t="s" s="61">
        <f>_xlfn.IFERROR(VLOOKUP($A17,'The List'!$B1:$AS730,28,FALSE)," ")</f>
        <v>885</v>
      </c>
      <c r="V17" t="s" s="61">
        <f>_xlfn.IFERROR(VLOOKUP($A17,'The List'!$B1:$AS730,29,FALSE)," ")</f>
        <v>885</v>
      </c>
      <c r="W17" t="s" s="61">
        <f>_xlfn.IFERROR(VLOOKUP($A17,'The List'!$B1:$AS730,30,FALSE)," ")</f>
        <v>885</v>
      </c>
      <c r="X17" t="s" s="61">
        <f>_xlfn.IFERROR(VLOOKUP($A17,'The List'!$B1:$AS730,31,FALSE)," ")</f>
        <v>885</v>
      </c>
      <c r="Y17" t="s" s="61">
        <f>_xlfn.IFERROR(VLOOKUP($A17,'The List'!$B1:$AS730,32,FALSE)," ")</f>
        <v>885</v>
      </c>
      <c r="Z17" t="s" s="61">
        <f>_xlfn.IFERROR(VLOOKUP($A17,'The List'!$B1:$AS730,33,FALSE)," ")</f>
        <v>885</v>
      </c>
      <c r="AA17" s="64"/>
      <c r="AB17" s="69"/>
      <c r="AC17" s="69"/>
      <c r="AD17" t="s" s="8">
        <v>900</v>
      </c>
      <c r="AE17" s="44">
        <f>VLOOKUP(AD17,T1:Y464,2,FALSE)</f>
        <v>0</v>
      </c>
      <c r="AF17" s="44">
        <f>VLOOKUP(AD17,T1:AA464,5,FALSE)</f>
        <v>0</v>
      </c>
    </row>
    <row r="18" ht="21.25" customHeight="1">
      <c r="A18" s="29"/>
      <c r="B18" t="s" s="77">
        <f>_xlfn.IFERROR(VLOOKUP($A18,'The List'!$B1:$AS730,3,FALSE)," ")</f>
        <v>885</v>
      </c>
      <c r="C18" t="s" s="79">
        <f>_xlfn.IFERROR(VLOOKUP($A18,'The List'!$B1:$AS730,4,FALSE)," ")</f>
        <v>885</v>
      </c>
      <c r="D18" t="s" s="42">
        <f>_xlfn.IFERROR(VLOOKUP($A18,'The List'!$B1:$AS730,5,FALSE)," ")</f>
        <v>885</v>
      </c>
      <c r="E18" t="s" s="42">
        <f>_xlfn.IFERROR(VLOOKUP($A18,'The List'!$B1:$AS730,6,FALSE)," ")</f>
        <v>885</v>
      </c>
      <c r="F18" t="s" s="60">
        <f>_xlfn.IFERROR(VLOOKUP($A18,'The List'!$B1:$AS730,8,FALSE)," ")</f>
        <v>885</v>
      </c>
      <c r="G18" t="s" s="60">
        <f>_xlfn.IFERROR(VLOOKUP($A18,'The List'!$B1:$AS730,10,FALSE)," ")</f>
        <v>885</v>
      </c>
      <c r="H18" s="46"/>
      <c r="I18" t="s" s="61">
        <f>_xlfn.IFERROR(VLOOKUP($A18,'The List'!$B1:$AS730,16,FALSE)," ")</f>
        <v>885</v>
      </c>
      <c r="J18" t="s" s="61">
        <f>_xlfn.IFERROR(VLOOKUP($A18,'The List'!$B1:$AS730,17,FALSE)," ")</f>
        <v>885</v>
      </c>
      <c r="K18" t="s" s="61">
        <f>_xlfn.IFERROR(VLOOKUP($A18,'The List'!$B1:$AS730,18,FALSE)," ")</f>
        <v>885</v>
      </c>
      <c r="L18" t="s" s="61">
        <f>_xlfn.IFERROR(VLOOKUP($A18,'The List'!$B1:$AS730,19,FALSE)," ")</f>
        <v>885</v>
      </c>
      <c r="M18" t="s" s="61">
        <f>_xlfn.IFERROR(VLOOKUP($A18,'The List'!$B1:$AS730,20,FALSE)," ")</f>
        <v>885</v>
      </c>
      <c r="N18" t="s" s="61">
        <f>_xlfn.IFERROR(VLOOKUP($A18,'The List'!$B1:$AS730,21,FALSE)," ")</f>
        <v>885</v>
      </c>
      <c r="O18" t="s" s="61">
        <f>_xlfn.IFERROR(VLOOKUP($A18,'The List'!$B1:$AS730,22,FALSE)," ")</f>
        <v>885</v>
      </c>
      <c r="P18" t="s" s="61">
        <f>_xlfn.IFERROR(VLOOKUP($A18,'The List'!$B1:$AS730,23,FALSE)," ")</f>
        <v>885</v>
      </c>
      <c r="Q18" t="s" s="61">
        <f>_xlfn.IFERROR(VLOOKUP($A18,'The List'!$B1:$AS730,24,FALSE)," ")</f>
        <v>885</v>
      </c>
      <c r="R18" t="s" s="61">
        <f>_xlfn.IFERROR(VLOOKUP($A18,'The List'!$B1:$AS730,25,FALSE)," ")</f>
        <v>885</v>
      </c>
      <c r="S18" t="s" s="61">
        <f>_xlfn.IFERROR(VLOOKUP($A18,'The List'!$B1:$AS730,26,FALSE)," ")</f>
        <v>885</v>
      </c>
      <c r="T18" t="s" s="61">
        <f>_xlfn.IFERROR(VLOOKUP($A18,'The List'!$B1:$AS730,27,FALSE)," ")</f>
        <v>885</v>
      </c>
      <c r="U18" t="s" s="61">
        <f>_xlfn.IFERROR(VLOOKUP($A18,'The List'!$B1:$AS730,28,FALSE)," ")</f>
        <v>885</v>
      </c>
      <c r="V18" t="s" s="61">
        <f>_xlfn.IFERROR(VLOOKUP($A18,'The List'!$B1:$AS730,29,FALSE)," ")</f>
        <v>885</v>
      </c>
      <c r="W18" t="s" s="61">
        <f>_xlfn.IFERROR(VLOOKUP($A18,'The List'!$B1:$AS730,30,FALSE)," ")</f>
        <v>885</v>
      </c>
      <c r="X18" t="s" s="61">
        <f>_xlfn.IFERROR(VLOOKUP($A18,'The List'!$B1:$AS730,31,FALSE)," ")</f>
        <v>885</v>
      </c>
      <c r="Y18" t="s" s="61">
        <f>_xlfn.IFERROR(VLOOKUP($A18,'The List'!$B1:$AS730,32,FALSE)," ")</f>
        <v>885</v>
      </c>
      <c r="Z18" t="s" s="61">
        <f>_xlfn.IFERROR(VLOOKUP($A18,'The List'!$B1:$AS730,33,FALSE)," ")</f>
        <v>885</v>
      </c>
      <c r="AA18" s="64"/>
      <c r="AB18" s="69"/>
      <c r="AC18" s="69"/>
      <c r="AD18" s="29"/>
      <c r="AE18" s="44">
        <f>VLOOKUP(AD18,T1:Y464,2,FALSE)</f>
        <v>0</v>
      </c>
      <c r="AF18" s="44">
        <f>VLOOKUP(AD18,T1:AA464,5,FALSE)</f>
        <v>0</v>
      </c>
    </row>
    <row r="19" ht="21.25" customHeight="1">
      <c r="A19" s="29"/>
      <c r="B19" t="s" s="77">
        <f>_xlfn.IFERROR(VLOOKUP($A19,'The List'!$B1:$AS730,3,FALSE)," ")</f>
        <v>885</v>
      </c>
      <c r="C19" t="s" s="79">
        <f>_xlfn.IFERROR(VLOOKUP($A19,'The List'!$B1:$AS730,4,FALSE)," ")</f>
        <v>885</v>
      </c>
      <c r="D19" t="s" s="42">
        <f>_xlfn.IFERROR(VLOOKUP($A19,'The List'!$B1:$AS730,5,FALSE)," ")</f>
        <v>885</v>
      </c>
      <c r="E19" t="s" s="42">
        <f>_xlfn.IFERROR(VLOOKUP($A19,'The List'!$B1:$AS730,6,FALSE)," ")</f>
        <v>885</v>
      </c>
      <c r="F19" t="s" s="60">
        <f>_xlfn.IFERROR(VLOOKUP($A19,'The List'!$B1:$AS730,8,FALSE)," ")</f>
        <v>885</v>
      </c>
      <c r="G19" t="s" s="60">
        <f>_xlfn.IFERROR(VLOOKUP($A19,'The List'!$B1:$AS730,10,FALSE)," ")</f>
        <v>885</v>
      </c>
      <c r="H19" s="46"/>
      <c r="I19" t="s" s="61">
        <f>_xlfn.IFERROR(VLOOKUP($A19,'The List'!$B1:$AS730,16,FALSE)," ")</f>
        <v>885</v>
      </c>
      <c r="J19" t="s" s="61">
        <f>_xlfn.IFERROR(VLOOKUP($A19,'The List'!$B1:$AS730,17,FALSE)," ")</f>
        <v>885</v>
      </c>
      <c r="K19" t="s" s="61">
        <f>_xlfn.IFERROR(VLOOKUP($A19,'The List'!$B1:$AS730,18,FALSE)," ")</f>
        <v>885</v>
      </c>
      <c r="L19" t="s" s="61">
        <f>_xlfn.IFERROR(VLOOKUP($A19,'The List'!$B1:$AS730,19,FALSE)," ")</f>
        <v>885</v>
      </c>
      <c r="M19" t="s" s="61">
        <f>_xlfn.IFERROR(VLOOKUP($A19,'The List'!$B1:$AS730,20,FALSE)," ")</f>
        <v>885</v>
      </c>
      <c r="N19" t="s" s="61">
        <f>_xlfn.IFERROR(VLOOKUP($A19,'The List'!$B1:$AS730,21,FALSE)," ")</f>
        <v>885</v>
      </c>
      <c r="O19" t="s" s="61">
        <f>_xlfn.IFERROR(VLOOKUP($A19,'The List'!$B1:$AS730,22,FALSE)," ")</f>
        <v>885</v>
      </c>
      <c r="P19" t="s" s="61">
        <f>_xlfn.IFERROR(VLOOKUP($A19,'The List'!$B1:$AS730,23,FALSE)," ")</f>
        <v>885</v>
      </c>
      <c r="Q19" t="s" s="61">
        <f>_xlfn.IFERROR(VLOOKUP($A19,'The List'!$B1:$AS730,24,FALSE)," ")</f>
        <v>885</v>
      </c>
      <c r="R19" t="s" s="61">
        <f>_xlfn.IFERROR(VLOOKUP($A19,'The List'!$B1:$AS730,25,FALSE)," ")</f>
        <v>885</v>
      </c>
      <c r="S19" t="s" s="61">
        <f>_xlfn.IFERROR(VLOOKUP($A19,'The List'!$B1:$AS730,26,FALSE)," ")</f>
        <v>885</v>
      </c>
      <c r="T19" t="s" s="61">
        <f>_xlfn.IFERROR(VLOOKUP($A19,'The List'!$B1:$AS730,27,FALSE)," ")</f>
        <v>885</v>
      </c>
      <c r="U19" t="s" s="61">
        <f>_xlfn.IFERROR(VLOOKUP($A19,'The List'!$B1:$AS730,28,FALSE)," ")</f>
        <v>885</v>
      </c>
      <c r="V19" t="s" s="61">
        <f>_xlfn.IFERROR(VLOOKUP($A19,'The List'!$B1:$AS730,29,FALSE)," ")</f>
        <v>885</v>
      </c>
      <c r="W19" t="s" s="61">
        <f>_xlfn.IFERROR(VLOOKUP($A19,'The List'!$B1:$AS730,30,FALSE)," ")</f>
        <v>885</v>
      </c>
      <c r="X19" t="s" s="61">
        <f>_xlfn.IFERROR(VLOOKUP($A19,'The List'!$B1:$AS730,31,FALSE)," ")</f>
        <v>885</v>
      </c>
      <c r="Y19" t="s" s="61">
        <f>_xlfn.IFERROR(VLOOKUP($A19,'The List'!$B1:$AS730,32,FALSE)," ")</f>
        <v>885</v>
      </c>
      <c r="Z19" t="s" s="61">
        <f>_xlfn.IFERROR(VLOOKUP($A19,'The List'!$B1:$AS730,33,FALSE)," ")</f>
        <v>885</v>
      </c>
      <c r="AA19" s="64"/>
      <c r="AB19" s="69"/>
      <c r="AC19" s="69"/>
      <c r="AD19" s="29"/>
      <c r="AE19" s="44">
        <f>VLOOKUP(AD19,T1:Y464,2,FALSE)</f>
        <v>0</v>
      </c>
      <c r="AF19" s="44">
        <f>VLOOKUP(AD19,T1:AA464,5,FALSE)</f>
        <v>0</v>
      </c>
    </row>
    <row r="20" ht="21.25" customHeight="1">
      <c r="A20" s="29"/>
      <c r="B20" t="s" s="77">
        <f>_xlfn.IFERROR(VLOOKUP($A20,'The List'!$B1:$AS730,3,FALSE)," ")</f>
        <v>885</v>
      </c>
      <c r="C20" t="s" s="79">
        <f>_xlfn.IFERROR(VLOOKUP($A20,'The List'!$B1:$AS730,4,FALSE)," ")</f>
        <v>885</v>
      </c>
      <c r="D20" t="s" s="42">
        <f>_xlfn.IFERROR(VLOOKUP($A20,'The List'!$B1:$AS730,5,FALSE)," ")</f>
        <v>885</v>
      </c>
      <c r="E20" t="s" s="42">
        <f>_xlfn.IFERROR(VLOOKUP($A20,'The List'!$B1:$AS730,6,FALSE)," ")</f>
        <v>885</v>
      </c>
      <c r="F20" t="s" s="60">
        <f>_xlfn.IFERROR(VLOOKUP($A20,'The List'!$B1:$AS730,8,FALSE)," ")</f>
        <v>885</v>
      </c>
      <c r="G20" t="s" s="60">
        <f>_xlfn.IFERROR(VLOOKUP($A20,'The List'!$B1:$AS730,10,FALSE)," ")</f>
        <v>885</v>
      </c>
      <c r="H20" s="46"/>
      <c r="I20" t="s" s="61">
        <f>_xlfn.IFERROR(VLOOKUP($A20,'The List'!$B1:$AS730,16,FALSE)," ")</f>
        <v>885</v>
      </c>
      <c r="J20" t="s" s="61">
        <f>_xlfn.IFERROR(VLOOKUP($A20,'The List'!$B1:$AS730,17,FALSE)," ")</f>
        <v>885</v>
      </c>
      <c r="K20" t="s" s="61">
        <f>_xlfn.IFERROR(VLOOKUP($A20,'The List'!$B1:$AS730,18,FALSE)," ")</f>
        <v>885</v>
      </c>
      <c r="L20" t="s" s="61">
        <f>_xlfn.IFERROR(VLOOKUP($A20,'The List'!$B1:$AS730,19,FALSE)," ")</f>
        <v>885</v>
      </c>
      <c r="M20" t="s" s="61">
        <f>_xlfn.IFERROR(VLOOKUP($A20,'The List'!$B1:$AS730,20,FALSE)," ")</f>
        <v>885</v>
      </c>
      <c r="N20" t="s" s="61">
        <f>_xlfn.IFERROR(VLOOKUP($A20,'The List'!$B1:$AS730,21,FALSE)," ")</f>
        <v>885</v>
      </c>
      <c r="O20" t="s" s="61">
        <f>_xlfn.IFERROR(VLOOKUP($A20,'The List'!$B1:$AS730,22,FALSE)," ")</f>
        <v>885</v>
      </c>
      <c r="P20" t="s" s="61">
        <f>_xlfn.IFERROR(VLOOKUP($A20,'The List'!$B1:$AS730,23,FALSE)," ")</f>
        <v>885</v>
      </c>
      <c r="Q20" t="s" s="61">
        <f>_xlfn.IFERROR(VLOOKUP($A20,'The List'!$B1:$AS730,24,FALSE)," ")</f>
        <v>885</v>
      </c>
      <c r="R20" t="s" s="61">
        <f>_xlfn.IFERROR(VLOOKUP($A20,'The List'!$B1:$AS730,25,FALSE)," ")</f>
        <v>885</v>
      </c>
      <c r="S20" t="s" s="61">
        <f>_xlfn.IFERROR(VLOOKUP($A20,'The List'!$B1:$AS730,26,FALSE)," ")</f>
        <v>885</v>
      </c>
      <c r="T20" t="s" s="61">
        <f>_xlfn.IFERROR(VLOOKUP($A20,'The List'!$B1:$AS730,27,FALSE)," ")</f>
        <v>885</v>
      </c>
      <c r="U20" t="s" s="61">
        <f>_xlfn.IFERROR(VLOOKUP($A20,'The List'!$B1:$AS730,28,FALSE)," ")</f>
        <v>885</v>
      </c>
      <c r="V20" t="s" s="61">
        <f>_xlfn.IFERROR(VLOOKUP($A20,'The List'!$B1:$AS730,29,FALSE)," ")</f>
        <v>885</v>
      </c>
      <c r="W20" t="s" s="61">
        <f>_xlfn.IFERROR(VLOOKUP($A20,'The List'!$B1:$AS730,30,FALSE)," ")</f>
        <v>885</v>
      </c>
      <c r="X20" t="s" s="61">
        <f>_xlfn.IFERROR(VLOOKUP($A20,'The List'!$B1:$AS730,31,FALSE)," ")</f>
        <v>885</v>
      </c>
      <c r="Y20" t="s" s="61">
        <f>_xlfn.IFERROR(VLOOKUP($A20,'The List'!$B1:$AS730,32,FALSE)," ")</f>
        <v>885</v>
      </c>
      <c r="Z20" t="s" s="61">
        <f>_xlfn.IFERROR(VLOOKUP($A20,'The List'!$B1:$AS730,33,FALSE)," ")</f>
        <v>885</v>
      </c>
      <c r="AA20" s="64"/>
      <c r="AB20" s="69"/>
      <c r="AC20" s="69"/>
      <c r="AD20" s="80"/>
      <c r="AE20" s="80"/>
      <c r="AF20" s="80"/>
    </row>
    <row r="21" ht="21.25" customHeight="1">
      <c r="A21" s="81"/>
      <c r="B21" t="s" s="82">
        <f>_xlfn.IFERROR(VLOOKUP($A21,'The List'!$B1:$AS730,3,FALSE)," ")</f>
        <v>885</v>
      </c>
      <c r="C21" t="s" s="83">
        <f>_xlfn.IFERROR(VLOOKUP($A21,'The List'!$B1:$AS730,4,FALSE)," ")</f>
        <v>885</v>
      </c>
      <c r="D21" t="s" s="84">
        <f>_xlfn.IFERROR(VLOOKUP($A21,'The List'!$B1:$AS730,5,FALSE)," ")</f>
        <v>885</v>
      </c>
      <c r="E21" t="s" s="84">
        <f>_xlfn.IFERROR(VLOOKUP($A21,'The List'!$B1:$AS730,6,FALSE)," ")</f>
        <v>885</v>
      </c>
      <c r="F21" t="s" s="85">
        <f>_xlfn.IFERROR(VLOOKUP($A21,'The List'!$B1:$AS730,8,FALSE)," ")</f>
        <v>885</v>
      </c>
      <c r="G21" t="s" s="85">
        <f>_xlfn.IFERROR(VLOOKUP($A21,'The List'!$B1:$AS730,10,FALSE)," ")</f>
        <v>885</v>
      </c>
      <c r="H21" s="86"/>
      <c r="I21" t="s" s="87">
        <f>_xlfn.IFERROR(VLOOKUP($A21,'The List'!$B1:$AS730,16,FALSE)," ")</f>
        <v>885</v>
      </c>
      <c r="J21" t="s" s="87">
        <f>_xlfn.IFERROR(VLOOKUP($A21,'The List'!$B1:$AS730,17,FALSE)," ")</f>
        <v>885</v>
      </c>
      <c r="K21" t="s" s="87">
        <f>_xlfn.IFERROR(VLOOKUP($A21,'The List'!$B1:$AS730,18,FALSE)," ")</f>
        <v>885</v>
      </c>
      <c r="L21" t="s" s="87">
        <f>_xlfn.IFERROR(VLOOKUP($A21,'The List'!$B1:$AS730,19,FALSE)," ")</f>
        <v>885</v>
      </c>
      <c r="M21" t="s" s="87">
        <f>_xlfn.IFERROR(VLOOKUP($A21,'The List'!$B1:$AS730,20,FALSE)," ")</f>
        <v>885</v>
      </c>
      <c r="N21" t="s" s="87">
        <f>_xlfn.IFERROR(VLOOKUP($A21,'The List'!$B1:$AS730,21,FALSE)," ")</f>
        <v>885</v>
      </c>
      <c r="O21" t="s" s="87">
        <f>_xlfn.IFERROR(VLOOKUP($A21,'The List'!$B1:$AS730,22,FALSE)," ")</f>
        <v>885</v>
      </c>
      <c r="P21" t="s" s="87">
        <f>_xlfn.IFERROR(VLOOKUP($A21,'The List'!$B1:$AS730,23,FALSE)," ")</f>
        <v>885</v>
      </c>
      <c r="Q21" t="s" s="87">
        <f>_xlfn.IFERROR(VLOOKUP($A21,'The List'!$B1:$AS730,24,FALSE)," ")</f>
        <v>885</v>
      </c>
      <c r="R21" t="s" s="87">
        <f>_xlfn.IFERROR(VLOOKUP($A21,'The List'!$B1:$AS730,25,FALSE)," ")</f>
        <v>885</v>
      </c>
      <c r="S21" t="s" s="87">
        <f>_xlfn.IFERROR(VLOOKUP($A21,'The List'!$B1:$AS730,26,FALSE)," ")</f>
        <v>885</v>
      </c>
      <c r="T21" t="s" s="87">
        <f>_xlfn.IFERROR(VLOOKUP($A21,'The List'!$B1:$AS730,27,FALSE)," ")</f>
        <v>885</v>
      </c>
      <c r="U21" t="s" s="87">
        <f>_xlfn.IFERROR(VLOOKUP($A21,'The List'!$B1:$AS730,28,FALSE)," ")</f>
        <v>885</v>
      </c>
      <c r="V21" t="s" s="87">
        <f>_xlfn.IFERROR(VLOOKUP($A21,'The List'!$B1:$AS730,29,FALSE)," ")</f>
        <v>885</v>
      </c>
      <c r="W21" t="s" s="87">
        <f>_xlfn.IFERROR(VLOOKUP($A21,'The List'!$B1:$AS730,30,FALSE)," ")</f>
        <v>885</v>
      </c>
      <c r="X21" t="s" s="87">
        <f>_xlfn.IFERROR(VLOOKUP($A21,'The List'!$B1:$AS730,31,FALSE)," ")</f>
        <v>885</v>
      </c>
      <c r="Y21" t="s" s="87">
        <f>_xlfn.IFERROR(VLOOKUP($A21,'The List'!$B1:$AS730,32,FALSE)," ")</f>
        <v>885</v>
      </c>
      <c r="Z21" t="s" s="87">
        <f>_xlfn.IFERROR(VLOOKUP($A21,'The List'!$B1:$AS730,33,FALSE)," ")</f>
        <v>885</v>
      </c>
      <c r="AA21" s="64"/>
      <c r="AB21" s="69"/>
      <c r="AC21" s="69"/>
      <c r="AD21" s="69"/>
      <c r="AE21" s="69"/>
      <c r="AF21" s="69"/>
    </row>
    <row r="22" ht="21.25" customHeight="1">
      <c r="A22" s="88"/>
      <c r="B22" s="89"/>
      <c r="C22" s="90"/>
      <c r="D22" s="91"/>
      <c r="E22" s="92">
        <f>_xlfn.IFERROR(AVERAGE(E2:E21)," ")</f>
        <v>25.5</v>
      </c>
      <c r="F22" s="93">
        <f>SUM(F2:F21)</f>
        <v>2351.004673097340</v>
      </c>
      <c r="G22" s="93">
        <f>SUM(G2:G21)</f>
        <v>851.238205402089</v>
      </c>
      <c r="H22" s="94"/>
      <c r="I22" s="95">
        <f>SUM(I2:I21)</f>
        <v>318.416428571429</v>
      </c>
      <c r="J22" s="94">
        <f>AVERAGE(J2:J21)</f>
        <v>22.0190508866052</v>
      </c>
      <c r="K22" s="95">
        <f>SUM(K2:K21)</f>
        <v>167.090129938711</v>
      </c>
      <c r="L22" s="95">
        <f>SUM(L2:L21)</f>
        <v>262.906587062424</v>
      </c>
      <c r="M22" s="95">
        <f>SUM(M2:M21)</f>
        <v>429.996717001136</v>
      </c>
      <c r="N22" s="95">
        <f>SUM(N2:N21)</f>
        <v>1227.594371509850</v>
      </c>
      <c r="O22" s="95">
        <f>SUM(O2:O21)</f>
        <v>52.3718895173598</v>
      </c>
      <c r="P22" s="95">
        <f>SUM(P2:P21)</f>
        <v>163.301617039930</v>
      </c>
      <c r="Q22" s="95">
        <f>SUM(Q2:Q21)</f>
        <v>2.07850281777065</v>
      </c>
      <c r="R22" s="95">
        <f>SUM(R2:R21)</f>
        <v>5.0405379224835</v>
      </c>
      <c r="S22" s="95">
        <f>SUM(S2:S21)</f>
        <v>203.514145909627</v>
      </c>
      <c r="T22" s="95">
        <f>SUM(T2:T21)</f>
        <v>338.975970524655</v>
      </c>
      <c r="U22" s="95">
        <f>SUM(U2:U21)</f>
        <v>38.4053322780156</v>
      </c>
      <c r="V22" s="95">
        <f>SUM(V2:V21)</f>
        <v>175.4157587088</v>
      </c>
      <c r="W22" s="95">
        <f>SUM(W2:W21)</f>
        <v>26.308643521259</v>
      </c>
      <c r="X22" s="95">
        <f>SUM(X2:X21)</f>
        <v>545.739506641181</v>
      </c>
      <c r="Y22" s="95">
        <f>SUM(Y2:Y21)</f>
        <v>511.174151892153</v>
      </c>
      <c r="Z22" s="96">
        <f>_xlfn.IFERROR(X22/(X22+Y22),0)</f>
        <v>0.516352023871559</v>
      </c>
      <c r="AA22" s="64"/>
      <c r="AB22" s="97"/>
      <c r="AC22" s="97"/>
      <c r="AD22" s="97"/>
      <c r="AE22" s="97"/>
      <c r="AF22" s="97"/>
    </row>
    <row r="23" ht="21.25" customHeight="1">
      <c r="A23" s="98"/>
      <c r="B23" s="99"/>
      <c r="C23" s="100"/>
      <c r="D23" s="11"/>
      <c r="E23" s="11"/>
      <c r="F23" s="101"/>
      <c r="G23" s="102"/>
      <c r="H23" s="103"/>
      <c r="I23" s="10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9"/>
      <c r="AC23" s="69"/>
      <c r="AD23" s="69"/>
      <c r="AE23" s="69"/>
      <c r="AF23" s="69"/>
    </row>
    <row r="24" ht="21.25" customHeight="1">
      <c r="A24" t="s" s="31">
        <v>66</v>
      </c>
      <c r="B24" t="s" s="105">
        <v>68</v>
      </c>
      <c r="C24" s="19"/>
      <c r="D24" t="s" s="105">
        <v>69</v>
      </c>
      <c r="E24" t="s" s="105">
        <v>70</v>
      </c>
      <c r="F24" t="s" s="106">
        <v>72</v>
      </c>
      <c r="G24" t="s" s="106">
        <v>74</v>
      </c>
      <c r="H24" s="107"/>
      <c r="I24" t="s" s="108">
        <v>79</v>
      </c>
      <c r="J24" t="s" s="108">
        <v>97</v>
      </c>
      <c r="K24" t="s" s="108">
        <v>98</v>
      </c>
      <c r="L24" t="s" s="108">
        <v>99</v>
      </c>
      <c r="M24" t="s" s="108">
        <v>100</v>
      </c>
      <c r="N24" t="s" s="108">
        <v>101</v>
      </c>
      <c r="O24" t="s" s="108">
        <v>102</v>
      </c>
      <c r="P24" t="s" s="108">
        <v>103</v>
      </c>
      <c r="Q24" t="s" s="108">
        <v>104</v>
      </c>
      <c r="R24" s="64"/>
      <c r="S24" s="64"/>
      <c r="T24" s="64"/>
      <c r="U24" t="s" s="105">
        <v>901</v>
      </c>
      <c r="V24" s="107"/>
      <c r="W24" s="107"/>
      <c r="X24" t="s" s="105">
        <v>902</v>
      </c>
      <c r="Y24" s="107"/>
      <c r="Z24" s="107"/>
      <c r="AA24" s="64"/>
      <c r="AB24" s="64"/>
      <c r="AC24" s="64"/>
      <c r="AD24" s="64"/>
      <c r="AE24" s="64"/>
      <c r="AF24" s="64"/>
    </row>
    <row r="25" ht="21.25" customHeight="1">
      <c r="A25" t="s" s="109">
        <v>145</v>
      </c>
      <c r="B25" t="s" s="110">
        <f>_xlfn.IFERROR(VLOOKUP($A25,'The List'!$B1:$AS730,3,FALSE)," ")</f>
        <v>146</v>
      </c>
      <c r="C25" s="111">
        <f>_xlfn.IFERROR(VLOOKUP($A25,'The List'!$B1:$AS730,4,FALSE)," ")</f>
        <v>1</v>
      </c>
      <c r="D25" t="s" s="112">
        <f>_xlfn.IFERROR(VLOOKUP($A25,'The List'!$B1:$AS730,5,FALSE)," ")</f>
        <v>124</v>
      </c>
      <c r="E25" s="113">
        <f>_xlfn.IFERROR(VLOOKUP($A25,'The List'!$B1:$AS730,6,FALSE)," ")</f>
        <v>29</v>
      </c>
      <c r="F25" s="114">
        <f>_xlfn.IFERROR(VLOOKUP($A25,'The List'!$B1:$AS730,8,FALSE)," ")</f>
        <v>411.794855169476</v>
      </c>
      <c r="G25" s="114">
        <f>_xlfn.IFERROR(VLOOKUP($A25,'The List'!$B1:$AS730,10,FALSE)," ")</f>
        <v>146.491633669788</v>
      </c>
      <c r="H25" s="115"/>
      <c r="I25" s="116">
        <f>_xlfn.IFERROR(VLOOKUP($A25,'The List'!$B1:$AS730,35,FALSE)," ")</f>
        <v>62</v>
      </c>
      <c r="J25" s="116">
        <f>_xlfn.IFERROR(VLOOKUP($A25,'The List'!$B1:$AS730,36,FALSE)," ")</f>
        <v>35.2892156159789</v>
      </c>
      <c r="K25" s="116">
        <f>_xlfn.IFERROR(VLOOKUP($A25,'The List'!$B1:$AS730,37,FALSE)," ")</f>
        <v>18.9607843840211</v>
      </c>
      <c r="L25" s="116">
        <f>_xlfn.IFERROR(VLOOKUP($A25,'The List'!$B1:$AS730,38,FALSE)," ")</f>
        <v>7.75</v>
      </c>
      <c r="M25" s="116">
        <f>_xlfn.IFERROR(VLOOKUP($A25,'The List'!$B1:$AS730,39,FALSE)," ")</f>
        <v>4.39870690669133</v>
      </c>
      <c r="N25" s="116">
        <f>_xlfn.IFERROR(VLOOKUP($A25,'The List'!$B1:$AS730,40,FALSE)," ")</f>
        <v>1786.6926148654</v>
      </c>
      <c r="O25" s="116">
        <f>_xlfn.IFERROR(VLOOKUP($A25,'The List'!$B1:$AS730,41,FALSE)," ")</f>
        <v>162.184464572103</v>
      </c>
      <c r="P25" s="117">
        <f>_xlfn.IFERROR(VLOOKUP($A25,'The List'!$B1:$AS730,42,FALSE)," ")</f>
        <v>0.916780557233033</v>
      </c>
      <c r="Q25" s="118">
        <f>_xlfn.IFERROR(VLOOKUP($A25,'The List'!$B1:$AS730,43,FALSE)," ")</f>
        <v>2.61587846084037</v>
      </c>
      <c r="R25" s="64"/>
      <c r="S25" s="64"/>
      <c r="T25" t="s" s="119">
        <f>A$1</f>
        <v>903</v>
      </c>
      <c r="U25" s="120">
        <f>F22+F28</f>
        <v>2762.799528266820</v>
      </c>
      <c r="V25" s="19"/>
      <c r="W25" s="19"/>
      <c r="X25" s="120">
        <f>G28+G22</f>
        <v>997.729839071877</v>
      </c>
      <c r="Y25" s="19"/>
      <c r="Z25" s="19"/>
      <c r="AA25" s="64"/>
      <c r="AB25" s="64"/>
      <c r="AC25" s="64"/>
      <c r="AD25" s="64"/>
      <c r="AE25" s="64"/>
      <c r="AF25" s="64"/>
    </row>
    <row r="26" ht="21.25" customHeight="1">
      <c r="A26" s="29"/>
      <c r="B26" t="s" s="121">
        <f>_xlfn.IFERROR(VLOOKUP($A26,'The List'!$B1:$AS730,3,FALSE)," ")</f>
        <v>885</v>
      </c>
      <c r="C26" t="s" s="122">
        <f>_xlfn.IFERROR(VLOOKUP($A26,'The List'!$B1:$AS730,4,FALSE)," ")</f>
        <v>885</v>
      </c>
      <c r="D26" t="s" s="42">
        <f>_xlfn.IFERROR(VLOOKUP($A26,'The List'!$B1:$AS730,5,FALSE)," ")</f>
        <v>885</v>
      </c>
      <c r="E26" t="s" s="42">
        <f>_xlfn.IFERROR(VLOOKUP($A26,'The List'!$B1:$AS730,6,FALSE)," ")</f>
        <v>885</v>
      </c>
      <c r="F26" t="s" s="60">
        <f>_xlfn.IFERROR(VLOOKUP($A26,'The List'!$B1:$AS730,8,FALSE)," ")</f>
        <v>885</v>
      </c>
      <c r="G26" t="s" s="60">
        <f>_xlfn.IFERROR(VLOOKUP($A26,'The List'!$B1:$AS730,10,FALSE)," ")</f>
        <v>885</v>
      </c>
      <c r="H26" s="46"/>
      <c r="I26" t="s" s="61">
        <f>_xlfn.IFERROR(VLOOKUP($A26,'The List'!$B1:$AS730,35,FALSE)," ")</f>
        <v>885</v>
      </c>
      <c r="J26" t="s" s="61">
        <f>_xlfn.IFERROR(VLOOKUP($A26,'The List'!$B1:$AS730,36,FALSE)," ")</f>
        <v>885</v>
      </c>
      <c r="K26" t="s" s="61">
        <f>_xlfn.IFERROR(VLOOKUP($A26,'The List'!$B1:$AS730,37,FALSE)," ")</f>
        <v>885</v>
      </c>
      <c r="L26" t="s" s="61">
        <f>_xlfn.IFERROR(VLOOKUP($A26,'The List'!$B1:$AS730,38,FALSE)," ")</f>
        <v>885</v>
      </c>
      <c r="M26" t="s" s="61">
        <f>_xlfn.IFERROR(VLOOKUP($A26,'The List'!$B1:$AS730,39,FALSE)," ")</f>
        <v>885</v>
      </c>
      <c r="N26" t="s" s="61">
        <f>_xlfn.IFERROR(VLOOKUP($A26,'The List'!$B1:$AS730,40,FALSE)," ")</f>
        <v>885</v>
      </c>
      <c r="O26" t="s" s="61">
        <f>_xlfn.IFERROR(VLOOKUP($A26,'The List'!$B1:$AS730,41,FALSE)," ")</f>
        <v>885</v>
      </c>
      <c r="P26" t="s" s="61">
        <f>_xlfn.IFERROR(VLOOKUP($A26,'The List'!$B1:$AS730,42,FALSE)," ")</f>
        <v>885</v>
      </c>
      <c r="Q26" t="s" s="61">
        <f>_xlfn.IFERROR(VLOOKUP($A26,'The List'!$B1:$AS730,43,FALSE)," ")</f>
        <v>885</v>
      </c>
      <c r="R26" s="64"/>
      <c r="S26" s="64"/>
      <c r="T26" s="64"/>
      <c r="U26" s="19"/>
      <c r="V26" s="19"/>
      <c r="W26" s="19"/>
      <c r="X26" s="19"/>
      <c r="Y26" s="19"/>
      <c r="Z26" s="19"/>
      <c r="AA26" s="64"/>
      <c r="AB26" s="64"/>
      <c r="AC26" s="64"/>
      <c r="AD26" s="64"/>
      <c r="AE26" s="64"/>
      <c r="AF26" s="64"/>
    </row>
    <row r="27" ht="21.25" customHeight="1">
      <c r="A27" s="81"/>
      <c r="B27" t="s" s="123">
        <f>_xlfn.IFERROR(VLOOKUP($A27,'The List'!$B1:$AS730,3,FALSE)," ")</f>
        <v>885</v>
      </c>
      <c r="C27" t="s" s="124">
        <f>_xlfn.IFERROR(VLOOKUP($A27,'The List'!$B1:$AS730,4,FALSE)," ")</f>
        <v>885</v>
      </c>
      <c r="D27" t="s" s="84">
        <f>_xlfn.IFERROR(VLOOKUP($A27,'The List'!$B1:$AS730,5,FALSE)," ")</f>
        <v>885</v>
      </c>
      <c r="E27" t="s" s="84">
        <f>_xlfn.IFERROR(VLOOKUP($A27,'The List'!$B1:$AS730,6,FALSE)," ")</f>
        <v>885</v>
      </c>
      <c r="F27" t="s" s="85">
        <f>_xlfn.IFERROR(VLOOKUP($A27,'The List'!$B1:$AS730,8,FALSE)," ")</f>
        <v>885</v>
      </c>
      <c r="G27" t="s" s="85">
        <f>_xlfn.IFERROR(VLOOKUP($A27,'The List'!$B1:$AS730,10,FALSE)," ")</f>
        <v>885</v>
      </c>
      <c r="H27" s="86"/>
      <c r="I27" t="s" s="87">
        <f>_xlfn.IFERROR(VLOOKUP($A27,'The List'!$B1:$AS730,35,FALSE)," ")</f>
        <v>885</v>
      </c>
      <c r="J27" t="s" s="87">
        <f>_xlfn.IFERROR(VLOOKUP($A27,'The List'!$B1:$AS730,36,FALSE)," ")</f>
        <v>885</v>
      </c>
      <c r="K27" t="s" s="87">
        <f>_xlfn.IFERROR(VLOOKUP($A27,'The List'!$B1:$AS730,37,FALSE)," ")</f>
        <v>885</v>
      </c>
      <c r="L27" t="s" s="87">
        <f>_xlfn.IFERROR(VLOOKUP($A27,'The List'!$B1:$AS730,38,FALSE)," ")</f>
        <v>885</v>
      </c>
      <c r="M27" t="s" s="87">
        <f>_xlfn.IFERROR(VLOOKUP($A27,'The List'!$B1:$AS730,39,FALSE)," ")</f>
        <v>885</v>
      </c>
      <c r="N27" t="s" s="87">
        <f>_xlfn.IFERROR(VLOOKUP($A27,'The List'!$B1:$AS730,40,FALSE)," ")</f>
        <v>885</v>
      </c>
      <c r="O27" t="s" s="87">
        <f>_xlfn.IFERROR(VLOOKUP($A27,'The List'!$B1:$AS730,41,FALSE)," ")</f>
        <v>885</v>
      </c>
      <c r="P27" t="s" s="87">
        <f>_xlfn.IFERROR(VLOOKUP($A27,'The List'!$B1:$AS730,42,FALSE)," ")</f>
        <v>885</v>
      </c>
      <c r="Q27" t="s" s="87">
        <f>_xlfn.IFERROR(VLOOKUP($A27,'The List'!$B1:$AS730,43,FALSE)," ")</f>
        <v>885</v>
      </c>
      <c r="R27" s="64"/>
      <c r="S27" s="64"/>
      <c r="T27" s="64"/>
      <c r="U27" s="19"/>
      <c r="V27" s="19"/>
      <c r="W27" s="19"/>
      <c r="X27" s="19"/>
      <c r="Y27" s="19"/>
      <c r="Z27" s="19"/>
      <c r="AA27" s="64"/>
      <c r="AB27" s="64"/>
      <c r="AC27" s="64"/>
      <c r="AD27" s="64"/>
      <c r="AE27" s="64"/>
      <c r="AF27" s="64"/>
    </row>
    <row r="28" ht="21.25" customHeight="1">
      <c r="A28" s="88"/>
      <c r="B28" s="89"/>
      <c r="C28" s="90"/>
      <c r="D28" s="91"/>
      <c r="E28" s="92">
        <f>_xlfn.IFERROR(AVERAGE(E25:E27)," ")</f>
        <v>29</v>
      </c>
      <c r="F28" s="93">
        <f>SUM(F25:F27)</f>
        <v>411.794855169476</v>
      </c>
      <c r="G28" s="93">
        <f>SUM(G25:G27)</f>
        <v>146.491633669788</v>
      </c>
      <c r="H28" s="94"/>
      <c r="I28" s="95">
        <f>SUM(I25:I27)</f>
        <v>62</v>
      </c>
      <c r="J28" s="94">
        <f>SUM(J25:J27)</f>
        <v>35.2892156159789</v>
      </c>
      <c r="K28" s="95">
        <f>SUM(K25:K27)</f>
        <v>18.9607843840211</v>
      </c>
      <c r="L28" s="95">
        <f>SUM(L25:L27)</f>
        <v>7.75</v>
      </c>
      <c r="M28" s="95">
        <f>SUM(M25:M27)</f>
        <v>4.39870690669133</v>
      </c>
      <c r="N28" s="95">
        <f>SUM(N25:N27)</f>
        <v>1786.6926148654</v>
      </c>
      <c r="O28" s="95">
        <f>SUM(O25:O27)</f>
        <v>162.184464572103</v>
      </c>
      <c r="P28" s="125">
        <f>1-(O28/(N28+O28))</f>
        <v>0.916780557233033</v>
      </c>
      <c r="Q28" s="126">
        <f>O28/I28</f>
        <v>2.61587846084037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</row>
    <row r="29" ht="70.85" customHeight="1">
      <c r="A29" s="98"/>
      <c r="B29" s="99"/>
      <c r="C29" s="100"/>
      <c r="D29" s="11"/>
      <c r="E29" s="11"/>
      <c r="F29" s="101"/>
      <c r="G29" s="102"/>
      <c r="H29" s="103"/>
      <c r="I29" s="10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9"/>
      <c r="AB29" s="69"/>
      <c r="AC29" s="69"/>
      <c r="AD29" s="69"/>
      <c r="AE29" s="69"/>
      <c r="AF29" s="69"/>
    </row>
    <row r="30" ht="21.25" customHeight="1">
      <c r="A30" t="s" s="32">
        <v>886</v>
      </c>
      <c r="B30" t="s" s="33">
        <v>68</v>
      </c>
      <c r="C30" s="25"/>
      <c r="D30" t="s" s="33">
        <v>69</v>
      </c>
      <c r="E30" t="s" s="33">
        <v>70</v>
      </c>
      <c r="F30" t="s" s="34">
        <v>72</v>
      </c>
      <c r="G30" t="s" s="34">
        <v>74</v>
      </c>
      <c r="H30" s="35"/>
      <c r="I30" t="s" s="37">
        <v>79</v>
      </c>
      <c r="J30" t="s" s="37">
        <v>80</v>
      </c>
      <c r="K30" t="s" s="37">
        <v>81</v>
      </c>
      <c r="L30" t="s" s="37">
        <v>82</v>
      </c>
      <c r="M30" t="s" s="37">
        <v>83</v>
      </c>
      <c r="N30" t="s" s="37">
        <v>84</v>
      </c>
      <c r="O30" t="s" s="37">
        <v>85</v>
      </c>
      <c r="P30" t="s" s="37">
        <v>86</v>
      </c>
      <c r="Q30" t="s" s="37">
        <v>87</v>
      </c>
      <c r="R30" t="s" s="37">
        <v>88</v>
      </c>
      <c r="S30" t="s" s="37">
        <v>89</v>
      </c>
      <c r="T30" t="s" s="37">
        <v>90</v>
      </c>
      <c r="U30" t="s" s="37">
        <v>91</v>
      </c>
      <c r="V30" t="s" s="37">
        <v>92</v>
      </c>
      <c r="W30" t="s" s="37">
        <v>93</v>
      </c>
      <c r="X30" t="s" s="37">
        <v>94</v>
      </c>
      <c r="Y30" t="s" s="37">
        <v>95</v>
      </c>
      <c r="Z30" t="s" s="37">
        <v>96</v>
      </c>
      <c r="AA30" s="64"/>
      <c r="AB30" s="69"/>
      <c r="AC30" s="65"/>
      <c r="AD30" s="65"/>
      <c r="AE30" s="65"/>
      <c r="AF30" s="65"/>
    </row>
    <row r="31" ht="21.25" customHeight="1">
      <c r="A31" s="29"/>
      <c r="B31" t="s" s="66">
        <f>_xlfn.IFERROR(VLOOKUP($A31,'The List'!$B1:$AS730,3,FALSE)," ")</f>
        <v>885</v>
      </c>
      <c r="C31" t="s" s="70">
        <f>_xlfn.IFERROR(VLOOKUP($A31,'The List'!$B1:$AS730,4,FALSE)," ")</f>
        <v>885</v>
      </c>
      <c r="D31" t="s" s="42">
        <f>_xlfn.IFERROR(VLOOKUP($A31,'The List'!$B1:$AS730,5,FALSE)," ")</f>
        <v>885</v>
      </c>
      <c r="E31" t="s" s="42">
        <f>_xlfn.IFERROR(VLOOKUP($A31,'The List'!$B1:$AS730,6,FALSE)," ")</f>
        <v>885</v>
      </c>
      <c r="F31" t="s" s="60">
        <f>_xlfn.IFERROR(VLOOKUP($A31,'The List'!$B1:$AS730,8,FALSE)," ")</f>
        <v>885</v>
      </c>
      <c r="G31" t="s" s="60">
        <f>_xlfn.IFERROR(VLOOKUP($A31,'The List'!$B1:$AS730,10,FALSE)," ")</f>
        <v>885</v>
      </c>
      <c r="H31" s="46"/>
      <c r="I31" t="s" s="61">
        <f>_xlfn.IFERROR(VLOOKUP($A31,'The List'!$B1:$AS730,16,FALSE)," ")</f>
        <v>885</v>
      </c>
      <c r="J31" t="s" s="61">
        <f>_xlfn.IFERROR(VLOOKUP($A31,'The List'!$B1:$AS730,17,FALSE)," ")</f>
        <v>885</v>
      </c>
      <c r="K31" t="s" s="61">
        <f>_xlfn.IFERROR(VLOOKUP($A31,'The List'!$B1:$AS730,18,FALSE)," ")</f>
        <v>885</v>
      </c>
      <c r="L31" t="s" s="61">
        <f>_xlfn.IFERROR(VLOOKUP($A31,'The List'!$B1:$AS730,19,FALSE)," ")</f>
        <v>885</v>
      </c>
      <c r="M31" t="s" s="61">
        <f>_xlfn.IFERROR(VLOOKUP($A31,'The List'!$B1:$AS730,20,FALSE)," ")</f>
        <v>885</v>
      </c>
      <c r="N31" t="s" s="61">
        <f>_xlfn.IFERROR(VLOOKUP($A31,'The List'!$B1:$AS730,21,FALSE)," ")</f>
        <v>885</v>
      </c>
      <c r="O31" t="s" s="61">
        <f>_xlfn.IFERROR(VLOOKUP($A31,'The List'!$B1:$AS730,22,FALSE)," ")</f>
        <v>885</v>
      </c>
      <c r="P31" t="s" s="61">
        <f>_xlfn.IFERROR(VLOOKUP($A31,'The List'!$B1:$AS730,23,FALSE)," ")</f>
        <v>885</v>
      </c>
      <c r="Q31" t="s" s="61">
        <f>_xlfn.IFERROR(VLOOKUP($A31,'The List'!$B1:$AS730,24,FALSE)," ")</f>
        <v>885</v>
      </c>
      <c r="R31" t="s" s="61">
        <f>_xlfn.IFERROR(VLOOKUP($A31,'The List'!$B1:$AS730,25,FALSE)," ")</f>
        <v>885</v>
      </c>
      <c r="S31" t="s" s="61">
        <f>_xlfn.IFERROR(VLOOKUP($A31,'The List'!$B1:$AS730,26,FALSE)," ")</f>
        <v>885</v>
      </c>
      <c r="T31" t="s" s="61">
        <f>_xlfn.IFERROR(VLOOKUP($A31,'The List'!$B1:$AS730,27,FALSE)," ")</f>
        <v>885</v>
      </c>
      <c r="U31" t="s" s="61">
        <f>_xlfn.IFERROR(VLOOKUP($A31,'The List'!$B1:$AS730,28,FALSE)," ")</f>
        <v>885</v>
      </c>
      <c r="V31" t="s" s="61">
        <f>_xlfn.IFERROR(VLOOKUP($A31,'The List'!$B1:$AS730,29,FALSE)," ")</f>
        <v>885</v>
      </c>
      <c r="W31" t="s" s="61">
        <f>_xlfn.IFERROR(VLOOKUP($A31,'The List'!$B1:$AS730,30,FALSE)," ")</f>
        <v>885</v>
      </c>
      <c r="X31" t="s" s="61">
        <f>_xlfn.IFERROR(VLOOKUP($A31,'The List'!$B1:$AS730,31,FALSE)," ")</f>
        <v>885</v>
      </c>
      <c r="Y31" t="s" s="61">
        <f>_xlfn.IFERROR(VLOOKUP($A31,'The List'!$B1:$AS730,32,FALSE)," ")</f>
        <v>885</v>
      </c>
      <c r="Z31" t="s" s="61">
        <f>_xlfn.IFERROR(VLOOKUP($A31,'The List'!$B1:$AS730,33,FALSE)," ")</f>
        <v>885</v>
      </c>
      <c r="AA31" s="64"/>
      <c r="AB31" s="69"/>
      <c r="AC31" s="69"/>
      <c r="AD31" s="69"/>
      <c r="AE31" s="69"/>
      <c r="AF31" s="69"/>
    </row>
    <row r="32" ht="21.25" customHeight="1">
      <c r="A32" s="29"/>
      <c r="B32" t="s" s="66">
        <f>_xlfn.IFERROR(VLOOKUP($A32,'The List'!$B1:$AS730,3,FALSE)," ")</f>
        <v>885</v>
      </c>
      <c r="C32" t="s" s="70">
        <f>_xlfn.IFERROR(VLOOKUP($A32,'The List'!$B1:$AS730,4,FALSE)," ")</f>
        <v>885</v>
      </c>
      <c r="D32" t="s" s="42">
        <f>_xlfn.IFERROR(VLOOKUP($A32,'The List'!$B1:$AS730,5,FALSE)," ")</f>
        <v>885</v>
      </c>
      <c r="E32" t="s" s="42">
        <f>_xlfn.IFERROR(VLOOKUP($A32,'The List'!$B1:$AS730,6,FALSE)," ")</f>
        <v>885</v>
      </c>
      <c r="F32" t="s" s="60">
        <f>_xlfn.IFERROR(VLOOKUP($A32,'The List'!$B1:$AS730,8,FALSE)," ")</f>
        <v>885</v>
      </c>
      <c r="G32" t="s" s="60">
        <f>_xlfn.IFERROR(VLOOKUP($A32,'The List'!$B1:$AS730,10,FALSE)," ")</f>
        <v>885</v>
      </c>
      <c r="H32" s="46"/>
      <c r="I32" t="s" s="61">
        <f>_xlfn.IFERROR(VLOOKUP($A32,'The List'!$B1:$AS730,16,FALSE)," ")</f>
        <v>885</v>
      </c>
      <c r="J32" t="s" s="61">
        <f>_xlfn.IFERROR(VLOOKUP($A32,'The List'!$B1:$AS730,17,FALSE)," ")</f>
        <v>885</v>
      </c>
      <c r="K32" t="s" s="61">
        <f>_xlfn.IFERROR(VLOOKUP($A32,'The List'!$B1:$AS730,18,FALSE)," ")</f>
        <v>885</v>
      </c>
      <c r="L32" t="s" s="61">
        <f>_xlfn.IFERROR(VLOOKUP($A32,'The List'!$B1:$AS730,19,FALSE)," ")</f>
        <v>885</v>
      </c>
      <c r="M32" t="s" s="61">
        <f>_xlfn.IFERROR(VLOOKUP($A32,'The List'!$B1:$AS730,20,FALSE)," ")</f>
        <v>885</v>
      </c>
      <c r="N32" t="s" s="61">
        <f>_xlfn.IFERROR(VLOOKUP($A32,'The List'!$B1:$AS730,21,FALSE)," ")</f>
        <v>885</v>
      </c>
      <c r="O32" t="s" s="61">
        <f>_xlfn.IFERROR(VLOOKUP($A32,'The List'!$B1:$AS730,22,FALSE)," ")</f>
        <v>885</v>
      </c>
      <c r="P32" t="s" s="61">
        <f>_xlfn.IFERROR(VLOOKUP($A32,'The List'!$B1:$AS730,23,FALSE)," ")</f>
        <v>885</v>
      </c>
      <c r="Q32" t="s" s="61">
        <f>_xlfn.IFERROR(VLOOKUP($A32,'The List'!$B1:$AS730,24,FALSE)," ")</f>
        <v>885</v>
      </c>
      <c r="R32" t="s" s="61">
        <f>_xlfn.IFERROR(VLOOKUP($A32,'The List'!$B1:$AS730,25,FALSE)," ")</f>
        <v>885</v>
      </c>
      <c r="S32" t="s" s="61">
        <f>_xlfn.IFERROR(VLOOKUP($A32,'The List'!$B1:$AS730,26,FALSE)," ")</f>
        <v>885</v>
      </c>
      <c r="T32" t="s" s="61">
        <f>_xlfn.IFERROR(VLOOKUP($A32,'The List'!$B1:$AS730,27,FALSE)," ")</f>
        <v>885</v>
      </c>
      <c r="U32" t="s" s="61">
        <f>_xlfn.IFERROR(VLOOKUP($A32,'The List'!$B1:$AS730,28,FALSE)," ")</f>
        <v>885</v>
      </c>
      <c r="V32" t="s" s="61">
        <f>_xlfn.IFERROR(VLOOKUP($A32,'The List'!$B1:$AS730,29,FALSE)," ")</f>
        <v>885</v>
      </c>
      <c r="W32" t="s" s="61">
        <f>_xlfn.IFERROR(VLOOKUP($A32,'The List'!$B1:$AS730,30,FALSE)," ")</f>
        <v>885</v>
      </c>
      <c r="X32" t="s" s="61">
        <f>_xlfn.IFERROR(VLOOKUP($A32,'The List'!$B1:$AS730,31,FALSE)," ")</f>
        <v>885</v>
      </c>
      <c r="Y32" t="s" s="61">
        <f>_xlfn.IFERROR(VLOOKUP($A32,'The List'!$B1:$AS730,32,FALSE)," ")</f>
        <v>885</v>
      </c>
      <c r="Z32" t="s" s="61">
        <f>_xlfn.IFERROR(VLOOKUP($A32,'The List'!$B1:$AS730,33,FALSE)," ")</f>
        <v>885</v>
      </c>
      <c r="AA32" s="64"/>
      <c r="AB32" s="69"/>
      <c r="AC32" s="69"/>
      <c r="AD32" s="69"/>
      <c r="AE32" s="69"/>
      <c r="AF32" s="69"/>
    </row>
    <row r="33" ht="21.25" customHeight="1">
      <c r="A33" s="29"/>
      <c r="B33" t="s" s="66">
        <f>_xlfn.IFERROR(VLOOKUP($A33,'The List'!$B1:$AS730,3,FALSE)," ")</f>
        <v>885</v>
      </c>
      <c r="C33" t="s" s="70">
        <f>_xlfn.IFERROR(VLOOKUP($A33,'The List'!$B1:$AS730,4,FALSE)," ")</f>
        <v>885</v>
      </c>
      <c r="D33" t="s" s="42">
        <f>_xlfn.IFERROR(VLOOKUP($A33,'The List'!$B1:$AS730,5,FALSE)," ")</f>
        <v>885</v>
      </c>
      <c r="E33" t="s" s="42">
        <f>_xlfn.IFERROR(VLOOKUP($A33,'The List'!$B1:$AS730,6,FALSE)," ")</f>
        <v>885</v>
      </c>
      <c r="F33" t="s" s="60">
        <f>_xlfn.IFERROR(VLOOKUP($A33,'The List'!$B1:$AS730,8,FALSE)," ")</f>
        <v>885</v>
      </c>
      <c r="G33" t="s" s="60">
        <f>_xlfn.IFERROR(VLOOKUP($A33,'The List'!$B1:$AS730,10,FALSE)," ")</f>
        <v>885</v>
      </c>
      <c r="H33" s="46"/>
      <c r="I33" t="s" s="61">
        <f>_xlfn.IFERROR(VLOOKUP($A33,'The List'!$B1:$AS730,16,FALSE)," ")</f>
        <v>885</v>
      </c>
      <c r="J33" t="s" s="61">
        <f>_xlfn.IFERROR(VLOOKUP($A33,'The List'!$B1:$AS730,17,FALSE)," ")</f>
        <v>885</v>
      </c>
      <c r="K33" t="s" s="61">
        <f>_xlfn.IFERROR(VLOOKUP($A33,'The List'!$B1:$AS730,18,FALSE)," ")</f>
        <v>885</v>
      </c>
      <c r="L33" t="s" s="61">
        <f>_xlfn.IFERROR(VLOOKUP($A33,'The List'!$B1:$AS730,19,FALSE)," ")</f>
        <v>885</v>
      </c>
      <c r="M33" t="s" s="61">
        <f>_xlfn.IFERROR(VLOOKUP($A33,'The List'!$B1:$AS730,20,FALSE)," ")</f>
        <v>885</v>
      </c>
      <c r="N33" t="s" s="61">
        <f>_xlfn.IFERROR(VLOOKUP($A33,'The List'!$B1:$AS730,21,FALSE)," ")</f>
        <v>885</v>
      </c>
      <c r="O33" t="s" s="61">
        <f>_xlfn.IFERROR(VLOOKUP($A33,'The List'!$B1:$AS730,22,FALSE)," ")</f>
        <v>885</v>
      </c>
      <c r="P33" t="s" s="61">
        <f>_xlfn.IFERROR(VLOOKUP($A33,'The List'!$B1:$AS730,23,FALSE)," ")</f>
        <v>885</v>
      </c>
      <c r="Q33" t="s" s="61">
        <f>_xlfn.IFERROR(VLOOKUP($A33,'The List'!$B1:$AS730,24,FALSE)," ")</f>
        <v>885</v>
      </c>
      <c r="R33" t="s" s="61">
        <f>_xlfn.IFERROR(VLOOKUP($A33,'The List'!$B1:$AS730,25,FALSE)," ")</f>
        <v>885</v>
      </c>
      <c r="S33" t="s" s="61">
        <f>_xlfn.IFERROR(VLOOKUP($A33,'The List'!$B1:$AS730,26,FALSE)," ")</f>
        <v>885</v>
      </c>
      <c r="T33" t="s" s="61">
        <f>_xlfn.IFERROR(VLOOKUP($A33,'The List'!$B1:$AS730,27,FALSE)," ")</f>
        <v>885</v>
      </c>
      <c r="U33" t="s" s="61">
        <f>_xlfn.IFERROR(VLOOKUP($A33,'The List'!$B1:$AS730,28,FALSE)," ")</f>
        <v>885</v>
      </c>
      <c r="V33" t="s" s="61">
        <f>_xlfn.IFERROR(VLOOKUP($A33,'The List'!$B1:$AS730,29,FALSE)," ")</f>
        <v>885</v>
      </c>
      <c r="W33" t="s" s="61">
        <f>_xlfn.IFERROR(VLOOKUP($A33,'The List'!$B1:$AS730,30,FALSE)," ")</f>
        <v>885</v>
      </c>
      <c r="X33" t="s" s="61">
        <f>_xlfn.IFERROR(VLOOKUP($A33,'The List'!$B1:$AS730,31,FALSE)," ")</f>
        <v>885</v>
      </c>
      <c r="Y33" t="s" s="61">
        <f>_xlfn.IFERROR(VLOOKUP($A33,'The List'!$B1:$AS730,32,FALSE)," ")</f>
        <v>885</v>
      </c>
      <c r="Z33" t="s" s="61">
        <f>_xlfn.IFERROR(VLOOKUP($A33,'The List'!$B1:$AS730,33,FALSE)," ")</f>
        <v>885</v>
      </c>
      <c r="AA33" s="64"/>
      <c r="AB33" s="69"/>
      <c r="AC33" s="69"/>
      <c r="AD33" s="69"/>
      <c r="AE33" s="69"/>
      <c r="AF33" s="69"/>
    </row>
    <row r="34" ht="21.25" customHeight="1">
      <c r="A34" s="29"/>
      <c r="B34" t="s" s="66">
        <f>_xlfn.IFERROR(VLOOKUP($A34,'The List'!$B1:$AS730,3,FALSE)," ")</f>
        <v>885</v>
      </c>
      <c r="C34" t="s" s="70">
        <f>_xlfn.IFERROR(VLOOKUP($A34,'The List'!$B1:$AS730,4,FALSE)," ")</f>
        <v>885</v>
      </c>
      <c r="D34" t="s" s="42">
        <f>_xlfn.IFERROR(VLOOKUP($A34,'The List'!$B1:$AS730,5,FALSE)," ")</f>
        <v>885</v>
      </c>
      <c r="E34" t="s" s="42">
        <f>_xlfn.IFERROR(VLOOKUP($A34,'The List'!$B1:$AS730,6,FALSE)," ")</f>
        <v>885</v>
      </c>
      <c r="F34" t="s" s="60">
        <f>_xlfn.IFERROR(VLOOKUP($A34,'The List'!$B1:$AS730,8,FALSE)," ")</f>
        <v>885</v>
      </c>
      <c r="G34" t="s" s="60">
        <f>_xlfn.IFERROR(VLOOKUP($A34,'The List'!$B1:$AS730,10,FALSE)," ")</f>
        <v>885</v>
      </c>
      <c r="H34" s="46"/>
      <c r="I34" t="s" s="61">
        <f>_xlfn.IFERROR(VLOOKUP($A34,'The List'!$B1:$AS730,16,FALSE)," ")</f>
        <v>885</v>
      </c>
      <c r="J34" t="s" s="61">
        <f>_xlfn.IFERROR(VLOOKUP($A34,'The List'!$B1:$AS730,17,FALSE)," ")</f>
        <v>885</v>
      </c>
      <c r="K34" t="s" s="61">
        <f>_xlfn.IFERROR(VLOOKUP($A34,'The List'!$B1:$AS730,18,FALSE)," ")</f>
        <v>885</v>
      </c>
      <c r="L34" t="s" s="61">
        <f>_xlfn.IFERROR(VLOOKUP($A34,'The List'!$B1:$AS730,19,FALSE)," ")</f>
        <v>885</v>
      </c>
      <c r="M34" t="s" s="61">
        <f>_xlfn.IFERROR(VLOOKUP($A34,'The List'!$B1:$AS730,20,FALSE)," ")</f>
        <v>885</v>
      </c>
      <c r="N34" t="s" s="61">
        <f>_xlfn.IFERROR(VLOOKUP($A34,'The List'!$B1:$AS730,21,FALSE)," ")</f>
        <v>885</v>
      </c>
      <c r="O34" t="s" s="61">
        <f>_xlfn.IFERROR(VLOOKUP($A34,'The List'!$B1:$AS730,22,FALSE)," ")</f>
        <v>885</v>
      </c>
      <c r="P34" t="s" s="61">
        <f>_xlfn.IFERROR(VLOOKUP($A34,'The List'!$B1:$AS730,23,FALSE)," ")</f>
        <v>885</v>
      </c>
      <c r="Q34" t="s" s="61">
        <f>_xlfn.IFERROR(VLOOKUP($A34,'The List'!$B1:$AS730,24,FALSE)," ")</f>
        <v>885</v>
      </c>
      <c r="R34" t="s" s="61">
        <f>_xlfn.IFERROR(VLOOKUP($A34,'The List'!$B1:$AS730,25,FALSE)," ")</f>
        <v>885</v>
      </c>
      <c r="S34" t="s" s="61">
        <f>_xlfn.IFERROR(VLOOKUP($A34,'The List'!$B1:$AS730,26,FALSE)," ")</f>
        <v>885</v>
      </c>
      <c r="T34" t="s" s="61">
        <f>_xlfn.IFERROR(VLOOKUP($A34,'The List'!$B1:$AS730,27,FALSE)," ")</f>
        <v>885</v>
      </c>
      <c r="U34" t="s" s="61">
        <f>_xlfn.IFERROR(VLOOKUP($A34,'The List'!$B1:$AS730,28,FALSE)," ")</f>
        <v>885</v>
      </c>
      <c r="V34" t="s" s="61">
        <f>_xlfn.IFERROR(VLOOKUP($A34,'The List'!$B1:$AS730,29,FALSE)," ")</f>
        <v>885</v>
      </c>
      <c r="W34" t="s" s="61">
        <f>_xlfn.IFERROR(VLOOKUP($A34,'The List'!$B1:$AS730,30,FALSE)," ")</f>
        <v>885</v>
      </c>
      <c r="X34" t="s" s="61">
        <f>_xlfn.IFERROR(VLOOKUP($A34,'The List'!$B1:$AS730,31,FALSE)," ")</f>
        <v>885</v>
      </c>
      <c r="Y34" t="s" s="61">
        <f>_xlfn.IFERROR(VLOOKUP($A34,'The List'!$B1:$AS730,32,FALSE)," ")</f>
        <v>885</v>
      </c>
      <c r="Z34" t="s" s="61">
        <f>_xlfn.IFERROR(VLOOKUP($A34,'The List'!$B1:$AS730,33,FALSE)," ")</f>
        <v>885</v>
      </c>
      <c r="AA34" s="64"/>
      <c r="AB34" s="69"/>
      <c r="AC34" s="69"/>
      <c r="AD34" s="69"/>
      <c r="AE34" s="69"/>
      <c r="AF34" s="69"/>
    </row>
    <row r="35" ht="21.25" customHeight="1">
      <c r="A35" s="29"/>
      <c r="B35" t="s" s="71">
        <f>_xlfn.IFERROR(VLOOKUP($A35,'The List'!$B1:$AS730,3,FALSE)," ")</f>
        <v>885</v>
      </c>
      <c r="C35" t="s" s="73">
        <f>_xlfn.IFERROR(VLOOKUP($A35,'The List'!$B1:$AS730,4,FALSE)," ")</f>
        <v>885</v>
      </c>
      <c r="D35" t="s" s="42">
        <f>_xlfn.IFERROR(VLOOKUP($A35,'The List'!$B1:$AS730,5,FALSE)," ")</f>
        <v>885</v>
      </c>
      <c r="E35" t="s" s="42">
        <f>_xlfn.IFERROR(VLOOKUP($A35,'The List'!$B1:$AS730,6,FALSE)," ")</f>
        <v>885</v>
      </c>
      <c r="F35" t="s" s="60">
        <f>_xlfn.IFERROR(VLOOKUP($A35,'The List'!$B1:$AS730,8,FALSE)," ")</f>
        <v>885</v>
      </c>
      <c r="G35" t="s" s="60">
        <f>_xlfn.IFERROR(VLOOKUP($A35,'The List'!$B1:$AS730,10,FALSE)," ")</f>
        <v>885</v>
      </c>
      <c r="H35" s="46"/>
      <c r="I35" t="s" s="61">
        <f>_xlfn.IFERROR(VLOOKUP($A35,'The List'!$B1:$AS730,16,FALSE)," ")</f>
        <v>885</v>
      </c>
      <c r="J35" t="s" s="61">
        <f>_xlfn.IFERROR(VLOOKUP($A35,'The List'!$B1:$AS730,17,FALSE)," ")</f>
        <v>885</v>
      </c>
      <c r="K35" t="s" s="61">
        <f>_xlfn.IFERROR(VLOOKUP($A35,'The List'!$B1:$AS730,18,FALSE)," ")</f>
        <v>885</v>
      </c>
      <c r="L35" t="s" s="61">
        <f>_xlfn.IFERROR(VLOOKUP($A35,'The List'!$B1:$AS730,19,FALSE)," ")</f>
        <v>885</v>
      </c>
      <c r="M35" t="s" s="61">
        <f>_xlfn.IFERROR(VLOOKUP($A35,'The List'!$B1:$AS730,20,FALSE)," ")</f>
        <v>885</v>
      </c>
      <c r="N35" t="s" s="61">
        <f>_xlfn.IFERROR(VLOOKUP($A35,'The List'!$B1:$AS730,21,FALSE)," ")</f>
        <v>885</v>
      </c>
      <c r="O35" t="s" s="61">
        <f>_xlfn.IFERROR(VLOOKUP($A35,'The List'!$B1:$AS730,22,FALSE)," ")</f>
        <v>885</v>
      </c>
      <c r="P35" t="s" s="61">
        <f>_xlfn.IFERROR(VLOOKUP($A35,'The List'!$B1:$AS730,23,FALSE)," ")</f>
        <v>885</v>
      </c>
      <c r="Q35" t="s" s="61">
        <f>_xlfn.IFERROR(VLOOKUP($A35,'The List'!$B1:$AS730,24,FALSE)," ")</f>
        <v>885</v>
      </c>
      <c r="R35" t="s" s="61">
        <f>_xlfn.IFERROR(VLOOKUP($A35,'The List'!$B1:$AS730,25,FALSE)," ")</f>
        <v>885</v>
      </c>
      <c r="S35" t="s" s="61">
        <f>_xlfn.IFERROR(VLOOKUP($A35,'The List'!$B1:$AS730,26,FALSE)," ")</f>
        <v>885</v>
      </c>
      <c r="T35" t="s" s="61">
        <f>_xlfn.IFERROR(VLOOKUP($A35,'The List'!$B1:$AS730,27,FALSE)," ")</f>
        <v>885</v>
      </c>
      <c r="U35" t="s" s="61">
        <f>_xlfn.IFERROR(VLOOKUP($A35,'The List'!$B1:$AS730,28,FALSE)," ")</f>
        <v>885</v>
      </c>
      <c r="V35" t="s" s="61">
        <f>_xlfn.IFERROR(VLOOKUP($A35,'The List'!$B1:$AS730,29,FALSE)," ")</f>
        <v>885</v>
      </c>
      <c r="W35" t="s" s="61">
        <f>_xlfn.IFERROR(VLOOKUP($A35,'The List'!$B1:$AS730,30,FALSE)," ")</f>
        <v>885</v>
      </c>
      <c r="X35" t="s" s="61">
        <f>_xlfn.IFERROR(VLOOKUP($A35,'The List'!$B1:$AS730,31,FALSE)," ")</f>
        <v>885</v>
      </c>
      <c r="Y35" t="s" s="61">
        <f>_xlfn.IFERROR(VLOOKUP($A35,'The List'!$B1:$AS730,32,FALSE)," ")</f>
        <v>885</v>
      </c>
      <c r="Z35" t="s" s="61">
        <f>_xlfn.IFERROR(VLOOKUP($A35,'The List'!$B1:$AS730,33,FALSE)," ")</f>
        <v>885</v>
      </c>
      <c r="AA35" s="64"/>
      <c r="AB35" s="69"/>
      <c r="AC35" s="69"/>
      <c r="AD35" s="69"/>
      <c r="AE35" s="69"/>
      <c r="AF35" s="69"/>
    </row>
    <row r="36" ht="21.25" customHeight="1">
      <c r="A36" s="29"/>
      <c r="B36" t="s" s="71">
        <f>_xlfn.IFERROR(VLOOKUP($A36,'The List'!$B1:$AS730,3,FALSE)," ")</f>
        <v>885</v>
      </c>
      <c r="C36" t="s" s="73">
        <f>_xlfn.IFERROR(VLOOKUP($A36,'The List'!$B1:$AS730,4,FALSE)," ")</f>
        <v>885</v>
      </c>
      <c r="D36" t="s" s="42">
        <f>_xlfn.IFERROR(VLOOKUP($A36,'The List'!$B1:$AS730,5,FALSE)," ")</f>
        <v>885</v>
      </c>
      <c r="E36" t="s" s="42">
        <f>_xlfn.IFERROR(VLOOKUP($A36,'The List'!$B1:$AS730,6,FALSE)," ")</f>
        <v>885</v>
      </c>
      <c r="F36" t="s" s="60">
        <f>_xlfn.IFERROR(VLOOKUP($A36,'The List'!$B1:$AS730,8,FALSE)," ")</f>
        <v>885</v>
      </c>
      <c r="G36" t="s" s="60">
        <f>_xlfn.IFERROR(VLOOKUP($A36,'The List'!$B1:$AS730,10,FALSE)," ")</f>
        <v>885</v>
      </c>
      <c r="H36" s="46"/>
      <c r="I36" t="s" s="61">
        <f>_xlfn.IFERROR(VLOOKUP($A36,'The List'!$B1:$AS730,16,FALSE)," ")</f>
        <v>885</v>
      </c>
      <c r="J36" t="s" s="61">
        <f>_xlfn.IFERROR(VLOOKUP($A36,'The List'!$B1:$AS730,17,FALSE)," ")</f>
        <v>885</v>
      </c>
      <c r="K36" t="s" s="61">
        <f>_xlfn.IFERROR(VLOOKUP($A36,'The List'!$B1:$AS730,18,FALSE)," ")</f>
        <v>885</v>
      </c>
      <c r="L36" t="s" s="61">
        <f>_xlfn.IFERROR(VLOOKUP($A36,'The List'!$B1:$AS730,19,FALSE)," ")</f>
        <v>885</v>
      </c>
      <c r="M36" t="s" s="61">
        <f>_xlfn.IFERROR(VLOOKUP($A36,'The List'!$B1:$AS730,20,FALSE)," ")</f>
        <v>885</v>
      </c>
      <c r="N36" t="s" s="61">
        <f>_xlfn.IFERROR(VLOOKUP($A36,'The List'!$B1:$AS730,21,FALSE)," ")</f>
        <v>885</v>
      </c>
      <c r="O36" t="s" s="61">
        <f>_xlfn.IFERROR(VLOOKUP($A36,'The List'!$B1:$AS730,22,FALSE)," ")</f>
        <v>885</v>
      </c>
      <c r="P36" t="s" s="61">
        <f>_xlfn.IFERROR(VLOOKUP($A36,'The List'!$B1:$AS730,23,FALSE)," ")</f>
        <v>885</v>
      </c>
      <c r="Q36" t="s" s="61">
        <f>_xlfn.IFERROR(VLOOKUP($A36,'The List'!$B1:$AS730,24,FALSE)," ")</f>
        <v>885</v>
      </c>
      <c r="R36" t="s" s="61">
        <f>_xlfn.IFERROR(VLOOKUP($A36,'The List'!$B1:$AS730,25,FALSE)," ")</f>
        <v>885</v>
      </c>
      <c r="S36" t="s" s="61">
        <f>_xlfn.IFERROR(VLOOKUP($A36,'The List'!$B1:$AS730,26,FALSE)," ")</f>
        <v>885</v>
      </c>
      <c r="T36" t="s" s="61">
        <f>_xlfn.IFERROR(VLOOKUP($A36,'The List'!$B1:$AS730,27,FALSE)," ")</f>
        <v>885</v>
      </c>
      <c r="U36" t="s" s="61">
        <f>_xlfn.IFERROR(VLOOKUP($A36,'The List'!$B1:$AS730,28,FALSE)," ")</f>
        <v>885</v>
      </c>
      <c r="V36" t="s" s="61">
        <f>_xlfn.IFERROR(VLOOKUP($A36,'The List'!$B1:$AS730,29,FALSE)," ")</f>
        <v>885</v>
      </c>
      <c r="W36" t="s" s="61">
        <f>_xlfn.IFERROR(VLOOKUP($A36,'The List'!$B1:$AS730,30,FALSE)," ")</f>
        <v>885</v>
      </c>
      <c r="X36" t="s" s="61">
        <f>_xlfn.IFERROR(VLOOKUP($A36,'The List'!$B1:$AS730,31,FALSE)," ")</f>
        <v>885</v>
      </c>
      <c r="Y36" t="s" s="61">
        <f>_xlfn.IFERROR(VLOOKUP($A36,'The List'!$B1:$AS730,32,FALSE)," ")</f>
        <v>885</v>
      </c>
      <c r="Z36" t="s" s="61">
        <f>_xlfn.IFERROR(VLOOKUP($A36,'The List'!$B1:$AS730,33,FALSE)," ")</f>
        <v>885</v>
      </c>
      <c r="AA36" s="64"/>
      <c r="AB36" s="69"/>
      <c r="AC36" s="69"/>
      <c r="AD36" s="69"/>
      <c r="AE36" s="69"/>
      <c r="AF36" s="69"/>
    </row>
    <row r="37" ht="21.25" customHeight="1">
      <c r="A37" s="29"/>
      <c r="B37" t="s" s="71">
        <f>_xlfn.IFERROR(VLOOKUP($A37,'The List'!$B1:$AS730,3,FALSE)," ")</f>
        <v>885</v>
      </c>
      <c r="C37" t="s" s="73">
        <f>_xlfn.IFERROR(VLOOKUP($A37,'The List'!$B1:$AS730,4,FALSE)," ")</f>
        <v>885</v>
      </c>
      <c r="D37" t="s" s="42">
        <f>_xlfn.IFERROR(VLOOKUP($A37,'The List'!$B1:$AS730,5,FALSE)," ")</f>
        <v>885</v>
      </c>
      <c r="E37" t="s" s="42">
        <f>_xlfn.IFERROR(VLOOKUP($A37,'The List'!$B1:$AS730,6,FALSE)," ")</f>
        <v>885</v>
      </c>
      <c r="F37" t="s" s="60">
        <f>_xlfn.IFERROR(VLOOKUP($A37,'The List'!$B1:$AS730,8,FALSE)," ")</f>
        <v>885</v>
      </c>
      <c r="G37" t="s" s="60">
        <f>_xlfn.IFERROR(VLOOKUP($A37,'The List'!$B1:$AS730,10,FALSE)," ")</f>
        <v>885</v>
      </c>
      <c r="H37" s="46"/>
      <c r="I37" t="s" s="61">
        <f>_xlfn.IFERROR(VLOOKUP($A37,'The List'!$B1:$AS730,16,FALSE)," ")</f>
        <v>885</v>
      </c>
      <c r="J37" t="s" s="61">
        <f>_xlfn.IFERROR(VLOOKUP($A37,'The List'!$B1:$AS730,17,FALSE)," ")</f>
        <v>885</v>
      </c>
      <c r="K37" t="s" s="61">
        <f>_xlfn.IFERROR(VLOOKUP($A37,'The List'!$B1:$AS730,18,FALSE)," ")</f>
        <v>885</v>
      </c>
      <c r="L37" t="s" s="61">
        <f>_xlfn.IFERROR(VLOOKUP($A37,'The List'!$B1:$AS730,19,FALSE)," ")</f>
        <v>885</v>
      </c>
      <c r="M37" t="s" s="61">
        <f>_xlfn.IFERROR(VLOOKUP($A37,'The List'!$B1:$AS730,20,FALSE)," ")</f>
        <v>885</v>
      </c>
      <c r="N37" t="s" s="61">
        <f>_xlfn.IFERROR(VLOOKUP($A37,'The List'!$B1:$AS730,21,FALSE)," ")</f>
        <v>885</v>
      </c>
      <c r="O37" t="s" s="61">
        <f>_xlfn.IFERROR(VLOOKUP($A37,'The List'!$B1:$AS730,22,FALSE)," ")</f>
        <v>885</v>
      </c>
      <c r="P37" t="s" s="61">
        <f>_xlfn.IFERROR(VLOOKUP($A37,'The List'!$B1:$AS730,23,FALSE)," ")</f>
        <v>885</v>
      </c>
      <c r="Q37" t="s" s="61">
        <f>_xlfn.IFERROR(VLOOKUP($A37,'The List'!$B1:$AS730,24,FALSE)," ")</f>
        <v>885</v>
      </c>
      <c r="R37" t="s" s="61">
        <f>_xlfn.IFERROR(VLOOKUP($A37,'The List'!$B1:$AS730,25,FALSE)," ")</f>
        <v>885</v>
      </c>
      <c r="S37" t="s" s="61">
        <f>_xlfn.IFERROR(VLOOKUP($A37,'The List'!$B1:$AS730,26,FALSE)," ")</f>
        <v>885</v>
      </c>
      <c r="T37" t="s" s="61">
        <f>_xlfn.IFERROR(VLOOKUP($A37,'The List'!$B1:$AS730,27,FALSE)," ")</f>
        <v>885</v>
      </c>
      <c r="U37" t="s" s="61">
        <f>_xlfn.IFERROR(VLOOKUP($A37,'The List'!$B1:$AS730,28,FALSE)," ")</f>
        <v>885</v>
      </c>
      <c r="V37" t="s" s="61">
        <f>_xlfn.IFERROR(VLOOKUP($A37,'The List'!$B1:$AS730,29,FALSE)," ")</f>
        <v>885</v>
      </c>
      <c r="W37" t="s" s="61">
        <f>_xlfn.IFERROR(VLOOKUP($A37,'The List'!$B1:$AS730,30,FALSE)," ")</f>
        <v>885</v>
      </c>
      <c r="X37" t="s" s="61">
        <f>_xlfn.IFERROR(VLOOKUP($A37,'The List'!$B1:$AS730,31,FALSE)," ")</f>
        <v>885</v>
      </c>
      <c r="Y37" t="s" s="61">
        <f>_xlfn.IFERROR(VLOOKUP($A37,'The List'!$B1:$AS730,32,FALSE)," ")</f>
        <v>885</v>
      </c>
      <c r="Z37" t="s" s="61">
        <f>_xlfn.IFERROR(VLOOKUP($A37,'The List'!$B1:$AS730,33,FALSE)," ")</f>
        <v>885</v>
      </c>
      <c r="AA37" s="64"/>
      <c r="AB37" s="69"/>
      <c r="AC37" s="69"/>
      <c r="AD37" s="69"/>
      <c r="AE37" s="69"/>
      <c r="AF37" s="69"/>
    </row>
    <row r="38" ht="21.25" customHeight="1">
      <c r="A38" s="29"/>
      <c r="B38" t="s" s="71">
        <f>_xlfn.IFERROR(VLOOKUP($A38,'The List'!$B1:$AS730,3,FALSE)," ")</f>
        <v>885</v>
      </c>
      <c r="C38" t="s" s="73">
        <f>_xlfn.IFERROR(VLOOKUP($A38,'The List'!$B1:$AS730,4,FALSE)," ")</f>
        <v>885</v>
      </c>
      <c r="D38" t="s" s="42">
        <f>_xlfn.IFERROR(VLOOKUP($A38,'The List'!$B1:$AS730,5,FALSE)," ")</f>
        <v>885</v>
      </c>
      <c r="E38" t="s" s="42">
        <f>_xlfn.IFERROR(VLOOKUP($A38,'The List'!$B1:$AS730,6,FALSE)," ")</f>
        <v>885</v>
      </c>
      <c r="F38" t="s" s="60">
        <f>_xlfn.IFERROR(VLOOKUP($A38,'The List'!$B1:$AS730,8,FALSE)," ")</f>
        <v>885</v>
      </c>
      <c r="G38" t="s" s="60">
        <f>_xlfn.IFERROR(VLOOKUP($A38,'The List'!$B1:$AS730,10,FALSE)," ")</f>
        <v>885</v>
      </c>
      <c r="H38" s="46"/>
      <c r="I38" t="s" s="61">
        <f>_xlfn.IFERROR(VLOOKUP($A38,'The List'!$B1:$AS730,16,FALSE)," ")</f>
        <v>885</v>
      </c>
      <c r="J38" t="s" s="61">
        <f>_xlfn.IFERROR(VLOOKUP($A38,'The List'!$B1:$AS730,17,FALSE)," ")</f>
        <v>885</v>
      </c>
      <c r="K38" t="s" s="61">
        <f>_xlfn.IFERROR(VLOOKUP($A38,'The List'!$B1:$AS730,18,FALSE)," ")</f>
        <v>885</v>
      </c>
      <c r="L38" t="s" s="61">
        <f>_xlfn.IFERROR(VLOOKUP($A38,'The List'!$B1:$AS730,19,FALSE)," ")</f>
        <v>885</v>
      </c>
      <c r="M38" t="s" s="61">
        <f>_xlfn.IFERROR(VLOOKUP($A38,'The List'!$B1:$AS730,20,FALSE)," ")</f>
        <v>885</v>
      </c>
      <c r="N38" t="s" s="61">
        <f>_xlfn.IFERROR(VLOOKUP($A38,'The List'!$B1:$AS730,21,FALSE)," ")</f>
        <v>885</v>
      </c>
      <c r="O38" t="s" s="61">
        <f>_xlfn.IFERROR(VLOOKUP($A38,'The List'!$B1:$AS730,22,FALSE)," ")</f>
        <v>885</v>
      </c>
      <c r="P38" t="s" s="61">
        <f>_xlfn.IFERROR(VLOOKUP($A38,'The List'!$B1:$AS730,23,FALSE)," ")</f>
        <v>885</v>
      </c>
      <c r="Q38" t="s" s="61">
        <f>_xlfn.IFERROR(VLOOKUP($A38,'The List'!$B1:$AS730,24,FALSE)," ")</f>
        <v>885</v>
      </c>
      <c r="R38" t="s" s="61">
        <f>_xlfn.IFERROR(VLOOKUP($A38,'The List'!$B1:$AS730,25,FALSE)," ")</f>
        <v>885</v>
      </c>
      <c r="S38" t="s" s="61">
        <f>_xlfn.IFERROR(VLOOKUP($A38,'The List'!$B1:$AS730,26,FALSE)," ")</f>
        <v>885</v>
      </c>
      <c r="T38" t="s" s="61">
        <f>_xlfn.IFERROR(VLOOKUP($A38,'The List'!$B1:$AS730,27,FALSE)," ")</f>
        <v>885</v>
      </c>
      <c r="U38" t="s" s="61">
        <f>_xlfn.IFERROR(VLOOKUP($A38,'The List'!$B1:$AS730,28,FALSE)," ")</f>
        <v>885</v>
      </c>
      <c r="V38" t="s" s="61">
        <f>_xlfn.IFERROR(VLOOKUP($A38,'The List'!$B1:$AS730,29,FALSE)," ")</f>
        <v>885</v>
      </c>
      <c r="W38" t="s" s="61">
        <f>_xlfn.IFERROR(VLOOKUP($A38,'The List'!$B1:$AS730,30,FALSE)," ")</f>
        <v>885</v>
      </c>
      <c r="X38" t="s" s="61">
        <f>_xlfn.IFERROR(VLOOKUP($A38,'The List'!$B1:$AS730,31,FALSE)," ")</f>
        <v>885</v>
      </c>
      <c r="Y38" t="s" s="61">
        <f>_xlfn.IFERROR(VLOOKUP($A38,'The List'!$B1:$AS730,32,FALSE)," ")</f>
        <v>885</v>
      </c>
      <c r="Z38" t="s" s="61">
        <f>_xlfn.IFERROR(VLOOKUP($A38,'The List'!$B1:$AS730,33,FALSE)," ")</f>
        <v>885</v>
      </c>
      <c r="AA38" s="64"/>
      <c r="AB38" s="69"/>
      <c r="AC38" s="69"/>
      <c r="AD38" s="69"/>
      <c r="AE38" s="69"/>
      <c r="AF38" s="69"/>
    </row>
    <row r="39" ht="21.25" customHeight="1">
      <c r="A39" s="29"/>
      <c r="B39" t="s" s="74">
        <f>_xlfn.IFERROR(VLOOKUP($A39,'The List'!$B1:$AS730,3,FALSE)," ")</f>
        <v>885</v>
      </c>
      <c r="C39" t="s" s="76">
        <f>_xlfn.IFERROR(VLOOKUP($A39,'The List'!$B1:$AS730,4,FALSE)," ")</f>
        <v>885</v>
      </c>
      <c r="D39" t="s" s="42">
        <f>_xlfn.IFERROR(VLOOKUP($A39,'The List'!$B1:$AS730,5,FALSE)," ")</f>
        <v>885</v>
      </c>
      <c r="E39" t="s" s="42">
        <f>_xlfn.IFERROR(VLOOKUP($A39,'The List'!$B1:$AS730,6,FALSE)," ")</f>
        <v>885</v>
      </c>
      <c r="F39" t="s" s="60">
        <f>_xlfn.IFERROR(VLOOKUP($A39,'The List'!$B1:$AS730,8,FALSE)," ")</f>
        <v>885</v>
      </c>
      <c r="G39" t="s" s="60">
        <f>_xlfn.IFERROR(VLOOKUP($A39,'The List'!$B1:$AS730,10,FALSE)," ")</f>
        <v>885</v>
      </c>
      <c r="H39" s="46"/>
      <c r="I39" t="s" s="61">
        <f>_xlfn.IFERROR(VLOOKUP($A39,'The List'!$B1:$AS730,16,FALSE)," ")</f>
        <v>885</v>
      </c>
      <c r="J39" t="s" s="61">
        <f>_xlfn.IFERROR(VLOOKUP($A39,'The List'!$B1:$AS730,17,FALSE)," ")</f>
        <v>885</v>
      </c>
      <c r="K39" t="s" s="61">
        <f>_xlfn.IFERROR(VLOOKUP($A39,'The List'!$B1:$AS730,18,FALSE)," ")</f>
        <v>885</v>
      </c>
      <c r="L39" t="s" s="61">
        <f>_xlfn.IFERROR(VLOOKUP($A39,'The List'!$B1:$AS730,19,FALSE)," ")</f>
        <v>885</v>
      </c>
      <c r="M39" t="s" s="61">
        <f>_xlfn.IFERROR(VLOOKUP($A39,'The List'!$B1:$AS730,20,FALSE)," ")</f>
        <v>885</v>
      </c>
      <c r="N39" t="s" s="61">
        <f>_xlfn.IFERROR(VLOOKUP($A39,'The List'!$B1:$AS730,21,FALSE)," ")</f>
        <v>885</v>
      </c>
      <c r="O39" t="s" s="61">
        <f>_xlfn.IFERROR(VLOOKUP($A39,'The List'!$B1:$AS730,22,FALSE)," ")</f>
        <v>885</v>
      </c>
      <c r="P39" t="s" s="61">
        <f>_xlfn.IFERROR(VLOOKUP($A39,'The List'!$B1:$AS730,23,FALSE)," ")</f>
        <v>885</v>
      </c>
      <c r="Q39" t="s" s="61">
        <f>_xlfn.IFERROR(VLOOKUP($A39,'The List'!$B1:$AS730,24,FALSE)," ")</f>
        <v>885</v>
      </c>
      <c r="R39" t="s" s="61">
        <f>_xlfn.IFERROR(VLOOKUP($A39,'The List'!$B1:$AS730,25,FALSE)," ")</f>
        <v>885</v>
      </c>
      <c r="S39" t="s" s="61">
        <f>_xlfn.IFERROR(VLOOKUP($A39,'The List'!$B1:$AS730,26,FALSE)," ")</f>
        <v>885</v>
      </c>
      <c r="T39" t="s" s="61">
        <f>_xlfn.IFERROR(VLOOKUP($A39,'The List'!$B1:$AS730,27,FALSE)," ")</f>
        <v>885</v>
      </c>
      <c r="U39" t="s" s="61">
        <f>_xlfn.IFERROR(VLOOKUP($A39,'The List'!$B1:$AS730,28,FALSE)," ")</f>
        <v>885</v>
      </c>
      <c r="V39" t="s" s="61">
        <f>_xlfn.IFERROR(VLOOKUP($A39,'The List'!$B1:$AS730,29,FALSE)," ")</f>
        <v>885</v>
      </c>
      <c r="W39" t="s" s="61">
        <f>_xlfn.IFERROR(VLOOKUP($A39,'The List'!$B1:$AS730,30,FALSE)," ")</f>
        <v>885</v>
      </c>
      <c r="X39" t="s" s="61">
        <f>_xlfn.IFERROR(VLOOKUP($A39,'The List'!$B1:$AS730,31,FALSE)," ")</f>
        <v>885</v>
      </c>
      <c r="Y39" t="s" s="61">
        <f>_xlfn.IFERROR(VLOOKUP($A39,'The List'!$B1:$AS730,32,FALSE)," ")</f>
        <v>885</v>
      </c>
      <c r="Z39" t="s" s="61">
        <f>_xlfn.IFERROR(VLOOKUP($A39,'The List'!$B1:$AS730,33,FALSE)," ")</f>
        <v>885</v>
      </c>
      <c r="AA39" s="64"/>
      <c r="AB39" s="69"/>
      <c r="AC39" s="69"/>
      <c r="AD39" s="69"/>
      <c r="AE39" s="69"/>
      <c r="AF39" s="69"/>
    </row>
    <row r="40" ht="21.25" customHeight="1">
      <c r="A40" s="29"/>
      <c r="B40" t="s" s="74">
        <f>_xlfn.IFERROR(VLOOKUP($A40,'The List'!$B1:$AS730,3,FALSE)," ")</f>
        <v>885</v>
      </c>
      <c r="C40" t="s" s="76">
        <f>_xlfn.IFERROR(VLOOKUP($A40,'The List'!$B1:$AS730,4,FALSE)," ")</f>
        <v>885</v>
      </c>
      <c r="D40" t="s" s="42">
        <f>_xlfn.IFERROR(VLOOKUP($A40,'The List'!$B1:$AS730,5,FALSE)," ")</f>
        <v>885</v>
      </c>
      <c r="E40" t="s" s="42">
        <f>_xlfn.IFERROR(VLOOKUP($A40,'The List'!$B1:$AS730,6,FALSE)," ")</f>
        <v>885</v>
      </c>
      <c r="F40" t="s" s="60">
        <f>_xlfn.IFERROR(VLOOKUP($A40,'The List'!$B1:$AS730,8,FALSE)," ")</f>
        <v>885</v>
      </c>
      <c r="G40" t="s" s="60">
        <f>_xlfn.IFERROR(VLOOKUP($A40,'The List'!$B1:$AS730,10,FALSE)," ")</f>
        <v>885</v>
      </c>
      <c r="H40" s="46"/>
      <c r="I40" t="s" s="61">
        <f>_xlfn.IFERROR(VLOOKUP($A40,'The List'!$B1:$AS730,16,FALSE)," ")</f>
        <v>885</v>
      </c>
      <c r="J40" t="s" s="61">
        <f>_xlfn.IFERROR(VLOOKUP($A40,'The List'!$B1:$AS730,17,FALSE)," ")</f>
        <v>885</v>
      </c>
      <c r="K40" t="s" s="61">
        <f>_xlfn.IFERROR(VLOOKUP($A40,'The List'!$B1:$AS730,18,FALSE)," ")</f>
        <v>885</v>
      </c>
      <c r="L40" t="s" s="61">
        <f>_xlfn.IFERROR(VLOOKUP($A40,'The List'!$B1:$AS730,19,FALSE)," ")</f>
        <v>885</v>
      </c>
      <c r="M40" t="s" s="61">
        <f>_xlfn.IFERROR(VLOOKUP($A40,'The List'!$B1:$AS730,20,FALSE)," ")</f>
        <v>885</v>
      </c>
      <c r="N40" t="s" s="61">
        <f>_xlfn.IFERROR(VLOOKUP($A40,'The List'!$B1:$AS730,21,FALSE)," ")</f>
        <v>885</v>
      </c>
      <c r="O40" t="s" s="61">
        <f>_xlfn.IFERROR(VLOOKUP($A40,'The List'!$B1:$AS730,22,FALSE)," ")</f>
        <v>885</v>
      </c>
      <c r="P40" t="s" s="61">
        <f>_xlfn.IFERROR(VLOOKUP($A40,'The List'!$B1:$AS730,23,FALSE)," ")</f>
        <v>885</v>
      </c>
      <c r="Q40" t="s" s="61">
        <f>_xlfn.IFERROR(VLOOKUP($A40,'The List'!$B1:$AS730,24,FALSE)," ")</f>
        <v>885</v>
      </c>
      <c r="R40" t="s" s="61">
        <f>_xlfn.IFERROR(VLOOKUP($A40,'The List'!$B1:$AS730,25,FALSE)," ")</f>
        <v>885</v>
      </c>
      <c r="S40" t="s" s="61">
        <f>_xlfn.IFERROR(VLOOKUP($A40,'The List'!$B1:$AS730,26,FALSE)," ")</f>
        <v>885</v>
      </c>
      <c r="T40" t="s" s="61">
        <f>_xlfn.IFERROR(VLOOKUP($A40,'The List'!$B1:$AS730,27,FALSE)," ")</f>
        <v>885</v>
      </c>
      <c r="U40" t="s" s="61">
        <f>_xlfn.IFERROR(VLOOKUP($A40,'The List'!$B1:$AS730,28,FALSE)," ")</f>
        <v>885</v>
      </c>
      <c r="V40" t="s" s="61">
        <f>_xlfn.IFERROR(VLOOKUP($A40,'The List'!$B1:$AS730,29,FALSE)," ")</f>
        <v>885</v>
      </c>
      <c r="W40" t="s" s="61">
        <f>_xlfn.IFERROR(VLOOKUP($A40,'The List'!$B1:$AS730,30,FALSE)," ")</f>
        <v>885</v>
      </c>
      <c r="X40" t="s" s="61">
        <f>_xlfn.IFERROR(VLOOKUP($A40,'The List'!$B1:$AS730,31,FALSE)," ")</f>
        <v>885</v>
      </c>
      <c r="Y40" t="s" s="61">
        <f>_xlfn.IFERROR(VLOOKUP($A40,'The List'!$B1:$AS730,32,FALSE)," ")</f>
        <v>885</v>
      </c>
      <c r="Z40" t="s" s="61">
        <f>_xlfn.IFERROR(VLOOKUP($A40,'The List'!$B1:$AS730,33,FALSE)," ")</f>
        <v>885</v>
      </c>
      <c r="AA40" s="64"/>
      <c r="AB40" s="69"/>
      <c r="AC40" s="69"/>
      <c r="AD40" s="69"/>
      <c r="AE40" s="69"/>
      <c r="AF40" s="69"/>
    </row>
    <row r="41" ht="21.25" customHeight="1">
      <c r="A41" s="29"/>
      <c r="B41" t="s" s="74">
        <f>_xlfn.IFERROR(VLOOKUP($A41,'The List'!$B1:$AS730,3,FALSE)," ")</f>
        <v>885</v>
      </c>
      <c r="C41" t="s" s="76">
        <f>_xlfn.IFERROR(VLOOKUP($A41,'The List'!$B1:$AS730,4,FALSE)," ")</f>
        <v>885</v>
      </c>
      <c r="D41" t="s" s="42">
        <f>_xlfn.IFERROR(VLOOKUP($A41,'The List'!$B1:$AS730,5,FALSE)," ")</f>
        <v>885</v>
      </c>
      <c r="E41" t="s" s="42">
        <f>_xlfn.IFERROR(VLOOKUP($A41,'The List'!$B1:$AS730,6,FALSE)," ")</f>
        <v>885</v>
      </c>
      <c r="F41" t="s" s="60">
        <f>_xlfn.IFERROR(VLOOKUP($A41,'The List'!$B1:$AS730,8,FALSE)," ")</f>
        <v>885</v>
      </c>
      <c r="G41" t="s" s="60">
        <f>_xlfn.IFERROR(VLOOKUP($A41,'The List'!$B1:$AS730,10,FALSE)," ")</f>
        <v>885</v>
      </c>
      <c r="H41" s="46"/>
      <c r="I41" t="s" s="61">
        <f>_xlfn.IFERROR(VLOOKUP($A41,'The List'!$B1:$AS730,16,FALSE)," ")</f>
        <v>885</v>
      </c>
      <c r="J41" t="s" s="61">
        <f>_xlfn.IFERROR(VLOOKUP($A41,'The List'!$B1:$AS730,17,FALSE)," ")</f>
        <v>885</v>
      </c>
      <c r="K41" t="s" s="61">
        <f>_xlfn.IFERROR(VLOOKUP($A41,'The List'!$B1:$AS730,18,FALSE)," ")</f>
        <v>885</v>
      </c>
      <c r="L41" t="s" s="61">
        <f>_xlfn.IFERROR(VLOOKUP($A41,'The List'!$B1:$AS730,19,FALSE)," ")</f>
        <v>885</v>
      </c>
      <c r="M41" t="s" s="61">
        <f>_xlfn.IFERROR(VLOOKUP($A41,'The List'!$B1:$AS730,20,FALSE)," ")</f>
        <v>885</v>
      </c>
      <c r="N41" t="s" s="61">
        <f>_xlfn.IFERROR(VLOOKUP($A41,'The List'!$B1:$AS730,21,FALSE)," ")</f>
        <v>885</v>
      </c>
      <c r="O41" t="s" s="61">
        <f>_xlfn.IFERROR(VLOOKUP($A41,'The List'!$B1:$AS730,22,FALSE)," ")</f>
        <v>885</v>
      </c>
      <c r="P41" t="s" s="61">
        <f>_xlfn.IFERROR(VLOOKUP($A41,'The List'!$B1:$AS730,23,FALSE)," ")</f>
        <v>885</v>
      </c>
      <c r="Q41" t="s" s="61">
        <f>_xlfn.IFERROR(VLOOKUP($A41,'The List'!$B1:$AS730,24,FALSE)," ")</f>
        <v>885</v>
      </c>
      <c r="R41" t="s" s="61">
        <f>_xlfn.IFERROR(VLOOKUP($A41,'The List'!$B1:$AS730,25,FALSE)," ")</f>
        <v>885</v>
      </c>
      <c r="S41" t="s" s="61">
        <f>_xlfn.IFERROR(VLOOKUP($A41,'The List'!$B1:$AS730,26,FALSE)," ")</f>
        <v>885</v>
      </c>
      <c r="T41" t="s" s="61">
        <f>_xlfn.IFERROR(VLOOKUP($A41,'The List'!$B1:$AS730,27,FALSE)," ")</f>
        <v>885</v>
      </c>
      <c r="U41" t="s" s="61">
        <f>_xlfn.IFERROR(VLOOKUP($A41,'The List'!$B1:$AS730,28,FALSE)," ")</f>
        <v>885</v>
      </c>
      <c r="V41" t="s" s="61">
        <f>_xlfn.IFERROR(VLOOKUP($A41,'The List'!$B1:$AS730,29,FALSE)," ")</f>
        <v>885</v>
      </c>
      <c r="W41" t="s" s="61">
        <f>_xlfn.IFERROR(VLOOKUP($A41,'The List'!$B1:$AS730,30,FALSE)," ")</f>
        <v>885</v>
      </c>
      <c r="X41" t="s" s="61">
        <f>_xlfn.IFERROR(VLOOKUP($A41,'The List'!$B1:$AS730,31,FALSE)," ")</f>
        <v>885</v>
      </c>
      <c r="Y41" t="s" s="61">
        <f>_xlfn.IFERROR(VLOOKUP($A41,'The List'!$B1:$AS730,32,FALSE)," ")</f>
        <v>885</v>
      </c>
      <c r="Z41" t="s" s="61">
        <f>_xlfn.IFERROR(VLOOKUP($A41,'The List'!$B1:$AS730,33,FALSE)," ")</f>
        <v>885</v>
      </c>
      <c r="AA41" s="64"/>
      <c r="AB41" s="69"/>
      <c r="AC41" s="69"/>
      <c r="AD41" s="69"/>
      <c r="AE41" s="69"/>
      <c r="AF41" s="69"/>
    </row>
    <row r="42" ht="21.25" customHeight="1">
      <c r="A42" s="29"/>
      <c r="B42" t="s" s="74">
        <f>_xlfn.IFERROR(VLOOKUP($A42,'The List'!$B1:$AS730,3,FALSE)," ")</f>
        <v>885</v>
      </c>
      <c r="C42" t="s" s="76">
        <f>_xlfn.IFERROR(VLOOKUP($A42,'The List'!$B1:$AS730,4,FALSE)," ")</f>
        <v>885</v>
      </c>
      <c r="D42" t="s" s="42">
        <f>_xlfn.IFERROR(VLOOKUP($A42,'The List'!$B1:$AS730,5,FALSE)," ")</f>
        <v>885</v>
      </c>
      <c r="E42" t="s" s="42">
        <f>_xlfn.IFERROR(VLOOKUP($A42,'The List'!$B1:$AS730,6,FALSE)," ")</f>
        <v>885</v>
      </c>
      <c r="F42" t="s" s="60">
        <f>_xlfn.IFERROR(VLOOKUP($A42,'The List'!$B1:$AS730,8,FALSE)," ")</f>
        <v>885</v>
      </c>
      <c r="G42" t="s" s="60">
        <f>_xlfn.IFERROR(VLOOKUP($A42,'The List'!$B1:$AS730,10,FALSE)," ")</f>
        <v>885</v>
      </c>
      <c r="H42" s="46"/>
      <c r="I42" t="s" s="61">
        <f>_xlfn.IFERROR(VLOOKUP($A42,'The List'!$B1:$AS730,16,FALSE)," ")</f>
        <v>885</v>
      </c>
      <c r="J42" t="s" s="61">
        <f>_xlfn.IFERROR(VLOOKUP($A42,'The List'!$B1:$AS730,17,FALSE)," ")</f>
        <v>885</v>
      </c>
      <c r="K42" t="s" s="61">
        <f>_xlfn.IFERROR(VLOOKUP($A42,'The List'!$B1:$AS730,18,FALSE)," ")</f>
        <v>885</v>
      </c>
      <c r="L42" t="s" s="61">
        <f>_xlfn.IFERROR(VLOOKUP($A42,'The List'!$B1:$AS730,19,FALSE)," ")</f>
        <v>885</v>
      </c>
      <c r="M42" t="s" s="61">
        <f>_xlfn.IFERROR(VLOOKUP($A42,'The List'!$B1:$AS730,20,FALSE)," ")</f>
        <v>885</v>
      </c>
      <c r="N42" t="s" s="61">
        <f>_xlfn.IFERROR(VLOOKUP($A42,'The List'!$B1:$AS730,21,FALSE)," ")</f>
        <v>885</v>
      </c>
      <c r="O42" t="s" s="61">
        <f>_xlfn.IFERROR(VLOOKUP($A42,'The List'!$B1:$AS730,22,FALSE)," ")</f>
        <v>885</v>
      </c>
      <c r="P42" t="s" s="61">
        <f>_xlfn.IFERROR(VLOOKUP($A42,'The List'!$B1:$AS730,23,FALSE)," ")</f>
        <v>885</v>
      </c>
      <c r="Q42" t="s" s="61">
        <f>_xlfn.IFERROR(VLOOKUP($A42,'The List'!$B1:$AS730,24,FALSE)," ")</f>
        <v>885</v>
      </c>
      <c r="R42" t="s" s="61">
        <f>_xlfn.IFERROR(VLOOKUP($A42,'The List'!$B1:$AS730,25,FALSE)," ")</f>
        <v>885</v>
      </c>
      <c r="S42" t="s" s="61">
        <f>_xlfn.IFERROR(VLOOKUP($A42,'The List'!$B1:$AS730,26,FALSE)," ")</f>
        <v>885</v>
      </c>
      <c r="T42" t="s" s="61">
        <f>_xlfn.IFERROR(VLOOKUP($A42,'The List'!$B1:$AS730,27,FALSE)," ")</f>
        <v>885</v>
      </c>
      <c r="U42" t="s" s="61">
        <f>_xlfn.IFERROR(VLOOKUP($A42,'The List'!$B1:$AS730,28,FALSE)," ")</f>
        <v>885</v>
      </c>
      <c r="V42" t="s" s="61">
        <f>_xlfn.IFERROR(VLOOKUP($A42,'The List'!$B1:$AS730,29,FALSE)," ")</f>
        <v>885</v>
      </c>
      <c r="W42" t="s" s="61">
        <f>_xlfn.IFERROR(VLOOKUP($A42,'The List'!$B1:$AS730,30,FALSE)," ")</f>
        <v>885</v>
      </c>
      <c r="X42" t="s" s="61">
        <f>_xlfn.IFERROR(VLOOKUP($A42,'The List'!$B1:$AS730,31,FALSE)," ")</f>
        <v>885</v>
      </c>
      <c r="Y42" t="s" s="61">
        <f>_xlfn.IFERROR(VLOOKUP($A42,'The List'!$B1:$AS730,32,FALSE)," ")</f>
        <v>885</v>
      </c>
      <c r="Z42" t="s" s="61">
        <f>_xlfn.IFERROR(VLOOKUP($A42,'The List'!$B1:$AS730,33,FALSE)," ")</f>
        <v>885</v>
      </c>
      <c r="AA42" s="64"/>
      <c r="AB42" s="69"/>
      <c r="AC42" s="69"/>
      <c r="AD42" s="69"/>
      <c r="AE42" s="69"/>
      <c r="AF42" s="69"/>
    </row>
    <row r="43" ht="21.25" customHeight="1">
      <c r="A43" s="29"/>
      <c r="B43" t="s" s="77">
        <f>_xlfn.IFERROR(VLOOKUP($A43,'The List'!$B1:$AS730,3,FALSE)," ")</f>
        <v>885</v>
      </c>
      <c r="C43" t="s" s="79">
        <f>_xlfn.IFERROR(VLOOKUP($A43,'The List'!$B1:$AS730,4,FALSE)," ")</f>
        <v>885</v>
      </c>
      <c r="D43" t="s" s="42">
        <f>_xlfn.IFERROR(VLOOKUP($A43,'The List'!$B1:$AS730,5,FALSE)," ")</f>
        <v>885</v>
      </c>
      <c r="E43" t="s" s="42">
        <f>_xlfn.IFERROR(VLOOKUP($A43,'The List'!$B1:$AS730,6,FALSE)," ")</f>
        <v>885</v>
      </c>
      <c r="F43" t="s" s="60">
        <f>_xlfn.IFERROR(VLOOKUP($A43,'The List'!$B1:$AS730,8,FALSE)," ")</f>
        <v>885</v>
      </c>
      <c r="G43" t="s" s="60">
        <f>_xlfn.IFERROR(VLOOKUP($A43,'The List'!$B1:$AS730,10,FALSE)," ")</f>
        <v>885</v>
      </c>
      <c r="H43" s="46"/>
      <c r="I43" t="s" s="61">
        <f>_xlfn.IFERROR(VLOOKUP($A43,'The List'!$B1:$AS730,16,FALSE)," ")</f>
        <v>885</v>
      </c>
      <c r="J43" t="s" s="61">
        <f>_xlfn.IFERROR(VLOOKUP($A43,'The List'!$B1:$AS730,17,FALSE)," ")</f>
        <v>885</v>
      </c>
      <c r="K43" t="s" s="61">
        <f>_xlfn.IFERROR(VLOOKUP($A43,'The List'!$B1:$AS730,18,FALSE)," ")</f>
        <v>885</v>
      </c>
      <c r="L43" t="s" s="61">
        <f>_xlfn.IFERROR(VLOOKUP($A43,'The List'!$B1:$AS730,19,FALSE)," ")</f>
        <v>885</v>
      </c>
      <c r="M43" t="s" s="61">
        <f>_xlfn.IFERROR(VLOOKUP($A43,'The List'!$B1:$AS730,20,FALSE)," ")</f>
        <v>885</v>
      </c>
      <c r="N43" t="s" s="61">
        <f>_xlfn.IFERROR(VLOOKUP($A43,'The List'!$B1:$AS730,21,FALSE)," ")</f>
        <v>885</v>
      </c>
      <c r="O43" t="s" s="61">
        <f>_xlfn.IFERROR(VLOOKUP($A43,'The List'!$B1:$AS730,22,FALSE)," ")</f>
        <v>885</v>
      </c>
      <c r="P43" t="s" s="61">
        <f>_xlfn.IFERROR(VLOOKUP($A43,'The List'!$B1:$AS730,23,FALSE)," ")</f>
        <v>885</v>
      </c>
      <c r="Q43" t="s" s="61">
        <f>_xlfn.IFERROR(VLOOKUP($A43,'The List'!$B1:$AS730,24,FALSE)," ")</f>
        <v>885</v>
      </c>
      <c r="R43" t="s" s="61">
        <f>_xlfn.IFERROR(VLOOKUP($A43,'The List'!$B1:$AS730,25,FALSE)," ")</f>
        <v>885</v>
      </c>
      <c r="S43" t="s" s="61">
        <f>_xlfn.IFERROR(VLOOKUP($A43,'The List'!$B1:$AS730,26,FALSE)," ")</f>
        <v>885</v>
      </c>
      <c r="T43" t="s" s="61">
        <f>_xlfn.IFERROR(VLOOKUP($A43,'The List'!$B1:$AS730,27,FALSE)," ")</f>
        <v>885</v>
      </c>
      <c r="U43" t="s" s="61">
        <f>_xlfn.IFERROR(VLOOKUP($A43,'The List'!$B1:$AS730,28,FALSE)," ")</f>
        <v>885</v>
      </c>
      <c r="V43" t="s" s="61">
        <f>_xlfn.IFERROR(VLOOKUP($A43,'The List'!$B1:$AS730,29,FALSE)," ")</f>
        <v>885</v>
      </c>
      <c r="W43" t="s" s="61">
        <f>_xlfn.IFERROR(VLOOKUP($A43,'The List'!$B1:$AS730,30,FALSE)," ")</f>
        <v>885</v>
      </c>
      <c r="X43" t="s" s="61">
        <f>_xlfn.IFERROR(VLOOKUP($A43,'The List'!$B1:$AS730,31,FALSE)," ")</f>
        <v>885</v>
      </c>
      <c r="Y43" t="s" s="61">
        <f>_xlfn.IFERROR(VLOOKUP($A43,'The List'!$B1:$AS730,32,FALSE)," ")</f>
        <v>885</v>
      </c>
      <c r="Z43" t="s" s="61">
        <f>_xlfn.IFERROR(VLOOKUP($A43,'The List'!$B1:$AS730,33,FALSE)," ")</f>
        <v>885</v>
      </c>
      <c r="AA43" s="64"/>
      <c r="AB43" s="69"/>
      <c r="AC43" s="69"/>
      <c r="AD43" s="69"/>
      <c r="AE43" s="69"/>
      <c r="AF43" s="69"/>
    </row>
    <row r="44" ht="21.25" customHeight="1">
      <c r="A44" s="29"/>
      <c r="B44" t="s" s="77">
        <f>_xlfn.IFERROR(VLOOKUP($A44,'The List'!$B1:$AS730,3,FALSE)," ")</f>
        <v>885</v>
      </c>
      <c r="C44" t="s" s="79">
        <f>_xlfn.IFERROR(VLOOKUP($A44,'The List'!$B1:$AS730,4,FALSE)," ")</f>
        <v>885</v>
      </c>
      <c r="D44" t="s" s="42">
        <f>_xlfn.IFERROR(VLOOKUP($A44,'The List'!$B1:$AS730,5,FALSE)," ")</f>
        <v>885</v>
      </c>
      <c r="E44" t="s" s="42">
        <f>_xlfn.IFERROR(VLOOKUP($A44,'The List'!$B1:$AS730,6,FALSE)," ")</f>
        <v>885</v>
      </c>
      <c r="F44" t="s" s="60">
        <f>_xlfn.IFERROR(VLOOKUP($A44,'The List'!$B1:$AS730,8,FALSE)," ")</f>
        <v>885</v>
      </c>
      <c r="G44" t="s" s="60">
        <f>_xlfn.IFERROR(VLOOKUP($A44,'The List'!$B1:$AS730,10,FALSE)," ")</f>
        <v>885</v>
      </c>
      <c r="H44" s="46"/>
      <c r="I44" t="s" s="61">
        <f>_xlfn.IFERROR(VLOOKUP($A44,'The List'!$B1:$AS730,16,FALSE)," ")</f>
        <v>885</v>
      </c>
      <c r="J44" t="s" s="61">
        <f>_xlfn.IFERROR(VLOOKUP($A44,'The List'!$B1:$AS730,17,FALSE)," ")</f>
        <v>885</v>
      </c>
      <c r="K44" t="s" s="61">
        <f>_xlfn.IFERROR(VLOOKUP($A44,'The List'!$B1:$AS730,18,FALSE)," ")</f>
        <v>885</v>
      </c>
      <c r="L44" t="s" s="61">
        <f>_xlfn.IFERROR(VLOOKUP($A44,'The List'!$B1:$AS730,19,FALSE)," ")</f>
        <v>885</v>
      </c>
      <c r="M44" t="s" s="61">
        <f>_xlfn.IFERROR(VLOOKUP($A44,'The List'!$B1:$AS730,20,FALSE)," ")</f>
        <v>885</v>
      </c>
      <c r="N44" t="s" s="61">
        <f>_xlfn.IFERROR(VLOOKUP($A44,'The List'!$B1:$AS730,21,FALSE)," ")</f>
        <v>885</v>
      </c>
      <c r="O44" t="s" s="61">
        <f>_xlfn.IFERROR(VLOOKUP($A44,'The List'!$B1:$AS730,22,FALSE)," ")</f>
        <v>885</v>
      </c>
      <c r="P44" t="s" s="61">
        <f>_xlfn.IFERROR(VLOOKUP($A44,'The List'!$B1:$AS730,23,FALSE)," ")</f>
        <v>885</v>
      </c>
      <c r="Q44" t="s" s="61">
        <f>_xlfn.IFERROR(VLOOKUP($A44,'The List'!$B1:$AS730,24,FALSE)," ")</f>
        <v>885</v>
      </c>
      <c r="R44" t="s" s="61">
        <f>_xlfn.IFERROR(VLOOKUP($A44,'The List'!$B1:$AS730,25,FALSE)," ")</f>
        <v>885</v>
      </c>
      <c r="S44" t="s" s="61">
        <f>_xlfn.IFERROR(VLOOKUP($A44,'The List'!$B1:$AS730,26,FALSE)," ")</f>
        <v>885</v>
      </c>
      <c r="T44" t="s" s="61">
        <f>_xlfn.IFERROR(VLOOKUP($A44,'The List'!$B1:$AS730,27,FALSE)," ")</f>
        <v>885</v>
      </c>
      <c r="U44" t="s" s="61">
        <f>_xlfn.IFERROR(VLOOKUP($A44,'The List'!$B1:$AS730,28,FALSE)," ")</f>
        <v>885</v>
      </c>
      <c r="V44" t="s" s="61">
        <f>_xlfn.IFERROR(VLOOKUP($A44,'The List'!$B1:$AS730,29,FALSE)," ")</f>
        <v>885</v>
      </c>
      <c r="W44" t="s" s="61">
        <f>_xlfn.IFERROR(VLOOKUP($A44,'The List'!$B1:$AS730,30,FALSE)," ")</f>
        <v>885</v>
      </c>
      <c r="X44" t="s" s="61">
        <f>_xlfn.IFERROR(VLOOKUP($A44,'The List'!$B1:$AS730,31,FALSE)," ")</f>
        <v>885</v>
      </c>
      <c r="Y44" t="s" s="61">
        <f>_xlfn.IFERROR(VLOOKUP($A44,'The List'!$B1:$AS730,32,FALSE)," ")</f>
        <v>885</v>
      </c>
      <c r="Z44" t="s" s="61">
        <f>_xlfn.IFERROR(VLOOKUP($A44,'The List'!$B1:$AS730,33,FALSE)," ")</f>
        <v>885</v>
      </c>
      <c r="AA44" s="64"/>
      <c r="AB44" s="69"/>
      <c r="AC44" s="69"/>
      <c r="AD44" s="69"/>
      <c r="AE44" s="69"/>
      <c r="AF44" s="69"/>
    </row>
    <row r="45" ht="21.25" customHeight="1">
      <c r="A45" s="29"/>
      <c r="B45" t="s" s="77">
        <f>_xlfn.IFERROR(VLOOKUP($A45,'The List'!$B1:$AS730,3,FALSE)," ")</f>
        <v>885</v>
      </c>
      <c r="C45" t="s" s="79">
        <f>_xlfn.IFERROR(VLOOKUP($A45,'The List'!$B1:$AS730,4,FALSE)," ")</f>
        <v>885</v>
      </c>
      <c r="D45" t="s" s="42">
        <f>_xlfn.IFERROR(VLOOKUP($A45,'The List'!$B1:$AS730,5,FALSE)," ")</f>
        <v>885</v>
      </c>
      <c r="E45" t="s" s="42">
        <f>_xlfn.IFERROR(VLOOKUP($A45,'The List'!$B1:$AS730,6,FALSE)," ")</f>
        <v>885</v>
      </c>
      <c r="F45" t="s" s="60">
        <f>_xlfn.IFERROR(VLOOKUP($A45,'The List'!$B1:$AS730,8,FALSE)," ")</f>
        <v>885</v>
      </c>
      <c r="G45" t="s" s="60">
        <f>_xlfn.IFERROR(VLOOKUP($A45,'The List'!$B1:$AS730,10,FALSE)," ")</f>
        <v>885</v>
      </c>
      <c r="H45" s="46"/>
      <c r="I45" t="s" s="61">
        <f>_xlfn.IFERROR(VLOOKUP($A45,'The List'!$B1:$AS730,16,FALSE)," ")</f>
        <v>885</v>
      </c>
      <c r="J45" t="s" s="61">
        <f>_xlfn.IFERROR(VLOOKUP($A45,'The List'!$B1:$AS730,17,FALSE)," ")</f>
        <v>885</v>
      </c>
      <c r="K45" t="s" s="61">
        <f>_xlfn.IFERROR(VLOOKUP($A45,'The List'!$B1:$AS730,18,FALSE)," ")</f>
        <v>885</v>
      </c>
      <c r="L45" t="s" s="61">
        <f>_xlfn.IFERROR(VLOOKUP($A45,'The List'!$B1:$AS730,19,FALSE)," ")</f>
        <v>885</v>
      </c>
      <c r="M45" t="s" s="61">
        <f>_xlfn.IFERROR(VLOOKUP($A45,'The List'!$B1:$AS730,20,FALSE)," ")</f>
        <v>885</v>
      </c>
      <c r="N45" t="s" s="61">
        <f>_xlfn.IFERROR(VLOOKUP($A45,'The List'!$B1:$AS730,21,FALSE)," ")</f>
        <v>885</v>
      </c>
      <c r="O45" t="s" s="61">
        <f>_xlfn.IFERROR(VLOOKUP($A45,'The List'!$B1:$AS730,22,FALSE)," ")</f>
        <v>885</v>
      </c>
      <c r="P45" t="s" s="61">
        <f>_xlfn.IFERROR(VLOOKUP($A45,'The List'!$B1:$AS730,23,FALSE)," ")</f>
        <v>885</v>
      </c>
      <c r="Q45" t="s" s="61">
        <f>_xlfn.IFERROR(VLOOKUP($A45,'The List'!$B1:$AS730,24,FALSE)," ")</f>
        <v>885</v>
      </c>
      <c r="R45" t="s" s="61">
        <f>_xlfn.IFERROR(VLOOKUP($A45,'The List'!$B1:$AS730,25,FALSE)," ")</f>
        <v>885</v>
      </c>
      <c r="S45" t="s" s="61">
        <f>_xlfn.IFERROR(VLOOKUP($A45,'The List'!$B1:$AS730,26,FALSE)," ")</f>
        <v>885</v>
      </c>
      <c r="T45" t="s" s="61">
        <f>_xlfn.IFERROR(VLOOKUP($A45,'The List'!$B1:$AS730,27,FALSE)," ")</f>
        <v>885</v>
      </c>
      <c r="U45" t="s" s="61">
        <f>_xlfn.IFERROR(VLOOKUP($A45,'The List'!$B1:$AS730,28,FALSE)," ")</f>
        <v>885</v>
      </c>
      <c r="V45" t="s" s="61">
        <f>_xlfn.IFERROR(VLOOKUP($A45,'The List'!$B1:$AS730,29,FALSE)," ")</f>
        <v>885</v>
      </c>
      <c r="W45" t="s" s="61">
        <f>_xlfn.IFERROR(VLOOKUP($A45,'The List'!$B1:$AS730,30,FALSE)," ")</f>
        <v>885</v>
      </c>
      <c r="X45" t="s" s="61">
        <f>_xlfn.IFERROR(VLOOKUP($A45,'The List'!$B1:$AS730,31,FALSE)," ")</f>
        <v>885</v>
      </c>
      <c r="Y45" t="s" s="61">
        <f>_xlfn.IFERROR(VLOOKUP($A45,'The List'!$B1:$AS730,32,FALSE)," ")</f>
        <v>885</v>
      </c>
      <c r="Z45" t="s" s="61">
        <f>_xlfn.IFERROR(VLOOKUP($A45,'The List'!$B1:$AS730,33,FALSE)," ")</f>
        <v>885</v>
      </c>
      <c r="AA45" s="64"/>
      <c r="AB45" s="69"/>
      <c r="AC45" s="69"/>
      <c r="AD45" s="69"/>
      <c r="AE45" s="69"/>
      <c r="AF45" s="69"/>
    </row>
    <row r="46" ht="21.25" customHeight="1">
      <c r="A46" s="29"/>
      <c r="B46" t="s" s="77">
        <f>_xlfn.IFERROR(VLOOKUP($A46,'The List'!$B1:$AS730,3,FALSE)," ")</f>
        <v>885</v>
      </c>
      <c r="C46" t="s" s="79">
        <f>_xlfn.IFERROR(VLOOKUP($A46,'The List'!$B1:$AS730,4,FALSE)," ")</f>
        <v>885</v>
      </c>
      <c r="D46" t="s" s="42">
        <f>_xlfn.IFERROR(VLOOKUP($A46,'The List'!$B1:$AS730,5,FALSE)," ")</f>
        <v>885</v>
      </c>
      <c r="E46" t="s" s="42">
        <f>_xlfn.IFERROR(VLOOKUP($A46,'The List'!$B1:$AS730,6,FALSE)," ")</f>
        <v>885</v>
      </c>
      <c r="F46" t="s" s="60">
        <f>_xlfn.IFERROR(VLOOKUP($A46,'The List'!$B1:$AS730,8,FALSE)," ")</f>
        <v>885</v>
      </c>
      <c r="G46" t="s" s="60">
        <f>_xlfn.IFERROR(VLOOKUP($A46,'The List'!$B1:$AS730,10,FALSE)," ")</f>
        <v>885</v>
      </c>
      <c r="H46" s="46"/>
      <c r="I46" t="s" s="61">
        <f>_xlfn.IFERROR(VLOOKUP($A46,'The List'!$B1:$AS730,16,FALSE)," ")</f>
        <v>885</v>
      </c>
      <c r="J46" t="s" s="61">
        <f>_xlfn.IFERROR(VLOOKUP($A46,'The List'!$B1:$AS730,17,FALSE)," ")</f>
        <v>885</v>
      </c>
      <c r="K46" t="s" s="61">
        <f>_xlfn.IFERROR(VLOOKUP($A46,'The List'!$B1:$AS730,18,FALSE)," ")</f>
        <v>885</v>
      </c>
      <c r="L46" t="s" s="61">
        <f>_xlfn.IFERROR(VLOOKUP($A46,'The List'!$B1:$AS730,19,FALSE)," ")</f>
        <v>885</v>
      </c>
      <c r="M46" t="s" s="61">
        <f>_xlfn.IFERROR(VLOOKUP($A46,'The List'!$B1:$AS730,20,FALSE)," ")</f>
        <v>885</v>
      </c>
      <c r="N46" t="s" s="61">
        <f>_xlfn.IFERROR(VLOOKUP($A46,'The List'!$B1:$AS730,21,FALSE)," ")</f>
        <v>885</v>
      </c>
      <c r="O46" t="s" s="61">
        <f>_xlfn.IFERROR(VLOOKUP($A46,'The List'!$B1:$AS730,22,FALSE)," ")</f>
        <v>885</v>
      </c>
      <c r="P46" t="s" s="61">
        <f>_xlfn.IFERROR(VLOOKUP($A46,'The List'!$B1:$AS730,23,FALSE)," ")</f>
        <v>885</v>
      </c>
      <c r="Q46" t="s" s="61">
        <f>_xlfn.IFERROR(VLOOKUP($A46,'The List'!$B1:$AS730,24,FALSE)," ")</f>
        <v>885</v>
      </c>
      <c r="R46" t="s" s="61">
        <f>_xlfn.IFERROR(VLOOKUP($A46,'The List'!$B1:$AS730,25,FALSE)," ")</f>
        <v>885</v>
      </c>
      <c r="S46" t="s" s="61">
        <f>_xlfn.IFERROR(VLOOKUP($A46,'The List'!$B1:$AS730,26,FALSE)," ")</f>
        <v>885</v>
      </c>
      <c r="T46" t="s" s="61">
        <f>_xlfn.IFERROR(VLOOKUP($A46,'The List'!$B1:$AS730,27,FALSE)," ")</f>
        <v>885</v>
      </c>
      <c r="U46" t="s" s="61">
        <f>_xlfn.IFERROR(VLOOKUP($A46,'The List'!$B1:$AS730,28,FALSE)," ")</f>
        <v>885</v>
      </c>
      <c r="V46" t="s" s="61">
        <f>_xlfn.IFERROR(VLOOKUP($A46,'The List'!$B1:$AS730,29,FALSE)," ")</f>
        <v>885</v>
      </c>
      <c r="W46" t="s" s="61">
        <f>_xlfn.IFERROR(VLOOKUP($A46,'The List'!$B1:$AS730,30,FALSE)," ")</f>
        <v>885</v>
      </c>
      <c r="X46" t="s" s="61">
        <f>_xlfn.IFERROR(VLOOKUP($A46,'The List'!$B1:$AS730,31,FALSE)," ")</f>
        <v>885</v>
      </c>
      <c r="Y46" t="s" s="61">
        <f>_xlfn.IFERROR(VLOOKUP($A46,'The List'!$B1:$AS730,32,FALSE)," ")</f>
        <v>885</v>
      </c>
      <c r="Z46" t="s" s="61">
        <f>_xlfn.IFERROR(VLOOKUP($A46,'The List'!$B1:$AS730,33,FALSE)," ")</f>
        <v>885</v>
      </c>
      <c r="AA46" s="64"/>
      <c r="AB46" s="69"/>
      <c r="AC46" s="69"/>
      <c r="AD46" s="69"/>
      <c r="AE46" s="69"/>
      <c r="AF46" s="69"/>
    </row>
    <row r="47" ht="21.25" customHeight="1">
      <c r="A47" s="29"/>
      <c r="B47" t="s" s="77">
        <f>_xlfn.IFERROR(VLOOKUP($A47,'The List'!$B1:$AS730,3,FALSE)," ")</f>
        <v>885</v>
      </c>
      <c r="C47" t="s" s="79">
        <f>_xlfn.IFERROR(VLOOKUP($A47,'The List'!$B1:$AS730,4,FALSE)," ")</f>
        <v>885</v>
      </c>
      <c r="D47" t="s" s="42">
        <f>_xlfn.IFERROR(VLOOKUP($A47,'The List'!$B1:$AS730,5,FALSE)," ")</f>
        <v>885</v>
      </c>
      <c r="E47" t="s" s="42">
        <f>_xlfn.IFERROR(VLOOKUP($A47,'The List'!$B1:$AS730,6,FALSE)," ")</f>
        <v>885</v>
      </c>
      <c r="F47" t="s" s="60">
        <f>_xlfn.IFERROR(VLOOKUP($A47,'The List'!$B1:$AS730,8,FALSE)," ")</f>
        <v>885</v>
      </c>
      <c r="G47" t="s" s="60">
        <f>_xlfn.IFERROR(VLOOKUP($A47,'The List'!$B1:$AS730,10,FALSE)," ")</f>
        <v>885</v>
      </c>
      <c r="H47" s="46"/>
      <c r="I47" t="s" s="61">
        <f>_xlfn.IFERROR(VLOOKUP($A47,'The List'!$B1:$AS730,16,FALSE)," ")</f>
        <v>885</v>
      </c>
      <c r="J47" t="s" s="61">
        <f>_xlfn.IFERROR(VLOOKUP($A47,'The List'!$B1:$AS730,17,FALSE)," ")</f>
        <v>885</v>
      </c>
      <c r="K47" t="s" s="61">
        <f>_xlfn.IFERROR(VLOOKUP($A47,'The List'!$B1:$AS730,18,FALSE)," ")</f>
        <v>885</v>
      </c>
      <c r="L47" t="s" s="61">
        <f>_xlfn.IFERROR(VLOOKUP($A47,'The List'!$B1:$AS730,19,FALSE)," ")</f>
        <v>885</v>
      </c>
      <c r="M47" t="s" s="61">
        <f>_xlfn.IFERROR(VLOOKUP($A47,'The List'!$B1:$AS730,20,FALSE)," ")</f>
        <v>885</v>
      </c>
      <c r="N47" t="s" s="61">
        <f>_xlfn.IFERROR(VLOOKUP($A47,'The List'!$B1:$AS730,21,FALSE)," ")</f>
        <v>885</v>
      </c>
      <c r="O47" t="s" s="61">
        <f>_xlfn.IFERROR(VLOOKUP($A47,'The List'!$B1:$AS730,22,FALSE)," ")</f>
        <v>885</v>
      </c>
      <c r="P47" t="s" s="61">
        <f>_xlfn.IFERROR(VLOOKUP($A47,'The List'!$B1:$AS730,23,FALSE)," ")</f>
        <v>885</v>
      </c>
      <c r="Q47" t="s" s="61">
        <f>_xlfn.IFERROR(VLOOKUP($A47,'The List'!$B1:$AS730,24,FALSE)," ")</f>
        <v>885</v>
      </c>
      <c r="R47" t="s" s="61">
        <f>_xlfn.IFERROR(VLOOKUP($A47,'The List'!$B1:$AS730,25,FALSE)," ")</f>
        <v>885</v>
      </c>
      <c r="S47" t="s" s="61">
        <f>_xlfn.IFERROR(VLOOKUP($A47,'The List'!$B1:$AS730,26,FALSE)," ")</f>
        <v>885</v>
      </c>
      <c r="T47" t="s" s="61">
        <f>_xlfn.IFERROR(VLOOKUP($A47,'The List'!$B1:$AS730,27,FALSE)," ")</f>
        <v>885</v>
      </c>
      <c r="U47" t="s" s="61">
        <f>_xlfn.IFERROR(VLOOKUP($A47,'The List'!$B1:$AS730,28,FALSE)," ")</f>
        <v>885</v>
      </c>
      <c r="V47" t="s" s="61">
        <f>_xlfn.IFERROR(VLOOKUP($A47,'The List'!$B1:$AS730,29,FALSE)," ")</f>
        <v>885</v>
      </c>
      <c r="W47" t="s" s="61">
        <f>_xlfn.IFERROR(VLOOKUP($A47,'The List'!$B1:$AS730,30,FALSE)," ")</f>
        <v>885</v>
      </c>
      <c r="X47" t="s" s="61">
        <f>_xlfn.IFERROR(VLOOKUP($A47,'The List'!$B1:$AS730,31,FALSE)," ")</f>
        <v>885</v>
      </c>
      <c r="Y47" t="s" s="61">
        <f>_xlfn.IFERROR(VLOOKUP($A47,'The List'!$B1:$AS730,32,FALSE)," ")</f>
        <v>885</v>
      </c>
      <c r="Z47" t="s" s="61">
        <f>_xlfn.IFERROR(VLOOKUP($A47,'The List'!$B1:$AS730,33,FALSE)," ")</f>
        <v>885</v>
      </c>
      <c r="AA47" s="64"/>
      <c r="AB47" s="69"/>
      <c r="AC47" s="69"/>
      <c r="AD47" s="69"/>
      <c r="AE47" s="69"/>
      <c r="AF47" s="69"/>
    </row>
    <row r="48" ht="21.25" customHeight="1">
      <c r="A48" s="29"/>
      <c r="B48" t="s" s="77">
        <f>_xlfn.IFERROR(VLOOKUP($A48,'The List'!$B1:$AS730,3,FALSE)," ")</f>
        <v>885</v>
      </c>
      <c r="C48" t="s" s="79">
        <f>_xlfn.IFERROR(VLOOKUP($A48,'The List'!$B1:$AS730,4,FALSE)," ")</f>
        <v>885</v>
      </c>
      <c r="D48" t="s" s="42">
        <f>_xlfn.IFERROR(VLOOKUP($A48,'The List'!$B1:$AS730,5,FALSE)," ")</f>
        <v>885</v>
      </c>
      <c r="E48" t="s" s="42">
        <f>_xlfn.IFERROR(VLOOKUP($A48,'The List'!$B1:$AS730,6,FALSE)," ")</f>
        <v>885</v>
      </c>
      <c r="F48" t="s" s="60">
        <f>_xlfn.IFERROR(VLOOKUP($A48,'The List'!$B1:$AS730,8,FALSE)," ")</f>
        <v>885</v>
      </c>
      <c r="G48" t="s" s="60">
        <f>_xlfn.IFERROR(VLOOKUP($A48,'The List'!$B1:$AS730,10,FALSE)," ")</f>
        <v>885</v>
      </c>
      <c r="H48" s="46"/>
      <c r="I48" t="s" s="61">
        <f>_xlfn.IFERROR(VLOOKUP($A48,'The List'!$B1:$AS730,16,FALSE)," ")</f>
        <v>885</v>
      </c>
      <c r="J48" t="s" s="61">
        <f>_xlfn.IFERROR(VLOOKUP($A48,'The List'!$B1:$AS730,17,FALSE)," ")</f>
        <v>885</v>
      </c>
      <c r="K48" t="s" s="61">
        <f>_xlfn.IFERROR(VLOOKUP($A48,'The List'!$B1:$AS730,18,FALSE)," ")</f>
        <v>885</v>
      </c>
      <c r="L48" t="s" s="61">
        <f>_xlfn.IFERROR(VLOOKUP($A48,'The List'!$B1:$AS730,19,FALSE)," ")</f>
        <v>885</v>
      </c>
      <c r="M48" t="s" s="61">
        <f>_xlfn.IFERROR(VLOOKUP($A48,'The List'!$B1:$AS730,20,FALSE)," ")</f>
        <v>885</v>
      </c>
      <c r="N48" t="s" s="61">
        <f>_xlfn.IFERROR(VLOOKUP($A48,'The List'!$B1:$AS730,21,FALSE)," ")</f>
        <v>885</v>
      </c>
      <c r="O48" t="s" s="61">
        <f>_xlfn.IFERROR(VLOOKUP($A48,'The List'!$B1:$AS730,22,FALSE)," ")</f>
        <v>885</v>
      </c>
      <c r="P48" t="s" s="61">
        <f>_xlfn.IFERROR(VLOOKUP($A48,'The List'!$B1:$AS730,23,FALSE)," ")</f>
        <v>885</v>
      </c>
      <c r="Q48" t="s" s="61">
        <f>_xlfn.IFERROR(VLOOKUP($A48,'The List'!$B1:$AS730,24,FALSE)," ")</f>
        <v>885</v>
      </c>
      <c r="R48" t="s" s="61">
        <f>_xlfn.IFERROR(VLOOKUP($A48,'The List'!$B1:$AS730,25,FALSE)," ")</f>
        <v>885</v>
      </c>
      <c r="S48" t="s" s="61">
        <f>_xlfn.IFERROR(VLOOKUP($A48,'The List'!$B1:$AS730,26,FALSE)," ")</f>
        <v>885</v>
      </c>
      <c r="T48" t="s" s="61">
        <f>_xlfn.IFERROR(VLOOKUP($A48,'The List'!$B1:$AS730,27,FALSE)," ")</f>
        <v>885</v>
      </c>
      <c r="U48" t="s" s="61">
        <f>_xlfn.IFERROR(VLOOKUP($A48,'The List'!$B1:$AS730,28,FALSE)," ")</f>
        <v>885</v>
      </c>
      <c r="V48" t="s" s="61">
        <f>_xlfn.IFERROR(VLOOKUP($A48,'The List'!$B1:$AS730,29,FALSE)," ")</f>
        <v>885</v>
      </c>
      <c r="W48" t="s" s="61">
        <f>_xlfn.IFERROR(VLOOKUP($A48,'The List'!$B1:$AS730,30,FALSE)," ")</f>
        <v>885</v>
      </c>
      <c r="X48" t="s" s="61">
        <f>_xlfn.IFERROR(VLOOKUP($A48,'The List'!$B1:$AS730,31,FALSE)," ")</f>
        <v>885</v>
      </c>
      <c r="Y48" t="s" s="61">
        <f>_xlfn.IFERROR(VLOOKUP($A48,'The List'!$B1:$AS730,32,FALSE)," ")</f>
        <v>885</v>
      </c>
      <c r="Z48" t="s" s="61">
        <f>_xlfn.IFERROR(VLOOKUP($A48,'The List'!$B1:$AS730,33,FALSE)," ")</f>
        <v>885</v>
      </c>
      <c r="AA48" s="64"/>
      <c r="AB48" s="69"/>
      <c r="AC48" s="69"/>
      <c r="AD48" s="69"/>
      <c r="AE48" s="69"/>
      <c r="AF48" s="69"/>
    </row>
    <row r="49" ht="21.25" customHeight="1">
      <c r="A49" s="29"/>
      <c r="B49" t="s" s="77">
        <f>_xlfn.IFERROR(VLOOKUP($A49,'The List'!$B1:$AS730,3,FALSE)," ")</f>
        <v>885</v>
      </c>
      <c r="C49" t="s" s="79">
        <f>_xlfn.IFERROR(VLOOKUP($A49,'The List'!$B1:$AS730,4,FALSE)," ")</f>
        <v>885</v>
      </c>
      <c r="D49" t="s" s="42">
        <f>_xlfn.IFERROR(VLOOKUP($A49,'The List'!$B1:$AS730,5,FALSE)," ")</f>
        <v>885</v>
      </c>
      <c r="E49" t="s" s="42">
        <f>_xlfn.IFERROR(VLOOKUP($A49,'The List'!$B1:$AS730,6,FALSE)," ")</f>
        <v>885</v>
      </c>
      <c r="F49" t="s" s="60">
        <f>_xlfn.IFERROR(VLOOKUP($A49,'The List'!$B1:$AS730,8,FALSE)," ")</f>
        <v>885</v>
      </c>
      <c r="G49" t="s" s="60">
        <f>_xlfn.IFERROR(VLOOKUP($A49,'The List'!$B1:$AS730,10,FALSE)," ")</f>
        <v>885</v>
      </c>
      <c r="H49" s="46"/>
      <c r="I49" t="s" s="61">
        <f>_xlfn.IFERROR(VLOOKUP($A49,'The List'!$B1:$AS730,16,FALSE)," ")</f>
        <v>885</v>
      </c>
      <c r="J49" t="s" s="61">
        <f>_xlfn.IFERROR(VLOOKUP($A49,'The List'!$B1:$AS730,17,FALSE)," ")</f>
        <v>885</v>
      </c>
      <c r="K49" t="s" s="61">
        <f>_xlfn.IFERROR(VLOOKUP($A49,'The List'!$B1:$AS730,18,FALSE)," ")</f>
        <v>885</v>
      </c>
      <c r="L49" t="s" s="61">
        <f>_xlfn.IFERROR(VLOOKUP($A49,'The List'!$B1:$AS730,19,FALSE)," ")</f>
        <v>885</v>
      </c>
      <c r="M49" t="s" s="61">
        <f>_xlfn.IFERROR(VLOOKUP($A49,'The List'!$B1:$AS730,20,FALSE)," ")</f>
        <v>885</v>
      </c>
      <c r="N49" t="s" s="61">
        <f>_xlfn.IFERROR(VLOOKUP($A49,'The List'!$B1:$AS730,21,FALSE)," ")</f>
        <v>885</v>
      </c>
      <c r="O49" t="s" s="61">
        <f>_xlfn.IFERROR(VLOOKUP($A49,'The List'!$B1:$AS730,22,FALSE)," ")</f>
        <v>885</v>
      </c>
      <c r="P49" t="s" s="61">
        <f>_xlfn.IFERROR(VLOOKUP($A49,'The List'!$B1:$AS730,23,FALSE)," ")</f>
        <v>885</v>
      </c>
      <c r="Q49" t="s" s="61">
        <f>_xlfn.IFERROR(VLOOKUP($A49,'The List'!$B1:$AS730,24,FALSE)," ")</f>
        <v>885</v>
      </c>
      <c r="R49" t="s" s="61">
        <f>_xlfn.IFERROR(VLOOKUP($A49,'The List'!$B1:$AS730,25,FALSE)," ")</f>
        <v>885</v>
      </c>
      <c r="S49" t="s" s="61">
        <f>_xlfn.IFERROR(VLOOKUP($A49,'The List'!$B1:$AS730,26,FALSE)," ")</f>
        <v>885</v>
      </c>
      <c r="T49" t="s" s="61">
        <f>_xlfn.IFERROR(VLOOKUP($A49,'The List'!$B1:$AS730,27,FALSE)," ")</f>
        <v>885</v>
      </c>
      <c r="U49" t="s" s="61">
        <f>_xlfn.IFERROR(VLOOKUP($A49,'The List'!$B1:$AS730,28,FALSE)," ")</f>
        <v>885</v>
      </c>
      <c r="V49" t="s" s="61">
        <f>_xlfn.IFERROR(VLOOKUP($A49,'The List'!$B1:$AS730,29,FALSE)," ")</f>
        <v>885</v>
      </c>
      <c r="W49" t="s" s="61">
        <f>_xlfn.IFERROR(VLOOKUP($A49,'The List'!$B1:$AS730,30,FALSE)," ")</f>
        <v>885</v>
      </c>
      <c r="X49" t="s" s="61">
        <f>_xlfn.IFERROR(VLOOKUP($A49,'The List'!$B1:$AS730,31,FALSE)," ")</f>
        <v>885</v>
      </c>
      <c r="Y49" t="s" s="61">
        <f>_xlfn.IFERROR(VLOOKUP($A49,'The List'!$B1:$AS730,32,FALSE)," ")</f>
        <v>885</v>
      </c>
      <c r="Z49" t="s" s="61">
        <f>_xlfn.IFERROR(VLOOKUP($A49,'The List'!$B1:$AS730,33,FALSE)," ")</f>
        <v>885</v>
      </c>
      <c r="AA49" s="64"/>
      <c r="AB49" s="69"/>
      <c r="AC49" s="69"/>
      <c r="AD49" s="69"/>
      <c r="AE49" s="69"/>
      <c r="AF49" s="69"/>
    </row>
    <row r="50" ht="21.25" customHeight="1">
      <c r="A50" s="81"/>
      <c r="B50" t="s" s="82">
        <f>_xlfn.IFERROR(VLOOKUP($A50,'The List'!$B1:$AS730,3,FALSE)," ")</f>
        <v>885</v>
      </c>
      <c r="C50" t="s" s="83">
        <f>_xlfn.IFERROR(VLOOKUP($A50,'The List'!$B1:$AS730,4,FALSE)," ")</f>
        <v>885</v>
      </c>
      <c r="D50" t="s" s="84">
        <f>_xlfn.IFERROR(VLOOKUP($A50,'The List'!$B1:$AS730,5,FALSE)," ")</f>
        <v>885</v>
      </c>
      <c r="E50" t="s" s="84">
        <f>_xlfn.IFERROR(VLOOKUP($A50,'The List'!$B1:$AS730,6,FALSE)," ")</f>
        <v>885</v>
      </c>
      <c r="F50" t="s" s="85">
        <f>_xlfn.IFERROR(VLOOKUP($A50,'The List'!$B1:$AS730,8,FALSE)," ")</f>
        <v>885</v>
      </c>
      <c r="G50" t="s" s="85">
        <f>_xlfn.IFERROR(VLOOKUP($A50,'The List'!$B1:$AS730,10,FALSE)," ")</f>
        <v>885</v>
      </c>
      <c r="H50" s="86"/>
      <c r="I50" t="s" s="87">
        <f>_xlfn.IFERROR(VLOOKUP($A50,'The List'!$B1:$AS730,16,FALSE)," ")</f>
        <v>885</v>
      </c>
      <c r="J50" t="s" s="87">
        <f>_xlfn.IFERROR(VLOOKUP($A50,'The List'!$B1:$AS730,17,FALSE)," ")</f>
        <v>885</v>
      </c>
      <c r="K50" t="s" s="87">
        <f>_xlfn.IFERROR(VLOOKUP($A50,'The List'!$B1:$AS730,18,FALSE)," ")</f>
        <v>885</v>
      </c>
      <c r="L50" t="s" s="87">
        <f>_xlfn.IFERROR(VLOOKUP($A50,'The List'!$B1:$AS730,19,FALSE)," ")</f>
        <v>885</v>
      </c>
      <c r="M50" t="s" s="87">
        <f>_xlfn.IFERROR(VLOOKUP($A50,'The List'!$B1:$AS730,20,FALSE)," ")</f>
        <v>885</v>
      </c>
      <c r="N50" t="s" s="87">
        <f>_xlfn.IFERROR(VLOOKUP($A50,'The List'!$B1:$AS730,21,FALSE)," ")</f>
        <v>885</v>
      </c>
      <c r="O50" t="s" s="87">
        <f>_xlfn.IFERROR(VLOOKUP($A50,'The List'!$B1:$AS730,22,FALSE)," ")</f>
        <v>885</v>
      </c>
      <c r="P50" t="s" s="87">
        <f>_xlfn.IFERROR(VLOOKUP($A50,'The List'!$B1:$AS730,23,FALSE)," ")</f>
        <v>885</v>
      </c>
      <c r="Q50" t="s" s="87">
        <f>_xlfn.IFERROR(VLOOKUP($A50,'The List'!$B1:$AS730,24,FALSE)," ")</f>
        <v>885</v>
      </c>
      <c r="R50" t="s" s="87">
        <f>_xlfn.IFERROR(VLOOKUP($A50,'The List'!$B1:$AS730,25,FALSE)," ")</f>
        <v>885</v>
      </c>
      <c r="S50" t="s" s="87">
        <f>_xlfn.IFERROR(VLOOKUP($A50,'The List'!$B1:$AS730,26,FALSE)," ")</f>
        <v>885</v>
      </c>
      <c r="T50" t="s" s="87">
        <f>_xlfn.IFERROR(VLOOKUP($A50,'The List'!$B1:$AS730,27,FALSE)," ")</f>
        <v>885</v>
      </c>
      <c r="U50" t="s" s="87">
        <f>_xlfn.IFERROR(VLOOKUP($A50,'The List'!$B1:$AS730,28,FALSE)," ")</f>
        <v>885</v>
      </c>
      <c r="V50" t="s" s="87">
        <f>_xlfn.IFERROR(VLOOKUP($A50,'The List'!$B1:$AS730,29,FALSE)," ")</f>
        <v>885</v>
      </c>
      <c r="W50" t="s" s="87">
        <f>_xlfn.IFERROR(VLOOKUP($A50,'The List'!$B1:$AS730,30,FALSE)," ")</f>
        <v>885</v>
      </c>
      <c r="X50" t="s" s="87">
        <f>_xlfn.IFERROR(VLOOKUP($A50,'The List'!$B1:$AS730,31,FALSE)," ")</f>
        <v>885</v>
      </c>
      <c r="Y50" t="s" s="87">
        <f>_xlfn.IFERROR(VLOOKUP($A50,'The List'!$B1:$AS730,32,FALSE)," ")</f>
        <v>885</v>
      </c>
      <c r="Z50" t="s" s="87">
        <f>_xlfn.IFERROR(VLOOKUP($A50,'The List'!$B1:$AS730,33,FALSE)," ")</f>
        <v>885</v>
      </c>
      <c r="AA50" s="64"/>
      <c r="AB50" s="69"/>
      <c r="AC50" s="69"/>
      <c r="AD50" s="69"/>
      <c r="AE50" s="69"/>
      <c r="AF50" s="69"/>
    </row>
    <row r="51" ht="21.25" customHeight="1">
      <c r="A51" s="88"/>
      <c r="B51" s="89"/>
      <c r="C51" s="90"/>
      <c r="D51" s="91"/>
      <c r="E51" t="s" s="127">
        <f>_xlfn.IFERROR(AVERAGE(E31:E50)," ")</f>
        <v>885</v>
      </c>
      <c r="F51" s="93">
        <f>SUM(F31:F50)</f>
        <v>0</v>
      </c>
      <c r="G51" s="93">
        <f>SUM(G31:G50)</f>
        <v>0</v>
      </c>
      <c r="H51" s="94"/>
      <c r="I51" s="95">
        <f>SUM(I31:I50)</f>
        <v>0</v>
      </c>
      <c r="J51" s="94">
        <f>AVERAGE(J31:J50)</f>
      </c>
      <c r="K51" s="95">
        <f>SUM(K31:K50)</f>
        <v>0</v>
      </c>
      <c r="L51" s="95">
        <f>SUM(L31:L50)</f>
        <v>0</v>
      </c>
      <c r="M51" s="95">
        <f>SUM(M31:M50)</f>
        <v>0</v>
      </c>
      <c r="N51" s="95">
        <f>SUM(N31:N50)</f>
        <v>0</v>
      </c>
      <c r="O51" s="95">
        <f>SUM(O31:O50)</f>
        <v>0</v>
      </c>
      <c r="P51" s="95">
        <f>SUM(P31:P50)</f>
        <v>0</v>
      </c>
      <c r="Q51" s="95">
        <f>SUM(Q31:Q50)</f>
        <v>0</v>
      </c>
      <c r="R51" s="95">
        <f>SUM(R31:R50)</f>
        <v>0</v>
      </c>
      <c r="S51" s="95">
        <f>SUM(S31:S50)</f>
        <v>0</v>
      </c>
      <c r="T51" s="95">
        <f>SUM(T31:T50)</f>
        <v>0</v>
      </c>
      <c r="U51" s="95">
        <f>SUM(U31:U50)</f>
        <v>0</v>
      </c>
      <c r="V51" s="95">
        <f>SUM(V31:V50)</f>
        <v>0</v>
      </c>
      <c r="W51" s="95">
        <f>SUM(W31:W50)</f>
        <v>0</v>
      </c>
      <c r="X51" s="95">
        <f>SUM(X31:X50)</f>
        <v>0</v>
      </c>
      <c r="Y51" s="95">
        <f>SUM(Y31:Y50)</f>
        <v>0</v>
      </c>
      <c r="Z51" s="96">
        <f>_xlfn.IFERROR(X51/(X51+Y51),0)</f>
        <v>0</v>
      </c>
      <c r="AA51" s="64"/>
      <c r="AB51" s="69"/>
      <c r="AC51" s="97"/>
      <c r="AD51" s="97"/>
      <c r="AE51" s="97"/>
      <c r="AF51" s="97"/>
    </row>
    <row r="52" ht="21.25" customHeight="1">
      <c r="A52" s="98"/>
      <c r="B52" s="99"/>
      <c r="C52" s="100"/>
      <c r="D52" s="11"/>
      <c r="E52" s="11"/>
      <c r="F52" s="101"/>
      <c r="G52" s="102"/>
      <c r="H52" s="103"/>
      <c r="I52" s="10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9"/>
      <c r="AC52" s="69"/>
      <c r="AD52" s="69"/>
      <c r="AE52" s="69"/>
      <c r="AF52" s="69"/>
    </row>
    <row r="53" ht="21.25" customHeight="1">
      <c r="A53" t="s" s="31">
        <v>66</v>
      </c>
      <c r="B53" t="s" s="105">
        <v>68</v>
      </c>
      <c r="C53" s="19"/>
      <c r="D53" t="s" s="105">
        <v>69</v>
      </c>
      <c r="E53" t="s" s="105">
        <v>70</v>
      </c>
      <c r="F53" t="s" s="106">
        <v>72</v>
      </c>
      <c r="G53" t="s" s="106">
        <v>74</v>
      </c>
      <c r="H53" s="107"/>
      <c r="I53" t="s" s="108">
        <v>79</v>
      </c>
      <c r="J53" t="s" s="108">
        <v>97</v>
      </c>
      <c r="K53" t="s" s="108">
        <v>98</v>
      </c>
      <c r="L53" t="s" s="108">
        <v>99</v>
      </c>
      <c r="M53" t="s" s="108">
        <v>100</v>
      </c>
      <c r="N53" t="s" s="108">
        <v>101</v>
      </c>
      <c r="O53" t="s" s="108">
        <v>102</v>
      </c>
      <c r="P53" t="s" s="108">
        <v>103</v>
      </c>
      <c r="Q53" t="s" s="108">
        <v>104</v>
      </c>
      <c r="R53" s="64"/>
      <c r="S53" s="64"/>
      <c r="T53" s="64"/>
      <c r="U53" t="s" s="105">
        <v>901</v>
      </c>
      <c r="V53" s="107"/>
      <c r="W53" s="107"/>
      <c r="X53" t="s" s="105">
        <v>902</v>
      </c>
      <c r="Y53" s="107"/>
      <c r="Z53" s="107"/>
      <c r="AA53" s="64"/>
      <c r="AB53" s="69"/>
      <c r="AC53" s="64"/>
      <c r="AD53" s="64"/>
      <c r="AE53" s="64"/>
      <c r="AF53" s="64"/>
    </row>
    <row r="54" ht="21.25" customHeight="1">
      <c r="A54" s="128"/>
      <c r="B54" t="s" s="110">
        <f>_xlfn.IFERROR(VLOOKUP($A54,'The List'!$B1:$AS730,3,FALSE)," ")</f>
        <v>885</v>
      </c>
      <c r="C54" t="s" s="129">
        <f>_xlfn.IFERROR(VLOOKUP($A54,'The List'!$B1:$AS730,4,FALSE)," ")</f>
        <v>885</v>
      </c>
      <c r="D54" t="s" s="112">
        <f>_xlfn.IFERROR(VLOOKUP($A54,'The List'!$B1:$AS730,5,FALSE)," ")</f>
        <v>885</v>
      </c>
      <c r="E54" t="s" s="112">
        <f>_xlfn.IFERROR(VLOOKUP($A54,'The List'!$B1:$AS730,6,FALSE)," ")</f>
        <v>885</v>
      </c>
      <c r="F54" t="s" s="130">
        <f>_xlfn.IFERROR(VLOOKUP($A54,'The List'!$B1:$AS730,8,FALSE)," ")</f>
        <v>885</v>
      </c>
      <c r="G54" t="s" s="130">
        <f>_xlfn.IFERROR(VLOOKUP($A54,'The List'!$B1:$AS730,10,FALSE)," ")</f>
        <v>885</v>
      </c>
      <c r="H54" s="115"/>
      <c r="I54" t="s" s="131">
        <f>_xlfn.IFERROR(VLOOKUP($A54,'The List'!$B1:$AS730,35,FALSE)," ")</f>
        <v>885</v>
      </c>
      <c r="J54" t="s" s="131">
        <f>_xlfn.IFERROR(VLOOKUP($A54,'The List'!$B1:$AS730,36,FALSE)," ")</f>
        <v>885</v>
      </c>
      <c r="K54" t="s" s="131">
        <f>_xlfn.IFERROR(VLOOKUP($A54,'The List'!$B1:$AS730,37,FALSE)," ")</f>
        <v>885</v>
      </c>
      <c r="L54" t="s" s="131">
        <f>_xlfn.IFERROR(VLOOKUP($A54,'The List'!$B1:$AS730,38,FALSE)," ")</f>
        <v>885</v>
      </c>
      <c r="M54" t="s" s="131">
        <f>_xlfn.IFERROR(VLOOKUP($A54,'The List'!$B1:$AS730,39,FALSE)," ")</f>
        <v>885</v>
      </c>
      <c r="N54" t="s" s="131">
        <f>_xlfn.IFERROR(VLOOKUP($A54,'The List'!$B1:$AS730,40,FALSE)," ")</f>
        <v>885</v>
      </c>
      <c r="O54" t="s" s="131">
        <f>_xlfn.IFERROR(VLOOKUP($A54,'The List'!$B1:$AS730,41,FALSE)," ")</f>
        <v>885</v>
      </c>
      <c r="P54" t="s" s="131">
        <f>_xlfn.IFERROR(VLOOKUP($A54,'The List'!$B1:$AS730,42,FALSE)," ")</f>
        <v>885</v>
      </c>
      <c r="Q54" t="s" s="131">
        <f>_xlfn.IFERROR(VLOOKUP($A54,'The List'!$B1:$AS730,43,FALSE)," ")</f>
        <v>885</v>
      </c>
      <c r="R54" s="64"/>
      <c r="S54" s="64"/>
      <c r="T54" t="s" s="119">
        <f>A30</f>
        <v>904</v>
      </c>
      <c r="U54" s="120">
        <f>F51+F57</f>
        <v>0</v>
      </c>
      <c r="V54" s="19"/>
      <c r="W54" s="19"/>
      <c r="X54" s="120">
        <f>G57+G51</f>
        <v>0</v>
      </c>
      <c r="Y54" s="19"/>
      <c r="Z54" s="19"/>
      <c r="AA54" s="64"/>
      <c r="AB54" s="69"/>
      <c r="AC54" s="64"/>
      <c r="AD54" s="64"/>
      <c r="AE54" s="64"/>
      <c r="AF54" s="64"/>
    </row>
    <row r="55" ht="21.25" customHeight="1">
      <c r="A55" s="29"/>
      <c r="B55" t="s" s="121">
        <f>_xlfn.IFERROR(VLOOKUP($A55,'The List'!$B1:$AS730,3,FALSE)," ")</f>
        <v>885</v>
      </c>
      <c r="C55" t="s" s="122">
        <f>_xlfn.IFERROR(VLOOKUP($A55,'The List'!$B1:$AS730,4,FALSE)," ")</f>
        <v>885</v>
      </c>
      <c r="D55" t="s" s="42">
        <f>_xlfn.IFERROR(VLOOKUP($A55,'The List'!$B1:$AS730,5,FALSE)," ")</f>
        <v>885</v>
      </c>
      <c r="E55" t="s" s="42">
        <f>_xlfn.IFERROR(VLOOKUP($A55,'The List'!$B1:$AS730,6,FALSE)," ")</f>
        <v>885</v>
      </c>
      <c r="F55" t="s" s="60">
        <f>_xlfn.IFERROR(VLOOKUP($A55,'The List'!$B1:$AS730,8,FALSE)," ")</f>
        <v>885</v>
      </c>
      <c r="G55" t="s" s="60">
        <f>_xlfn.IFERROR(VLOOKUP($A55,'The List'!$B1:$AS730,10,FALSE)," ")</f>
        <v>885</v>
      </c>
      <c r="H55" s="46"/>
      <c r="I55" t="s" s="61">
        <f>_xlfn.IFERROR(VLOOKUP($A55,'The List'!$B1:$AS730,35,FALSE)," ")</f>
        <v>885</v>
      </c>
      <c r="J55" t="s" s="61">
        <f>_xlfn.IFERROR(VLOOKUP($A55,'The List'!$B1:$AS730,36,FALSE)," ")</f>
        <v>885</v>
      </c>
      <c r="K55" t="s" s="61">
        <f>_xlfn.IFERROR(VLOOKUP($A55,'The List'!$B1:$AS730,37,FALSE)," ")</f>
        <v>885</v>
      </c>
      <c r="L55" t="s" s="61">
        <f>_xlfn.IFERROR(VLOOKUP($A55,'The List'!$B1:$AS730,38,FALSE)," ")</f>
        <v>885</v>
      </c>
      <c r="M55" t="s" s="61">
        <f>_xlfn.IFERROR(VLOOKUP($A55,'The List'!$B1:$AS730,39,FALSE)," ")</f>
        <v>885</v>
      </c>
      <c r="N55" t="s" s="61">
        <f>_xlfn.IFERROR(VLOOKUP($A55,'The List'!$B1:$AS730,40,FALSE)," ")</f>
        <v>885</v>
      </c>
      <c r="O55" t="s" s="61">
        <f>_xlfn.IFERROR(VLOOKUP($A55,'The List'!$B1:$AS730,41,FALSE)," ")</f>
        <v>885</v>
      </c>
      <c r="P55" t="s" s="61">
        <f>_xlfn.IFERROR(VLOOKUP($A55,'The List'!$B1:$AS730,42,FALSE)," ")</f>
        <v>885</v>
      </c>
      <c r="Q55" t="s" s="61">
        <f>_xlfn.IFERROR(VLOOKUP($A55,'The List'!$B1:$AS730,43,FALSE)," ")</f>
        <v>885</v>
      </c>
      <c r="R55" s="64"/>
      <c r="S55" s="64"/>
      <c r="T55" s="64"/>
      <c r="U55" s="19"/>
      <c r="V55" s="19"/>
      <c r="W55" s="19"/>
      <c r="X55" s="19"/>
      <c r="Y55" s="19"/>
      <c r="Z55" s="19"/>
      <c r="AA55" s="64"/>
      <c r="AB55" s="69"/>
      <c r="AC55" s="64"/>
      <c r="AD55" s="64"/>
      <c r="AE55" s="64"/>
      <c r="AF55" s="64"/>
    </row>
    <row r="56" ht="21.25" customHeight="1">
      <c r="A56" s="81"/>
      <c r="B56" t="s" s="123">
        <f>_xlfn.IFERROR(VLOOKUP($A56,'The List'!$B1:$AS730,3,FALSE)," ")</f>
        <v>885</v>
      </c>
      <c r="C56" t="s" s="124">
        <f>_xlfn.IFERROR(VLOOKUP($A56,'The List'!$B1:$AS730,4,FALSE)," ")</f>
        <v>885</v>
      </c>
      <c r="D56" t="s" s="84">
        <f>_xlfn.IFERROR(VLOOKUP($A56,'The List'!$B1:$AS730,5,FALSE)," ")</f>
        <v>885</v>
      </c>
      <c r="E56" t="s" s="84">
        <f>_xlfn.IFERROR(VLOOKUP($A56,'The List'!$B1:$AS730,6,FALSE)," ")</f>
        <v>885</v>
      </c>
      <c r="F56" t="s" s="85">
        <f>_xlfn.IFERROR(VLOOKUP($A56,'The List'!$B1:$AS730,8,FALSE)," ")</f>
        <v>885</v>
      </c>
      <c r="G56" t="s" s="85">
        <f>_xlfn.IFERROR(VLOOKUP($A56,'The List'!$B1:$AS730,10,FALSE)," ")</f>
        <v>885</v>
      </c>
      <c r="H56" s="86"/>
      <c r="I56" t="s" s="87">
        <f>_xlfn.IFERROR(VLOOKUP($A56,'The List'!$B1:$AS730,35,FALSE)," ")</f>
        <v>885</v>
      </c>
      <c r="J56" t="s" s="87">
        <f>_xlfn.IFERROR(VLOOKUP($A56,'The List'!$B1:$AS730,36,FALSE)," ")</f>
        <v>885</v>
      </c>
      <c r="K56" t="s" s="87">
        <f>_xlfn.IFERROR(VLOOKUP($A56,'The List'!$B1:$AS730,37,FALSE)," ")</f>
        <v>885</v>
      </c>
      <c r="L56" t="s" s="87">
        <f>_xlfn.IFERROR(VLOOKUP($A56,'The List'!$B1:$AS730,38,FALSE)," ")</f>
        <v>885</v>
      </c>
      <c r="M56" t="s" s="87">
        <f>_xlfn.IFERROR(VLOOKUP($A56,'The List'!$B1:$AS730,39,FALSE)," ")</f>
        <v>885</v>
      </c>
      <c r="N56" t="s" s="87">
        <f>_xlfn.IFERROR(VLOOKUP($A56,'The List'!$B1:$AS730,40,FALSE)," ")</f>
        <v>885</v>
      </c>
      <c r="O56" t="s" s="87">
        <f>_xlfn.IFERROR(VLOOKUP($A56,'The List'!$B1:$AS730,41,FALSE)," ")</f>
        <v>885</v>
      </c>
      <c r="P56" t="s" s="87">
        <f>_xlfn.IFERROR(VLOOKUP($A56,'The List'!$B1:$AS730,42,FALSE)," ")</f>
        <v>885</v>
      </c>
      <c r="Q56" t="s" s="87">
        <f>_xlfn.IFERROR(VLOOKUP($A56,'The List'!$B1:$AS730,43,FALSE)," ")</f>
        <v>885</v>
      </c>
      <c r="R56" s="64"/>
      <c r="S56" s="64"/>
      <c r="T56" s="64"/>
      <c r="U56" s="19"/>
      <c r="V56" s="19"/>
      <c r="W56" s="19"/>
      <c r="X56" s="19"/>
      <c r="Y56" s="19"/>
      <c r="Z56" s="19"/>
      <c r="AA56" s="64"/>
      <c r="AB56" s="69"/>
      <c r="AC56" s="64"/>
      <c r="AD56" s="64"/>
      <c r="AE56" s="64"/>
      <c r="AF56" s="64"/>
    </row>
    <row r="57" ht="21.25" customHeight="1">
      <c r="A57" s="88"/>
      <c r="B57" s="89"/>
      <c r="C57" s="90"/>
      <c r="D57" s="91"/>
      <c r="E57" t="s" s="127">
        <f>_xlfn.IFERROR(AVERAGE(E54:E56)," ")</f>
        <v>885</v>
      </c>
      <c r="F57" s="93">
        <f>SUM(F54:F56)</f>
        <v>0</v>
      </c>
      <c r="G57" s="93">
        <f>SUM(G54:G56)</f>
        <v>0</v>
      </c>
      <c r="H57" s="94"/>
      <c r="I57" s="95">
        <f>SUM(I54:I56)</f>
        <v>0</v>
      </c>
      <c r="J57" s="94">
        <f>SUM(J54:J56)</f>
        <v>0</v>
      </c>
      <c r="K57" s="95">
        <f>SUM(K54:K56)</f>
        <v>0</v>
      </c>
      <c r="L57" s="95">
        <f>SUM(L54:L56)</f>
        <v>0</v>
      </c>
      <c r="M57" s="95">
        <f>SUM(M54:M56)</f>
        <v>0</v>
      </c>
      <c r="N57" s="95">
        <f>SUM(N54:N56)</f>
        <v>0</v>
      </c>
      <c r="O57" s="95">
        <f>SUM(O54:O56)</f>
        <v>0</v>
      </c>
      <c r="P57" s="125">
        <f>1-(O57/(N57+O57))</f>
      </c>
      <c r="Q57" s="126">
        <f>O57/I57</f>
      </c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99"/>
      <c r="AC57" s="64"/>
      <c r="AD57" s="64"/>
      <c r="AE57" s="64"/>
      <c r="AF57" s="64"/>
    </row>
    <row r="58" ht="70.85" customHeight="1">
      <c r="A58" s="98"/>
      <c r="B58" s="99"/>
      <c r="C58" s="100"/>
      <c r="D58" s="11"/>
      <c r="E58" s="11"/>
      <c r="F58" s="101"/>
      <c r="G58" s="102"/>
      <c r="H58" s="103"/>
      <c r="I58" s="10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9"/>
      <c r="AB58" s="69"/>
      <c r="AC58" s="69"/>
      <c r="AD58" s="69"/>
      <c r="AE58" s="69"/>
      <c r="AF58" s="69"/>
    </row>
    <row r="59" ht="21.25" customHeight="1">
      <c r="A59" t="s" s="32">
        <v>887</v>
      </c>
      <c r="B59" t="s" s="33">
        <v>68</v>
      </c>
      <c r="C59" s="25"/>
      <c r="D59" t="s" s="33">
        <v>69</v>
      </c>
      <c r="E59" t="s" s="33">
        <v>70</v>
      </c>
      <c r="F59" t="s" s="34">
        <v>72</v>
      </c>
      <c r="G59" t="s" s="34">
        <v>74</v>
      </c>
      <c r="H59" s="35"/>
      <c r="I59" t="s" s="37">
        <v>79</v>
      </c>
      <c r="J59" t="s" s="37">
        <v>80</v>
      </c>
      <c r="K59" t="s" s="37">
        <v>81</v>
      </c>
      <c r="L59" t="s" s="37">
        <v>82</v>
      </c>
      <c r="M59" t="s" s="37">
        <v>83</v>
      </c>
      <c r="N59" t="s" s="37">
        <v>84</v>
      </c>
      <c r="O59" t="s" s="37">
        <v>85</v>
      </c>
      <c r="P59" t="s" s="37">
        <v>86</v>
      </c>
      <c r="Q59" t="s" s="37">
        <v>87</v>
      </c>
      <c r="R59" t="s" s="37">
        <v>88</v>
      </c>
      <c r="S59" t="s" s="37">
        <v>89</v>
      </c>
      <c r="T59" t="s" s="37">
        <v>90</v>
      </c>
      <c r="U59" t="s" s="37">
        <v>91</v>
      </c>
      <c r="V59" t="s" s="37">
        <v>92</v>
      </c>
      <c r="W59" t="s" s="37">
        <v>93</v>
      </c>
      <c r="X59" t="s" s="37">
        <v>94</v>
      </c>
      <c r="Y59" t="s" s="37">
        <v>95</v>
      </c>
      <c r="Z59" t="s" s="37">
        <v>96</v>
      </c>
      <c r="AA59" s="64"/>
      <c r="AB59" s="65"/>
      <c r="AC59" s="65"/>
      <c r="AD59" s="65"/>
      <c r="AE59" s="65"/>
      <c r="AF59" s="65"/>
    </row>
    <row r="60" ht="21.25" customHeight="1">
      <c r="A60" s="29"/>
      <c r="B60" t="s" s="66">
        <f>_xlfn.IFERROR(VLOOKUP($A60,'The List'!$B1:$AS730,3,FALSE)," ")</f>
        <v>885</v>
      </c>
      <c r="C60" t="s" s="70">
        <f>_xlfn.IFERROR(VLOOKUP($A60,'The List'!$B1:$AS730,4,FALSE)," ")</f>
        <v>885</v>
      </c>
      <c r="D60" t="s" s="42">
        <f>_xlfn.IFERROR(VLOOKUP($A60,'The List'!$B1:$AS730,5,FALSE)," ")</f>
        <v>885</v>
      </c>
      <c r="E60" t="s" s="42">
        <f>_xlfn.IFERROR(VLOOKUP($A60,'The List'!$B1:$AS730,6,FALSE)," ")</f>
        <v>885</v>
      </c>
      <c r="F60" t="s" s="60">
        <f>_xlfn.IFERROR(VLOOKUP($A60,'The List'!$B1:$AS730,8,FALSE)," ")</f>
        <v>885</v>
      </c>
      <c r="G60" t="s" s="60">
        <f>_xlfn.IFERROR(VLOOKUP($A60,'The List'!$B1:$AS730,10,FALSE)," ")</f>
        <v>885</v>
      </c>
      <c r="H60" s="46"/>
      <c r="I60" t="s" s="61">
        <f>_xlfn.IFERROR(VLOOKUP($A60,'The List'!$B1:$AS730,16,FALSE)," ")</f>
        <v>885</v>
      </c>
      <c r="J60" t="s" s="61">
        <f>_xlfn.IFERROR(VLOOKUP($A60,'The List'!$B1:$AS730,17,FALSE)," ")</f>
        <v>885</v>
      </c>
      <c r="K60" t="s" s="61">
        <f>_xlfn.IFERROR(VLOOKUP($A60,'The List'!$B1:$AS730,18,FALSE)," ")</f>
        <v>885</v>
      </c>
      <c r="L60" t="s" s="61">
        <f>_xlfn.IFERROR(VLOOKUP($A60,'The List'!$B1:$AS730,19,FALSE)," ")</f>
        <v>885</v>
      </c>
      <c r="M60" t="s" s="61">
        <f>_xlfn.IFERROR(VLOOKUP($A60,'The List'!$B1:$AS730,20,FALSE)," ")</f>
        <v>885</v>
      </c>
      <c r="N60" t="s" s="61">
        <f>_xlfn.IFERROR(VLOOKUP($A60,'The List'!$B1:$AS730,21,FALSE)," ")</f>
        <v>885</v>
      </c>
      <c r="O60" t="s" s="61">
        <f>_xlfn.IFERROR(VLOOKUP($A60,'The List'!$B1:$AS730,22,FALSE)," ")</f>
        <v>885</v>
      </c>
      <c r="P60" t="s" s="61">
        <f>_xlfn.IFERROR(VLOOKUP($A60,'The List'!$B1:$AS730,23,FALSE)," ")</f>
        <v>885</v>
      </c>
      <c r="Q60" t="s" s="61">
        <f>_xlfn.IFERROR(VLOOKUP($A60,'The List'!$B1:$AS730,24,FALSE)," ")</f>
        <v>885</v>
      </c>
      <c r="R60" t="s" s="61">
        <f>_xlfn.IFERROR(VLOOKUP($A60,'The List'!$B1:$AS730,25,FALSE)," ")</f>
        <v>885</v>
      </c>
      <c r="S60" t="s" s="61">
        <f>_xlfn.IFERROR(VLOOKUP($A60,'The List'!$B1:$AS730,26,FALSE)," ")</f>
        <v>885</v>
      </c>
      <c r="T60" t="s" s="61">
        <f>_xlfn.IFERROR(VLOOKUP($A60,'The List'!$B1:$AS730,27,FALSE)," ")</f>
        <v>885</v>
      </c>
      <c r="U60" t="s" s="61">
        <f>_xlfn.IFERROR(VLOOKUP($A60,'The List'!$B1:$AS730,28,FALSE)," ")</f>
        <v>885</v>
      </c>
      <c r="V60" t="s" s="61">
        <f>_xlfn.IFERROR(VLOOKUP($A60,'The List'!$B1:$AS730,29,FALSE)," ")</f>
        <v>885</v>
      </c>
      <c r="W60" t="s" s="61">
        <f>_xlfn.IFERROR(VLOOKUP($A60,'The List'!$B1:$AS730,30,FALSE)," ")</f>
        <v>885</v>
      </c>
      <c r="X60" t="s" s="61">
        <f>_xlfn.IFERROR(VLOOKUP($A60,'The List'!$B1:$AS730,31,FALSE)," ")</f>
        <v>885</v>
      </c>
      <c r="Y60" t="s" s="61">
        <f>_xlfn.IFERROR(VLOOKUP($A60,'The List'!$B1:$AS730,32,FALSE)," ")</f>
        <v>885</v>
      </c>
      <c r="Z60" t="s" s="61">
        <f>_xlfn.IFERROR(VLOOKUP($A60,'The List'!$B1:$AS730,33,FALSE)," ")</f>
        <v>885</v>
      </c>
      <c r="AA60" s="64"/>
      <c r="AB60" s="69"/>
      <c r="AC60" s="69"/>
      <c r="AD60" s="69"/>
      <c r="AE60" s="69"/>
      <c r="AF60" s="69"/>
    </row>
    <row r="61" ht="21.25" customHeight="1">
      <c r="A61" s="29"/>
      <c r="B61" t="s" s="66">
        <f>_xlfn.IFERROR(VLOOKUP($A61,'The List'!$B1:$AS730,3,FALSE)," ")</f>
        <v>885</v>
      </c>
      <c r="C61" t="s" s="70">
        <f>_xlfn.IFERROR(VLOOKUP($A61,'The List'!$B1:$AS730,4,FALSE)," ")</f>
        <v>885</v>
      </c>
      <c r="D61" t="s" s="42">
        <f>_xlfn.IFERROR(VLOOKUP($A61,'The List'!$B1:$AS730,5,FALSE)," ")</f>
        <v>885</v>
      </c>
      <c r="E61" t="s" s="42">
        <f>_xlfn.IFERROR(VLOOKUP($A61,'The List'!$B1:$AS730,6,FALSE)," ")</f>
        <v>885</v>
      </c>
      <c r="F61" t="s" s="60">
        <f>_xlfn.IFERROR(VLOOKUP($A61,'The List'!$B1:$AS730,8,FALSE)," ")</f>
        <v>885</v>
      </c>
      <c r="G61" t="s" s="60">
        <f>_xlfn.IFERROR(VLOOKUP($A61,'The List'!$B1:$AS730,10,FALSE)," ")</f>
        <v>885</v>
      </c>
      <c r="H61" s="46"/>
      <c r="I61" t="s" s="61">
        <f>_xlfn.IFERROR(VLOOKUP($A61,'The List'!$B1:$AS730,16,FALSE)," ")</f>
        <v>885</v>
      </c>
      <c r="J61" t="s" s="61">
        <f>_xlfn.IFERROR(VLOOKUP($A61,'The List'!$B1:$AS730,17,FALSE)," ")</f>
        <v>885</v>
      </c>
      <c r="K61" t="s" s="61">
        <f>_xlfn.IFERROR(VLOOKUP($A61,'The List'!$B1:$AS730,18,FALSE)," ")</f>
        <v>885</v>
      </c>
      <c r="L61" t="s" s="61">
        <f>_xlfn.IFERROR(VLOOKUP($A61,'The List'!$B1:$AS730,19,FALSE)," ")</f>
        <v>885</v>
      </c>
      <c r="M61" t="s" s="61">
        <f>_xlfn.IFERROR(VLOOKUP($A61,'The List'!$B1:$AS730,20,FALSE)," ")</f>
        <v>885</v>
      </c>
      <c r="N61" t="s" s="61">
        <f>_xlfn.IFERROR(VLOOKUP($A61,'The List'!$B1:$AS730,21,FALSE)," ")</f>
        <v>885</v>
      </c>
      <c r="O61" t="s" s="61">
        <f>_xlfn.IFERROR(VLOOKUP($A61,'The List'!$B1:$AS730,22,FALSE)," ")</f>
        <v>885</v>
      </c>
      <c r="P61" t="s" s="61">
        <f>_xlfn.IFERROR(VLOOKUP($A61,'The List'!$B1:$AS730,23,FALSE)," ")</f>
        <v>885</v>
      </c>
      <c r="Q61" t="s" s="61">
        <f>_xlfn.IFERROR(VLOOKUP($A61,'The List'!$B1:$AS730,24,FALSE)," ")</f>
        <v>885</v>
      </c>
      <c r="R61" t="s" s="61">
        <f>_xlfn.IFERROR(VLOOKUP($A61,'The List'!$B1:$AS730,25,FALSE)," ")</f>
        <v>885</v>
      </c>
      <c r="S61" t="s" s="61">
        <f>_xlfn.IFERROR(VLOOKUP($A61,'The List'!$B1:$AS730,26,FALSE)," ")</f>
        <v>885</v>
      </c>
      <c r="T61" t="s" s="61">
        <f>_xlfn.IFERROR(VLOOKUP($A61,'The List'!$B1:$AS730,27,FALSE)," ")</f>
        <v>885</v>
      </c>
      <c r="U61" t="s" s="61">
        <f>_xlfn.IFERROR(VLOOKUP($A61,'The List'!$B1:$AS730,28,FALSE)," ")</f>
        <v>885</v>
      </c>
      <c r="V61" t="s" s="61">
        <f>_xlfn.IFERROR(VLOOKUP($A61,'The List'!$B1:$AS730,29,FALSE)," ")</f>
        <v>885</v>
      </c>
      <c r="W61" t="s" s="61">
        <f>_xlfn.IFERROR(VLOOKUP($A61,'The List'!$B1:$AS730,30,FALSE)," ")</f>
        <v>885</v>
      </c>
      <c r="X61" t="s" s="61">
        <f>_xlfn.IFERROR(VLOOKUP($A61,'The List'!$B1:$AS730,31,FALSE)," ")</f>
        <v>885</v>
      </c>
      <c r="Y61" t="s" s="61">
        <f>_xlfn.IFERROR(VLOOKUP($A61,'The List'!$B1:$AS730,32,FALSE)," ")</f>
        <v>885</v>
      </c>
      <c r="Z61" t="s" s="61">
        <f>_xlfn.IFERROR(VLOOKUP($A61,'The List'!$B1:$AS730,33,FALSE)," ")</f>
        <v>885</v>
      </c>
      <c r="AA61" s="64"/>
      <c r="AB61" s="69"/>
      <c r="AC61" s="69"/>
      <c r="AD61" s="69"/>
      <c r="AE61" s="69"/>
      <c r="AF61" s="69"/>
    </row>
    <row r="62" ht="21.25" customHeight="1">
      <c r="A62" s="29"/>
      <c r="B62" t="s" s="66">
        <f>_xlfn.IFERROR(VLOOKUP($A62,'The List'!$B1:$AS730,3,FALSE)," ")</f>
        <v>885</v>
      </c>
      <c r="C62" t="s" s="70">
        <f>_xlfn.IFERROR(VLOOKUP($A62,'The List'!$B1:$AS730,4,FALSE)," ")</f>
        <v>885</v>
      </c>
      <c r="D62" t="s" s="42">
        <f>_xlfn.IFERROR(VLOOKUP($A62,'The List'!$B1:$AS730,5,FALSE)," ")</f>
        <v>885</v>
      </c>
      <c r="E62" t="s" s="42">
        <f>_xlfn.IFERROR(VLOOKUP($A62,'The List'!$B1:$AS730,6,FALSE)," ")</f>
        <v>885</v>
      </c>
      <c r="F62" t="s" s="60">
        <f>_xlfn.IFERROR(VLOOKUP($A62,'The List'!$B1:$AS730,8,FALSE)," ")</f>
        <v>885</v>
      </c>
      <c r="G62" t="s" s="60">
        <f>_xlfn.IFERROR(VLOOKUP($A62,'The List'!$B1:$AS730,10,FALSE)," ")</f>
        <v>885</v>
      </c>
      <c r="H62" s="46"/>
      <c r="I62" t="s" s="61">
        <f>_xlfn.IFERROR(VLOOKUP($A62,'The List'!$B1:$AS730,16,FALSE)," ")</f>
        <v>885</v>
      </c>
      <c r="J62" t="s" s="61">
        <f>_xlfn.IFERROR(VLOOKUP($A62,'The List'!$B1:$AS730,17,FALSE)," ")</f>
        <v>885</v>
      </c>
      <c r="K62" t="s" s="61">
        <f>_xlfn.IFERROR(VLOOKUP($A62,'The List'!$B1:$AS730,18,FALSE)," ")</f>
        <v>885</v>
      </c>
      <c r="L62" t="s" s="61">
        <f>_xlfn.IFERROR(VLOOKUP($A62,'The List'!$B1:$AS730,19,FALSE)," ")</f>
        <v>885</v>
      </c>
      <c r="M62" t="s" s="61">
        <f>_xlfn.IFERROR(VLOOKUP($A62,'The List'!$B1:$AS730,20,FALSE)," ")</f>
        <v>885</v>
      </c>
      <c r="N62" t="s" s="61">
        <f>_xlfn.IFERROR(VLOOKUP($A62,'The List'!$B1:$AS730,21,FALSE)," ")</f>
        <v>885</v>
      </c>
      <c r="O62" t="s" s="61">
        <f>_xlfn.IFERROR(VLOOKUP($A62,'The List'!$B1:$AS730,22,FALSE)," ")</f>
        <v>885</v>
      </c>
      <c r="P62" t="s" s="61">
        <f>_xlfn.IFERROR(VLOOKUP($A62,'The List'!$B1:$AS730,23,FALSE)," ")</f>
        <v>885</v>
      </c>
      <c r="Q62" t="s" s="61">
        <f>_xlfn.IFERROR(VLOOKUP($A62,'The List'!$B1:$AS730,24,FALSE)," ")</f>
        <v>885</v>
      </c>
      <c r="R62" t="s" s="61">
        <f>_xlfn.IFERROR(VLOOKUP($A62,'The List'!$B1:$AS730,25,FALSE)," ")</f>
        <v>885</v>
      </c>
      <c r="S62" t="s" s="61">
        <f>_xlfn.IFERROR(VLOOKUP($A62,'The List'!$B1:$AS730,26,FALSE)," ")</f>
        <v>885</v>
      </c>
      <c r="T62" t="s" s="61">
        <f>_xlfn.IFERROR(VLOOKUP($A62,'The List'!$B1:$AS730,27,FALSE)," ")</f>
        <v>885</v>
      </c>
      <c r="U62" t="s" s="61">
        <f>_xlfn.IFERROR(VLOOKUP($A62,'The List'!$B1:$AS730,28,FALSE)," ")</f>
        <v>885</v>
      </c>
      <c r="V62" t="s" s="61">
        <f>_xlfn.IFERROR(VLOOKUP($A62,'The List'!$B1:$AS730,29,FALSE)," ")</f>
        <v>885</v>
      </c>
      <c r="W62" t="s" s="61">
        <f>_xlfn.IFERROR(VLOOKUP($A62,'The List'!$B1:$AS730,30,FALSE)," ")</f>
        <v>885</v>
      </c>
      <c r="X62" t="s" s="61">
        <f>_xlfn.IFERROR(VLOOKUP($A62,'The List'!$B1:$AS730,31,FALSE)," ")</f>
        <v>885</v>
      </c>
      <c r="Y62" t="s" s="61">
        <f>_xlfn.IFERROR(VLOOKUP($A62,'The List'!$B1:$AS730,32,FALSE)," ")</f>
        <v>885</v>
      </c>
      <c r="Z62" t="s" s="61">
        <f>_xlfn.IFERROR(VLOOKUP($A62,'The List'!$B1:$AS730,33,FALSE)," ")</f>
        <v>885</v>
      </c>
      <c r="AA62" s="64"/>
      <c r="AB62" s="69"/>
      <c r="AC62" s="69"/>
      <c r="AD62" s="69"/>
      <c r="AE62" s="69"/>
      <c r="AF62" s="69"/>
    </row>
    <row r="63" ht="21.25" customHeight="1">
      <c r="A63" s="29"/>
      <c r="B63" t="s" s="66">
        <f>_xlfn.IFERROR(VLOOKUP($A63,'The List'!$B1:$AS730,3,FALSE)," ")</f>
        <v>885</v>
      </c>
      <c r="C63" t="s" s="70">
        <f>_xlfn.IFERROR(VLOOKUP($A63,'The List'!$B1:$AS730,4,FALSE)," ")</f>
        <v>885</v>
      </c>
      <c r="D63" t="s" s="42">
        <f>_xlfn.IFERROR(VLOOKUP($A63,'The List'!$B1:$AS730,5,FALSE)," ")</f>
        <v>885</v>
      </c>
      <c r="E63" t="s" s="42">
        <f>_xlfn.IFERROR(VLOOKUP($A63,'The List'!$B1:$AS730,6,FALSE)," ")</f>
        <v>885</v>
      </c>
      <c r="F63" t="s" s="60">
        <f>_xlfn.IFERROR(VLOOKUP($A63,'The List'!$B1:$AS730,8,FALSE)," ")</f>
        <v>885</v>
      </c>
      <c r="G63" t="s" s="60">
        <f>_xlfn.IFERROR(VLOOKUP($A63,'The List'!$B1:$AS730,10,FALSE)," ")</f>
        <v>885</v>
      </c>
      <c r="H63" s="46"/>
      <c r="I63" t="s" s="61">
        <f>_xlfn.IFERROR(VLOOKUP($A63,'The List'!$B1:$AS730,16,FALSE)," ")</f>
        <v>885</v>
      </c>
      <c r="J63" t="s" s="61">
        <f>_xlfn.IFERROR(VLOOKUP($A63,'The List'!$B1:$AS730,17,FALSE)," ")</f>
        <v>885</v>
      </c>
      <c r="K63" t="s" s="61">
        <f>_xlfn.IFERROR(VLOOKUP($A63,'The List'!$B1:$AS730,18,FALSE)," ")</f>
        <v>885</v>
      </c>
      <c r="L63" t="s" s="61">
        <f>_xlfn.IFERROR(VLOOKUP($A63,'The List'!$B1:$AS730,19,FALSE)," ")</f>
        <v>885</v>
      </c>
      <c r="M63" t="s" s="61">
        <f>_xlfn.IFERROR(VLOOKUP($A63,'The List'!$B1:$AS730,20,FALSE)," ")</f>
        <v>885</v>
      </c>
      <c r="N63" t="s" s="61">
        <f>_xlfn.IFERROR(VLOOKUP($A63,'The List'!$B1:$AS730,21,FALSE)," ")</f>
        <v>885</v>
      </c>
      <c r="O63" t="s" s="61">
        <f>_xlfn.IFERROR(VLOOKUP($A63,'The List'!$B1:$AS730,22,FALSE)," ")</f>
        <v>885</v>
      </c>
      <c r="P63" t="s" s="61">
        <f>_xlfn.IFERROR(VLOOKUP($A63,'The List'!$B1:$AS730,23,FALSE)," ")</f>
        <v>885</v>
      </c>
      <c r="Q63" t="s" s="61">
        <f>_xlfn.IFERROR(VLOOKUP($A63,'The List'!$B1:$AS730,24,FALSE)," ")</f>
        <v>885</v>
      </c>
      <c r="R63" t="s" s="61">
        <f>_xlfn.IFERROR(VLOOKUP($A63,'The List'!$B1:$AS730,25,FALSE)," ")</f>
        <v>885</v>
      </c>
      <c r="S63" t="s" s="61">
        <f>_xlfn.IFERROR(VLOOKUP($A63,'The List'!$B1:$AS730,26,FALSE)," ")</f>
        <v>885</v>
      </c>
      <c r="T63" t="s" s="61">
        <f>_xlfn.IFERROR(VLOOKUP($A63,'The List'!$B1:$AS730,27,FALSE)," ")</f>
        <v>885</v>
      </c>
      <c r="U63" t="s" s="61">
        <f>_xlfn.IFERROR(VLOOKUP($A63,'The List'!$B1:$AS730,28,FALSE)," ")</f>
        <v>885</v>
      </c>
      <c r="V63" t="s" s="61">
        <f>_xlfn.IFERROR(VLOOKUP($A63,'The List'!$B1:$AS730,29,FALSE)," ")</f>
        <v>885</v>
      </c>
      <c r="W63" t="s" s="61">
        <f>_xlfn.IFERROR(VLOOKUP($A63,'The List'!$B1:$AS730,30,FALSE)," ")</f>
        <v>885</v>
      </c>
      <c r="X63" t="s" s="61">
        <f>_xlfn.IFERROR(VLOOKUP($A63,'The List'!$B1:$AS730,31,FALSE)," ")</f>
        <v>885</v>
      </c>
      <c r="Y63" t="s" s="61">
        <f>_xlfn.IFERROR(VLOOKUP($A63,'The List'!$B1:$AS730,32,FALSE)," ")</f>
        <v>885</v>
      </c>
      <c r="Z63" t="s" s="61">
        <f>_xlfn.IFERROR(VLOOKUP($A63,'The List'!$B1:$AS730,33,FALSE)," ")</f>
        <v>885</v>
      </c>
      <c r="AA63" s="64"/>
      <c r="AB63" s="69"/>
      <c r="AC63" s="69"/>
      <c r="AD63" s="69"/>
      <c r="AE63" s="69"/>
      <c r="AF63" s="69"/>
    </row>
    <row r="64" ht="21.25" customHeight="1">
      <c r="A64" s="29"/>
      <c r="B64" t="s" s="71">
        <f>_xlfn.IFERROR(VLOOKUP($A64,'The List'!$B1:$AS730,3,FALSE)," ")</f>
        <v>885</v>
      </c>
      <c r="C64" t="s" s="73">
        <f>_xlfn.IFERROR(VLOOKUP($A64,'The List'!$B1:$AS730,4,FALSE)," ")</f>
        <v>885</v>
      </c>
      <c r="D64" t="s" s="42">
        <f>_xlfn.IFERROR(VLOOKUP($A64,'The List'!$B1:$AS730,5,FALSE)," ")</f>
        <v>885</v>
      </c>
      <c r="E64" t="s" s="42">
        <f>_xlfn.IFERROR(VLOOKUP($A64,'The List'!$B1:$AS730,6,FALSE)," ")</f>
        <v>885</v>
      </c>
      <c r="F64" t="s" s="60">
        <f>_xlfn.IFERROR(VLOOKUP($A64,'The List'!$B1:$AS730,8,FALSE)," ")</f>
        <v>885</v>
      </c>
      <c r="G64" t="s" s="60">
        <f>_xlfn.IFERROR(VLOOKUP($A64,'The List'!$B1:$AS730,10,FALSE)," ")</f>
        <v>885</v>
      </c>
      <c r="H64" s="46"/>
      <c r="I64" t="s" s="61">
        <f>_xlfn.IFERROR(VLOOKUP($A64,'The List'!$B1:$AS730,16,FALSE)," ")</f>
        <v>885</v>
      </c>
      <c r="J64" t="s" s="61">
        <f>_xlfn.IFERROR(VLOOKUP($A64,'The List'!$B1:$AS730,17,FALSE)," ")</f>
        <v>885</v>
      </c>
      <c r="K64" t="s" s="61">
        <f>_xlfn.IFERROR(VLOOKUP($A64,'The List'!$B1:$AS730,18,FALSE)," ")</f>
        <v>885</v>
      </c>
      <c r="L64" t="s" s="61">
        <f>_xlfn.IFERROR(VLOOKUP($A64,'The List'!$B1:$AS730,19,FALSE)," ")</f>
        <v>885</v>
      </c>
      <c r="M64" t="s" s="61">
        <f>_xlfn.IFERROR(VLOOKUP($A64,'The List'!$B1:$AS730,20,FALSE)," ")</f>
        <v>885</v>
      </c>
      <c r="N64" t="s" s="61">
        <f>_xlfn.IFERROR(VLOOKUP($A64,'The List'!$B1:$AS730,21,FALSE)," ")</f>
        <v>885</v>
      </c>
      <c r="O64" t="s" s="61">
        <f>_xlfn.IFERROR(VLOOKUP($A64,'The List'!$B1:$AS730,22,FALSE)," ")</f>
        <v>885</v>
      </c>
      <c r="P64" t="s" s="61">
        <f>_xlfn.IFERROR(VLOOKUP($A64,'The List'!$B1:$AS730,23,FALSE)," ")</f>
        <v>885</v>
      </c>
      <c r="Q64" t="s" s="61">
        <f>_xlfn.IFERROR(VLOOKUP($A64,'The List'!$B1:$AS730,24,FALSE)," ")</f>
        <v>885</v>
      </c>
      <c r="R64" t="s" s="61">
        <f>_xlfn.IFERROR(VLOOKUP($A64,'The List'!$B1:$AS730,25,FALSE)," ")</f>
        <v>885</v>
      </c>
      <c r="S64" t="s" s="61">
        <f>_xlfn.IFERROR(VLOOKUP($A64,'The List'!$B1:$AS730,26,FALSE)," ")</f>
        <v>885</v>
      </c>
      <c r="T64" t="s" s="61">
        <f>_xlfn.IFERROR(VLOOKUP($A64,'The List'!$B1:$AS730,27,FALSE)," ")</f>
        <v>885</v>
      </c>
      <c r="U64" t="s" s="61">
        <f>_xlfn.IFERROR(VLOOKUP($A64,'The List'!$B1:$AS730,28,FALSE)," ")</f>
        <v>885</v>
      </c>
      <c r="V64" t="s" s="61">
        <f>_xlfn.IFERROR(VLOOKUP($A64,'The List'!$B1:$AS730,29,FALSE)," ")</f>
        <v>885</v>
      </c>
      <c r="W64" t="s" s="61">
        <f>_xlfn.IFERROR(VLOOKUP($A64,'The List'!$B1:$AS730,30,FALSE)," ")</f>
        <v>885</v>
      </c>
      <c r="X64" t="s" s="61">
        <f>_xlfn.IFERROR(VLOOKUP($A64,'The List'!$B1:$AS730,31,FALSE)," ")</f>
        <v>885</v>
      </c>
      <c r="Y64" t="s" s="61">
        <f>_xlfn.IFERROR(VLOOKUP($A64,'The List'!$B1:$AS730,32,FALSE)," ")</f>
        <v>885</v>
      </c>
      <c r="Z64" t="s" s="61">
        <f>_xlfn.IFERROR(VLOOKUP($A64,'The List'!$B1:$AS730,33,FALSE)," ")</f>
        <v>885</v>
      </c>
      <c r="AA64" s="64"/>
      <c r="AB64" s="69"/>
      <c r="AC64" s="69"/>
      <c r="AD64" s="69"/>
      <c r="AE64" s="69"/>
      <c r="AF64" s="69"/>
    </row>
    <row r="65" ht="21.25" customHeight="1">
      <c r="A65" s="29"/>
      <c r="B65" t="s" s="71">
        <f>_xlfn.IFERROR(VLOOKUP($A65,'The List'!$B1:$AS730,3,FALSE)," ")</f>
        <v>885</v>
      </c>
      <c r="C65" t="s" s="73">
        <f>_xlfn.IFERROR(VLOOKUP($A65,'The List'!$B1:$AS730,4,FALSE)," ")</f>
        <v>885</v>
      </c>
      <c r="D65" t="s" s="42">
        <f>_xlfn.IFERROR(VLOOKUP($A65,'The List'!$B1:$AS730,5,FALSE)," ")</f>
        <v>885</v>
      </c>
      <c r="E65" t="s" s="42">
        <f>_xlfn.IFERROR(VLOOKUP($A65,'The List'!$B1:$AS730,6,FALSE)," ")</f>
        <v>885</v>
      </c>
      <c r="F65" t="s" s="60">
        <f>_xlfn.IFERROR(VLOOKUP($A65,'The List'!$B1:$AS730,8,FALSE)," ")</f>
        <v>885</v>
      </c>
      <c r="G65" t="s" s="60">
        <f>_xlfn.IFERROR(VLOOKUP($A65,'The List'!$B1:$AS730,10,FALSE)," ")</f>
        <v>885</v>
      </c>
      <c r="H65" s="46"/>
      <c r="I65" t="s" s="61">
        <f>_xlfn.IFERROR(VLOOKUP($A65,'The List'!$B1:$AS730,16,FALSE)," ")</f>
        <v>885</v>
      </c>
      <c r="J65" t="s" s="61">
        <f>_xlfn.IFERROR(VLOOKUP($A65,'The List'!$B1:$AS730,17,FALSE)," ")</f>
        <v>885</v>
      </c>
      <c r="K65" t="s" s="61">
        <f>_xlfn.IFERROR(VLOOKUP($A65,'The List'!$B1:$AS730,18,FALSE)," ")</f>
        <v>885</v>
      </c>
      <c r="L65" t="s" s="61">
        <f>_xlfn.IFERROR(VLOOKUP($A65,'The List'!$B1:$AS730,19,FALSE)," ")</f>
        <v>885</v>
      </c>
      <c r="M65" t="s" s="61">
        <f>_xlfn.IFERROR(VLOOKUP($A65,'The List'!$B1:$AS730,20,FALSE)," ")</f>
        <v>885</v>
      </c>
      <c r="N65" t="s" s="61">
        <f>_xlfn.IFERROR(VLOOKUP($A65,'The List'!$B1:$AS730,21,FALSE)," ")</f>
        <v>885</v>
      </c>
      <c r="O65" t="s" s="61">
        <f>_xlfn.IFERROR(VLOOKUP($A65,'The List'!$B1:$AS730,22,FALSE)," ")</f>
        <v>885</v>
      </c>
      <c r="P65" t="s" s="61">
        <f>_xlfn.IFERROR(VLOOKUP($A65,'The List'!$B1:$AS730,23,FALSE)," ")</f>
        <v>885</v>
      </c>
      <c r="Q65" t="s" s="61">
        <f>_xlfn.IFERROR(VLOOKUP($A65,'The List'!$B1:$AS730,24,FALSE)," ")</f>
        <v>885</v>
      </c>
      <c r="R65" t="s" s="61">
        <f>_xlfn.IFERROR(VLOOKUP($A65,'The List'!$B1:$AS730,25,FALSE)," ")</f>
        <v>885</v>
      </c>
      <c r="S65" t="s" s="61">
        <f>_xlfn.IFERROR(VLOOKUP($A65,'The List'!$B1:$AS730,26,FALSE)," ")</f>
        <v>885</v>
      </c>
      <c r="T65" t="s" s="61">
        <f>_xlfn.IFERROR(VLOOKUP($A65,'The List'!$B1:$AS730,27,FALSE)," ")</f>
        <v>885</v>
      </c>
      <c r="U65" t="s" s="61">
        <f>_xlfn.IFERROR(VLOOKUP($A65,'The List'!$B1:$AS730,28,FALSE)," ")</f>
        <v>885</v>
      </c>
      <c r="V65" t="s" s="61">
        <f>_xlfn.IFERROR(VLOOKUP($A65,'The List'!$B1:$AS730,29,FALSE)," ")</f>
        <v>885</v>
      </c>
      <c r="W65" t="s" s="61">
        <f>_xlfn.IFERROR(VLOOKUP($A65,'The List'!$B1:$AS730,30,FALSE)," ")</f>
        <v>885</v>
      </c>
      <c r="X65" t="s" s="61">
        <f>_xlfn.IFERROR(VLOOKUP($A65,'The List'!$B1:$AS730,31,FALSE)," ")</f>
        <v>885</v>
      </c>
      <c r="Y65" t="s" s="61">
        <f>_xlfn.IFERROR(VLOOKUP($A65,'The List'!$B1:$AS730,32,FALSE)," ")</f>
        <v>885</v>
      </c>
      <c r="Z65" t="s" s="61">
        <f>_xlfn.IFERROR(VLOOKUP($A65,'The List'!$B1:$AS730,33,FALSE)," ")</f>
        <v>885</v>
      </c>
      <c r="AA65" s="64"/>
      <c r="AB65" s="69"/>
      <c r="AC65" s="69"/>
      <c r="AD65" s="69"/>
      <c r="AE65" s="69"/>
      <c r="AF65" s="69"/>
    </row>
    <row r="66" ht="21.25" customHeight="1">
      <c r="A66" s="29"/>
      <c r="B66" t="s" s="71">
        <f>_xlfn.IFERROR(VLOOKUP($A66,'The List'!$B1:$AS730,3,FALSE)," ")</f>
        <v>885</v>
      </c>
      <c r="C66" t="s" s="73">
        <f>_xlfn.IFERROR(VLOOKUP($A66,'The List'!$B1:$AS730,4,FALSE)," ")</f>
        <v>885</v>
      </c>
      <c r="D66" t="s" s="42">
        <f>_xlfn.IFERROR(VLOOKUP($A66,'The List'!$B1:$AS730,5,FALSE)," ")</f>
        <v>885</v>
      </c>
      <c r="E66" t="s" s="42">
        <f>_xlfn.IFERROR(VLOOKUP($A66,'The List'!$B1:$AS730,6,FALSE)," ")</f>
        <v>885</v>
      </c>
      <c r="F66" t="s" s="60">
        <f>_xlfn.IFERROR(VLOOKUP($A66,'The List'!$B1:$AS730,8,FALSE)," ")</f>
        <v>885</v>
      </c>
      <c r="G66" t="s" s="60">
        <f>_xlfn.IFERROR(VLOOKUP($A66,'The List'!$B1:$AS730,10,FALSE)," ")</f>
        <v>885</v>
      </c>
      <c r="H66" s="46"/>
      <c r="I66" t="s" s="61">
        <f>_xlfn.IFERROR(VLOOKUP($A66,'The List'!$B1:$AS730,16,FALSE)," ")</f>
        <v>885</v>
      </c>
      <c r="J66" t="s" s="61">
        <f>_xlfn.IFERROR(VLOOKUP($A66,'The List'!$B1:$AS730,17,FALSE)," ")</f>
        <v>885</v>
      </c>
      <c r="K66" t="s" s="61">
        <f>_xlfn.IFERROR(VLOOKUP($A66,'The List'!$B1:$AS730,18,FALSE)," ")</f>
        <v>885</v>
      </c>
      <c r="L66" t="s" s="61">
        <f>_xlfn.IFERROR(VLOOKUP($A66,'The List'!$B1:$AS730,19,FALSE)," ")</f>
        <v>885</v>
      </c>
      <c r="M66" t="s" s="61">
        <f>_xlfn.IFERROR(VLOOKUP($A66,'The List'!$B1:$AS730,20,FALSE)," ")</f>
        <v>885</v>
      </c>
      <c r="N66" t="s" s="61">
        <f>_xlfn.IFERROR(VLOOKUP($A66,'The List'!$B1:$AS730,21,FALSE)," ")</f>
        <v>885</v>
      </c>
      <c r="O66" t="s" s="61">
        <f>_xlfn.IFERROR(VLOOKUP($A66,'The List'!$B1:$AS730,22,FALSE)," ")</f>
        <v>885</v>
      </c>
      <c r="P66" t="s" s="61">
        <f>_xlfn.IFERROR(VLOOKUP($A66,'The List'!$B1:$AS730,23,FALSE)," ")</f>
        <v>885</v>
      </c>
      <c r="Q66" t="s" s="61">
        <f>_xlfn.IFERROR(VLOOKUP($A66,'The List'!$B1:$AS730,24,FALSE)," ")</f>
        <v>885</v>
      </c>
      <c r="R66" t="s" s="61">
        <f>_xlfn.IFERROR(VLOOKUP($A66,'The List'!$B1:$AS730,25,FALSE)," ")</f>
        <v>885</v>
      </c>
      <c r="S66" t="s" s="61">
        <f>_xlfn.IFERROR(VLOOKUP($A66,'The List'!$B1:$AS730,26,FALSE)," ")</f>
        <v>885</v>
      </c>
      <c r="T66" t="s" s="61">
        <f>_xlfn.IFERROR(VLOOKUP($A66,'The List'!$B1:$AS730,27,FALSE)," ")</f>
        <v>885</v>
      </c>
      <c r="U66" t="s" s="61">
        <f>_xlfn.IFERROR(VLOOKUP($A66,'The List'!$B1:$AS730,28,FALSE)," ")</f>
        <v>885</v>
      </c>
      <c r="V66" t="s" s="61">
        <f>_xlfn.IFERROR(VLOOKUP($A66,'The List'!$B1:$AS730,29,FALSE)," ")</f>
        <v>885</v>
      </c>
      <c r="W66" t="s" s="61">
        <f>_xlfn.IFERROR(VLOOKUP($A66,'The List'!$B1:$AS730,30,FALSE)," ")</f>
        <v>885</v>
      </c>
      <c r="X66" t="s" s="61">
        <f>_xlfn.IFERROR(VLOOKUP($A66,'The List'!$B1:$AS730,31,FALSE)," ")</f>
        <v>885</v>
      </c>
      <c r="Y66" t="s" s="61">
        <f>_xlfn.IFERROR(VLOOKUP($A66,'The List'!$B1:$AS730,32,FALSE)," ")</f>
        <v>885</v>
      </c>
      <c r="Z66" t="s" s="61">
        <f>_xlfn.IFERROR(VLOOKUP($A66,'The List'!$B1:$AS730,33,FALSE)," ")</f>
        <v>885</v>
      </c>
      <c r="AA66" s="64"/>
      <c r="AB66" s="69"/>
      <c r="AC66" s="69"/>
      <c r="AD66" s="69"/>
      <c r="AE66" s="69"/>
      <c r="AF66" s="69"/>
    </row>
    <row r="67" ht="21.25" customHeight="1">
      <c r="A67" s="29"/>
      <c r="B67" t="s" s="71">
        <f>_xlfn.IFERROR(VLOOKUP($A67,'The List'!$B1:$AS730,3,FALSE)," ")</f>
        <v>885</v>
      </c>
      <c r="C67" t="s" s="73">
        <f>_xlfn.IFERROR(VLOOKUP($A67,'The List'!$B1:$AS730,4,FALSE)," ")</f>
        <v>885</v>
      </c>
      <c r="D67" t="s" s="42">
        <f>_xlfn.IFERROR(VLOOKUP($A67,'The List'!$B1:$AS730,5,FALSE)," ")</f>
        <v>885</v>
      </c>
      <c r="E67" t="s" s="42">
        <f>_xlfn.IFERROR(VLOOKUP($A67,'The List'!$B1:$AS730,6,FALSE)," ")</f>
        <v>885</v>
      </c>
      <c r="F67" t="s" s="60">
        <f>_xlfn.IFERROR(VLOOKUP($A67,'The List'!$B1:$AS730,8,FALSE)," ")</f>
        <v>885</v>
      </c>
      <c r="G67" t="s" s="60">
        <f>_xlfn.IFERROR(VLOOKUP($A67,'The List'!$B1:$AS730,10,FALSE)," ")</f>
        <v>885</v>
      </c>
      <c r="H67" s="46"/>
      <c r="I67" t="s" s="61">
        <f>_xlfn.IFERROR(VLOOKUP($A67,'The List'!$B1:$AS730,16,FALSE)," ")</f>
        <v>885</v>
      </c>
      <c r="J67" t="s" s="61">
        <f>_xlfn.IFERROR(VLOOKUP($A67,'The List'!$B1:$AS730,17,FALSE)," ")</f>
        <v>885</v>
      </c>
      <c r="K67" t="s" s="61">
        <f>_xlfn.IFERROR(VLOOKUP($A67,'The List'!$B1:$AS730,18,FALSE)," ")</f>
        <v>885</v>
      </c>
      <c r="L67" t="s" s="61">
        <f>_xlfn.IFERROR(VLOOKUP($A67,'The List'!$B1:$AS730,19,FALSE)," ")</f>
        <v>885</v>
      </c>
      <c r="M67" t="s" s="61">
        <f>_xlfn.IFERROR(VLOOKUP($A67,'The List'!$B1:$AS730,20,FALSE)," ")</f>
        <v>885</v>
      </c>
      <c r="N67" t="s" s="61">
        <f>_xlfn.IFERROR(VLOOKUP($A67,'The List'!$B1:$AS730,21,FALSE)," ")</f>
        <v>885</v>
      </c>
      <c r="O67" t="s" s="61">
        <f>_xlfn.IFERROR(VLOOKUP($A67,'The List'!$B1:$AS730,22,FALSE)," ")</f>
        <v>885</v>
      </c>
      <c r="P67" t="s" s="61">
        <f>_xlfn.IFERROR(VLOOKUP($A67,'The List'!$B1:$AS730,23,FALSE)," ")</f>
        <v>885</v>
      </c>
      <c r="Q67" t="s" s="61">
        <f>_xlfn.IFERROR(VLOOKUP($A67,'The List'!$B1:$AS730,24,FALSE)," ")</f>
        <v>885</v>
      </c>
      <c r="R67" t="s" s="61">
        <f>_xlfn.IFERROR(VLOOKUP($A67,'The List'!$B1:$AS730,25,FALSE)," ")</f>
        <v>885</v>
      </c>
      <c r="S67" t="s" s="61">
        <f>_xlfn.IFERROR(VLOOKUP($A67,'The List'!$B1:$AS730,26,FALSE)," ")</f>
        <v>885</v>
      </c>
      <c r="T67" t="s" s="61">
        <f>_xlfn.IFERROR(VLOOKUP($A67,'The List'!$B1:$AS730,27,FALSE)," ")</f>
        <v>885</v>
      </c>
      <c r="U67" t="s" s="61">
        <f>_xlfn.IFERROR(VLOOKUP($A67,'The List'!$B1:$AS730,28,FALSE)," ")</f>
        <v>885</v>
      </c>
      <c r="V67" t="s" s="61">
        <f>_xlfn.IFERROR(VLOOKUP($A67,'The List'!$B1:$AS730,29,FALSE)," ")</f>
        <v>885</v>
      </c>
      <c r="W67" t="s" s="61">
        <f>_xlfn.IFERROR(VLOOKUP($A67,'The List'!$B1:$AS730,30,FALSE)," ")</f>
        <v>885</v>
      </c>
      <c r="X67" t="s" s="61">
        <f>_xlfn.IFERROR(VLOOKUP($A67,'The List'!$B1:$AS730,31,FALSE)," ")</f>
        <v>885</v>
      </c>
      <c r="Y67" t="s" s="61">
        <f>_xlfn.IFERROR(VLOOKUP($A67,'The List'!$B1:$AS730,32,FALSE)," ")</f>
        <v>885</v>
      </c>
      <c r="Z67" t="s" s="61">
        <f>_xlfn.IFERROR(VLOOKUP($A67,'The List'!$B1:$AS730,33,FALSE)," ")</f>
        <v>885</v>
      </c>
      <c r="AA67" s="64"/>
      <c r="AB67" s="69"/>
      <c r="AC67" s="69"/>
      <c r="AD67" s="69"/>
      <c r="AE67" s="69"/>
      <c r="AF67" s="69"/>
    </row>
    <row r="68" ht="21.25" customHeight="1">
      <c r="A68" s="29"/>
      <c r="B68" t="s" s="74">
        <f>_xlfn.IFERROR(VLOOKUP($A68,'The List'!$B1:$AS730,3,FALSE)," ")</f>
        <v>885</v>
      </c>
      <c r="C68" t="s" s="76">
        <f>_xlfn.IFERROR(VLOOKUP($A68,'The List'!$B1:$AS730,4,FALSE)," ")</f>
        <v>885</v>
      </c>
      <c r="D68" t="s" s="42">
        <f>_xlfn.IFERROR(VLOOKUP($A68,'The List'!$B1:$AS730,5,FALSE)," ")</f>
        <v>885</v>
      </c>
      <c r="E68" t="s" s="42">
        <f>_xlfn.IFERROR(VLOOKUP($A68,'The List'!$B1:$AS730,6,FALSE)," ")</f>
        <v>885</v>
      </c>
      <c r="F68" t="s" s="60">
        <f>_xlfn.IFERROR(VLOOKUP($A68,'The List'!$B1:$AS730,8,FALSE)," ")</f>
        <v>885</v>
      </c>
      <c r="G68" t="s" s="60">
        <f>_xlfn.IFERROR(VLOOKUP($A68,'The List'!$B1:$AS730,10,FALSE)," ")</f>
        <v>885</v>
      </c>
      <c r="H68" s="46"/>
      <c r="I68" t="s" s="61">
        <f>_xlfn.IFERROR(VLOOKUP($A68,'The List'!$B1:$AS730,16,FALSE)," ")</f>
        <v>885</v>
      </c>
      <c r="J68" t="s" s="61">
        <f>_xlfn.IFERROR(VLOOKUP($A68,'The List'!$B1:$AS730,17,FALSE)," ")</f>
        <v>885</v>
      </c>
      <c r="K68" t="s" s="61">
        <f>_xlfn.IFERROR(VLOOKUP($A68,'The List'!$B1:$AS730,18,FALSE)," ")</f>
        <v>885</v>
      </c>
      <c r="L68" t="s" s="61">
        <f>_xlfn.IFERROR(VLOOKUP($A68,'The List'!$B1:$AS730,19,FALSE)," ")</f>
        <v>885</v>
      </c>
      <c r="M68" t="s" s="61">
        <f>_xlfn.IFERROR(VLOOKUP($A68,'The List'!$B1:$AS730,20,FALSE)," ")</f>
        <v>885</v>
      </c>
      <c r="N68" t="s" s="61">
        <f>_xlfn.IFERROR(VLOOKUP($A68,'The List'!$B1:$AS730,21,FALSE)," ")</f>
        <v>885</v>
      </c>
      <c r="O68" t="s" s="61">
        <f>_xlfn.IFERROR(VLOOKUP($A68,'The List'!$B1:$AS730,22,FALSE)," ")</f>
        <v>885</v>
      </c>
      <c r="P68" t="s" s="61">
        <f>_xlfn.IFERROR(VLOOKUP($A68,'The List'!$B1:$AS730,23,FALSE)," ")</f>
        <v>885</v>
      </c>
      <c r="Q68" t="s" s="61">
        <f>_xlfn.IFERROR(VLOOKUP($A68,'The List'!$B1:$AS730,24,FALSE)," ")</f>
        <v>885</v>
      </c>
      <c r="R68" t="s" s="61">
        <f>_xlfn.IFERROR(VLOOKUP($A68,'The List'!$B1:$AS730,25,FALSE)," ")</f>
        <v>885</v>
      </c>
      <c r="S68" t="s" s="61">
        <f>_xlfn.IFERROR(VLOOKUP($A68,'The List'!$B1:$AS730,26,FALSE)," ")</f>
        <v>885</v>
      </c>
      <c r="T68" t="s" s="61">
        <f>_xlfn.IFERROR(VLOOKUP($A68,'The List'!$B1:$AS730,27,FALSE)," ")</f>
        <v>885</v>
      </c>
      <c r="U68" t="s" s="61">
        <f>_xlfn.IFERROR(VLOOKUP($A68,'The List'!$B1:$AS730,28,FALSE)," ")</f>
        <v>885</v>
      </c>
      <c r="V68" t="s" s="61">
        <f>_xlfn.IFERROR(VLOOKUP($A68,'The List'!$B1:$AS730,29,FALSE)," ")</f>
        <v>885</v>
      </c>
      <c r="W68" t="s" s="61">
        <f>_xlfn.IFERROR(VLOOKUP($A68,'The List'!$B1:$AS730,30,FALSE)," ")</f>
        <v>885</v>
      </c>
      <c r="X68" t="s" s="61">
        <f>_xlfn.IFERROR(VLOOKUP($A68,'The List'!$B1:$AS730,31,FALSE)," ")</f>
        <v>885</v>
      </c>
      <c r="Y68" t="s" s="61">
        <f>_xlfn.IFERROR(VLOOKUP($A68,'The List'!$B1:$AS730,32,FALSE)," ")</f>
        <v>885</v>
      </c>
      <c r="Z68" t="s" s="61">
        <f>_xlfn.IFERROR(VLOOKUP($A68,'The List'!$B1:$AS730,33,FALSE)," ")</f>
        <v>885</v>
      </c>
      <c r="AA68" s="64"/>
      <c r="AB68" s="69"/>
      <c r="AC68" s="69"/>
      <c r="AD68" s="69"/>
      <c r="AE68" s="69"/>
      <c r="AF68" s="69"/>
    </row>
    <row r="69" ht="21.25" customHeight="1">
      <c r="A69" s="29"/>
      <c r="B69" t="s" s="74">
        <f>_xlfn.IFERROR(VLOOKUP($A69,'The List'!$B1:$AS730,3,FALSE)," ")</f>
        <v>885</v>
      </c>
      <c r="C69" t="s" s="76">
        <f>_xlfn.IFERROR(VLOOKUP($A69,'The List'!$B1:$AS730,4,FALSE)," ")</f>
        <v>885</v>
      </c>
      <c r="D69" t="s" s="42">
        <f>_xlfn.IFERROR(VLOOKUP($A69,'The List'!$B1:$AS730,5,FALSE)," ")</f>
        <v>885</v>
      </c>
      <c r="E69" t="s" s="42">
        <f>_xlfn.IFERROR(VLOOKUP($A69,'The List'!$B1:$AS730,6,FALSE)," ")</f>
        <v>885</v>
      </c>
      <c r="F69" t="s" s="60">
        <f>_xlfn.IFERROR(VLOOKUP($A69,'The List'!$B1:$AS730,8,FALSE)," ")</f>
        <v>885</v>
      </c>
      <c r="G69" t="s" s="60">
        <f>_xlfn.IFERROR(VLOOKUP($A69,'The List'!$B1:$AS730,10,FALSE)," ")</f>
        <v>885</v>
      </c>
      <c r="H69" s="46"/>
      <c r="I69" t="s" s="61">
        <f>_xlfn.IFERROR(VLOOKUP($A69,'The List'!$B1:$AS730,16,FALSE)," ")</f>
        <v>885</v>
      </c>
      <c r="J69" t="s" s="61">
        <f>_xlfn.IFERROR(VLOOKUP($A69,'The List'!$B1:$AS730,17,FALSE)," ")</f>
        <v>885</v>
      </c>
      <c r="K69" t="s" s="61">
        <f>_xlfn.IFERROR(VLOOKUP($A69,'The List'!$B1:$AS730,18,FALSE)," ")</f>
        <v>885</v>
      </c>
      <c r="L69" t="s" s="61">
        <f>_xlfn.IFERROR(VLOOKUP($A69,'The List'!$B1:$AS730,19,FALSE)," ")</f>
        <v>885</v>
      </c>
      <c r="M69" t="s" s="61">
        <f>_xlfn.IFERROR(VLOOKUP($A69,'The List'!$B1:$AS730,20,FALSE)," ")</f>
        <v>885</v>
      </c>
      <c r="N69" t="s" s="61">
        <f>_xlfn.IFERROR(VLOOKUP($A69,'The List'!$B1:$AS730,21,FALSE)," ")</f>
        <v>885</v>
      </c>
      <c r="O69" t="s" s="61">
        <f>_xlfn.IFERROR(VLOOKUP($A69,'The List'!$B1:$AS730,22,FALSE)," ")</f>
        <v>885</v>
      </c>
      <c r="P69" t="s" s="61">
        <f>_xlfn.IFERROR(VLOOKUP($A69,'The List'!$B1:$AS730,23,FALSE)," ")</f>
        <v>885</v>
      </c>
      <c r="Q69" t="s" s="61">
        <f>_xlfn.IFERROR(VLOOKUP($A69,'The List'!$B1:$AS730,24,FALSE)," ")</f>
        <v>885</v>
      </c>
      <c r="R69" t="s" s="61">
        <f>_xlfn.IFERROR(VLOOKUP($A69,'The List'!$B1:$AS730,25,FALSE)," ")</f>
        <v>885</v>
      </c>
      <c r="S69" t="s" s="61">
        <f>_xlfn.IFERROR(VLOOKUP($A69,'The List'!$B1:$AS730,26,FALSE)," ")</f>
        <v>885</v>
      </c>
      <c r="T69" t="s" s="61">
        <f>_xlfn.IFERROR(VLOOKUP($A69,'The List'!$B1:$AS730,27,FALSE)," ")</f>
        <v>885</v>
      </c>
      <c r="U69" t="s" s="61">
        <f>_xlfn.IFERROR(VLOOKUP($A69,'The List'!$B1:$AS730,28,FALSE)," ")</f>
        <v>885</v>
      </c>
      <c r="V69" t="s" s="61">
        <f>_xlfn.IFERROR(VLOOKUP($A69,'The List'!$B1:$AS730,29,FALSE)," ")</f>
        <v>885</v>
      </c>
      <c r="W69" t="s" s="61">
        <f>_xlfn.IFERROR(VLOOKUP($A69,'The List'!$B1:$AS730,30,FALSE)," ")</f>
        <v>885</v>
      </c>
      <c r="X69" t="s" s="61">
        <f>_xlfn.IFERROR(VLOOKUP($A69,'The List'!$B1:$AS730,31,FALSE)," ")</f>
        <v>885</v>
      </c>
      <c r="Y69" t="s" s="61">
        <f>_xlfn.IFERROR(VLOOKUP($A69,'The List'!$B1:$AS730,32,FALSE)," ")</f>
        <v>885</v>
      </c>
      <c r="Z69" t="s" s="61">
        <f>_xlfn.IFERROR(VLOOKUP($A69,'The List'!$B1:$AS730,33,FALSE)," ")</f>
        <v>885</v>
      </c>
      <c r="AA69" s="64"/>
      <c r="AB69" s="69"/>
      <c r="AC69" s="69"/>
      <c r="AD69" s="69"/>
      <c r="AE69" s="69"/>
      <c r="AF69" s="69"/>
    </row>
    <row r="70" ht="21.25" customHeight="1">
      <c r="A70" s="29"/>
      <c r="B70" t="s" s="74">
        <f>_xlfn.IFERROR(VLOOKUP($A70,'The List'!$B1:$AS730,3,FALSE)," ")</f>
        <v>885</v>
      </c>
      <c r="C70" t="s" s="76">
        <f>_xlfn.IFERROR(VLOOKUP($A70,'The List'!$B1:$AS730,4,FALSE)," ")</f>
        <v>885</v>
      </c>
      <c r="D70" t="s" s="42">
        <f>_xlfn.IFERROR(VLOOKUP($A70,'The List'!$B1:$AS730,5,FALSE)," ")</f>
        <v>885</v>
      </c>
      <c r="E70" t="s" s="42">
        <f>_xlfn.IFERROR(VLOOKUP($A70,'The List'!$B1:$AS730,6,FALSE)," ")</f>
        <v>885</v>
      </c>
      <c r="F70" t="s" s="60">
        <f>_xlfn.IFERROR(VLOOKUP($A70,'The List'!$B1:$AS730,8,FALSE)," ")</f>
        <v>885</v>
      </c>
      <c r="G70" t="s" s="60">
        <f>_xlfn.IFERROR(VLOOKUP($A70,'The List'!$B1:$AS730,10,FALSE)," ")</f>
        <v>885</v>
      </c>
      <c r="H70" s="46"/>
      <c r="I70" t="s" s="61">
        <f>_xlfn.IFERROR(VLOOKUP($A70,'The List'!$B1:$AS730,16,FALSE)," ")</f>
        <v>885</v>
      </c>
      <c r="J70" t="s" s="61">
        <f>_xlfn.IFERROR(VLOOKUP($A70,'The List'!$B1:$AS730,17,FALSE)," ")</f>
        <v>885</v>
      </c>
      <c r="K70" t="s" s="61">
        <f>_xlfn.IFERROR(VLOOKUP($A70,'The List'!$B1:$AS730,18,FALSE)," ")</f>
        <v>885</v>
      </c>
      <c r="L70" t="s" s="61">
        <f>_xlfn.IFERROR(VLOOKUP($A70,'The List'!$B1:$AS730,19,FALSE)," ")</f>
        <v>885</v>
      </c>
      <c r="M70" t="s" s="61">
        <f>_xlfn.IFERROR(VLOOKUP($A70,'The List'!$B1:$AS730,20,FALSE)," ")</f>
        <v>885</v>
      </c>
      <c r="N70" t="s" s="61">
        <f>_xlfn.IFERROR(VLOOKUP($A70,'The List'!$B1:$AS730,21,FALSE)," ")</f>
        <v>885</v>
      </c>
      <c r="O70" t="s" s="61">
        <f>_xlfn.IFERROR(VLOOKUP($A70,'The List'!$B1:$AS730,22,FALSE)," ")</f>
        <v>885</v>
      </c>
      <c r="P70" t="s" s="61">
        <f>_xlfn.IFERROR(VLOOKUP($A70,'The List'!$B1:$AS730,23,FALSE)," ")</f>
        <v>885</v>
      </c>
      <c r="Q70" t="s" s="61">
        <f>_xlfn.IFERROR(VLOOKUP($A70,'The List'!$B1:$AS730,24,FALSE)," ")</f>
        <v>885</v>
      </c>
      <c r="R70" t="s" s="61">
        <f>_xlfn.IFERROR(VLOOKUP($A70,'The List'!$B1:$AS730,25,FALSE)," ")</f>
        <v>885</v>
      </c>
      <c r="S70" t="s" s="61">
        <f>_xlfn.IFERROR(VLOOKUP($A70,'The List'!$B1:$AS730,26,FALSE)," ")</f>
        <v>885</v>
      </c>
      <c r="T70" t="s" s="61">
        <f>_xlfn.IFERROR(VLOOKUP($A70,'The List'!$B1:$AS730,27,FALSE)," ")</f>
        <v>885</v>
      </c>
      <c r="U70" t="s" s="61">
        <f>_xlfn.IFERROR(VLOOKUP($A70,'The List'!$B1:$AS730,28,FALSE)," ")</f>
        <v>885</v>
      </c>
      <c r="V70" t="s" s="61">
        <f>_xlfn.IFERROR(VLOOKUP($A70,'The List'!$B1:$AS730,29,FALSE)," ")</f>
        <v>885</v>
      </c>
      <c r="W70" t="s" s="61">
        <f>_xlfn.IFERROR(VLOOKUP($A70,'The List'!$B1:$AS730,30,FALSE)," ")</f>
        <v>885</v>
      </c>
      <c r="X70" t="s" s="61">
        <f>_xlfn.IFERROR(VLOOKUP($A70,'The List'!$B1:$AS730,31,FALSE)," ")</f>
        <v>885</v>
      </c>
      <c r="Y70" t="s" s="61">
        <f>_xlfn.IFERROR(VLOOKUP($A70,'The List'!$B1:$AS730,32,FALSE)," ")</f>
        <v>885</v>
      </c>
      <c r="Z70" t="s" s="61">
        <f>_xlfn.IFERROR(VLOOKUP($A70,'The List'!$B1:$AS730,33,FALSE)," ")</f>
        <v>885</v>
      </c>
      <c r="AA70" s="64"/>
      <c r="AB70" s="69"/>
      <c r="AC70" s="69"/>
      <c r="AD70" s="69"/>
      <c r="AE70" s="69"/>
      <c r="AF70" s="69"/>
    </row>
    <row r="71" ht="21.25" customHeight="1">
      <c r="A71" s="29"/>
      <c r="B71" t="s" s="74">
        <f>_xlfn.IFERROR(VLOOKUP($A71,'The List'!$B1:$AS730,3,FALSE)," ")</f>
        <v>885</v>
      </c>
      <c r="C71" t="s" s="76">
        <f>_xlfn.IFERROR(VLOOKUP($A71,'The List'!$B1:$AS730,4,FALSE)," ")</f>
        <v>885</v>
      </c>
      <c r="D71" t="s" s="42">
        <f>_xlfn.IFERROR(VLOOKUP($A71,'The List'!$B1:$AS730,5,FALSE)," ")</f>
        <v>885</v>
      </c>
      <c r="E71" t="s" s="42">
        <f>_xlfn.IFERROR(VLOOKUP($A71,'The List'!$B1:$AS730,6,FALSE)," ")</f>
        <v>885</v>
      </c>
      <c r="F71" t="s" s="60">
        <f>_xlfn.IFERROR(VLOOKUP($A71,'The List'!$B1:$AS730,8,FALSE)," ")</f>
        <v>885</v>
      </c>
      <c r="G71" t="s" s="60">
        <f>_xlfn.IFERROR(VLOOKUP($A71,'The List'!$B1:$AS730,10,FALSE)," ")</f>
        <v>885</v>
      </c>
      <c r="H71" s="46"/>
      <c r="I71" t="s" s="61">
        <f>_xlfn.IFERROR(VLOOKUP($A71,'The List'!$B1:$AS730,16,FALSE)," ")</f>
        <v>885</v>
      </c>
      <c r="J71" t="s" s="61">
        <f>_xlfn.IFERROR(VLOOKUP($A71,'The List'!$B1:$AS730,17,FALSE)," ")</f>
        <v>885</v>
      </c>
      <c r="K71" t="s" s="61">
        <f>_xlfn.IFERROR(VLOOKUP($A71,'The List'!$B1:$AS730,18,FALSE)," ")</f>
        <v>885</v>
      </c>
      <c r="L71" t="s" s="61">
        <f>_xlfn.IFERROR(VLOOKUP($A71,'The List'!$B1:$AS730,19,FALSE)," ")</f>
        <v>885</v>
      </c>
      <c r="M71" t="s" s="61">
        <f>_xlfn.IFERROR(VLOOKUP($A71,'The List'!$B1:$AS730,20,FALSE)," ")</f>
        <v>885</v>
      </c>
      <c r="N71" t="s" s="61">
        <f>_xlfn.IFERROR(VLOOKUP($A71,'The List'!$B1:$AS730,21,FALSE)," ")</f>
        <v>885</v>
      </c>
      <c r="O71" t="s" s="61">
        <f>_xlfn.IFERROR(VLOOKUP($A71,'The List'!$B1:$AS730,22,FALSE)," ")</f>
        <v>885</v>
      </c>
      <c r="P71" t="s" s="61">
        <f>_xlfn.IFERROR(VLOOKUP($A71,'The List'!$B1:$AS730,23,FALSE)," ")</f>
        <v>885</v>
      </c>
      <c r="Q71" t="s" s="61">
        <f>_xlfn.IFERROR(VLOOKUP($A71,'The List'!$B1:$AS730,24,FALSE)," ")</f>
        <v>885</v>
      </c>
      <c r="R71" t="s" s="61">
        <f>_xlfn.IFERROR(VLOOKUP($A71,'The List'!$B1:$AS730,25,FALSE)," ")</f>
        <v>885</v>
      </c>
      <c r="S71" t="s" s="61">
        <f>_xlfn.IFERROR(VLOOKUP($A71,'The List'!$B1:$AS730,26,FALSE)," ")</f>
        <v>885</v>
      </c>
      <c r="T71" t="s" s="61">
        <f>_xlfn.IFERROR(VLOOKUP($A71,'The List'!$B1:$AS730,27,FALSE)," ")</f>
        <v>885</v>
      </c>
      <c r="U71" t="s" s="61">
        <f>_xlfn.IFERROR(VLOOKUP($A71,'The List'!$B1:$AS730,28,FALSE)," ")</f>
        <v>885</v>
      </c>
      <c r="V71" t="s" s="61">
        <f>_xlfn.IFERROR(VLOOKUP($A71,'The List'!$B1:$AS730,29,FALSE)," ")</f>
        <v>885</v>
      </c>
      <c r="W71" t="s" s="61">
        <f>_xlfn.IFERROR(VLOOKUP($A71,'The List'!$B1:$AS730,30,FALSE)," ")</f>
        <v>885</v>
      </c>
      <c r="X71" t="s" s="61">
        <f>_xlfn.IFERROR(VLOOKUP($A71,'The List'!$B1:$AS730,31,FALSE)," ")</f>
        <v>885</v>
      </c>
      <c r="Y71" t="s" s="61">
        <f>_xlfn.IFERROR(VLOOKUP($A71,'The List'!$B1:$AS730,32,FALSE)," ")</f>
        <v>885</v>
      </c>
      <c r="Z71" t="s" s="61">
        <f>_xlfn.IFERROR(VLOOKUP($A71,'The List'!$B1:$AS730,33,FALSE)," ")</f>
        <v>885</v>
      </c>
      <c r="AA71" s="64"/>
      <c r="AB71" s="69"/>
      <c r="AC71" s="69"/>
      <c r="AD71" s="69"/>
      <c r="AE71" s="69"/>
      <c r="AF71" s="69"/>
    </row>
    <row r="72" ht="21.25" customHeight="1">
      <c r="A72" s="29"/>
      <c r="B72" t="s" s="77">
        <f>_xlfn.IFERROR(VLOOKUP($A72,'The List'!$B1:$AS730,3,FALSE)," ")</f>
        <v>885</v>
      </c>
      <c r="C72" t="s" s="79">
        <f>_xlfn.IFERROR(VLOOKUP($A72,'The List'!$B1:$AS730,4,FALSE)," ")</f>
        <v>885</v>
      </c>
      <c r="D72" t="s" s="42">
        <f>_xlfn.IFERROR(VLOOKUP($A72,'The List'!$B1:$AS730,5,FALSE)," ")</f>
        <v>885</v>
      </c>
      <c r="E72" t="s" s="42">
        <f>_xlfn.IFERROR(VLOOKUP($A72,'The List'!$B1:$AS730,6,FALSE)," ")</f>
        <v>885</v>
      </c>
      <c r="F72" t="s" s="60">
        <f>_xlfn.IFERROR(VLOOKUP($A72,'The List'!$B1:$AS730,8,FALSE)," ")</f>
        <v>885</v>
      </c>
      <c r="G72" t="s" s="60">
        <f>_xlfn.IFERROR(VLOOKUP($A72,'The List'!$B1:$AS730,10,FALSE)," ")</f>
        <v>885</v>
      </c>
      <c r="H72" s="46"/>
      <c r="I72" t="s" s="61">
        <f>_xlfn.IFERROR(VLOOKUP($A72,'The List'!$B1:$AS730,16,FALSE)," ")</f>
        <v>885</v>
      </c>
      <c r="J72" t="s" s="61">
        <f>_xlfn.IFERROR(VLOOKUP($A72,'The List'!$B1:$AS730,17,FALSE)," ")</f>
        <v>885</v>
      </c>
      <c r="K72" t="s" s="61">
        <f>_xlfn.IFERROR(VLOOKUP($A72,'The List'!$B1:$AS730,18,FALSE)," ")</f>
        <v>885</v>
      </c>
      <c r="L72" t="s" s="61">
        <f>_xlfn.IFERROR(VLOOKUP($A72,'The List'!$B1:$AS730,19,FALSE)," ")</f>
        <v>885</v>
      </c>
      <c r="M72" t="s" s="61">
        <f>_xlfn.IFERROR(VLOOKUP($A72,'The List'!$B1:$AS730,20,FALSE)," ")</f>
        <v>885</v>
      </c>
      <c r="N72" t="s" s="61">
        <f>_xlfn.IFERROR(VLOOKUP($A72,'The List'!$B1:$AS730,21,FALSE)," ")</f>
        <v>885</v>
      </c>
      <c r="O72" t="s" s="61">
        <f>_xlfn.IFERROR(VLOOKUP($A72,'The List'!$B1:$AS730,22,FALSE)," ")</f>
        <v>885</v>
      </c>
      <c r="P72" t="s" s="61">
        <f>_xlfn.IFERROR(VLOOKUP($A72,'The List'!$B1:$AS730,23,FALSE)," ")</f>
        <v>885</v>
      </c>
      <c r="Q72" t="s" s="61">
        <f>_xlfn.IFERROR(VLOOKUP($A72,'The List'!$B1:$AS730,24,FALSE)," ")</f>
        <v>885</v>
      </c>
      <c r="R72" t="s" s="61">
        <f>_xlfn.IFERROR(VLOOKUP($A72,'The List'!$B1:$AS730,25,FALSE)," ")</f>
        <v>885</v>
      </c>
      <c r="S72" t="s" s="61">
        <f>_xlfn.IFERROR(VLOOKUP($A72,'The List'!$B1:$AS730,26,FALSE)," ")</f>
        <v>885</v>
      </c>
      <c r="T72" t="s" s="61">
        <f>_xlfn.IFERROR(VLOOKUP($A72,'The List'!$B1:$AS730,27,FALSE)," ")</f>
        <v>885</v>
      </c>
      <c r="U72" t="s" s="61">
        <f>_xlfn.IFERROR(VLOOKUP($A72,'The List'!$B1:$AS730,28,FALSE)," ")</f>
        <v>885</v>
      </c>
      <c r="V72" t="s" s="61">
        <f>_xlfn.IFERROR(VLOOKUP($A72,'The List'!$B1:$AS730,29,FALSE)," ")</f>
        <v>885</v>
      </c>
      <c r="W72" t="s" s="61">
        <f>_xlfn.IFERROR(VLOOKUP($A72,'The List'!$B1:$AS730,30,FALSE)," ")</f>
        <v>885</v>
      </c>
      <c r="X72" t="s" s="61">
        <f>_xlfn.IFERROR(VLOOKUP($A72,'The List'!$B1:$AS730,31,FALSE)," ")</f>
        <v>885</v>
      </c>
      <c r="Y72" t="s" s="61">
        <f>_xlfn.IFERROR(VLOOKUP($A72,'The List'!$B1:$AS730,32,FALSE)," ")</f>
        <v>885</v>
      </c>
      <c r="Z72" t="s" s="61">
        <f>_xlfn.IFERROR(VLOOKUP($A72,'The List'!$B1:$AS730,33,FALSE)," ")</f>
        <v>885</v>
      </c>
      <c r="AA72" s="64"/>
      <c r="AB72" s="69"/>
      <c r="AC72" s="69"/>
      <c r="AD72" s="69"/>
      <c r="AE72" s="69"/>
      <c r="AF72" s="69"/>
    </row>
    <row r="73" ht="21.25" customHeight="1">
      <c r="A73" s="29"/>
      <c r="B73" t="s" s="77">
        <f>_xlfn.IFERROR(VLOOKUP($A73,'The List'!$B1:$AS730,3,FALSE)," ")</f>
        <v>885</v>
      </c>
      <c r="C73" t="s" s="79">
        <f>_xlfn.IFERROR(VLOOKUP($A73,'The List'!$B1:$AS730,4,FALSE)," ")</f>
        <v>885</v>
      </c>
      <c r="D73" t="s" s="42">
        <f>_xlfn.IFERROR(VLOOKUP($A73,'The List'!$B1:$AS730,5,FALSE)," ")</f>
        <v>885</v>
      </c>
      <c r="E73" t="s" s="42">
        <f>_xlfn.IFERROR(VLOOKUP($A73,'The List'!$B1:$AS730,6,FALSE)," ")</f>
        <v>885</v>
      </c>
      <c r="F73" t="s" s="60">
        <f>_xlfn.IFERROR(VLOOKUP($A73,'The List'!$B1:$AS730,8,FALSE)," ")</f>
        <v>885</v>
      </c>
      <c r="G73" t="s" s="60">
        <f>_xlfn.IFERROR(VLOOKUP($A73,'The List'!$B1:$AS730,10,FALSE)," ")</f>
        <v>885</v>
      </c>
      <c r="H73" s="46"/>
      <c r="I73" t="s" s="61">
        <f>_xlfn.IFERROR(VLOOKUP($A73,'The List'!$B1:$AS730,16,FALSE)," ")</f>
        <v>885</v>
      </c>
      <c r="J73" t="s" s="61">
        <f>_xlfn.IFERROR(VLOOKUP($A73,'The List'!$B1:$AS730,17,FALSE)," ")</f>
        <v>885</v>
      </c>
      <c r="K73" t="s" s="61">
        <f>_xlfn.IFERROR(VLOOKUP($A73,'The List'!$B1:$AS730,18,FALSE)," ")</f>
        <v>885</v>
      </c>
      <c r="L73" t="s" s="61">
        <f>_xlfn.IFERROR(VLOOKUP($A73,'The List'!$B1:$AS730,19,FALSE)," ")</f>
        <v>885</v>
      </c>
      <c r="M73" t="s" s="61">
        <f>_xlfn.IFERROR(VLOOKUP($A73,'The List'!$B1:$AS730,20,FALSE)," ")</f>
        <v>885</v>
      </c>
      <c r="N73" t="s" s="61">
        <f>_xlfn.IFERROR(VLOOKUP($A73,'The List'!$B1:$AS730,21,FALSE)," ")</f>
        <v>885</v>
      </c>
      <c r="O73" t="s" s="61">
        <f>_xlfn.IFERROR(VLOOKUP($A73,'The List'!$B1:$AS730,22,FALSE)," ")</f>
        <v>885</v>
      </c>
      <c r="P73" t="s" s="61">
        <f>_xlfn.IFERROR(VLOOKUP($A73,'The List'!$B1:$AS730,23,FALSE)," ")</f>
        <v>885</v>
      </c>
      <c r="Q73" t="s" s="61">
        <f>_xlfn.IFERROR(VLOOKUP($A73,'The List'!$B1:$AS730,24,FALSE)," ")</f>
        <v>885</v>
      </c>
      <c r="R73" t="s" s="61">
        <f>_xlfn.IFERROR(VLOOKUP($A73,'The List'!$B1:$AS730,25,FALSE)," ")</f>
        <v>885</v>
      </c>
      <c r="S73" t="s" s="61">
        <f>_xlfn.IFERROR(VLOOKUP($A73,'The List'!$B1:$AS730,26,FALSE)," ")</f>
        <v>885</v>
      </c>
      <c r="T73" t="s" s="61">
        <f>_xlfn.IFERROR(VLOOKUP($A73,'The List'!$B1:$AS730,27,FALSE)," ")</f>
        <v>885</v>
      </c>
      <c r="U73" t="s" s="61">
        <f>_xlfn.IFERROR(VLOOKUP($A73,'The List'!$B1:$AS730,28,FALSE)," ")</f>
        <v>885</v>
      </c>
      <c r="V73" t="s" s="61">
        <f>_xlfn.IFERROR(VLOOKUP($A73,'The List'!$B1:$AS730,29,FALSE)," ")</f>
        <v>885</v>
      </c>
      <c r="W73" t="s" s="61">
        <f>_xlfn.IFERROR(VLOOKUP($A73,'The List'!$B1:$AS730,30,FALSE)," ")</f>
        <v>885</v>
      </c>
      <c r="X73" t="s" s="61">
        <f>_xlfn.IFERROR(VLOOKUP($A73,'The List'!$B1:$AS730,31,FALSE)," ")</f>
        <v>885</v>
      </c>
      <c r="Y73" t="s" s="61">
        <f>_xlfn.IFERROR(VLOOKUP($A73,'The List'!$B1:$AS730,32,FALSE)," ")</f>
        <v>885</v>
      </c>
      <c r="Z73" t="s" s="61">
        <f>_xlfn.IFERROR(VLOOKUP($A73,'The List'!$B1:$AS730,33,FALSE)," ")</f>
        <v>885</v>
      </c>
      <c r="AA73" s="64"/>
      <c r="AB73" s="69"/>
      <c r="AC73" s="69"/>
      <c r="AD73" s="69"/>
      <c r="AE73" s="69"/>
      <c r="AF73" s="69"/>
    </row>
    <row r="74" ht="21.25" customHeight="1">
      <c r="A74" s="29"/>
      <c r="B74" t="s" s="77">
        <f>_xlfn.IFERROR(VLOOKUP($A74,'The List'!$B1:$AS730,3,FALSE)," ")</f>
        <v>885</v>
      </c>
      <c r="C74" t="s" s="79">
        <f>_xlfn.IFERROR(VLOOKUP($A74,'The List'!$B1:$AS730,4,FALSE)," ")</f>
        <v>885</v>
      </c>
      <c r="D74" t="s" s="42">
        <f>_xlfn.IFERROR(VLOOKUP($A74,'The List'!$B1:$AS730,5,FALSE)," ")</f>
        <v>885</v>
      </c>
      <c r="E74" t="s" s="42">
        <f>_xlfn.IFERROR(VLOOKUP($A74,'The List'!$B1:$AS730,6,FALSE)," ")</f>
        <v>885</v>
      </c>
      <c r="F74" t="s" s="60">
        <f>_xlfn.IFERROR(VLOOKUP($A74,'The List'!$B1:$AS730,8,FALSE)," ")</f>
        <v>885</v>
      </c>
      <c r="G74" t="s" s="60">
        <f>_xlfn.IFERROR(VLOOKUP($A74,'The List'!$B1:$AS730,10,FALSE)," ")</f>
        <v>885</v>
      </c>
      <c r="H74" s="46"/>
      <c r="I74" t="s" s="61">
        <f>_xlfn.IFERROR(VLOOKUP($A74,'The List'!$B1:$AS730,16,FALSE)," ")</f>
        <v>885</v>
      </c>
      <c r="J74" t="s" s="61">
        <f>_xlfn.IFERROR(VLOOKUP($A74,'The List'!$B1:$AS730,17,FALSE)," ")</f>
        <v>885</v>
      </c>
      <c r="K74" t="s" s="61">
        <f>_xlfn.IFERROR(VLOOKUP($A74,'The List'!$B1:$AS730,18,FALSE)," ")</f>
        <v>885</v>
      </c>
      <c r="L74" t="s" s="61">
        <f>_xlfn.IFERROR(VLOOKUP($A74,'The List'!$B1:$AS730,19,FALSE)," ")</f>
        <v>885</v>
      </c>
      <c r="M74" t="s" s="61">
        <f>_xlfn.IFERROR(VLOOKUP($A74,'The List'!$B1:$AS730,20,FALSE)," ")</f>
        <v>885</v>
      </c>
      <c r="N74" t="s" s="61">
        <f>_xlfn.IFERROR(VLOOKUP($A74,'The List'!$B1:$AS730,21,FALSE)," ")</f>
        <v>885</v>
      </c>
      <c r="O74" t="s" s="61">
        <f>_xlfn.IFERROR(VLOOKUP($A74,'The List'!$B1:$AS730,22,FALSE)," ")</f>
        <v>885</v>
      </c>
      <c r="P74" t="s" s="61">
        <f>_xlfn.IFERROR(VLOOKUP($A74,'The List'!$B1:$AS730,23,FALSE)," ")</f>
        <v>885</v>
      </c>
      <c r="Q74" t="s" s="61">
        <f>_xlfn.IFERROR(VLOOKUP($A74,'The List'!$B1:$AS730,24,FALSE)," ")</f>
        <v>885</v>
      </c>
      <c r="R74" t="s" s="61">
        <f>_xlfn.IFERROR(VLOOKUP($A74,'The List'!$B1:$AS730,25,FALSE)," ")</f>
        <v>885</v>
      </c>
      <c r="S74" t="s" s="61">
        <f>_xlfn.IFERROR(VLOOKUP($A74,'The List'!$B1:$AS730,26,FALSE)," ")</f>
        <v>885</v>
      </c>
      <c r="T74" t="s" s="61">
        <f>_xlfn.IFERROR(VLOOKUP($A74,'The List'!$B1:$AS730,27,FALSE)," ")</f>
        <v>885</v>
      </c>
      <c r="U74" t="s" s="61">
        <f>_xlfn.IFERROR(VLOOKUP($A74,'The List'!$B1:$AS730,28,FALSE)," ")</f>
        <v>885</v>
      </c>
      <c r="V74" t="s" s="61">
        <f>_xlfn.IFERROR(VLOOKUP($A74,'The List'!$B1:$AS730,29,FALSE)," ")</f>
        <v>885</v>
      </c>
      <c r="W74" t="s" s="61">
        <f>_xlfn.IFERROR(VLOOKUP($A74,'The List'!$B1:$AS730,30,FALSE)," ")</f>
        <v>885</v>
      </c>
      <c r="X74" t="s" s="61">
        <f>_xlfn.IFERROR(VLOOKUP($A74,'The List'!$B1:$AS730,31,FALSE)," ")</f>
        <v>885</v>
      </c>
      <c r="Y74" t="s" s="61">
        <f>_xlfn.IFERROR(VLOOKUP($A74,'The List'!$B1:$AS730,32,FALSE)," ")</f>
        <v>885</v>
      </c>
      <c r="Z74" t="s" s="61">
        <f>_xlfn.IFERROR(VLOOKUP($A74,'The List'!$B1:$AS730,33,FALSE)," ")</f>
        <v>885</v>
      </c>
      <c r="AA74" s="64"/>
      <c r="AB74" s="69"/>
      <c r="AC74" s="69"/>
      <c r="AD74" s="69"/>
      <c r="AE74" s="69"/>
      <c r="AF74" s="69"/>
    </row>
    <row r="75" ht="21.25" customHeight="1">
      <c r="A75" s="29"/>
      <c r="B75" t="s" s="77">
        <f>_xlfn.IFERROR(VLOOKUP($A75,'The List'!$B1:$AS730,3,FALSE)," ")</f>
        <v>885</v>
      </c>
      <c r="C75" t="s" s="79">
        <f>_xlfn.IFERROR(VLOOKUP($A75,'The List'!$B1:$AS730,4,FALSE)," ")</f>
        <v>885</v>
      </c>
      <c r="D75" t="s" s="42">
        <f>_xlfn.IFERROR(VLOOKUP($A75,'The List'!$B1:$AS730,5,FALSE)," ")</f>
        <v>885</v>
      </c>
      <c r="E75" t="s" s="42">
        <f>_xlfn.IFERROR(VLOOKUP($A75,'The List'!$B1:$AS730,6,FALSE)," ")</f>
        <v>885</v>
      </c>
      <c r="F75" t="s" s="60">
        <f>_xlfn.IFERROR(VLOOKUP($A75,'The List'!$B1:$AS730,8,FALSE)," ")</f>
        <v>885</v>
      </c>
      <c r="G75" t="s" s="60">
        <f>_xlfn.IFERROR(VLOOKUP($A75,'The List'!$B1:$AS730,10,FALSE)," ")</f>
        <v>885</v>
      </c>
      <c r="H75" s="46"/>
      <c r="I75" t="s" s="61">
        <f>_xlfn.IFERROR(VLOOKUP($A75,'The List'!$B1:$AS730,16,FALSE)," ")</f>
        <v>885</v>
      </c>
      <c r="J75" t="s" s="61">
        <f>_xlfn.IFERROR(VLOOKUP($A75,'The List'!$B1:$AS730,17,FALSE)," ")</f>
        <v>885</v>
      </c>
      <c r="K75" t="s" s="61">
        <f>_xlfn.IFERROR(VLOOKUP($A75,'The List'!$B1:$AS730,18,FALSE)," ")</f>
        <v>885</v>
      </c>
      <c r="L75" t="s" s="61">
        <f>_xlfn.IFERROR(VLOOKUP($A75,'The List'!$B1:$AS730,19,FALSE)," ")</f>
        <v>885</v>
      </c>
      <c r="M75" t="s" s="61">
        <f>_xlfn.IFERROR(VLOOKUP($A75,'The List'!$B1:$AS730,20,FALSE)," ")</f>
        <v>885</v>
      </c>
      <c r="N75" t="s" s="61">
        <f>_xlfn.IFERROR(VLOOKUP($A75,'The List'!$B1:$AS730,21,FALSE)," ")</f>
        <v>885</v>
      </c>
      <c r="O75" t="s" s="61">
        <f>_xlfn.IFERROR(VLOOKUP($A75,'The List'!$B1:$AS730,22,FALSE)," ")</f>
        <v>885</v>
      </c>
      <c r="P75" t="s" s="61">
        <f>_xlfn.IFERROR(VLOOKUP($A75,'The List'!$B1:$AS730,23,FALSE)," ")</f>
        <v>885</v>
      </c>
      <c r="Q75" t="s" s="61">
        <f>_xlfn.IFERROR(VLOOKUP($A75,'The List'!$B1:$AS730,24,FALSE)," ")</f>
        <v>885</v>
      </c>
      <c r="R75" t="s" s="61">
        <f>_xlfn.IFERROR(VLOOKUP($A75,'The List'!$B1:$AS730,25,FALSE)," ")</f>
        <v>885</v>
      </c>
      <c r="S75" t="s" s="61">
        <f>_xlfn.IFERROR(VLOOKUP($A75,'The List'!$B1:$AS730,26,FALSE)," ")</f>
        <v>885</v>
      </c>
      <c r="T75" t="s" s="61">
        <f>_xlfn.IFERROR(VLOOKUP($A75,'The List'!$B1:$AS730,27,FALSE)," ")</f>
        <v>885</v>
      </c>
      <c r="U75" t="s" s="61">
        <f>_xlfn.IFERROR(VLOOKUP($A75,'The List'!$B1:$AS730,28,FALSE)," ")</f>
        <v>885</v>
      </c>
      <c r="V75" t="s" s="61">
        <f>_xlfn.IFERROR(VLOOKUP($A75,'The List'!$B1:$AS730,29,FALSE)," ")</f>
        <v>885</v>
      </c>
      <c r="W75" t="s" s="61">
        <f>_xlfn.IFERROR(VLOOKUP($A75,'The List'!$B1:$AS730,30,FALSE)," ")</f>
        <v>885</v>
      </c>
      <c r="X75" t="s" s="61">
        <f>_xlfn.IFERROR(VLOOKUP($A75,'The List'!$B1:$AS730,31,FALSE)," ")</f>
        <v>885</v>
      </c>
      <c r="Y75" t="s" s="61">
        <f>_xlfn.IFERROR(VLOOKUP($A75,'The List'!$B1:$AS730,32,FALSE)," ")</f>
        <v>885</v>
      </c>
      <c r="Z75" t="s" s="61">
        <f>_xlfn.IFERROR(VLOOKUP($A75,'The List'!$B1:$AS730,33,FALSE)," ")</f>
        <v>885</v>
      </c>
      <c r="AA75" s="64"/>
      <c r="AB75" s="69"/>
      <c r="AC75" s="69"/>
      <c r="AD75" s="69"/>
      <c r="AE75" s="69"/>
      <c r="AF75" s="69"/>
    </row>
    <row r="76" ht="21.25" customHeight="1">
      <c r="A76" s="29"/>
      <c r="B76" t="s" s="77">
        <f>_xlfn.IFERROR(VLOOKUP($A76,'The List'!$B1:$AS730,3,FALSE)," ")</f>
        <v>885</v>
      </c>
      <c r="C76" t="s" s="79">
        <f>_xlfn.IFERROR(VLOOKUP($A76,'The List'!$B1:$AS730,4,FALSE)," ")</f>
        <v>885</v>
      </c>
      <c r="D76" t="s" s="42">
        <f>_xlfn.IFERROR(VLOOKUP($A76,'The List'!$B1:$AS730,5,FALSE)," ")</f>
        <v>885</v>
      </c>
      <c r="E76" t="s" s="42">
        <f>_xlfn.IFERROR(VLOOKUP($A76,'The List'!$B1:$AS730,6,FALSE)," ")</f>
        <v>885</v>
      </c>
      <c r="F76" t="s" s="60">
        <f>_xlfn.IFERROR(VLOOKUP($A76,'The List'!$B1:$AS730,8,FALSE)," ")</f>
        <v>885</v>
      </c>
      <c r="G76" t="s" s="60">
        <f>_xlfn.IFERROR(VLOOKUP($A76,'The List'!$B1:$AS730,10,FALSE)," ")</f>
        <v>885</v>
      </c>
      <c r="H76" s="46"/>
      <c r="I76" t="s" s="61">
        <f>_xlfn.IFERROR(VLOOKUP($A76,'The List'!$B1:$AS730,16,FALSE)," ")</f>
        <v>885</v>
      </c>
      <c r="J76" t="s" s="61">
        <f>_xlfn.IFERROR(VLOOKUP($A76,'The List'!$B1:$AS730,17,FALSE)," ")</f>
        <v>885</v>
      </c>
      <c r="K76" t="s" s="61">
        <f>_xlfn.IFERROR(VLOOKUP($A76,'The List'!$B1:$AS730,18,FALSE)," ")</f>
        <v>885</v>
      </c>
      <c r="L76" t="s" s="61">
        <f>_xlfn.IFERROR(VLOOKUP($A76,'The List'!$B1:$AS730,19,FALSE)," ")</f>
        <v>885</v>
      </c>
      <c r="M76" t="s" s="61">
        <f>_xlfn.IFERROR(VLOOKUP($A76,'The List'!$B1:$AS730,20,FALSE)," ")</f>
        <v>885</v>
      </c>
      <c r="N76" t="s" s="61">
        <f>_xlfn.IFERROR(VLOOKUP($A76,'The List'!$B1:$AS730,21,FALSE)," ")</f>
        <v>885</v>
      </c>
      <c r="O76" t="s" s="61">
        <f>_xlfn.IFERROR(VLOOKUP($A76,'The List'!$B1:$AS730,22,FALSE)," ")</f>
        <v>885</v>
      </c>
      <c r="P76" t="s" s="61">
        <f>_xlfn.IFERROR(VLOOKUP($A76,'The List'!$B1:$AS730,23,FALSE)," ")</f>
        <v>885</v>
      </c>
      <c r="Q76" t="s" s="61">
        <f>_xlfn.IFERROR(VLOOKUP($A76,'The List'!$B1:$AS730,24,FALSE)," ")</f>
        <v>885</v>
      </c>
      <c r="R76" t="s" s="61">
        <f>_xlfn.IFERROR(VLOOKUP($A76,'The List'!$B1:$AS730,25,FALSE)," ")</f>
        <v>885</v>
      </c>
      <c r="S76" t="s" s="61">
        <f>_xlfn.IFERROR(VLOOKUP($A76,'The List'!$B1:$AS730,26,FALSE)," ")</f>
        <v>885</v>
      </c>
      <c r="T76" t="s" s="61">
        <f>_xlfn.IFERROR(VLOOKUP($A76,'The List'!$B1:$AS730,27,FALSE)," ")</f>
        <v>885</v>
      </c>
      <c r="U76" t="s" s="61">
        <f>_xlfn.IFERROR(VLOOKUP($A76,'The List'!$B1:$AS730,28,FALSE)," ")</f>
        <v>885</v>
      </c>
      <c r="V76" t="s" s="61">
        <f>_xlfn.IFERROR(VLOOKUP($A76,'The List'!$B1:$AS730,29,FALSE)," ")</f>
        <v>885</v>
      </c>
      <c r="W76" t="s" s="61">
        <f>_xlfn.IFERROR(VLOOKUP($A76,'The List'!$B1:$AS730,30,FALSE)," ")</f>
        <v>885</v>
      </c>
      <c r="X76" t="s" s="61">
        <f>_xlfn.IFERROR(VLOOKUP($A76,'The List'!$B1:$AS730,31,FALSE)," ")</f>
        <v>885</v>
      </c>
      <c r="Y76" t="s" s="61">
        <f>_xlfn.IFERROR(VLOOKUP($A76,'The List'!$B1:$AS730,32,FALSE)," ")</f>
        <v>885</v>
      </c>
      <c r="Z76" t="s" s="61">
        <f>_xlfn.IFERROR(VLOOKUP($A76,'The List'!$B1:$AS730,33,FALSE)," ")</f>
        <v>885</v>
      </c>
      <c r="AA76" s="64"/>
      <c r="AB76" s="69"/>
      <c r="AC76" s="69"/>
      <c r="AD76" s="69"/>
      <c r="AE76" s="69"/>
      <c r="AF76" s="69"/>
    </row>
    <row r="77" ht="21.25" customHeight="1">
      <c r="A77" s="29"/>
      <c r="B77" t="s" s="77">
        <f>_xlfn.IFERROR(VLOOKUP($A77,'The List'!$B1:$AS730,3,FALSE)," ")</f>
        <v>885</v>
      </c>
      <c r="C77" t="s" s="79">
        <f>_xlfn.IFERROR(VLOOKUP($A77,'The List'!$B1:$AS730,4,FALSE)," ")</f>
        <v>885</v>
      </c>
      <c r="D77" t="s" s="42">
        <f>_xlfn.IFERROR(VLOOKUP($A77,'The List'!$B1:$AS730,5,FALSE)," ")</f>
        <v>885</v>
      </c>
      <c r="E77" t="s" s="42">
        <f>_xlfn.IFERROR(VLOOKUP($A77,'The List'!$B1:$AS730,6,FALSE)," ")</f>
        <v>885</v>
      </c>
      <c r="F77" t="s" s="60">
        <f>_xlfn.IFERROR(VLOOKUP($A77,'The List'!$B1:$AS730,8,FALSE)," ")</f>
        <v>885</v>
      </c>
      <c r="G77" t="s" s="60">
        <f>_xlfn.IFERROR(VLOOKUP($A77,'The List'!$B1:$AS730,10,FALSE)," ")</f>
        <v>885</v>
      </c>
      <c r="H77" s="46"/>
      <c r="I77" t="s" s="61">
        <f>_xlfn.IFERROR(VLOOKUP($A77,'The List'!$B1:$AS730,16,FALSE)," ")</f>
        <v>885</v>
      </c>
      <c r="J77" t="s" s="61">
        <f>_xlfn.IFERROR(VLOOKUP($A77,'The List'!$B1:$AS730,17,FALSE)," ")</f>
        <v>885</v>
      </c>
      <c r="K77" t="s" s="61">
        <f>_xlfn.IFERROR(VLOOKUP($A77,'The List'!$B1:$AS730,18,FALSE)," ")</f>
        <v>885</v>
      </c>
      <c r="L77" t="s" s="61">
        <f>_xlfn.IFERROR(VLOOKUP($A77,'The List'!$B1:$AS730,19,FALSE)," ")</f>
        <v>885</v>
      </c>
      <c r="M77" t="s" s="61">
        <f>_xlfn.IFERROR(VLOOKUP($A77,'The List'!$B1:$AS730,20,FALSE)," ")</f>
        <v>885</v>
      </c>
      <c r="N77" t="s" s="61">
        <f>_xlfn.IFERROR(VLOOKUP($A77,'The List'!$B1:$AS730,21,FALSE)," ")</f>
        <v>885</v>
      </c>
      <c r="O77" t="s" s="61">
        <f>_xlfn.IFERROR(VLOOKUP($A77,'The List'!$B1:$AS730,22,FALSE)," ")</f>
        <v>885</v>
      </c>
      <c r="P77" t="s" s="61">
        <f>_xlfn.IFERROR(VLOOKUP($A77,'The List'!$B1:$AS730,23,FALSE)," ")</f>
        <v>885</v>
      </c>
      <c r="Q77" t="s" s="61">
        <f>_xlfn.IFERROR(VLOOKUP($A77,'The List'!$B1:$AS730,24,FALSE)," ")</f>
        <v>885</v>
      </c>
      <c r="R77" t="s" s="61">
        <f>_xlfn.IFERROR(VLOOKUP($A77,'The List'!$B1:$AS730,25,FALSE)," ")</f>
        <v>885</v>
      </c>
      <c r="S77" t="s" s="61">
        <f>_xlfn.IFERROR(VLOOKUP($A77,'The List'!$B1:$AS730,26,FALSE)," ")</f>
        <v>885</v>
      </c>
      <c r="T77" t="s" s="61">
        <f>_xlfn.IFERROR(VLOOKUP($A77,'The List'!$B1:$AS730,27,FALSE)," ")</f>
        <v>885</v>
      </c>
      <c r="U77" t="s" s="61">
        <f>_xlfn.IFERROR(VLOOKUP($A77,'The List'!$B1:$AS730,28,FALSE)," ")</f>
        <v>885</v>
      </c>
      <c r="V77" t="s" s="61">
        <f>_xlfn.IFERROR(VLOOKUP($A77,'The List'!$B1:$AS730,29,FALSE)," ")</f>
        <v>885</v>
      </c>
      <c r="W77" t="s" s="61">
        <f>_xlfn.IFERROR(VLOOKUP($A77,'The List'!$B1:$AS730,30,FALSE)," ")</f>
        <v>885</v>
      </c>
      <c r="X77" t="s" s="61">
        <f>_xlfn.IFERROR(VLOOKUP($A77,'The List'!$B1:$AS730,31,FALSE)," ")</f>
        <v>885</v>
      </c>
      <c r="Y77" t="s" s="61">
        <f>_xlfn.IFERROR(VLOOKUP($A77,'The List'!$B1:$AS730,32,FALSE)," ")</f>
        <v>885</v>
      </c>
      <c r="Z77" t="s" s="61">
        <f>_xlfn.IFERROR(VLOOKUP($A77,'The List'!$B1:$AS730,33,FALSE)," ")</f>
        <v>885</v>
      </c>
      <c r="AA77" s="64"/>
      <c r="AB77" s="69"/>
      <c r="AC77" s="69"/>
      <c r="AD77" s="69"/>
      <c r="AE77" s="69"/>
      <c r="AF77" s="69"/>
    </row>
    <row r="78" ht="21.25" customHeight="1">
      <c r="A78" s="29"/>
      <c r="B78" t="s" s="77">
        <f>_xlfn.IFERROR(VLOOKUP($A78,'The List'!$B1:$AS730,3,FALSE)," ")</f>
        <v>885</v>
      </c>
      <c r="C78" t="s" s="79">
        <f>_xlfn.IFERROR(VLOOKUP($A78,'The List'!$B1:$AS730,4,FALSE)," ")</f>
        <v>885</v>
      </c>
      <c r="D78" t="s" s="42">
        <f>_xlfn.IFERROR(VLOOKUP($A78,'The List'!$B1:$AS730,5,FALSE)," ")</f>
        <v>885</v>
      </c>
      <c r="E78" t="s" s="42">
        <f>_xlfn.IFERROR(VLOOKUP($A78,'The List'!$B1:$AS730,6,FALSE)," ")</f>
        <v>885</v>
      </c>
      <c r="F78" t="s" s="60">
        <f>_xlfn.IFERROR(VLOOKUP($A78,'The List'!$B1:$AS730,8,FALSE)," ")</f>
        <v>885</v>
      </c>
      <c r="G78" t="s" s="60">
        <f>_xlfn.IFERROR(VLOOKUP($A78,'The List'!$B1:$AS730,10,FALSE)," ")</f>
        <v>885</v>
      </c>
      <c r="H78" s="46"/>
      <c r="I78" t="s" s="61">
        <f>_xlfn.IFERROR(VLOOKUP($A78,'The List'!$B1:$AS730,16,FALSE)," ")</f>
        <v>885</v>
      </c>
      <c r="J78" t="s" s="61">
        <f>_xlfn.IFERROR(VLOOKUP($A78,'The List'!$B1:$AS730,17,FALSE)," ")</f>
        <v>885</v>
      </c>
      <c r="K78" t="s" s="61">
        <f>_xlfn.IFERROR(VLOOKUP($A78,'The List'!$B1:$AS730,18,FALSE)," ")</f>
        <v>885</v>
      </c>
      <c r="L78" t="s" s="61">
        <f>_xlfn.IFERROR(VLOOKUP($A78,'The List'!$B1:$AS730,19,FALSE)," ")</f>
        <v>885</v>
      </c>
      <c r="M78" t="s" s="61">
        <f>_xlfn.IFERROR(VLOOKUP($A78,'The List'!$B1:$AS730,20,FALSE)," ")</f>
        <v>885</v>
      </c>
      <c r="N78" t="s" s="61">
        <f>_xlfn.IFERROR(VLOOKUP($A78,'The List'!$B1:$AS730,21,FALSE)," ")</f>
        <v>885</v>
      </c>
      <c r="O78" t="s" s="61">
        <f>_xlfn.IFERROR(VLOOKUP($A78,'The List'!$B1:$AS730,22,FALSE)," ")</f>
        <v>885</v>
      </c>
      <c r="P78" t="s" s="61">
        <f>_xlfn.IFERROR(VLOOKUP($A78,'The List'!$B1:$AS730,23,FALSE)," ")</f>
        <v>885</v>
      </c>
      <c r="Q78" t="s" s="61">
        <f>_xlfn.IFERROR(VLOOKUP($A78,'The List'!$B1:$AS730,24,FALSE)," ")</f>
        <v>885</v>
      </c>
      <c r="R78" t="s" s="61">
        <f>_xlfn.IFERROR(VLOOKUP($A78,'The List'!$B1:$AS730,25,FALSE)," ")</f>
        <v>885</v>
      </c>
      <c r="S78" t="s" s="61">
        <f>_xlfn.IFERROR(VLOOKUP($A78,'The List'!$B1:$AS730,26,FALSE)," ")</f>
        <v>885</v>
      </c>
      <c r="T78" t="s" s="61">
        <f>_xlfn.IFERROR(VLOOKUP($A78,'The List'!$B1:$AS730,27,FALSE)," ")</f>
        <v>885</v>
      </c>
      <c r="U78" t="s" s="61">
        <f>_xlfn.IFERROR(VLOOKUP($A78,'The List'!$B1:$AS730,28,FALSE)," ")</f>
        <v>885</v>
      </c>
      <c r="V78" t="s" s="61">
        <f>_xlfn.IFERROR(VLOOKUP($A78,'The List'!$B1:$AS730,29,FALSE)," ")</f>
        <v>885</v>
      </c>
      <c r="W78" t="s" s="61">
        <f>_xlfn.IFERROR(VLOOKUP($A78,'The List'!$B1:$AS730,30,FALSE)," ")</f>
        <v>885</v>
      </c>
      <c r="X78" t="s" s="61">
        <f>_xlfn.IFERROR(VLOOKUP($A78,'The List'!$B1:$AS730,31,FALSE)," ")</f>
        <v>885</v>
      </c>
      <c r="Y78" t="s" s="61">
        <f>_xlfn.IFERROR(VLOOKUP($A78,'The List'!$B1:$AS730,32,FALSE)," ")</f>
        <v>885</v>
      </c>
      <c r="Z78" t="s" s="61">
        <f>_xlfn.IFERROR(VLOOKUP($A78,'The List'!$B1:$AS730,33,FALSE)," ")</f>
        <v>885</v>
      </c>
      <c r="AA78" s="64"/>
      <c r="AB78" s="69"/>
      <c r="AC78" s="69"/>
      <c r="AD78" s="69"/>
      <c r="AE78" s="69"/>
      <c r="AF78" s="69"/>
    </row>
    <row r="79" ht="21.25" customHeight="1">
      <c r="A79" s="81"/>
      <c r="B79" t="s" s="82">
        <f>_xlfn.IFERROR(VLOOKUP($A79,'The List'!$B1:$AS730,3,FALSE)," ")</f>
        <v>885</v>
      </c>
      <c r="C79" t="s" s="83">
        <f>_xlfn.IFERROR(VLOOKUP($A79,'The List'!$B1:$AS730,4,FALSE)," ")</f>
        <v>885</v>
      </c>
      <c r="D79" t="s" s="84">
        <f>_xlfn.IFERROR(VLOOKUP($A79,'The List'!$B1:$AS730,5,FALSE)," ")</f>
        <v>885</v>
      </c>
      <c r="E79" t="s" s="84">
        <f>_xlfn.IFERROR(VLOOKUP($A79,'The List'!$B1:$AS730,6,FALSE)," ")</f>
        <v>885</v>
      </c>
      <c r="F79" t="s" s="85">
        <f>_xlfn.IFERROR(VLOOKUP($A79,'The List'!$B1:$AS730,8,FALSE)," ")</f>
        <v>885</v>
      </c>
      <c r="G79" t="s" s="85">
        <f>_xlfn.IFERROR(VLOOKUP($A79,'The List'!$B1:$AS730,10,FALSE)," ")</f>
        <v>885</v>
      </c>
      <c r="H79" s="86"/>
      <c r="I79" t="s" s="87">
        <f>_xlfn.IFERROR(VLOOKUP($A79,'The List'!$B1:$AS730,16,FALSE)," ")</f>
        <v>885</v>
      </c>
      <c r="J79" t="s" s="87">
        <f>_xlfn.IFERROR(VLOOKUP($A79,'The List'!$B1:$AS730,17,FALSE)," ")</f>
        <v>885</v>
      </c>
      <c r="K79" t="s" s="87">
        <f>_xlfn.IFERROR(VLOOKUP($A79,'The List'!$B1:$AS730,18,FALSE)," ")</f>
        <v>885</v>
      </c>
      <c r="L79" t="s" s="87">
        <f>_xlfn.IFERROR(VLOOKUP($A79,'The List'!$B1:$AS730,19,FALSE)," ")</f>
        <v>885</v>
      </c>
      <c r="M79" t="s" s="87">
        <f>_xlfn.IFERROR(VLOOKUP($A79,'The List'!$B1:$AS730,20,FALSE)," ")</f>
        <v>885</v>
      </c>
      <c r="N79" t="s" s="87">
        <f>_xlfn.IFERROR(VLOOKUP($A79,'The List'!$B1:$AS730,21,FALSE)," ")</f>
        <v>885</v>
      </c>
      <c r="O79" t="s" s="87">
        <f>_xlfn.IFERROR(VLOOKUP($A79,'The List'!$B1:$AS730,22,FALSE)," ")</f>
        <v>885</v>
      </c>
      <c r="P79" t="s" s="87">
        <f>_xlfn.IFERROR(VLOOKUP($A79,'The List'!$B1:$AS730,23,FALSE)," ")</f>
        <v>885</v>
      </c>
      <c r="Q79" t="s" s="87">
        <f>_xlfn.IFERROR(VLOOKUP($A79,'The List'!$B1:$AS730,24,FALSE)," ")</f>
        <v>885</v>
      </c>
      <c r="R79" t="s" s="87">
        <f>_xlfn.IFERROR(VLOOKUP($A79,'The List'!$B1:$AS730,25,FALSE)," ")</f>
        <v>885</v>
      </c>
      <c r="S79" t="s" s="87">
        <f>_xlfn.IFERROR(VLOOKUP($A79,'The List'!$B1:$AS730,26,FALSE)," ")</f>
        <v>885</v>
      </c>
      <c r="T79" t="s" s="87">
        <f>_xlfn.IFERROR(VLOOKUP($A79,'The List'!$B1:$AS730,27,FALSE)," ")</f>
        <v>885</v>
      </c>
      <c r="U79" t="s" s="87">
        <f>_xlfn.IFERROR(VLOOKUP($A79,'The List'!$B1:$AS730,28,FALSE)," ")</f>
        <v>885</v>
      </c>
      <c r="V79" t="s" s="87">
        <f>_xlfn.IFERROR(VLOOKUP($A79,'The List'!$B1:$AS730,29,FALSE)," ")</f>
        <v>885</v>
      </c>
      <c r="W79" t="s" s="87">
        <f>_xlfn.IFERROR(VLOOKUP($A79,'The List'!$B1:$AS730,30,FALSE)," ")</f>
        <v>885</v>
      </c>
      <c r="X79" t="s" s="87">
        <f>_xlfn.IFERROR(VLOOKUP($A79,'The List'!$B1:$AS730,31,FALSE)," ")</f>
        <v>885</v>
      </c>
      <c r="Y79" t="s" s="87">
        <f>_xlfn.IFERROR(VLOOKUP($A79,'The List'!$B1:$AS730,32,FALSE)," ")</f>
        <v>885</v>
      </c>
      <c r="Z79" t="s" s="87">
        <f>_xlfn.IFERROR(VLOOKUP($A79,'The List'!$B1:$AS730,33,FALSE)," ")</f>
        <v>885</v>
      </c>
      <c r="AA79" s="64"/>
      <c r="AB79" s="69"/>
      <c r="AC79" s="69"/>
      <c r="AD79" s="69"/>
      <c r="AE79" s="69"/>
      <c r="AF79" s="69"/>
    </row>
    <row r="80" ht="21.25" customHeight="1">
      <c r="A80" s="88"/>
      <c r="B80" s="89"/>
      <c r="C80" s="90"/>
      <c r="D80" s="91"/>
      <c r="E80" t="s" s="127">
        <f>_xlfn.IFERROR(AVERAGE(E60:E79)," ")</f>
        <v>885</v>
      </c>
      <c r="F80" s="93">
        <f>SUM(F60:F79)</f>
        <v>0</v>
      </c>
      <c r="G80" s="93">
        <f>SUM(G60:G79)</f>
        <v>0</v>
      </c>
      <c r="H80" s="94"/>
      <c r="I80" s="95">
        <f>SUM(I60:I79)</f>
        <v>0</v>
      </c>
      <c r="J80" s="94">
        <f>AVERAGE(J60:J79)</f>
      </c>
      <c r="K80" s="95">
        <f>SUM(K60:K79)</f>
        <v>0</v>
      </c>
      <c r="L80" s="95">
        <f>SUM(L60:L79)</f>
        <v>0</v>
      </c>
      <c r="M80" s="95">
        <f>SUM(M60:M79)</f>
        <v>0</v>
      </c>
      <c r="N80" s="95">
        <f>SUM(N60:N79)</f>
        <v>0</v>
      </c>
      <c r="O80" s="95">
        <f>SUM(O60:O79)</f>
        <v>0</v>
      </c>
      <c r="P80" s="95">
        <f>SUM(P60:P79)</f>
        <v>0</v>
      </c>
      <c r="Q80" s="95">
        <f>SUM(Q60:Q79)</f>
        <v>0</v>
      </c>
      <c r="R80" s="95">
        <f>SUM(R60:R79)</f>
        <v>0</v>
      </c>
      <c r="S80" s="95">
        <f>SUM(S60:S79)</f>
        <v>0</v>
      </c>
      <c r="T80" s="95">
        <f>SUM(T60:T79)</f>
        <v>0</v>
      </c>
      <c r="U80" s="95">
        <f>SUM(U60:U79)</f>
        <v>0</v>
      </c>
      <c r="V80" s="95">
        <f>SUM(V60:V79)</f>
        <v>0</v>
      </c>
      <c r="W80" s="95">
        <f>SUM(W60:W79)</f>
        <v>0</v>
      </c>
      <c r="X80" s="95">
        <f>SUM(X60:X79)</f>
        <v>0</v>
      </c>
      <c r="Y80" s="95">
        <f>SUM(Y60:Y79)</f>
        <v>0</v>
      </c>
      <c r="Z80" s="96">
        <f>_xlfn.IFERROR(X80/(X80+Y80),0)</f>
        <v>0</v>
      </c>
      <c r="AA80" s="64"/>
      <c r="AB80" s="97"/>
      <c r="AC80" s="97"/>
      <c r="AD80" s="97"/>
      <c r="AE80" s="97"/>
      <c r="AF80" s="97"/>
    </row>
    <row r="81" ht="21.25" customHeight="1">
      <c r="A81" s="98"/>
      <c r="B81" s="99"/>
      <c r="C81" s="100"/>
      <c r="D81" s="11"/>
      <c r="E81" s="11"/>
      <c r="F81" s="101"/>
      <c r="G81" s="102"/>
      <c r="H81" s="103"/>
      <c r="I81" s="10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9"/>
      <c r="AC81" s="69"/>
      <c r="AD81" s="69"/>
      <c r="AE81" s="69"/>
      <c r="AF81" s="69"/>
    </row>
    <row r="82" ht="21.25" customHeight="1">
      <c r="A82" t="s" s="31">
        <v>66</v>
      </c>
      <c r="B82" t="s" s="105">
        <v>68</v>
      </c>
      <c r="C82" s="19"/>
      <c r="D82" t="s" s="105">
        <v>69</v>
      </c>
      <c r="E82" t="s" s="105">
        <v>70</v>
      </c>
      <c r="F82" t="s" s="106">
        <v>72</v>
      </c>
      <c r="G82" t="s" s="106">
        <v>74</v>
      </c>
      <c r="H82" s="107"/>
      <c r="I82" t="s" s="108">
        <v>79</v>
      </c>
      <c r="J82" t="s" s="108">
        <v>97</v>
      </c>
      <c r="K82" t="s" s="108">
        <v>98</v>
      </c>
      <c r="L82" t="s" s="108">
        <v>99</v>
      </c>
      <c r="M82" t="s" s="108">
        <v>100</v>
      </c>
      <c r="N82" t="s" s="108">
        <v>101</v>
      </c>
      <c r="O82" t="s" s="108">
        <v>102</v>
      </c>
      <c r="P82" t="s" s="108">
        <v>103</v>
      </c>
      <c r="Q82" t="s" s="108">
        <v>104</v>
      </c>
      <c r="R82" s="64"/>
      <c r="S82" s="64"/>
      <c r="T82" s="64"/>
      <c r="U82" t="s" s="105">
        <v>901</v>
      </c>
      <c r="V82" s="107"/>
      <c r="W82" s="107"/>
      <c r="X82" t="s" s="105">
        <v>902</v>
      </c>
      <c r="Y82" s="107"/>
      <c r="Z82" s="107"/>
      <c r="AA82" s="64"/>
      <c r="AB82" s="64"/>
      <c r="AC82" s="64"/>
      <c r="AD82" s="64"/>
      <c r="AE82" s="64"/>
      <c r="AF82" s="64"/>
    </row>
    <row r="83" ht="21.25" customHeight="1">
      <c r="A83" s="128"/>
      <c r="B83" t="s" s="110">
        <f>_xlfn.IFERROR(VLOOKUP($A83,'The List'!$B1:$AS730,3,FALSE)," ")</f>
        <v>885</v>
      </c>
      <c r="C83" t="s" s="129">
        <f>_xlfn.IFERROR(VLOOKUP($A83,'The List'!$B1:$AS730,4,FALSE)," ")</f>
        <v>885</v>
      </c>
      <c r="D83" t="s" s="112">
        <f>_xlfn.IFERROR(VLOOKUP($A83,'The List'!$B1:$AS730,5,FALSE)," ")</f>
        <v>885</v>
      </c>
      <c r="E83" t="s" s="112">
        <f>_xlfn.IFERROR(VLOOKUP($A83,'The List'!$B1:$AS730,6,FALSE)," ")</f>
        <v>885</v>
      </c>
      <c r="F83" t="s" s="130">
        <f>_xlfn.IFERROR(VLOOKUP($A83,'The List'!$B1:$AS730,8,FALSE)," ")</f>
        <v>885</v>
      </c>
      <c r="G83" t="s" s="130">
        <f>_xlfn.IFERROR(VLOOKUP($A83,'The List'!$B1:$AS730,10,FALSE)," ")</f>
        <v>885</v>
      </c>
      <c r="H83" s="115"/>
      <c r="I83" t="s" s="131">
        <f>_xlfn.IFERROR(VLOOKUP($A83,'The List'!$B1:$AS730,35,FALSE)," ")</f>
        <v>885</v>
      </c>
      <c r="J83" t="s" s="131">
        <f>_xlfn.IFERROR(VLOOKUP($A83,'The List'!$B1:$AS730,36,FALSE)," ")</f>
        <v>885</v>
      </c>
      <c r="K83" t="s" s="131">
        <f>_xlfn.IFERROR(VLOOKUP($A83,'The List'!$B1:$AS730,37,FALSE)," ")</f>
        <v>885</v>
      </c>
      <c r="L83" t="s" s="131">
        <f>_xlfn.IFERROR(VLOOKUP($A83,'The List'!$B1:$AS730,38,FALSE)," ")</f>
        <v>885</v>
      </c>
      <c r="M83" t="s" s="131">
        <f>_xlfn.IFERROR(VLOOKUP($A83,'The List'!$B1:$AS730,39,FALSE)," ")</f>
        <v>885</v>
      </c>
      <c r="N83" t="s" s="131">
        <f>_xlfn.IFERROR(VLOOKUP($A83,'The List'!$B1:$AS730,40,FALSE)," ")</f>
        <v>885</v>
      </c>
      <c r="O83" t="s" s="131">
        <f>_xlfn.IFERROR(VLOOKUP($A83,'The List'!$B1:$AS730,41,FALSE)," ")</f>
        <v>885</v>
      </c>
      <c r="P83" t="s" s="131">
        <f>_xlfn.IFERROR(VLOOKUP($A83,'The List'!$B1:$AS730,42,FALSE)," ")</f>
        <v>885</v>
      </c>
      <c r="Q83" t="s" s="131">
        <f>_xlfn.IFERROR(VLOOKUP($A83,'The List'!$B1:$AS730,43,FALSE)," ")</f>
        <v>885</v>
      </c>
      <c r="R83" s="64"/>
      <c r="S83" s="64"/>
      <c r="T83" t="s" s="119">
        <f>A59</f>
        <v>905</v>
      </c>
      <c r="U83" s="120">
        <f>F80+F86</f>
        <v>0</v>
      </c>
      <c r="V83" s="19"/>
      <c r="W83" s="19"/>
      <c r="X83" s="120">
        <f>G86+G80</f>
        <v>0</v>
      </c>
      <c r="Y83" s="19"/>
      <c r="Z83" s="19"/>
      <c r="AA83" s="64"/>
      <c r="AB83" s="64"/>
      <c r="AC83" s="64"/>
      <c r="AD83" s="64"/>
      <c r="AE83" s="64"/>
      <c r="AF83" s="64"/>
    </row>
    <row r="84" ht="21.25" customHeight="1">
      <c r="A84" s="29"/>
      <c r="B84" t="s" s="121">
        <f>_xlfn.IFERROR(VLOOKUP($A84,'The List'!$B1:$AS730,3,FALSE)," ")</f>
        <v>885</v>
      </c>
      <c r="C84" t="s" s="122">
        <f>_xlfn.IFERROR(VLOOKUP($A84,'The List'!$B1:$AS730,4,FALSE)," ")</f>
        <v>885</v>
      </c>
      <c r="D84" t="s" s="42">
        <f>_xlfn.IFERROR(VLOOKUP($A84,'The List'!$B1:$AS730,5,FALSE)," ")</f>
        <v>885</v>
      </c>
      <c r="E84" t="s" s="42">
        <f>_xlfn.IFERROR(VLOOKUP($A84,'The List'!$B1:$AS730,6,FALSE)," ")</f>
        <v>885</v>
      </c>
      <c r="F84" t="s" s="60">
        <f>_xlfn.IFERROR(VLOOKUP($A84,'The List'!$B1:$AS730,8,FALSE)," ")</f>
        <v>885</v>
      </c>
      <c r="G84" t="s" s="60">
        <f>_xlfn.IFERROR(VLOOKUP($A84,'The List'!$B1:$AS730,10,FALSE)," ")</f>
        <v>885</v>
      </c>
      <c r="H84" s="46"/>
      <c r="I84" t="s" s="61">
        <f>_xlfn.IFERROR(VLOOKUP($A84,'The List'!$B1:$AS730,35,FALSE)," ")</f>
        <v>885</v>
      </c>
      <c r="J84" t="s" s="61">
        <f>_xlfn.IFERROR(VLOOKUP($A84,'The List'!$B1:$AS730,36,FALSE)," ")</f>
        <v>885</v>
      </c>
      <c r="K84" t="s" s="61">
        <f>_xlfn.IFERROR(VLOOKUP($A84,'The List'!$B1:$AS730,37,FALSE)," ")</f>
        <v>885</v>
      </c>
      <c r="L84" t="s" s="61">
        <f>_xlfn.IFERROR(VLOOKUP($A84,'The List'!$B1:$AS730,38,FALSE)," ")</f>
        <v>885</v>
      </c>
      <c r="M84" t="s" s="61">
        <f>_xlfn.IFERROR(VLOOKUP($A84,'The List'!$B1:$AS730,39,FALSE)," ")</f>
        <v>885</v>
      </c>
      <c r="N84" t="s" s="61">
        <f>_xlfn.IFERROR(VLOOKUP($A84,'The List'!$B1:$AS730,40,FALSE)," ")</f>
        <v>885</v>
      </c>
      <c r="O84" t="s" s="61">
        <f>_xlfn.IFERROR(VLOOKUP($A84,'The List'!$B1:$AS730,41,FALSE)," ")</f>
        <v>885</v>
      </c>
      <c r="P84" t="s" s="61">
        <f>_xlfn.IFERROR(VLOOKUP($A84,'The List'!$B1:$AS730,42,FALSE)," ")</f>
        <v>885</v>
      </c>
      <c r="Q84" t="s" s="61">
        <f>_xlfn.IFERROR(VLOOKUP($A84,'The List'!$B1:$AS730,43,FALSE)," ")</f>
        <v>885</v>
      </c>
      <c r="R84" s="64"/>
      <c r="S84" s="64"/>
      <c r="T84" s="64"/>
      <c r="U84" s="19"/>
      <c r="V84" s="19"/>
      <c r="W84" s="19"/>
      <c r="X84" s="19"/>
      <c r="Y84" s="19"/>
      <c r="Z84" s="19"/>
      <c r="AA84" s="64"/>
      <c r="AB84" s="64"/>
      <c r="AC84" s="64"/>
      <c r="AD84" s="64"/>
      <c r="AE84" s="64"/>
      <c r="AF84" s="64"/>
    </row>
    <row r="85" ht="21.25" customHeight="1">
      <c r="A85" s="81"/>
      <c r="B85" t="s" s="123">
        <f>_xlfn.IFERROR(VLOOKUP($A85,'The List'!$B1:$AS730,3,FALSE)," ")</f>
        <v>885</v>
      </c>
      <c r="C85" t="s" s="124">
        <f>_xlfn.IFERROR(VLOOKUP($A85,'The List'!$B1:$AS730,4,FALSE)," ")</f>
        <v>885</v>
      </c>
      <c r="D85" t="s" s="84">
        <f>_xlfn.IFERROR(VLOOKUP($A85,'The List'!$B1:$AS730,5,FALSE)," ")</f>
        <v>885</v>
      </c>
      <c r="E85" t="s" s="84">
        <f>_xlfn.IFERROR(VLOOKUP($A85,'The List'!$B1:$AS730,6,FALSE)," ")</f>
        <v>885</v>
      </c>
      <c r="F85" t="s" s="85">
        <f>_xlfn.IFERROR(VLOOKUP($A85,'The List'!$B1:$AS730,8,FALSE)," ")</f>
        <v>885</v>
      </c>
      <c r="G85" t="s" s="85">
        <f>_xlfn.IFERROR(VLOOKUP($A85,'The List'!$B1:$AS730,10,FALSE)," ")</f>
        <v>885</v>
      </c>
      <c r="H85" s="86"/>
      <c r="I85" t="s" s="87">
        <f>_xlfn.IFERROR(VLOOKUP($A85,'The List'!$B1:$AS730,35,FALSE)," ")</f>
        <v>885</v>
      </c>
      <c r="J85" t="s" s="87">
        <f>_xlfn.IFERROR(VLOOKUP($A85,'The List'!$B1:$AS730,36,FALSE)," ")</f>
        <v>885</v>
      </c>
      <c r="K85" t="s" s="87">
        <f>_xlfn.IFERROR(VLOOKUP($A85,'The List'!$B1:$AS730,37,FALSE)," ")</f>
        <v>885</v>
      </c>
      <c r="L85" t="s" s="87">
        <f>_xlfn.IFERROR(VLOOKUP($A85,'The List'!$B1:$AS730,38,FALSE)," ")</f>
        <v>885</v>
      </c>
      <c r="M85" t="s" s="87">
        <f>_xlfn.IFERROR(VLOOKUP($A85,'The List'!$B1:$AS730,39,FALSE)," ")</f>
        <v>885</v>
      </c>
      <c r="N85" t="s" s="87">
        <f>_xlfn.IFERROR(VLOOKUP($A85,'The List'!$B1:$AS730,40,FALSE)," ")</f>
        <v>885</v>
      </c>
      <c r="O85" t="s" s="87">
        <f>_xlfn.IFERROR(VLOOKUP($A85,'The List'!$B1:$AS730,41,FALSE)," ")</f>
        <v>885</v>
      </c>
      <c r="P85" t="s" s="87">
        <f>_xlfn.IFERROR(VLOOKUP($A85,'The List'!$B1:$AS730,42,FALSE)," ")</f>
        <v>885</v>
      </c>
      <c r="Q85" t="s" s="87">
        <f>_xlfn.IFERROR(VLOOKUP($A85,'The List'!$B1:$AS730,43,FALSE)," ")</f>
        <v>885</v>
      </c>
      <c r="R85" s="64"/>
      <c r="S85" s="64"/>
      <c r="T85" s="64"/>
      <c r="U85" s="19"/>
      <c r="V85" s="19"/>
      <c r="W85" s="19"/>
      <c r="X85" s="19"/>
      <c r="Y85" s="19"/>
      <c r="Z85" s="19"/>
      <c r="AA85" s="64"/>
      <c r="AB85" s="64"/>
      <c r="AC85" s="64"/>
      <c r="AD85" s="64"/>
      <c r="AE85" s="64"/>
      <c r="AF85" s="64"/>
    </row>
    <row r="86" ht="21.25" customHeight="1">
      <c r="A86" s="88"/>
      <c r="B86" s="89"/>
      <c r="C86" s="90"/>
      <c r="D86" s="91"/>
      <c r="E86" t="s" s="127">
        <f>_xlfn.IFERROR(AVERAGE(E83:E85)," ")</f>
        <v>885</v>
      </c>
      <c r="F86" s="93">
        <f>SUM(F83:F85)</f>
        <v>0</v>
      </c>
      <c r="G86" s="93">
        <f>SUM(G83:G85)</f>
        <v>0</v>
      </c>
      <c r="H86" s="94"/>
      <c r="I86" s="95">
        <f>SUM(I83:I85)</f>
        <v>0</v>
      </c>
      <c r="J86" s="94">
        <f>SUM(J83:J85)</f>
        <v>0</v>
      </c>
      <c r="K86" s="95">
        <f>SUM(K83:K85)</f>
        <v>0</v>
      </c>
      <c r="L86" s="95">
        <f>SUM(L83:L85)</f>
        <v>0</v>
      </c>
      <c r="M86" s="95">
        <f>SUM(M83:M85)</f>
        <v>0</v>
      </c>
      <c r="N86" s="95">
        <f>SUM(N83:N85)</f>
        <v>0</v>
      </c>
      <c r="O86" s="95">
        <f>SUM(O83:O85)</f>
        <v>0</v>
      </c>
      <c r="P86" s="125">
        <f>1-(O86/(N86+O86))</f>
      </c>
      <c r="Q86" s="126">
        <f>O86/I86</f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</row>
    <row r="87" ht="70.85" customHeight="1">
      <c r="A87" s="98"/>
      <c r="B87" s="99"/>
      <c r="C87" s="100"/>
      <c r="D87" s="11"/>
      <c r="E87" s="11"/>
      <c r="F87" s="101"/>
      <c r="G87" s="102"/>
      <c r="H87" s="103"/>
      <c r="I87" s="10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9"/>
      <c r="AB87" s="69"/>
      <c r="AC87" s="69"/>
      <c r="AD87" s="69"/>
      <c r="AE87" s="69"/>
      <c r="AF87" s="69"/>
    </row>
    <row r="88" ht="21.25" customHeight="1">
      <c r="A88" t="s" s="32">
        <v>888</v>
      </c>
      <c r="B88" t="s" s="33">
        <v>68</v>
      </c>
      <c r="C88" s="25"/>
      <c r="D88" t="s" s="33">
        <v>69</v>
      </c>
      <c r="E88" t="s" s="33">
        <v>70</v>
      </c>
      <c r="F88" t="s" s="34">
        <v>72</v>
      </c>
      <c r="G88" t="s" s="34">
        <v>74</v>
      </c>
      <c r="H88" s="35"/>
      <c r="I88" t="s" s="37">
        <v>79</v>
      </c>
      <c r="J88" t="s" s="37">
        <v>80</v>
      </c>
      <c r="K88" t="s" s="37">
        <v>81</v>
      </c>
      <c r="L88" t="s" s="37">
        <v>82</v>
      </c>
      <c r="M88" t="s" s="37">
        <v>83</v>
      </c>
      <c r="N88" t="s" s="37">
        <v>84</v>
      </c>
      <c r="O88" t="s" s="37">
        <v>85</v>
      </c>
      <c r="P88" t="s" s="37">
        <v>86</v>
      </c>
      <c r="Q88" t="s" s="37">
        <v>87</v>
      </c>
      <c r="R88" t="s" s="37">
        <v>88</v>
      </c>
      <c r="S88" t="s" s="37">
        <v>89</v>
      </c>
      <c r="T88" t="s" s="37">
        <v>90</v>
      </c>
      <c r="U88" t="s" s="37">
        <v>91</v>
      </c>
      <c r="V88" t="s" s="37">
        <v>92</v>
      </c>
      <c r="W88" t="s" s="37">
        <v>93</v>
      </c>
      <c r="X88" t="s" s="37">
        <v>94</v>
      </c>
      <c r="Y88" t="s" s="37">
        <v>95</v>
      </c>
      <c r="Z88" t="s" s="37">
        <v>96</v>
      </c>
      <c r="AA88" s="64"/>
      <c r="AB88" s="65"/>
      <c r="AC88" s="65"/>
      <c r="AD88" s="65"/>
      <c r="AE88" s="65"/>
      <c r="AF88" s="65"/>
    </row>
    <row r="89" ht="21.25" customHeight="1">
      <c r="A89" s="29"/>
      <c r="B89" t="s" s="66">
        <f>_xlfn.IFERROR(VLOOKUP($A89,'The List'!$B1:$AS730,3,FALSE)," ")</f>
        <v>885</v>
      </c>
      <c r="C89" t="s" s="70">
        <f>_xlfn.IFERROR(VLOOKUP($A89,'The List'!$B1:$AS730,4,FALSE)," ")</f>
        <v>885</v>
      </c>
      <c r="D89" t="s" s="42">
        <f>_xlfn.IFERROR(VLOOKUP($A89,'The List'!$B1:$AS730,5,FALSE)," ")</f>
        <v>885</v>
      </c>
      <c r="E89" t="s" s="42">
        <f>_xlfn.IFERROR(VLOOKUP($A89,'The List'!$B1:$AS730,6,FALSE)," ")</f>
        <v>885</v>
      </c>
      <c r="F89" t="s" s="60">
        <f>_xlfn.IFERROR(VLOOKUP($A89,'The List'!$B1:$AS730,8,FALSE)," ")</f>
        <v>885</v>
      </c>
      <c r="G89" t="s" s="60">
        <f>_xlfn.IFERROR(VLOOKUP($A89,'The List'!$B1:$AS730,10,FALSE)," ")</f>
        <v>885</v>
      </c>
      <c r="H89" s="46"/>
      <c r="I89" t="s" s="61">
        <f>_xlfn.IFERROR(VLOOKUP($A89,'The List'!$B1:$AS730,16,FALSE)," ")</f>
        <v>885</v>
      </c>
      <c r="J89" t="s" s="61">
        <f>_xlfn.IFERROR(VLOOKUP($A89,'The List'!$B1:$AS730,17,FALSE)," ")</f>
        <v>885</v>
      </c>
      <c r="K89" t="s" s="61">
        <f>_xlfn.IFERROR(VLOOKUP($A89,'The List'!$B1:$AS730,18,FALSE)," ")</f>
        <v>885</v>
      </c>
      <c r="L89" t="s" s="61">
        <f>_xlfn.IFERROR(VLOOKUP($A89,'The List'!$B1:$AS730,19,FALSE)," ")</f>
        <v>885</v>
      </c>
      <c r="M89" t="s" s="61">
        <f>_xlfn.IFERROR(VLOOKUP($A89,'The List'!$B1:$AS730,20,FALSE)," ")</f>
        <v>885</v>
      </c>
      <c r="N89" t="s" s="61">
        <f>_xlfn.IFERROR(VLOOKUP($A89,'The List'!$B1:$AS730,21,FALSE)," ")</f>
        <v>885</v>
      </c>
      <c r="O89" t="s" s="61">
        <f>_xlfn.IFERROR(VLOOKUP($A89,'The List'!$B1:$AS730,22,FALSE)," ")</f>
        <v>885</v>
      </c>
      <c r="P89" t="s" s="61">
        <f>_xlfn.IFERROR(VLOOKUP($A89,'The List'!$B1:$AS730,23,FALSE)," ")</f>
        <v>885</v>
      </c>
      <c r="Q89" t="s" s="61">
        <f>_xlfn.IFERROR(VLOOKUP($A89,'The List'!$B1:$AS730,24,FALSE)," ")</f>
        <v>885</v>
      </c>
      <c r="R89" t="s" s="61">
        <f>_xlfn.IFERROR(VLOOKUP($A89,'The List'!$B1:$AS730,25,FALSE)," ")</f>
        <v>885</v>
      </c>
      <c r="S89" t="s" s="61">
        <f>_xlfn.IFERROR(VLOOKUP($A89,'The List'!$B1:$AS730,26,FALSE)," ")</f>
        <v>885</v>
      </c>
      <c r="T89" t="s" s="61">
        <f>_xlfn.IFERROR(VLOOKUP($A89,'The List'!$B1:$AS730,27,FALSE)," ")</f>
        <v>885</v>
      </c>
      <c r="U89" t="s" s="61">
        <f>_xlfn.IFERROR(VLOOKUP($A89,'The List'!$B1:$AS730,28,FALSE)," ")</f>
        <v>885</v>
      </c>
      <c r="V89" t="s" s="61">
        <f>_xlfn.IFERROR(VLOOKUP($A89,'The List'!$B1:$AS730,29,FALSE)," ")</f>
        <v>885</v>
      </c>
      <c r="W89" t="s" s="61">
        <f>_xlfn.IFERROR(VLOOKUP($A89,'The List'!$B1:$AS730,30,FALSE)," ")</f>
        <v>885</v>
      </c>
      <c r="X89" t="s" s="61">
        <f>_xlfn.IFERROR(VLOOKUP($A89,'The List'!$B1:$AS730,31,FALSE)," ")</f>
        <v>885</v>
      </c>
      <c r="Y89" t="s" s="61">
        <f>_xlfn.IFERROR(VLOOKUP($A89,'The List'!$B1:$AS730,32,FALSE)," ")</f>
        <v>885</v>
      </c>
      <c r="Z89" t="s" s="61">
        <f>_xlfn.IFERROR(VLOOKUP($A89,'The List'!$B1:$AS730,33,FALSE)," ")</f>
        <v>885</v>
      </c>
      <c r="AA89" s="64"/>
      <c r="AB89" s="69"/>
      <c r="AC89" s="69"/>
      <c r="AD89" s="69"/>
      <c r="AE89" s="69"/>
      <c r="AF89" s="69"/>
    </row>
    <row r="90" ht="21.25" customHeight="1">
      <c r="A90" s="29"/>
      <c r="B90" t="s" s="66">
        <f>_xlfn.IFERROR(VLOOKUP($A90,'The List'!$B1:$AS730,3,FALSE)," ")</f>
        <v>885</v>
      </c>
      <c r="C90" t="s" s="70">
        <f>_xlfn.IFERROR(VLOOKUP($A90,'The List'!$B1:$AS730,4,FALSE)," ")</f>
        <v>885</v>
      </c>
      <c r="D90" t="s" s="42">
        <f>_xlfn.IFERROR(VLOOKUP($A90,'The List'!$B1:$AS730,5,FALSE)," ")</f>
        <v>885</v>
      </c>
      <c r="E90" t="s" s="42">
        <f>_xlfn.IFERROR(VLOOKUP($A90,'The List'!$B1:$AS730,6,FALSE)," ")</f>
        <v>885</v>
      </c>
      <c r="F90" t="s" s="60">
        <f>_xlfn.IFERROR(VLOOKUP($A90,'The List'!$B1:$AS730,8,FALSE)," ")</f>
        <v>885</v>
      </c>
      <c r="G90" t="s" s="60">
        <f>_xlfn.IFERROR(VLOOKUP($A90,'The List'!$B1:$AS730,10,FALSE)," ")</f>
        <v>885</v>
      </c>
      <c r="H90" s="46"/>
      <c r="I90" t="s" s="61">
        <f>_xlfn.IFERROR(VLOOKUP($A90,'The List'!$B1:$AS730,16,FALSE)," ")</f>
        <v>885</v>
      </c>
      <c r="J90" t="s" s="61">
        <f>_xlfn.IFERROR(VLOOKUP($A90,'The List'!$B1:$AS730,17,FALSE)," ")</f>
        <v>885</v>
      </c>
      <c r="K90" t="s" s="61">
        <f>_xlfn.IFERROR(VLOOKUP($A90,'The List'!$B1:$AS730,18,FALSE)," ")</f>
        <v>885</v>
      </c>
      <c r="L90" t="s" s="61">
        <f>_xlfn.IFERROR(VLOOKUP($A90,'The List'!$B1:$AS730,19,FALSE)," ")</f>
        <v>885</v>
      </c>
      <c r="M90" t="s" s="61">
        <f>_xlfn.IFERROR(VLOOKUP($A90,'The List'!$B1:$AS730,20,FALSE)," ")</f>
        <v>885</v>
      </c>
      <c r="N90" t="s" s="61">
        <f>_xlfn.IFERROR(VLOOKUP($A90,'The List'!$B1:$AS730,21,FALSE)," ")</f>
        <v>885</v>
      </c>
      <c r="O90" t="s" s="61">
        <f>_xlfn.IFERROR(VLOOKUP($A90,'The List'!$B1:$AS730,22,FALSE)," ")</f>
        <v>885</v>
      </c>
      <c r="P90" t="s" s="61">
        <f>_xlfn.IFERROR(VLOOKUP($A90,'The List'!$B1:$AS730,23,FALSE)," ")</f>
        <v>885</v>
      </c>
      <c r="Q90" t="s" s="61">
        <f>_xlfn.IFERROR(VLOOKUP($A90,'The List'!$B1:$AS730,24,FALSE)," ")</f>
        <v>885</v>
      </c>
      <c r="R90" t="s" s="61">
        <f>_xlfn.IFERROR(VLOOKUP($A90,'The List'!$B1:$AS730,25,FALSE)," ")</f>
        <v>885</v>
      </c>
      <c r="S90" t="s" s="61">
        <f>_xlfn.IFERROR(VLOOKUP($A90,'The List'!$B1:$AS730,26,FALSE)," ")</f>
        <v>885</v>
      </c>
      <c r="T90" t="s" s="61">
        <f>_xlfn.IFERROR(VLOOKUP($A90,'The List'!$B1:$AS730,27,FALSE)," ")</f>
        <v>885</v>
      </c>
      <c r="U90" t="s" s="61">
        <f>_xlfn.IFERROR(VLOOKUP($A90,'The List'!$B1:$AS730,28,FALSE)," ")</f>
        <v>885</v>
      </c>
      <c r="V90" t="s" s="61">
        <f>_xlfn.IFERROR(VLOOKUP($A90,'The List'!$B1:$AS730,29,FALSE)," ")</f>
        <v>885</v>
      </c>
      <c r="W90" t="s" s="61">
        <f>_xlfn.IFERROR(VLOOKUP($A90,'The List'!$B1:$AS730,30,FALSE)," ")</f>
        <v>885</v>
      </c>
      <c r="X90" t="s" s="61">
        <f>_xlfn.IFERROR(VLOOKUP($A90,'The List'!$B1:$AS730,31,FALSE)," ")</f>
        <v>885</v>
      </c>
      <c r="Y90" t="s" s="61">
        <f>_xlfn.IFERROR(VLOOKUP($A90,'The List'!$B1:$AS730,32,FALSE)," ")</f>
        <v>885</v>
      </c>
      <c r="Z90" t="s" s="61">
        <f>_xlfn.IFERROR(VLOOKUP($A90,'The List'!$B1:$AS730,33,FALSE)," ")</f>
        <v>885</v>
      </c>
      <c r="AA90" s="64"/>
      <c r="AB90" s="69"/>
      <c r="AC90" s="69"/>
      <c r="AD90" s="69"/>
      <c r="AE90" s="69"/>
      <c r="AF90" s="69"/>
    </row>
    <row r="91" ht="21.25" customHeight="1">
      <c r="A91" s="29"/>
      <c r="B91" t="s" s="66">
        <f>_xlfn.IFERROR(VLOOKUP($A91,'The List'!$B1:$AS730,3,FALSE)," ")</f>
        <v>885</v>
      </c>
      <c r="C91" t="s" s="70">
        <f>_xlfn.IFERROR(VLOOKUP($A91,'The List'!$B1:$AS730,4,FALSE)," ")</f>
        <v>885</v>
      </c>
      <c r="D91" t="s" s="42">
        <f>_xlfn.IFERROR(VLOOKUP($A91,'The List'!$B1:$AS730,5,FALSE)," ")</f>
        <v>885</v>
      </c>
      <c r="E91" t="s" s="42">
        <f>_xlfn.IFERROR(VLOOKUP($A91,'The List'!$B1:$AS730,6,FALSE)," ")</f>
        <v>885</v>
      </c>
      <c r="F91" t="s" s="60">
        <f>_xlfn.IFERROR(VLOOKUP($A91,'The List'!$B1:$AS730,8,FALSE)," ")</f>
        <v>885</v>
      </c>
      <c r="G91" t="s" s="60">
        <f>_xlfn.IFERROR(VLOOKUP($A91,'The List'!$B1:$AS730,10,FALSE)," ")</f>
        <v>885</v>
      </c>
      <c r="H91" s="46"/>
      <c r="I91" t="s" s="61">
        <f>_xlfn.IFERROR(VLOOKUP($A91,'The List'!$B1:$AS730,16,FALSE)," ")</f>
        <v>885</v>
      </c>
      <c r="J91" t="s" s="61">
        <f>_xlfn.IFERROR(VLOOKUP($A91,'The List'!$B1:$AS730,17,FALSE)," ")</f>
        <v>885</v>
      </c>
      <c r="K91" t="s" s="61">
        <f>_xlfn.IFERROR(VLOOKUP($A91,'The List'!$B1:$AS730,18,FALSE)," ")</f>
        <v>885</v>
      </c>
      <c r="L91" t="s" s="61">
        <f>_xlfn.IFERROR(VLOOKUP($A91,'The List'!$B1:$AS730,19,FALSE)," ")</f>
        <v>885</v>
      </c>
      <c r="M91" t="s" s="61">
        <f>_xlfn.IFERROR(VLOOKUP($A91,'The List'!$B1:$AS730,20,FALSE)," ")</f>
        <v>885</v>
      </c>
      <c r="N91" t="s" s="61">
        <f>_xlfn.IFERROR(VLOOKUP($A91,'The List'!$B1:$AS730,21,FALSE)," ")</f>
        <v>885</v>
      </c>
      <c r="O91" t="s" s="61">
        <f>_xlfn.IFERROR(VLOOKUP($A91,'The List'!$B1:$AS730,22,FALSE)," ")</f>
        <v>885</v>
      </c>
      <c r="P91" t="s" s="61">
        <f>_xlfn.IFERROR(VLOOKUP($A91,'The List'!$B1:$AS730,23,FALSE)," ")</f>
        <v>885</v>
      </c>
      <c r="Q91" t="s" s="61">
        <f>_xlfn.IFERROR(VLOOKUP($A91,'The List'!$B1:$AS730,24,FALSE)," ")</f>
        <v>885</v>
      </c>
      <c r="R91" t="s" s="61">
        <f>_xlfn.IFERROR(VLOOKUP($A91,'The List'!$B1:$AS730,25,FALSE)," ")</f>
        <v>885</v>
      </c>
      <c r="S91" t="s" s="61">
        <f>_xlfn.IFERROR(VLOOKUP($A91,'The List'!$B1:$AS730,26,FALSE)," ")</f>
        <v>885</v>
      </c>
      <c r="T91" t="s" s="61">
        <f>_xlfn.IFERROR(VLOOKUP($A91,'The List'!$B1:$AS730,27,FALSE)," ")</f>
        <v>885</v>
      </c>
      <c r="U91" t="s" s="61">
        <f>_xlfn.IFERROR(VLOOKUP($A91,'The List'!$B1:$AS730,28,FALSE)," ")</f>
        <v>885</v>
      </c>
      <c r="V91" t="s" s="61">
        <f>_xlfn.IFERROR(VLOOKUP($A91,'The List'!$B1:$AS730,29,FALSE)," ")</f>
        <v>885</v>
      </c>
      <c r="W91" t="s" s="61">
        <f>_xlfn.IFERROR(VLOOKUP($A91,'The List'!$B1:$AS730,30,FALSE)," ")</f>
        <v>885</v>
      </c>
      <c r="X91" t="s" s="61">
        <f>_xlfn.IFERROR(VLOOKUP($A91,'The List'!$B1:$AS730,31,FALSE)," ")</f>
        <v>885</v>
      </c>
      <c r="Y91" t="s" s="61">
        <f>_xlfn.IFERROR(VLOOKUP($A91,'The List'!$B1:$AS730,32,FALSE)," ")</f>
        <v>885</v>
      </c>
      <c r="Z91" t="s" s="61">
        <f>_xlfn.IFERROR(VLOOKUP($A91,'The List'!$B1:$AS730,33,FALSE)," ")</f>
        <v>885</v>
      </c>
      <c r="AA91" s="64"/>
      <c r="AB91" s="69"/>
      <c r="AC91" s="69"/>
      <c r="AD91" s="69"/>
      <c r="AE91" s="69"/>
      <c r="AF91" s="69"/>
    </row>
    <row r="92" ht="21.25" customHeight="1">
      <c r="A92" s="29"/>
      <c r="B92" t="s" s="66">
        <f>_xlfn.IFERROR(VLOOKUP($A92,'The List'!$B1:$AS730,3,FALSE)," ")</f>
        <v>885</v>
      </c>
      <c r="C92" t="s" s="70">
        <f>_xlfn.IFERROR(VLOOKUP($A92,'The List'!$B1:$AS730,4,FALSE)," ")</f>
        <v>885</v>
      </c>
      <c r="D92" t="s" s="42">
        <f>_xlfn.IFERROR(VLOOKUP($A92,'The List'!$B1:$AS730,5,FALSE)," ")</f>
        <v>885</v>
      </c>
      <c r="E92" t="s" s="42">
        <f>_xlfn.IFERROR(VLOOKUP($A92,'The List'!$B1:$AS730,6,FALSE)," ")</f>
        <v>885</v>
      </c>
      <c r="F92" t="s" s="60">
        <f>_xlfn.IFERROR(VLOOKUP($A92,'The List'!$B1:$AS730,8,FALSE)," ")</f>
        <v>885</v>
      </c>
      <c r="G92" t="s" s="60">
        <f>_xlfn.IFERROR(VLOOKUP($A92,'The List'!$B1:$AS730,10,FALSE)," ")</f>
        <v>885</v>
      </c>
      <c r="H92" s="46"/>
      <c r="I92" t="s" s="61">
        <f>_xlfn.IFERROR(VLOOKUP($A92,'The List'!$B1:$AS730,16,FALSE)," ")</f>
        <v>885</v>
      </c>
      <c r="J92" t="s" s="61">
        <f>_xlfn.IFERROR(VLOOKUP($A92,'The List'!$B1:$AS730,17,FALSE)," ")</f>
        <v>885</v>
      </c>
      <c r="K92" t="s" s="61">
        <f>_xlfn.IFERROR(VLOOKUP($A92,'The List'!$B1:$AS730,18,FALSE)," ")</f>
        <v>885</v>
      </c>
      <c r="L92" t="s" s="61">
        <f>_xlfn.IFERROR(VLOOKUP($A92,'The List'!$B1:$AS730,19,FALSE)," ")</f>
        <v>885</v>
      </c>
      <c r="M92" t="s" s="61">
        <f>_xlfn.IFERROR(VLOOKUP($A92,'The List'!$B1:$AS730,20,FALSE)," ")</f>
        <v>885</v>
      </c>
      <c r="N92" t="s" s="61">
        <f>_xlfn.IFERROR(VLOOKUP($A92,'The List'!$B1:$AS730,21,FALSE)," ")</f>
        <v>885</v>
      </c>
      <c r="O92" t="s" s="61">
        <f>_xlfn.IFERROR(VLOOKUP($A92,'The List'!$B1:$AS730,22,FALSE)," ")</f>
        <v>885</v>
      </c>
      <c r="P92" t="s" s="61">
        <f>_xlfn.IFERROR(VLOOKUP($A92,'The List'!$B1:$AS730,23,FALSE)," ")</f>
        <v>885</v>
      </c>
      <c r="Q92" t="s" s="61">
        <f>_xlfn.IFERROR(VLOOKUP($A92,'The List'!$B1:$AS730,24,FALSE)," ")</f>
        <v>885</v>
      </c>
      <c r="R92" t="s" s="61">
        <f>_xlfn.IFERROR(VLOOKUP($A92,'The List'!$B1:$AS730,25,FALSE)," ")</f>
        <v>885</v>
      </c>
      <c r="S92" t="s" s="61">
        <f>_xlfn.IFERROR(VLOOKUP($A92,'The List'!$B1:$AS730,26,FALSE)," ")</f>
        <v>885</v>
      </c>
      <c r="T92" t="s" s="61">
        <f>_xlfn.IFERROR(VLOOKUP($A92,'The List'!$B1:$AS730,27,FALSE)," ")</f>
        <v>885</v>
      </c>
      <c r="U92" t="s" s="61">
        <f>_xlfn.IFERROR(VLOOKUP($A92,'The List'!$B1:$AS730,28,FALSE)," ")</f>
        <v>885</v>
      </c>
      <c r="V92" t="s" s="61">
        <f>_xlfn.IFERROR(VLOOKUP($A92,'The List'!$B1:$AS730,29,FALSE)," ")</f>
        <v>885</v>
      </c>
      <c r="W92" t="s" s="61">
        <f>_xlfn.IFERROR(VLOOKUP($A92,'The List'!$B1:$AS730,30,FALSE)," ")</f>
        <v>885</v>
      </c>
      <c r="X92" t="s" s="61">
        <f>_xlfn.IFERROR(VLOOKUP($A92,'The List'!$B1:$AS730,31,FALSE)," ")</f>
        <v>885</v>
      </c>
      <c r="Y92" t="s" s="61">
        <f>_xlfn.IFERROR(VLOOKUP($A92,'The List'!$B1:$AS730,32,FALSE)," ")</f>
        <v>885</v>
      </c>
      <c r="Z92" t="s" s="61">
        <f>_xlfn.IFERROR(VLOOKUP($A92,'The List'!$B1:$AS730,33,FALSE)," ")</f>
        <v>885</v>
      </c>
      <c r="AA92" s="64"/>
      <c r="AB92" s="69"/>
      <c r="AC92" s="69"/>
      <c r="AD92" s="69"/>
      <c r="AE92" s="69"/>
      <c r="AF92" s="69"/>
    </row>
    <row r="93" ht="21.25" customHeight="1">
      <c r="A93" s="29"/>
      <c r="B93" t="s" s="71">
        <f>_xlfn.IFERROR(VLOOKUP($A93,'The List'!$B1:$AS730,3,FALSE)," ")</f>
        <v>885</v>
      </c>
      <c r="C93" t="s" s="73">
        <f>_xlfn.IFERROR(VLOOKUP($A93,'The List'!$B1:$AS730,4,FALSE)," ")</f>
        <v>885</v>
      </c>
      <c r="D93" t="s" s="42">
        <f>_xlfn.IFERROR(VLOOKUP($A93,'The List'!$B1:$AS730,5,FALSE)," ")</f>
        <v>885</v>
      </c>
      <c r="E93" t="s" s="42">
        <f>_xlfn.IFERROR(VLOOKUP($A93,'The List'!$B1:$AS730,6,FALSE)," ")</f>
        <v>885</v>
      </c>
      <c r="F93" t="s" s="60">
        <f>_xlfn.IFERROR(VLOOKUP($A93,'The List'!$B1:$AS730,8,FALSE)," ")</f>
        <v>885</v>
      </c>
      <c r="G93" t="s" s="60">
        <f>_xlfn.IFERROR(VLOOKUP($A93,'The List'!$B1:$AS730,10,FALSE)," ")</f>
        <v>885</v>
      </c>
      <c r="H93" s="46"/>
      <c r="I93" t="s" s="61">
        <f>_xlfn.IFERROR(VLOOKUP($A93,'The List'!$B1:$AS730,16,FALSE)," ")</f>
        <v>885</v>
      </c>
      <c r="J93" t="s" s="61">
        <f>_xlfn.IFERROR(VLOOKUP($A93,'The List'!$B1:$AS730,17,FALSE)," ")</f>
        <v>885</v>
      </c>
      <c r="K93" t="s" s="61">
        <f>_xlfn.IFERROR(VLOOKUP($A93,'The List'!$B1:$AS730,18,FALSE)," ")</f>
        <v>885</v>
      </c>
      <c r="L93" t="s" s="61">
        <f>_xlfn.IFERROR(VLOOKUP($A93,'The List'!$B1:$AS730,19,FALSE)," ")</f>
        <v>885</v>
      </c>
      <c r="M93" t="s" s="61">
        <f>_xlfn.IFERROR(VLOOKUP($A93,'The List'!$B1:$AS730,20,FALSE)," ")</f>
        <v>885</v>
      </c>
      <c r="N93" t="s" s="61">
        <f>_xlfn.IFERROR(VLOOKUP($A93,'The List'!$B1:$AS730,21,FALSE)," ")</f>
        <v>885</v>
      </c>
      <c r="O93" t="s" s="61">
        <f>_xlfn.IFERROR(VLOOKUP($A93,'The List'!$B1:$AS730,22,FALSE)," ")</f>
        <v>885</v>
      </c>
      <c r="P93" t="s" s="61">
        <f>_xlfn.IFERROR(VLOOKUP($A93,'The List'!$B1:$AS730,23,FALSE)," ")</f>
        <v>885</v>
      </c>
      <c r="Q93" t="s" s="61">
        <f>_xlfn.IFERROR(VLOOKUP($A93,'The List'!$B1:$AS730,24,FALSE)," ")</f>
        <v>885</v>
      </c>
      <c r="R93" t="s" s="61">
        <f>_xlfn.IFERROR(VLOOKUP($A93,'The List'!$B1:$AS730,25,FALSE)," ")</f>
        <v>885</v>
      </c>
      <c r="S93" t="s" s="61">
        <f>_xlfn.IFERROR(VLOOKUP($A93,'The List'!$B1:$AS730,26,FALSE)," ")</f>
        <v>885</v>
      </c>
      <c r="T93" t="s" s="61">
        <f>_xlfn.IFERROR(VLOOKUP($A93,'The List'!$B1:$AS730,27,FALSE)," ")</f>
        <v>885</v>
      </c>
      <c r="U93" t="s" s="61">
        <f>_xlfn.IFERROR(VLOOKUP($A93,'The List'!$B1:$AS730,28,FALSE)," ")</f>
        <v>885</v>
      </c>
      <c r="V93" t="s" s="61">
        <f>_xlfn.IFERROR(VLOOKUP($A93,'The List'!$B1:$AS730,29,FALSE)," ")</f>
        <v>885</v>
      </c>
      <c r="W93" t="s" s="61">
        <f>_xlfn.IFERROR(VLOOKUP($A93,'The List'!$B1:$AS730,30,FALSE)," ")</f>
        <v>885</v>
      </c>
      <c r="X93" t="s" s="61">
        <f>_xlfn.IFERROR(VLOOKUP($A93,'The List'!$B1:$AS730,31,FALSE)," ")</f>
        <v>885</v>
      </c>
      <c r="Y93" t="s" s="61">
        <f>_xlfn.IFERROR(VLOOKUP($A93,'The List'!$B1:$AS730,32,FALSE)," ")</f>
        <v>885</v>
      </c>
      <c r="Z93" t="s" s="61">
        <f>_xlfn.IFERROR(VLOOKUP($A93,'The List'!$B1:$AS730,33,FALSE)," ")</f>
        <v>885</v>
      </c>
      <c r="AA93" s="64"/>
      <c r="AB93" s="69"/>
      <c r="AC93" s="69"/>
      <c r="AD93" s="69"/>
      <c r="AE93" s="69"/>
      <c r="AF93" s="69"/>
    </row>
    <row r="94" ht="21.25" customHeight="1">
      <c r="A94" s="29"/>
      <c r="B94" t="s" s="71">
        <f>_xlfn.IFERROR(VLOOKUP($A94,'The List'!$B1:$AS730,3,FALSE)," ")</f>
        <v>885</v>
      </c>
      <c r="C94" t="s" s="73">
        <f>_xlfn.IFERROR(VLOOKUP($A94,'The List'!$B1:$AS730,4,FALSE)," ")</f>
        <v>885</v>
      </c>
      <c r="D94" t="s" s="42">
        <f>_xlfn.IFERROR(VLOOKUP($A94,'The List'!$B1:$AS730,5,FALSE)," ")</f>
        <v>885</v>
      </c>
      <c r="E94" t="s" s="42">
        <f>_xlfn.IFERROR(VLOOKUP($A94,'The List'!$B1:$AS730,6,FALSE)," ")</f>
        <v>885</v>
      </c>
      <c r="F94" t="s" s="60">
        <f>_xlfn.IFERROR(VLOOKUP($A94,'The List'!$B1:$AS730,8,FALSE)," ")</f>
        <v>885</v>
      </c>
      <c r="G94" t="s" s="60">
        <f>_xlfn.IFERROR(VLOOKUP($A94,'The List'!$B1:$AS730,10,FALSE)," ")</f>
        <v>885</v>
      </c>
      <c r="H94" s="46"/>
      <c r="I94" t="s" s="61">
        <f>_xlfn.IFERROR(VLOOKUP($A94,'The List'!$B1:$AS730,16,FALSE)," ")</f>
        <v>885</v>
      </c>
      <c r="J94" t="s" s="61">
        <f>_xlfn.IFERROR(VLOOKUP($A94,'The List'!$B1:$AS730,17,FALSE)," ")</f>
        <v>885</v>
      </c>
      <c r="K94" t="s" s="61">
        <f>_xlfn.IFERROR(VLOOKUP($A94,'The List'!$B1:$AS730,18,FALSE)," ")</f>
        <v>885</v>
      </c>
      <c r="L94" t="s" s="61">
        <f>_xlfn.IFERROR(VLOOKUP($A94,'The List'!$B1:$AS730,19,FALSE)," ")</f>
        <v>885</v>
      </c>
      <c r="M94" t="s" s="61">
        <f>_xlfn.IFERROR(VLOOKUP($A94,'The List'!$B1:$AS730,20,FALSE)," ")</f>
        <v>885</v>
      </c>
      <c r="N94" t="s" s="61">
        <f>_xlfn.IFERROR(VLOOKUP($A94,'The List'!$B1:$AS730,21,FALSE)," ")</f>
        <v>885</v>
      </c>
      <c r="O94" t="s" s="61">
        <f>_xlfn.IFERROR(VLOOKUP($A94,'The List'!$B1:$AS730,22,FALSE)," ")</f>
        <v>885</v>
      </c>
      <c r="P94" t="s" s="61">
        <f>_xlfn.IFERROR(VLOOKUP($A94,'The List'!$B1:$AS730,23,FALSE)," ")</f>
        <v>885</v>
      </c>
      <c r="Q94" t="s" s="61">
        <f>_xlfn.IFERROR(VLOOKUP($A94,'The List'!$B1:$AS730,24,FALSE)," ")</f>
        <v>885</v>
      </c>
      <c r="R94" t="s" s="61">
        <f>_xlfn.IFERROR(VLOOKUP($A94,'The List'!$B1:$AS730,25,FALSE)," ")</f>
        <v>885</v>
      </c>
      <c r="S94" t="s" s="61">
        <f>_xlfn.IFERROR(VLOOKUP($A94,'The List'!$B1:$AS730,26,FALSE)," ")</f>
        <v>885</v>
      </c>
      <c r="T94" t="s" s="61">
        <f>_xlfn.IFERROR(VLOOKUP($A94,'The List'!$B1:$AS730,27,FALSE)," ")</f>
        <v>885</v>
      </c>
      <c r="U94" t="s" s="61">
        <f>_xlfn.IFERROR(VLOOKUP($A94,'The List'!$B1:$AS730,28,FALSE)," ")</f>
        <v>885</v>
      </c>
      <c r="V94" t="s" s="61">
        <f>_xlfn.IFERROR(VLOOKUP($A94,'The List'!$B1:$AS730,29,FALSE)," ")</f>
        <v>885</v>
      </c>
      <c r="W94" t="s" s="61">
        <f>_xlfn.IFERROR(VLOOKUP($A94,'The List'!$B1:$AS730,30,FALSE)," ")</f>
        <v>885</v>
      </c>
      <c r="X94" t="s" s="61">
        <f>_xlfn.IFERROR(VLOOKUP($A94,'The List'!$B1:$AS730,31,FALSE)," ")</f>
        <v>885</v>
      </c>
      <c r="Y94" t="s" s="61">
        <f>_xlfn.IFERROR(VLOOKUP($A94,'The List'!$B1:$AS730,32,FALSE)," ")</f>
        <v>885</v>
      </c>
      <c r="Z94" t="s" s="61">
        <f>_xlfn.IFERROR(VLOOKUP($A94,'The List'!$B1:$AS730,33,FALSE)," ")</f>
        <v>885</v>
      </c>
      <c r="AA94" s="64"/>
      <c r="AB94" s="69"/>
      <c r="AC94" s="69"/>
      <c r="AD94" s="69"/>
      <c r="AE94" s="69"/>
      <c r="AF94" s="69"/>
    </row>
    <row r="95" ht="21.25" customHeight="1">
      <c r="A95" s="29"/>
      <c r="B95" t="s" s="71">
        <f>_xlfn.IFERROR(VLOOKUP($A95,'The List'!$B1:$AS730,3,FALSE)," ")</f>
        <v>885</v>
      </c>
      <c r="C95" t="s" s="73">
        <f>_xlfn.IFERROR(VLOOKUP($A95,'The List'!$B1:$AS730,4,FALSE)," ")</f>
        <v>885</v>
      </c>
      <c r="D95" t="s" s="42">
        <f>_xlfn.IFERROR(VLOOKUP($A95,'The List'!$B1:$AS730,5,FALSE)," ")</f>
        <v>885</v>
      </c>
      <c r="E95" t="s" s="42">
        <f>_xlfn.IFERROR(VLOOKUP($A95,'The List'!$B1:$AS730,6,FALSE)," ")</f>
        <v>885</v>
      </c>
      <c r="F95" t="s" s="60">
        <f>_xlfn.IFERROR(VLOOKUP($A95,'The List'!$B1:$AS730,8,FALSE)," ")</f>
        <v>885</v>
      </c>
      <c r="G95" t="s" s="60">
        <f>_xlfn.IFERROR(VLOOKUP($A95,'The List'!$B1:$AS730,10,FALSE)," ")</f>
        <v>885</v>
      </c>
      <c r="H95" s="46"/>
      <c r="I95" t="s" s="61">
        <f>_xlfn.IFERROR(VLOOKUP($A95,'The List'!$B1:$AS730,16,FALSE)," ")</f>
        <v>885</v>
      </c>
      <c r="J95" t="s" s="61">
        <f>_xlfn.IFERROR(VLOOKUP($A95,'The List'!$B1:$AS730,17,FALSE)," ")</f>
        <v>885</v>
      </c>
      <c r="K95" t="s" s="61">
        <f>_xlfn.IFERROR(VLOOKUP($A95,'The List'!$B1:$AS730,18,FALSE)," ")</f>
        <v>885</v>
      </c>
      <c r="L95" t="s" s="61">
        <f>_xlfn.IFERROR(VLOOKUP($A95,'The List'!$B1:$AS730,19,FALSE)," ")</f>
        <v>885</v>
      </c>
      <c r="M95" t="s" s="61">
        <f>_xlfn.IFERROR(VLOOKUP($A95,'The List'!$B1:$AS730,20,FALSE)," ")</f>
        <v>885</v>
      </c>
      <c r="N95" t="s" s="61">
        <f>_xlfn.IFERROR(VLOOKUP($A95,'The List'!$B1:$AS730,21,FALSE)," ")</f>
        <v>885</v>
      </c>
      <c r="O95" t="s" s="61">
        <f>_xlfn.IFERROR(VLOOKUP($A95,'The List'!$B1:$AS730,22,FALSE)," ")</f>
        <v>885</v>
      </c>
      <c r="P95" t="s" s="61">
        <f>_xlfn.IFERROR(VLOOKUP($A95,'The List'!$B1:$AS730,23,FALSE)," ")</f>
        <v>885</v>
      </c>
      <c r="Q95" t="s" s="61">
        <f>_xlfn.IFERROR(VLOOKUP($A95,'The List'!$B1:$AS730,24,FALSE)," ")</f>
        <v>885</v>
      </c>
      <c r="R95" t="s" s="61">
        <f>_xlfn.IFERROR(VLOOKUP($A95,'The List'!$B1:$AS730,25,FALSE)," ")</f>
        <v>885</v>
      </c>
      <c r="S95" t="s" s="61">
        <f>_xlfn.IFERROR(VLOOKUP($A95,'The List'!$B1:$AS730,26,FALSE)," ")</f>
        <v>885</v>
      </c>
      <c r="T95" t="s" s="61">
        <f>_xlfn.IFERROR(VLOOKUP($A95,'The List'!$B1:$AS730,27,FALSE)," ")</f>
        <v>885</v>
      </c>
      <c r="U95" t="s" s="61">
        <f>_xlfn.IFERROR(VLOOKUP($A95,'The List'!$B1:$AS730,28,FALSE)," ")</f>
        <v>885</v>
      </c>
      <c r="V95" t="s" s="61">
        <f>_xlfn.IFERROR(VLOOKUP($A95,'The List'!$B1:$AS730,29,FALSE)," ")</f>
        <v>885</v>
      </c>
      <c r="W95" t="s" s="61">
        <f>_xlfn.IFERROR(VLOOKUP($A95,'The List'!$B1:$AS730,30,FALSE)," ")</f>
        <v>885</v>
      </c>
      <c r="X95" t="s" s="61">
        <f>_xlfn.IFERROR(VLOOKUP($A95,'The List'!$B1:$AS730,31,FALSE)," ")</f>
        <v>885</v>
      </c>
      <c r="Y95" t="s" s="61">
        <f>_xlfn.IFERROR(VLOOKUP($A95,'The List'!$B1:$AS730,32,FALSE)," ")</f>
        <v>885</v>
      </c>
      <c r="Z95" t="s" s="61">
        <f>_xlfn.IFERROR(VLOOKUP($A95,'The List'!$B1:$AS730,33,FALSE)," ")</f>
        <v>885</v>
      </c>
      <c r="AA95" s="64"/>
      <c r="AB95" s="69"/>
      <c r="AC95" s="69"/>
      <c r="AD95" s="69"/>
      <c r="AE95" s="69"/>
      <c r="AF95" s="69"/>
    </row>
    <row r="96" ht="21.25" customHeight="1">
      <c r="A96" s="29"/>
      <c r="B96" t="s" s="71">
        <f>_xlfn.IFERROR(VLOOKUP($A96,'The List'!$B1:$AS730,3,FALSE)," ")</f>
        <v>885</v>
      </c>
      <c r="C96" t="s" s="73">
        <f>_xlfn.IFERROR(VLOOKUP($A96,'The List'!$B1:$AS730,4,FALSE)," ")</f>
        <v>885</v>
      </c>
      <c r="D96" t="s" s="42">
        <f>_xlfn.IFERROR(VLOOKUP($A96,'The List'!$B1:$AS730,5,FALSE)," ")</f>
        <v>885</v>
      </c>
      <c r="E96" t="s" s="42">
        <f>_xlfn.IFERROR(VLOOKUP($A96,'The List'!$B1:$AS730,6,FALSE)," ")</f>
        <v>885</v>
      </c>
      <c r="F96" t="s" s="60">
        <f>_xlfn.IFERROR(VLOOKUP($A96,'The List'!$B1:$AS730,8,FALSE)," ")</f>
        <v>885</v>
      </c>
      <c r="G96" t="s" s="60">
        <f>_xlfn.IFERROR(VLOOKUP($A96,'The List'!$B1:$AS730,10,FALSE)," ")</f>
        <v>885</v>
      </c>
      <c r="H96" s="46"/>
      <c r="I96" t="s" s="61">
        <f>_xlfn.IFERROR(VLOOKUP($A96,'The List'!$B1:$AS730,16,FALSE)," ")</f>
        <v>885</v>
      </c>
      <c r="J96" t="s" s="61">
        <f>_xlfn.IFERROR(VLOOKUP($A96,'The List'!$B1:$AS730,17,FALSE)," ")</f>
        <v>885</v>
      </c>
      <c r="K96" t="s" s="61">
        <f>_xlfn.IFERROR(VLOOKUP($A96,'The List'!$B1:$AS730,18,FALSE)," ")</f>
        <v>885</v>
      </c>
      <c r="L96" t="s" s="61">
        <f>_xlfn.IFERROR(VLOOKUP($A96,'The List'!$B1:$AS730,19,FALSE)," ")</f>
        <v>885</v>
      </c>
      <c r="M96" t="s" s="61">
        <f>_xlfn.IFERROR(VLOOKUP($A96,'The List'!$B1:$AS730,20,FALSE)," ")</f>
        <v>885</v>
      </c>
      <c r="N96" t="s" s="61">
        <f>_xlfn.IFERROR(VLOOKUP($A96,'The List'!$B1:$AS730,21,FALSE)," ")</f>
        <v>885</v>
      </c>
      <c r="O96" t="s" s="61">
        <f>_xlfn.IFERROR(VLOOKUP($A96,'The List'!$B1:$AS730,22,FALSE)," ")</f>
        <v>885</v>
      </c>
      <c r="P96" t="s" s="61">
        <f>_xlfn.IFERROR(VLOOKUP($A96,'The List'!$B1:$AS730,23,FALSE)," ")</f>
        <v>885</v>
      </c>
      <c r="Q96" t="s" s="61">
        <f>_xlfn.IFERROR(VLOOKUP($A96,'The List'!$B1:$AS730,24,FALSE)," ")</f>
        <v>885</v>
      </c>
      <c r="R96" t="s" s="61">
        <f>_xlfn.IFERROR(VLOOKUP($A96,'The List'!$B1:$AS730,25,FALSE)," ")</f>
        <v>885</v>
      </c>
      <c r="S96" t="s" s="61">
        <f>_xlfn.IFERROR(VLOOKUP($A96,'The List'!$B1:$AS730,26,FALSE)," ")</f>
        <v>885</v>
      </c>
      <c r="T96" t="s" s="61">
        <f>_xlfn.IFERROR(VLOOKUP($A96,'The List'!$B1:$AS730,27,FALSE)," ")</f>
        <v>885</v>
      </c>
      <c r="U96" t="s" s="61">
        <f>_xlfn.IFERROR(VLOOKUP($A96,'The List'!$B1:$AS730,28,FALSE)," ")</f>
        <v>885</v>
      </c>
      <c r="V96" t="s" s="61">
        <f>_xlfn.IFERROR(VLOOKUP($A96,'The List'!$B1:$AS730,29,FALSE)," ")</f>
        <v>885</v>
      </c>
      <c r="W96" t="s" s="61">
        <f>_xlfn.IFERROR(VLOOKUP($A96,'The List'!$B1:$AS730,30,FALSE)," ")</f>
        <v>885</v>
      </c>
      <c r="X96" t="s" s="61">
        <f>_xlfn.IFERROR(VLOOKUP($A96,'The List'!$B1:$AS730,31,FALSE)," ")</f>
        <v>885</v>
      </c>
      <c r="Y96" t="s" s="61">
        <f>_xlfn.IFERROR(VLOOKUP($A96,'The List'!$B1:$AS730,32,FALSE)," ")</f>
        <v>885</v>
      </c>
      <c r="Z96" t="s" s="61">
        <f>_xlfn.IFERROR(VLOOKUP($A96,'The List'!$B1:$AS730,33,FALSE)," ")</f>
        <v>885</v>
      </c>
      <c r="AA96" s="64"/>
      <c r="AB96" s="69"/>
      <c r="AC96" s="69"/>
      <c r="AD96" s="69"/>
      <c r="AE96" s="69"/>
      <c r="AF96" s="69"/>
    </row>
    <row r="97" ht="21.25" customHeight="1">
      <c r="A97" s="29"/>
      <c r="B97" t="s" s="74">
        <f>_xlfn.IFERROR(VLOOKUP($A97,'The List'!$B1:$AS730,3,FALSE)," ")</f>
        <v>885</v>
      </c>
      <c r="C97" t="s" s="76">
        <f>_xlfn.IFERROR(VLOOKUP($A97,'The List'!$B1:$AS730,4,FALSE)," ")</f>
        <v>885</v>
      </c>
      <c r="D97" t="s" s="42">
        <f>_xlfn.IFERROR(VLOOKUP($A97,'The List'!$B1:$AS730,5,FALSE)," ")</f>
        <v>885</v>
      </c>
      <c r="E97" t="s" s="42">
        <f>_xlfn.IFERROR(VLOOKUP($A97,'The List'!$B1:$AS730,6,FALSE)," ")</f>
        <v>885</v>
      </c>
      <c r="F97" t="s" s="60">
        <f>_xlfn.IFERROR(VLOOKUP($A97,'The List'!$B1:$AS730,8,FALSE)," ")</f>
        <v>885</v>
      </c>
      <c r="G97" t="s" s="60">
        <f>_xlfn.IFERROR(VLOOKUP($A97,'The List'!$B1:$AS730,10,FALSE)," ")</f>
        <v>885</v>
      </c>
      <c r="H97" s="46"/>
      <c r="I97" t="s" s="61">
        <f>_xlfn.IFERROR(VLOOKUP($A97,'The List'!$B1:$AS730,16,FALSE)," ")</f>
        <v>885</v>
      </c>
      <c r="J97" t="s" s="61">
        <f>_xlfn.IFERROR(VLOOKUP($A97,'The List'!$B1:$AS730,17,FALSE)," ")</f>
        <v>885</v>
      </c>
      <c r="K97" t="s" s="61">
        <f>_xlfn.IFERROR(VLOOKUP($A97,'The List'!$B1:$AS730,18,FALSE)," ")</f>
        <v>885</v>
      </c>
      <c r="L97" t="s" s="61">
        <f>_xlfn.IFERROR(VLOOKUP($A97,'The List'!$B1:$AS730,19,FALSE)," ")</f>
        <v>885</v>
      </c>
      <c r="M97" t="s" s="61">
        <f>_xlfn.IFERROR(VLOOKUP($A97,'The List'!$B1:$AS730,20,FALSE)," ")</f>
        <v>885</v>
      </c>
      <c r="N97" t="s" s="61">
        <f>_xlfn.IFERROR(VLOOKUP($A97,'The List'!$B1:$AS730,21,FALSE)," ")</f>
        <v>885</v>
      </c>
      <c r="O97" t="s" s="61">
        <f>_xlfn.IFERROR(VLOOKUP($A97,'The List'!$B1:$AS730,22,FALSE)," ")</f>
        <v>885</v>
      </c>
      <c r="P97" t="s" s="61">
        <f>_xlfn.IFERROR(VLOOKUP($A97,'The List'!$B1:$AS730,23,FALSE)," ")</f>
        <v>885</v>
      </c>
      <c r="Q97" t="s" s="61">
        <f>_xlfn.IFERROR(VLOOKUP($A97,'The List'!$B1:$AS730,24,FALSE)," ")</f>
        <v>885</v>
      </c>
      <c r="R97" t="s" s="61">
        <f>_xlfn.IFERROR(VLOOKUP($A97,'The List'!$B1:$AS730,25,FALSE)," ")</f>
        <v>885</v>
      </c>
      <c r="S97" t="s" s="61">
        <f>_xlfn.IFERROR(VLOOKUP($A97,'The List'!$B1:$AS730,26,FALSE)," ")</f>
        <v>885</v>
      </c>
      <c r="T97" t="s" s="61">
        <f>_xlfn.IFERROR(VLOOKUP($A97,'The List'!$B1:$AS730,27,FALSE)," ")</f>
        <v>885</v>
      </c>
      <c r="U97" t="s" s="61">
        <f>_xlfn.IFERROR(VLOOKUP($A97,'The List'!$B1:$AS730,28,FALSE)," ")</f>
        <v>885</v>
      </c>
      <c r="V97" t="s" s="61">
        <f>_xlfn.IFERROR(VLOOKUP($A97,'The List'!$B1:$AS730,29,FALSE)," ")</f>
        <v>885</v>
      </c>
      <c r="W97" t="s" s="61">
        <f>_xlfn.IFERROR(VLOOKUP($A97,'The List'!$B1:$AS730,30,FALSE)," ")</f>
        <v>885</v>
      </c>
      <c r="X97" t="s" s="61">
        <f>_xlfn.IFERROR(VLOOKUP($A97,'The List'!$B1:$AS730,31,FALSE)," ")</f>
        <v>885</v>
      </c>
      <c r="Y97" t="s" s="61">
        <f>_xlfn.IFERROR(VLOOKUP($A97,'The List'!$B1:$AS730,32,FALSE)," ")</f>
        <v>885</v>
      </c>
      <c r="Z97" t="s" s="61">
        <f>_xlfn.IFERROR(VLOOKUP($A97,'The List'!$B1:$AS730,33,FALSE)," ")</f>
        <v>885</v>
      </c>
      <c r="AA97" s="64"/>
      <c r="AB97" s="69"/>
      <c r="AC97" s="69"/>
      <c r="AD97" s="69"/>
      <c r="AE97" s="69"/>
      <c r="AF97" s="69"/>
    </row>
    <row r="98" ht="21.25" customHeight="1">
      <c r="A98" s="29"/>
      <c r="B98" t="s" s="74">
        <f>_xlfn.IFERROR(VLOOKUP($A98,'The List'!$B1:$AS730,3,FALSE)," ")</f>
        <v>885</v>
      </c>
      <c r="C98" t="s" s="76">
        <f>_xlfn.IFERROR(VLOOKUP($A98,'The List'!$B1:$AS730,4,FALSE)," ")</f>
        <v>885</v>
      </c>
      <c r="D98" t="s" s="42">
        <f>_xlfn.IFERROR(VLOOKUP($A98,'The List'!$B1:$AS730,5,FALSE)," ")</f>
        <v>885</v>
      </c>
      <c r="E98" t="s" s="42">
        <f>_xlfn.IFERROR(VLOOKUP($A98,'The List'!$B1:$AS730,6,FALSE)," ")</f>
        <v>885</v>
      </c>
      <c r="F98" t="s" s="60">
        <f>_xlfn.IFERROR(VLOOKUP($A98,'The List'!$B1:$AS730,8,FALSE)," ")</f>
        <v>885</v>
      </c>
      <c r="G98" t="s" s="60">
        <f>_xlfn.IFERROR(VLOOKUP($A98,'The List'!$B1:$AS730,10,FALSE)," ")</f>
        <v>885</v>
      </c>
      <c r="H98" s="46"/>
      <c r="I98" t="s" s="61">
        <f>_xlfn.IFERROR(VLOOKUP($A98,'The List'!$B1:$AS730,16,FALSE)," ")</f>
        <v>885</v>
      </c>
      <c r="J98" t="s" s="61">
        <f>_xlfn.IFERROR(VLOOKUP($A98,'The List'!$B1:$AS730,17,FALSE)," ")</f>
        <v>885</v>
      </c>
      <c r="K98" t="s" s="61">
        <f>_xlfn.IFERROR(VLOOKUP($A98,'The List'!$B1:$AS730,18,FALSE)," ")</f>
        <v>885</v>
      </c>
      <c r="L98" t="s" s="61">
        <f>_xlfn.IFERROR(VLOOKUP($A98,'The List'!$B1:$AS730,19,FALSE)," ")</f>
        <v>885</v>
      </c>
      <c r="M98" t="s" s="61">
        <f>_xlfn.IFERROR(VLOOKUP($A98,'The List'!$B1:$AS730,20,FALSE)," ")</f>
        <v>885</v>
      </c>
      <c r="N98" t="s" s="61">
        <f>_xlfn.IFERROR(VLOOKUP($A98,'The List'!$B1:$AS730,21,FALSE)," ")</f>
        <v>885</v>
      </c>
      <c r="O98" t="s" s="61">
        <f>_xlfn.IFERROR(VLOOKUP($A98,'The List'!$B1:$AS730,22,FALSE)," ")</f>
        <v>885</v>
      </c>
      <c r="P98" t="s" s="61">
        <f>_xlfn.IFERROR(VLOOKUP($A98,'The List'!$B1:$AS730,23,FALSE)," ")</f>
        <v>885</v>
      </c>
      <c r="Q98" t="s" s="61">
        <f>_xlfn.IFERROR(VLOOKUP($A98,'The List'!$B1:$AS730,24,FALSE)," ")</f>
        <v>885</v>
      </c>
      <c r="R98" t="s" s="61">
        <f>_xlfn.IFERROR(VLOOKUP($A98,'The List'!$B1:$AS730,25,FALSE)," ")</f>
        <v>885</v>
      </c>
      <c r="S98" t="s" s="61">
        <f>_xlfn.IFERROR(VLOOKUP($A98,'The List'!$B1:$AS730,26,FALSE)," ")</f>
        <v>885</v>
      </c>
      <c r="T98" t="s" s="61">
        <f>_xlfn.IFERROR(VLOOKUP($A98,'The List'!$B1:$AS730,27,FALSE)," ")</f>
        <v>885</v>
      </c>
      <c r="U98" t="s" s="61">
        <f>_xlfn.IFERROR(VLOOKUP($A98,'The List'!$B1:$AS730,28,FALSE)," ")</f>
        <v>885</v>
      </c>
      <c r="V98" t="s" s="61">
        <f>_xlfn.IFERROR(VLOOKUP($A98,'The List'!$B1:$AS730,29,FALSE)," ")</f>
        <v>885</v>
      </c>
      <c r="W98" t="s" s="61">
        <f>_xlfn.IFERROR(VLOOKUP($A98,'The List'!$B1:$AS730,30,FALSE)," ")</f>
        <v>885</v>
      </c>
      <c r="X98" t="s" s="61">
        <f>_xlfn.IFERROR(VLOOKUP($A98,'The List'!$B1:$AS730,31,FALSE)," ")</f>
        <v>885</v>
      </c>
      <c r="Y98" t="s" s="61">
        <f>_xlfn.IFERROR(VLOOKUP($A98,'The List'!$B1:$AS730,32,FALSE)," ")</f>
        <v>885</v>
      </c>
      <c r="Z98" t="s" s="61">
        <f>_xlfn.IFERROR(VLOOKUP($A98,'The List'!$B1:$AS730,33,FALSE)," ")</f>
        <v>885</v>
      </c>
      <c r="AA98" s="64"/>
      <c r="AB98" s="69"/>
      <c r="AC98" s="69"/>
      <c r="AD98" s="69"/>
      <c r="AE98" s="69"/>
      <c r="AF98" s="69"/>
    </row>
    <row r="99" ht="21.25" customHeight="1">
      <c r="A99" s="29"/>
      <c r="B99" t="s" s="74">
        <f>_xlfn.IFERROR(VLOOKUP($A99,'The List'!$B1:$AS730,3,FALSE)," ")</f>
        <v>885</v>
      </c>
      <c r="C99" t="s" s="76">
        <f>_xlfn.IFERROR(VLOOKUP($A99,'The List'!$B1:$AS730,4,FALSE)," ")</f>
        <v>885</v>
      </c>
      <c r="D99" t="s" s="42">
        <f>_xlfn.IFERROR(VLOOKUP($A99,'The List'!$B1:$AS730,5,FALSE)," ")</f>
        <v>885</v>
      </c>
      <c r="E99" t="s" s="42">
        <f>_xlfn.IFERROR(VLOOKUP($A99,'The List'!$B1:$AS730,6,FALSE)," ")</f>
        <v>885</v>
      </c>
      <c r="F99" t="s" s="60">
        <f>_xlfn.IFERROR(VLOOKUP($A99,'The List'!$B1:$AS730,8,FALSE)," ")</f>
        <v>885</v>
      </c>
      <c r="G99" t="s" s="60">
        <f>_xlfn.IFERROR(VLOOKUP($A99,'The List'!$B1:$AS730,10,FALSE)," ")</f>
        <v>885</v>
      </c>
      <c r="H99" s="46"/>
      <c r="I99" t="s" s="61">
        <f>_xlfn.IFERROR(VLOOKUP($A99,'The List'!$B1:$AS730,16,FALSE)," ")</f>
        <v>885</v>
      </c>
      <c r="J99" t="s" s="61">
        <f>_xlfn.IFERROR(VLOOKUP($A99,'The List'!$B1:$AS730,17,FALSE)," ")</f>
        <v>885</v>
      </c>
      <c r="K99" t="s" s="61">
        <f>_xlfn.IFERROR(VLOOKUP($A99,'The List'!$B1:$AS730,18,FALSE)," ")</f>
        <v>885</v>
      </c>
      <c r="L99" t="s" s="61">
        <f>_xlfn.IFERROR(VLOOKUP($A99,'The List'!$B1:$AS730,19,FALSE)," ")</f>
        <v>885</v>
      </c>
      <c r="M99" t="s" s="61">
        <f>_xlfn.IFERROR(VLOOKUP($A99,'The List'!$B1:$AS730,20,FALSE)," ")</f>
        <v>885</v>
      </c>
      <c r="N99" t="s" s="61">
        <f>_xlfn.IFERROR(VLOOKUP($A99,'The List'!$B1:$AS730,21,FALSE)," ")</f>
        <v>885</v>
      </c>
      <c r="O99" t="s" s="61">
        <f>_xlfn.IFERROR(VLOOKUP($A99,'The List'!$B1:$AS730,22,FALSE)," ")</f>
        <v>885</v>
      </c>
      <c r="P99" t="s" s="61">
        <f>_xlfn.IFERROR(VLOOKUP($A99,'The List'!$B1:$AS730,23,FALSE)," ")</f>
        <v>885</v>
      </c>
      <c r="Q99" t="s" s="61">
        <f>_xlfn.IFERROR(VLOOKUP($A99,'The List'!$B1:$AS730,24,FALSE)," ")</f>
        <v>885</v>
      </c>
      <c r="R99" t="s" s="61">
        <f>_xlfn.IFERROR(VLOOKUP($A99,'The List'!$B1:$AS730,25,FALSE)," ")</f>
        <v>885</v>
      </c>
      <c r="S99" t="s" s="61">
        <f>_xlfn.IFERROR(VLOOKUP($A99,'The List'!$B1:$AS730,26,FALSE)," ")</f>
        <v>885</v>
      </c>
      <c r="T99" t="s" s="61">
        <f>_xlfn.IFERROR(VLOOKUP($A99,'The List'!$B1:$AS730,27,FALSE)," ")</f>
        <v>885</v>
      </c>
      <c r="U99" t="s" s="61">
        <f>_xlfn.IFERROR(VLOOKUP($A99,'The List'!$B1:$AS730,28,FALSE)," ")</f>
        <v>885</v>
      </c>
      <c r="V99" t="s" s="61">
        <f>_xlfn.IFERROR(VLOOKUP($A99,'The List'!$B1:$AS730,29,FALSE)," ")</f>
        <v>885</v>
      </c>
      <c r="W99" t="s" s="61">
        <f>_xlfn.IFERROR(VLOOKUP($A99,'The List'!$B1:$AS730,30,FALSE)," ")</f>
        <v>885</v>
      </c>
      <c r="X99" t="s" s="61">
        <f>_xlfn.IFERROR(VLOOKUP($A99,'The List'!$B1:$AS730,31,FALSE)," ")</f>
        <v>885</v>
      </c>
      <c r="Y99" t="s" s="61">
        <f>_xlfn.IFERROR(VLOOKUP($A99,'The List'!$B1:$AS730,32,FALSE)," ")</f>
        <v>885</v>
      </c>
      <c r="Z99" t="s" s="61">
        <f>_xlfn.IFERROR(VLOOKUP($A99,'The List'!$B1:$AS730,33,FALSE)," ")</f>
        <v>885</v>
      </c>
      <c r="AA99" s="64"/>
      <c r="AB99" s="69"/>
      <c r="AC99" s="69"/>
      <c r="AD99" s="69"/>
      <c r="AE99" s="69"/>
      <c r="AF99" s="69"/>
    </row>
    <row r="100" ht="21.25" customHeight="1">
      <c r="A100" s="29"/>
      <c r="B100" t="s" s="74">
        <f>_xlfn.IFERROR(VLOOKUP($A100,'The List'!$B1:$AS730,3,FALSE)," ")</f>
        <v>885</v>
      </c>
      <c r="C100" t="s" s="76">
        <f>_xlfn.IFERROR(VLOOKUP($A100,'The List'!$B1:$AS730,4,FALSE)," ")</f>
        <v>885</v>
      </c>
      <c r="D100" t="s" s="42">
        <f>_xlfn.IFERROR(VLOOKUP($A100,'The List'!$B1:$AS730,5,FALSE)," ")</f>
        <v>885</v>
      </c>
      <c r="E100" t="s" s="42">
        <f>_xlfn.IFERROR(VLOOKUP($A100,'The List'!$B1:$AS730,6,FALSE)," ")</f>
        <v>885</v>
      </c>
      <c r="F100" t="s" s="60">
        <f>_xlfn.IFERROR(VLOOKUP($A100,'The List'!$B1:$AS730,8,FALSE)," ")</f>
        <v>885</v>
      </c>
      <c r="G100" t="s" s="60">
        <f>_xlfn.IFERROR(VLOOKUP($A100,'The List'!$B1:$AS730,10,FALSE)," ")</f>
        <v>885</v>
      </c>
      <c r="H100" s="46"/>
      <c r="I100" t="s" s="61">
        <f>_xlfn.IFERROR(VLOOKUP($A100,'The List'!$B1:$AS730,16,FALSE)," ")</f>
        <v>885</v>
      </c>
      <c r="J100" t="s" s="61">
        <f>_xlfn.IFERROR(VLOOKUP($A100,'The List'!$B1:$AS730,17,FALSE)," ")</f>
        <v>885</v>
      </c>
      <c r="K100" t="s" s="61">
        <f>_xlfn.IFERROR(VLOOKUP($A100,'The List'!$B1:$AS730,18,FALSE)," ")</f>
        <v>885</v>
      </c>
      <c r="L100" t="s" s="61">
        <f>_xlfn.IFERROR(VLOOKUP($A100,'The List'!$B1:$AS730,19,FALSE)," ")</f>
        <v>885</v>
      </c>
      <c r="M100" t="s" s="61">
        <f>_xlfn.IFERROR(VLOOKUP($A100,'The List'!$B1:$AS730,20,FALSE)," ")</f>
        <v>885</v>
      </c>
      <c r="N100" t="s" s="61">
        <f>_xlfn.IFERROR(VLOOKUP($A100,'The List'!$B1:$AS730,21,FALSE)," ")</f>
        <v>885</v>
      </c>
      <c r="O100" t="s" s="61">
        <f>_xlfn.IFERROR(VLOOKUP($A100,'The List'!$B1:$AS730,22,FALSE)," ")</f>
        <v>885</v>
      </c>
      <c r="P100" t="s" s="61">
        <f>_xlfn.IFERROR(VLOOKUP($A100,'The List'!$B1:$AS730,23,FALSE)," ")</f>
        <v>885</v>
      </c>
      <c r="Q100" t="s" s="61">
        <f>_xlfn.IFERROR(VLOOKUP($A100,'The List'!$B1:$AS730,24,FALSE)," ")</f>
        <v>885</v>
      </c>
      <c r="R100" t="s" s="61">
        <f>_xlfn.IFERROR(VLOOKUP($A100,'The List'!$B1:$AS730,25,FALSE)," ")</f>
        <v>885</v>
      </c>
      <c r="S100" t="s" s="61">
        <f>_xlfn.IFERROR(VLOOKUP($A100,'The List'!$B1:$AS730,26,FALSE)," ")</f>
        <v>885</v>
      </c>
      <c r="T100" t="s" s="61">
        <f>_xlfn.IFERROR(VLOOKUP($A100,'The List'!$B1:$AS730,27,FALSE)," ")</f>
        <v>885</v>
      </c>
      <c r="U100" t="s" s="61">
        <f>_xlfn.IFERROR(VLOOKUP($A100,'The List'!$B1:$AS730,28,FALSE)," ")</f>
        <v>885</v>
      </c>
      <c r="V100" t="s" s="61">
        <f>_xlfn.IFERROR(VLOOKUP($A100,'The List'!$B1:$AS730,29,FALSE)," ")</f>
        <v>885</v>
      </c>
      <c r="W100" t="s" s="61">
        <f>_xlfn.IFERROR(VLOOKUP($A100,'The List'!$B1:$AS730,30,FALSE)," ")</f>
        <v>885</v>
      </c>
      <c r="X100" t="s" s="61">
        <f>_xlfn.IFERROR(VLOOKUP($A100,'The List'!$B1:$AS730,31,FALSE)," ")</f>
        <v>885</v>
      </c>
      <c r="Y100" t="s" s="61">
        <f>_xlfn.IFERROR(VLOOKUP($A100,'The List'!$B1:$AS730,32,FALSE)," ")</f>
        <v>885</v>
      </c>
      <c r="Z100" t="s" s="61">
        <f>_xlfn.IFERROR(VLOOKUP($A100,'The List'!$B1:$AS730,33,FALSE)," ")</f>
        <v>885</v>
      </c>
      <c r="AA100" s="64"/>
      <c r="AB100" s="69"/>
      <c r="AC100" s="69"/>
      <c r="AD100" s="69"/>
      <c r="AE100" s="69"/>
      <c r="AF100" s="69"/>
    </row>
    <row r="101" ht="21.25" customHeight="1">
      <c r="A101" s="29"/>
      <c r="B101" t="s" s="77">
        <f>_xlfn.IFERROR(VLOOKUP($A101,'The List'!$B1:$AS730,3,FALSE)," ")</f>
        <v>885</v>
      </c>
      <c r="C101" t="s" s="79">
        <f>_xlfn.IFERROR(VLOOKUP($A101,'The List'!$B1:$AS730,4,FALSE)," ")</f>
        <v>885</v>
      </c>
      <c r="D101" t="s" s="42">
        <f>_xlfn.IFERROR(VLOOKUP($A101,'The List'!$B1:$AS730,5,FALSE)," ")</f>
        <v>885</v>
      </c>
      <c r="E101" t="s" s="42">
        <f>_xlfn.IFERROR(VLOOKUP($A101,'The List'!$B1:$AS730,6,FALSE)," ")</f>
        <v>885</v>
      </c>
      <c r="F101" t="s" s="60">
        <f>_xlfn.IFERROR(VLOOKUP($A101,'The List'!$B1:$AS730,8,FALSE)," ")</f>
        <v>885</v>
      </c>
      <c r="G101" t="s" s="60">
        <f>_xlfn.IFERROR(VLOOKUP($A101,'The List'!$B1:$AS730,10,FALSE)," ")</f>
        <v>885</v>
      </c>
      <c r="H101" s="46"/>
      <c r="I101" t="s" s="61">
        <f>_xlfn.IFERROR(VLOOKUP($A101,'The List'!$B1:$AS730,16,FALSE)," ")</f>
        <v>885</v>
      </c>
      <c r="J101" t="s" s="61">
        <f>_xlfn.IFERROR(VLOOKUP($A101,'The List'!$B1:$AS730,17,FALSE)," ")</f>
        <v>885</v>
      </c>
      <c r="K101" t="s" s="61">
        <f>_xlfn.IFERROR(VLOOKUP($A101,'The List'!$B1:$AS730,18,FALSE)," ")</f>
        <v>885</v>
      </c>
      <c r="L101" t="s" s="61">
        <f>_xlfn.IFERROR(VLOOKUP($A101,'The List'!$B1:$AS730,19,FALSE)," ")</f>
        <v>885</v>
      </c>
      <c r="M101" t="s" s="61">
        <f>_xlfn.IFERROR(VLOOKUP($A101,'The List'!$B1:$AS730,20,FALSE)," ")</f>
        <v>885</v>
      </c>
      <c r="N101" t="s" s="61">
        <f>_xlfn.IFERROR(VLOOKUP($A101,'The List'!$B1:$AS730,21,FALSE)," ")</f>
        <v>885</v>
      </c>
      <c r="O101" t="s" s="61">
        <f>_xlfn.IFERROR(VLOOKUP($A101,'The List'!$B1:$AS730,22,FALSE)," ")</f>
        <v>885</v>
      </c>
      <c r="P101" t="s" s="61">
        <f>_xlfn.IFERROR(VLOOKUP($A101,'The List'!$B1:$AS730,23,FALSE)," ")</f>
        <v>885</v>
      </c>
      <c r="Q101" t="s" s="61">
        <f>_xlfn.IFERROR(VLOOKUP($A101,'The List'!$B1:$AS730,24,FALSE)," ")</f>
        <v>885</v>
      </c>
      <c r="R101" t="s" s="61">
        <f>_xlfn.IFERROR(VLOOKUP($A101,'The List'!$B1:$AS730,25,FALSE)," ")</f>
        <v>885</v>
      </c>
      <c r="S101" t="s" s="61">
        <f>_xlfn.IFERROR(VLOOKUP($A101,'The List'!$B1:$AS730,26,FALSE)," ")</f>
        <v>885</v>
      </c>
      <c r="T101" t="s" s="61">
        <f>_xlfn.IFERROR(VLOOKUP($A101,'The List'!$B1:$AS730,27,FALSE)," ")</f>
        <v>885</v>
      </c>
      <c r="U101" t="s" s="61">
        <f>_xlfn.IFERROR(VLOOKUP($A101,'The List'!$B1:$AS730,28,FALSE)," ")</f>
        <v>885</v>
      </c>
      <c r="V101" t="s" s="61">
        <f>_xlfn.IFERROR(VLOOKUP($A101,'The List'!$B1:$AS730,29,FALSE)," ")</f>
        <v>885</v>
      </c>
      <c r="W101" t="s" s="61">
        <f>_xlfn.IFERROR(VLOOKUP($A101,'The List'!$B1:$AS730,30,FALSE)," ")</f>
        <v>885</v>
      </c>
      <c r="X101" t="s" s="61">
        <f>_xlfn.IFERROR(VLOOKUP($A101,'The List'!$B1:$AS730,31,FALSE)," ")</f>
        <v>885</v>
      </c>
      <c r="Y101" t="s" s="61">
        <f>_xlfn.IFERROR(VLOOKUP($A101,'The List'!$B1:$AS730,32,FALSE)," ")</f>
        <v>885</v>
      </c>
      <c r="Z101" t="s" s="61">
        <f>_xlfn.IFERROR(VLOOKUP($A101,'The List'!$B1:$AS730,33,FALSE)," ")</f>
        <v>885</v>
      </c>
      <c r="AA101" s="64"/>
      <c r="AB101" s="69"/>
      <c r="AC101" s="69"/>
      <c r="AD101" s="69"/>
      <c r="AE101" s="69"/>
      <c r="AF101" s="69"/>
    </row>
    <row r="102" ht="21.25" customHeight="1">
      <c r="A102" s="29"/>
      <c r="B102" t="s" s="77">
        <f>_xlfn.IFERROR(VLOOKUP($A102,'The List'!$B1:$AS730,3,FALSE)," ")</f>
        <v>885</v>
      </c>
      <c r="C102" t="s" s="79">
        <f>_xlfn.IFERROR(VLOOKUP($A102,'The List'!$B1:$AS730,4,FALSE)," ")</f>
        <v>885</v>
      </c>
      <c r="D102" t="s" s="42">
        <f>_xlfn.IFERROR(VLOOKUP($A102,'The List'!$B1:$AS730,5,FALSE)," ")</f>
        <v>885</v>
      </c>
      <c r="E102" t="s" s="42">
        <f>_xlfn.IFERROR(VLOOKUP($A102,'The List'!$B1:$AS730,6,FALSE)," ")</f>
        <v>885</v>
      </c>
      <c r="F102" t="s" s="60">
        <f>_xlfn.IFERROR(VLOOKUP($A102,'The List'!$B1:$AS730,8,FALSE)," ")</f>
        <v>885</v>
      </c>
      <c r="G102" t="s" s="60">
        <f>_xlfn.IFERROR(VLOOKUP($A102,'The List'!$B1:$AS730,10,FALSE)," ")</f>
        <v>885</v>
      </c>
      <c r="H102" s="46"/>
      <c r="I102" t="s" s="61">
        <f>_xlfn.IFERROR(VLOOKUP($A102,'The List'!$B1:$AS730,16,FALSE)," ")</f>
        <v>885</v>
      </c>
      <c r="J102" t="s" s="61">
        <f>_xlfn.IFERROR(VLOOKUP($A102,'The List'!$B1:$AS730,17,FALSE)," ")</f>
        <v>885</v>
      </c>
      <c r="K102" t="s" s="61">
        <f>_xlfn.IFERROR(VLOOKUP($A102,'The List'!$B1:$AS730,18,FALSE)," ")</f>
        <v>885</v>
      </c>
      <c r="L102" t="s" s="61">
        <f>_xlfn.IFERROR(VLOOKUP($A102,'The List'!$B1:$AS730,19,FALSE)," ")</f>
        <v>885</v>
      </c>
      <c r="M102" t="s" s="61">
        <f>_xlfn.IFERROR(VLOOKUP($A102,'The List'!$B1:$AS730,20,FALSE)," ")</f>
        <v>885</v>
      </c>
      <c r="N102" t="s" s="61">
        <f>_xlfn.IFERROR(VLOOKUP($A102,'The List'!$B1:$AS730,21,FALSE)," ")</f>
        <v>885</v>
      </c>
      <c r="O102" t="s" s="61">
        <f>_xlfn.IFERROR(VLOOKUP($A102,'The List'!$B1:$AS730,22,FALSE)," ")</f>
        <v>885</v>
      </c>
      <c r="P102" t="s" s="61">
        <f>_xlfn.IFERROR(VLOOKUP($A102,'The List'!$B1:$AS730,23,FALSE)," ")</f>
        <v>885</v>
      </c>
      <c r="Q102" t="s" s="61">
        <f>_xlfn.IFERROR(VLOOKUP($A102,'The List'!$B1:$AS730,24,FALSE)," ")</f>
        <v>885</v>
      </c>
      <c r="R102" t="s" s="61">
        <f>_xlfn.IFERROR(VLOOKUP($A102,'The List'!$B1:$AS730,25,FALSE)," ")</f>
        <v>885</v>
      </c>
      <c r="S102" t="s" s="61">
        <f>_xlfn.IFERROR(VLOOKUP($A102,'The List'!$B1:$AS730,26,FALSE)," ")</f>
        <v>885</v>
      </c>
      <c r="T102" t="s" s="61">
        <f>_xlfn.IFERROR(VLOOKUP($A102,'The List'!$B1:$AS730,27,FALSE)," ")</f>
        <v>885</v>
      </c>
      <c r="U102" t="s" s="61">
        <f>_xlfn.IFERROR(VLOOKUP($A102,'The List'!$B1:$AS730,28,FALSE)," ")</f>
        <v>885</v>
      </c>
      <c r="V102" t="s" s="61">
        <f>_xlfn.IFERROR(VLOOKUP($A102,'The List'!$B1:$AS730,29,FALSE)," ")</f>
        <v>885</v>
      </c>
      <c r="W102" t="s" s="61">
        <f>_xlfn.IFERROR(VLOOKUP($A102,'The List'!$B1:$AS730,30,FALSE)," ")</f>
        <v>885</v>
      </c>
      <c r="X102" t="s" s="61">
        <f>_xlfn.IFERROR(VLOOKUP($A102,'The List'!$B1:$AS730,31,FALSE)," ")</f>
        <v>885</v>
      </c>
      <c r="Y102" t="s" s="61">
        <f>_xlfn.IFERROR(VLOOKUP($A102,'The List'!$B1:$AS730,32,FALSE)," ")</f>
        <v>885</v>
      </c>
      <c r="Z102" t="s" s="61">
        <f>_xlfn.IFERROR(VLOOKUP($A102,'The List'!$B1:$AS730,33,FALSE)," ")</f>
        <v>885</v>
      </c>
      <c r="AA102" s="64"/>
      <c r="AB102" s="69"/>
      <c r="AC102" s="69"/>
      <c r="AD102" s="69"/>
      <c r="AE102" s="69"/>
      <c r="AF102" s="69"/>
    </row>
    <row r="103" ht="21.25" customHeight="1">
      <c r="A103" s="29"/>
      <c r="B103" t="s" s="77">
        <f>_xlfn.IFERROR(VLOOKUP($A103,'The List'!$B1:$AS730,3,FALSE)," ")</f>
        <v>885</v>
      </c>
      <c r="C103" t="s" s="79">
        <f>_xlfn.IFERROR(VLOOKUP($A103,'The List'!$B1:$AS730,4,FALSE)," ")</f>
        <v>885</v>
      </c>
      <c r="D103" t="s" s="42">
        <f>_xlfn.IFERROR(VLOOKUP($A103,'The List'!$B1:$AS730,5,FALSE)," ")</f>
        <v>885</v>
      </c>
      <c r="E103" t="s" s="42">
        <f>_xlfn.IFERROR(VLOOKUP($A103,'The List'!$B1:$AS730,6,FALSE)," ")</f>
        <v>885</v>
      </c>
      <c r="F103" t="s" s="60">
        <f>_xlfn.IFERROR(VLOOKUP($A103,'The List'!$B1:$AS730,8,FALSE)," ")</f>
        <v>885</v>
      </c>
      <c r="G103" t="s" s="60">
        <f>_xlfn.IFERROR(VLOOKUP($A103,'The List'!$B1:$AS730,10,FALSE)," ")</f>
        <v>885</v>
      </c>
      <c r="H103" s="46"/>
      <c r="I103" t="s" s="61">
        <f>_xlfn.IFERROR(VLOOKUP($A103,'The List'!$B1:$AS730,16,FALSE)," ")</f>
        <v>885</v>
      </c>
      <c r="J103" t="s" s="61">
        <f>_xlfn.IFERROR(VLOOKUP($A103,'The List'!$B1:$AS730,17,FALSE)," ")</f>
        <v>885</v>
      </c>
      <c r="K103" t="s" s="61">
        <f>_xlfn.IFERROR(VLOOKUP($A103,'The List'!$B1:$AS730,18,FALSE)," ")</f>
        <v>885</v>
      </c>
      <c r="L103" t="s" s="61">
        <f>_xlfn.IFERROR(VLOOKUP($A103,'The List'!$B1:$AS730,19,FALSE)," ")</f>
        <v>885</v>
      </c>
      <c r="M103" t="s" s="61">
        <f>_xlfn.IFERROR(VLOOKUP($A103,'The List'!$B1:$AS730,20,FALSE)," ")</f>
        <v>885</v>
      </c>
      <c r="N103" t="s" s="61">
        <f>_xlfn.IFERROR(VLOOKUP($A103,'The List'!$B1:$AS730,21,FALSE)," ")</f>
        <v>885</v>
      </c>
      <c r="O103" t="s" s="61">
        <f>_xlfn.IFERROR(VLOOKUP($A103,'The List'!$B1:$AS730,22,FALSE)," ")</f>
        <v>885</v>
      </c>
      <c r="P103" t="s" s="61">
        <f>_xlfn.IFERROR(VLOOKUP($A103,'The List'!$B1:$AS730,23,FALSE)," ")</f>
        <v>885</v>
      </c>
      <c r="Q103" t="s" s="61">
        <f>_xlfn.IFERROR(VLOOKUP($A103,'The List'!$B1:$AS730,24,FALSE)," ")</f>
        <v>885</v>
      </c>
      <c r="R103" t="s" s="61">
        <f>_xlfn.IFERROR(VLOOKUP($A103,'The List'!$B1:$AS730,25,FALSE)," ")</f>
        <v>885</v>
      </c>
      <c r="S103" t="s" s="61">
        <f>_xlfn.IFERROR(VLOOKUP($A103,'The List'!$B1:$AS730,26,FALSE)," ")</f>
        <v>885</v>
      </c>
      <c r="T103" t="s" s="61">
        <f>_xlfn.IFERROR(VLOOKUP($A103,'The List'!$B1:$AS730,27,FALSE)," ")</f>
        <v>885</v>
      </c>
      <c r="U103" t="s" s="61">
        <f>_xlfn.IFERROR(VLOOKUP($A103,'The List'!$B1:$AS730,28,FALSE)," ")</f>
        <v>885</v>
      </c>
      <c r="V103" t="s" s="61">
        <f>_xlfn.IFERROR(VLOOKUP($A103,'The List'!$B1:$AS730,29,FALSE)," ")</f>
        <v>885</v>
      </c>
      <c r="W103" t="s" s="61">
        <f>_xlfn.IFERROR(VLOOKUP($A103,'The List'!$B1:$AS730,30,FALSE)," ")</f>
        <v>885</v>
      </c>
      <c r="X103" t="s" s="61">
        <f>_xlfn.IFERROR(VLOOKUP($A103,'The List'!$B1:$AS730,31,FALSE)," ")</f>
        <v>885</v>
      </c>
      <c r="Y103" t="s" s="61">
        <f>_xlfn.IFERROR(VLOOKUP($A103,'The List'!$B1:$AS730,32,FALSE)," ")</f>
        <v>885</v>
      </c>
      <c r="Z103" t="s" s="61">
        <f>_xlfn.IFERROR(VLOOKUP($A103,'The List'!$B1:$AS730,33,FALSE)," ")</f>
        <v>885</v>
      </c>
      <c r="AA103" s="64"/>
      <c r="AB103" s="69"/>
      <c r="AC103" s="69"/>
      <c r="AD103" s="69"/>
      <c r="AE103" s="69"/>
      <c r="AF103" s="69"/>
    </row>
    <row r="104" ht="21.25" customHeight="1">
      <c r="A104" s="29"/>
      <c r="B104" t="s" s="77">
        <f>_xlfn.IFERROR(VLOOKUP($A104,'The List'!$B1:$AS730,3,FALSE)," ")</f>
        <v>885</v>
      </c>
      <c r="C104" t="s" s="79">
        <f>_xlfn.IFERROR(VLOOKUP($A104,'The List'!$B1:$AS730,4,FALSE)," ")</f>
        <v>885</v>
      </c>
      <c r="D104" t="s" s="42">
        <f>_xlfn.IFERROR(VLOOKUP($A104,'The List'!$B1:$AS730,5,FALSE)," ")</f>
        <v>885</v>
      </c>
      <c r="E104" t="s" s="42">
        <f>_xlfn.IFERROR(VLOOKUP($A104,'The List'!$B1:$AS730,6,FALSE)," ")</f>
        <v>885</v>
      </c>
      <c r="F104" t="s" s="60">
        <f>_xlfn.IFERROR(VLOOKUP($A104,'The List'!$B1:$AS730,8,FALSE)," ")</f>
        <v>885</v>
      </c>
      <c r="G104" t="s" s="60">
        <f>_xlfn.IFERROR(VLOOKUP($A104,'The List'!$B1:$AS730,10,FALSE)," ")</f>
        <v>885</v>
      </c>
      <c r="H104" s="46"/>
      <c r="I104" t="s" s="61">
        <f>_xlfn.IFERROR(VLOOKUP($A104,'The List'!$B1:$AS730,16,FALSE)," ")</f>
        <v>885</v>
      </c>
      <c r="J104" t="s" s="61">
        <f>_xlfn.IFERROR(VLOOKUP($A104,'The List'!$B1:$AS730,17,FALSE)," ")</f>
        <v>885</v>
      </c>
      <c r="K104" t="s" s="61">
        <f>_xlfn.IFERROR(VLOOKUP($A104,'The List'!$B1:$AS730,18,FALSE)," ")</f>
        <v>885</v>
      </c>
      <c r="L104" t="s" s="61">
        <f>_xlfn.IFERROR(VLOOKUP($A104,'The List'!$B1:$AS730,19,FALSE)," ")</f>
        <v>885</v>
      </c>
      <c r="M104" t="s" s="61">
        <f>_xlfn.IFERROR(VLOOKUP($A104,'The List'!$B1:$AS730,20,FALSE)," ")</f>
        <v>885</v>
      </c>
      <c r="N104" t="s" s="61">
        <f>_xlfn.IFERROR(VLOOKUP($A104,'The List'!$B1:$AS730,21,FALSE)," ")</f>
        <v>885</v>
      </c>
      <c r="O104" t="s" s="61">
        <f>_xlfn.IFERROR(VLOOKUP($A104,'The List'!$B1:$AS730,22,FALSE)," ")</f>
        <v>885</v>
      </c>
      <c r="P104" t="s" s="61">
        <f>_xlfn.IFERROR(VLOOKUP($A104,'The List'!$B1:$AS730,23,FALSE)," ")</f>
        <v>885</v>
      </c>
      <c r="Q104" t="s" s="61">
        <f>_xlfn.IFERROR(VLOOKUP($A104,'The List'!$B1:$AS730,24,FALSE)," ")</f>
        <v>885</v>
      </c>
      <c r="R104" t="s" s="61">
        <f>_xlfn.IFERROR(VLOOKUP($A104,'The List'!$B1:$AS730,25,FALSE)," ")</f>
        <v>885</v>
      </c>
      <c r="S104" t="s" s="61">
        <f>_xlfn.IFERROR(VLOOKUP($A104,'The List'!$B1:$AS730,26,FALSE)," ")</f>
        <v>885</v>
      </c>
      <c r="T104" t="s" s="61">
        <f>_xlfn.IFERROR(VLOOKUP($A104,'The List'!$B1:$AS730,27,FALSE)," ")</f>
        <v>885</v>
      </c>
      <c r="U104" t="s" s="61">
        <f>_xlfn.IFERROR(VLOOKUP($A104,'The List'!$B1:$AS730,28,FALSE)," ")</f>
        <v>885</v>
      </c>
      <c r="V104" t="s" s="61">
        <f>_xlfn.IFERROR(VLOOKUP($A104,'The List'!$B1:$AS730,29,FALSE)," ")</f>
        <v>885</v>
      </c>
      <c r="W104" t="s" s="61">
        <f>_xlfn.IFERROR(VLOOKUP($A104,'The List'!$B1:$AS730,30,FALSE)," ")</f>
        <v>885</v>
      </c>
      <c r="X104" t="s" s="61">
        <f>_xlfn.IFERROR(VLOOKUP($A104,'The List'!$B1:$AS730,31,FALSE)," ")</f>
        <v>885</v>
      </c>
      <c r="Y104" t="s" s="61">
        <f>_xlfn.IFERROR(VLOOKUP($A104,'The List'!$B1:$AS730,32,FALSE)," ")</f>
        <v>885</v>
      </c>
      <c r="Z104" t="s" s="61">
        <f>_xlfn.IFERROR(VLOOKUP($A104,'The List'!$B1:$AS730,33,FALSE)," ")</f>
        <v>885</v>
      </c>
      <c r="AA104" s="64"/>
      <c r="AB104" s="69"/>
      <c r="AC104" s="69"/>
      <c r="AD104" s="69"/>
      <c r="AE104" s="69"/>
      <c r="AF104" s="69"/>
    </row>
    <row r="105" ht="21.25" customHeight="1">
      <c r="A105" s="29"/>
      <c r="B105" t="s" s="77">
        <f>_xlfn.IFERROR(VLOOKUP($A105,'The List'!$B1:$AS730,3,FALSE)," ")</f>
        <v>885</v>
      </c>
      <c r="C105" t="s" s="79">
        <f>_xlfn.IFERROR(VLOOKUP($A105,'The List'!$B1:$AS730,4,FALSE)," ")</f>
        <v>885</v>
      </c>
      <c r="D105" t="s" s="42">
        <f>_xlfn.IFERROR(VLOOKUP($A105,'The List'!$B1:$AS730,5,FALSE)," ")</f>
        <v>885</v>
      </c>
      <c r="E105" t="s" s="42">
        <f>_xlfn.IFERROR(VLOOKUP($A105,'The List'!$B1:$AS730,6,FALSE)," ")</f>
        <v>885</v>
      </c>
      <c r="F105" t="s" s="60">
        <f>_xlfn.IFERROR(VLOOKUP($A105,'The List'!$B1:$AS730,8,FALSE)," ")</f>
        <v>885</v>
      </c>
      <c r="G105" t="s" s="60">
        <f>_xlfn.IFERROR(VLOOKUP($A105,'The List'!$B1:$AS730,10,FALSE)," ")</f>
        <v>885</v>
      </c>
      <c r="H105" s="46"/>
      <c r="I105" t="s" s="61">
        <f>_xlfn.IFERROR(VLOOKUP($A105,'The List'!$B1:$AS730,16,FALSE)," ")</f>
        <v>885</v>
      </c>
      <c r="J105" t="s" s="61">
        <f>_xlfn.IFERROR(VLOOKUP($A105,'The List'!$B1:$AS730,17,FALSE)," ")</f>
        <v>885</v>
      </c>
      <c r="K105" t="s" s="61">
        <f>_xlfn.IFERROR(VLOOKUP($A105,'The List'!$B1:$AS730,18,FALSE)," ")</f>
        <v>885</v>
      </c>
      <c r="L105" t="s" s="61">
        <f>_xlfn.IFERROR(VLOOKUP($A105,'The List'!$B1:$AS730,19,FALSE)," ")</f>
        <v>885</v>
      </c>
      <c r="M105" t="s" s="61">
        <f>_xlfn.IFERROR(VLOOKUP($A105,'The List'!$B1:$AS730,20,FALSE)," ")</f>
        <v>885</v>
      </c>
      <c r="N105" t="s" s="61">
        <f>_xlfn.IFERROR(VLOOKUP($A105,'The List'!$B1:$AS730,21,FALSE)," ")</f>
        <v>885</v>
      </c>
      <c r="O105" t="s" s="61">
        <f>_xlfn.IFERROR(VLOOKUP($A105,'The List'!$B1:$AS730,22,FALSE)," ")</f>
        <v>885</v>
      </c>
      <c r="P105" t="s" s="61">
        <f>_xlfn.IFERROR(VLOOKUP($A105,'The List'!$B1:$AS730,23,FALSE)," ")</f>
        <v>885</v>
      </c>
      <c r="Q105" t="s" s="61">
        <f>_xlfn.IFERROR(VLOOKUP($A105,'The List'!$B1:$AS730,24,FALSE)," ")</f>
        <v>885</v>
      </c>
      <c r="R105" t="s" s="61">
        <f>_xlfn.IFERROR(VLOOKUP($A105,'The List'!$B1:$AS730,25,FALSE)," ")</f>
        <v>885</v>
      </c>
      <c r="S105" t="s" s="61">
        <f>_xlfn.IFERROR(VLOOKUP($A105,'The List'!$B1:$AS730,26,FALSE)," ")</f>
        <v>885</v>
      </c>
      <c r="T105" t="s" s="61">
        <f>_xlfn.IFERROR(VLOOKUP($A105,'The List'!$B1:$AS730,27,FALSE)," ")</f>
        <v>885</v>
      </c>
      <c r="U105" t="s" s="61">
        <f>_xlfn.IFERROR(VLOOKUP($A105,'The List'!$B1:$AS730,28,FALSE)," ")</f>
        <v>885</v>
      </c>
      <c r="V105" t="s" s="61">
        <f>_xlfn.IFERROR(VLOOKUP($A105,'The List'!$B1:$AS730,29,FALSE)," ")</f>
        <v>885</v>
      </c>
      <c r="W105" t="s" s="61">
        <f>_xlfn.IFERROR(VLOOKUP($A105,'The List'!$B1:$AS730,30,FALSE)," ")</f>
        <v>885</v>
      </c>
      <c r="X105" t="s" s="61">
        <f>_xlfn.IFERROR(VLOOKUP($A105,'The List'!$B1:$AS730,31,FALSE)," ")</f>
        <v>885</v>
      </c>
      <c r="Y105" t="s" s="61">
        <f>_xlfn.IFERROR(VLOOKUP($A105,'The List'!$B1:$AS730,32,FALSE)," ")</f>
        <v>885</v>
      </c>
      <c r="Z105" t="s" s="61">
        <f>_xlfn.IFERROR(VLOOKUP($A105,'The List'!$B1:$AS730,33,FALSE)," ")</f>
        <v>885</v>
      </c>
      <c r="AA105" s="64"/>
      <c r="AB105" s="69"/>
      <c r="AC105" s="69"/>
      <c r="AD105" s="69"/>
      <c r="AE105" s="69"/>
      <c r="AF105" s="69"/>
    </row>
    <row r="106" ht="21.25" customHeight="1">
      <c r="A106" s="29"/>
      <c r="B106" t="s" s="77">
        <f>_xlfn.IFERROR(VLOOKUP($A106,'The List'!$B1:$AS730,3,FALSE)," ")</f>
        <v>885</v>
      </c>
      <c r="C106" t="s" s="79">
        <f>_xlfn.IFERROR(VLOOKUP($A106,'The List'!$B1:$AS730,4,FALSE)," ")</f>
        <v>885</v>
      </c>
      <c r="D106" t="s" s="42">
        <f>_xlfn.IFERROR(VLOOKUP($A106,'The List'!$B1:$AS730,5,FALSE)," ")</f>
        <v>885</v>
      </c>
      <c r="E106" t="s" s="42">
        <f>_xlfn.IFERROR(VLOOKUP($A106,'The List'!$B1:$AS730,6,FALSE)," ")</f>
        <v>885</v>
      </c>
      <c r="F106" t="s" s="60">
        <f>_xlfn.IFERROR(VLOOKUP($A106,'The List'!$B1:$AS730,8,FALSE)," ")</f>
        <v>885</v>
      </c>
      <c r="G106" t="s" s="60">
        <f>_xlfn.IFERROR(VLOOKUP($A106,'The List'!$B1:$AS730,10,FALSE)," ")</f>
        <v>885</v>
      </c>
      <c r="H106" s="46"/>
      <c r="I106" t="s" s="61">
        <f>_xlfn.IFERROR(VLOOKUP($A106,'The List'!$B1:$AS730,16,FALSE)," ")</f>
        <v>885</v>
      </c>
      <c r="J106" t="s" s="61">
        <f>_xlfn.IFERROR(VLOOKUP($A106,'The List'!$B1:$AS730,17,FALSE)," ")</f>
        <v>885</v>
      </c>
      <c r="K106" t="s" s="61">
        <f>_xlfn.IFERROR(VLOOKUP($A106,'The List'!$B1:$AS730,18,FALSE)," ")</f>
        <v>885</v>
      </c>
      <c r="L106" t="s" s="61">
        <f>_xlfn.IFERROR(VLOOKUP($A106,'The List'!$B1:$AS730,19,FALSE)," ")</f>
        <v>885</v>
      </c>
      <c r="M106" t="s" s="61">
        <f>_xlfn.IFERROR(VLOOKUP($A106,'The List'!$B1:$AS730,20,FALSE)," ")</f>
        <v>885</v>
      </c>
      <c r="N106" t="s" s="61">
        <f>_xlfn.IFERROR(VLOOKUP($A106,'The List'!$B1:$AS730,21,FALSE)," ")</f>
        <v>885</v>
      </c>
      <c r="O106" t="s" s="61">
        <f>_xlfn.IFERROR(VLOOKUP($A106,'The List'!$B1:$AS730,22,FALSE)," ")</f>
        <v>885</v>
      </c>
      <c r="P106" t="s" s="61">
        <f>_xlfn.IFERROR(VLOOKUP($A106,'The List'!$B1:$AS730,23,FALSE)," ")</f>
        <v>885</v>
      </c>
      <c r="Q106" t="s" s="61">
        <f>_xlfn.IFERROR(VLOOKUP($A106,'The List'!$B1:$AS730,24,FALSE)," ")</f>
        <v>885</v>
      </c>
      <c r="R106" t="s" s="61">
        <f>_xlfn.IFERROR(VLOOKUP($A106,'The List'!$B1:$AS730,25,FALSE)," ")</f>
        <v>885</v>
      </c>
      <c r="S106" t="s" s="61">
        <f>_xlfn.IFERROR(VLOOKUP($A106,'The List'!$B1:$AS730,26,FALSE)," ")</f>
        <v>885</v>
      </c>
      <c r="T106" t="s" s="61">
        <f>_xlfn.IFERROR(VLOOKUP($A106,'The List'!$B1:$AS730,27,FALSE)," ")</f>
        <v>885</v>
      </c>
      <c r="U106" t="s" s="61">
        <f>_xlfn.IFERROR(VLOOKUP($A106,'The List'!$B1:$AS730,28,FALSE)," ")</f>
        <v>885</v>
      </c>
      <c r="V106" t="s" s="61">
        <f>_xlfn.IFERROR(VLOOKUP($A106,'The List'!$B1:$AS730,29,FALSE)," ")</f>
        <v>885</v>
      </c>
      <c r="W106" t="s" s="61">
        <f>_xlfn.IFERROR(VLOOKUP($A106,'The List'!$B1:$AS730,30,FALSE)," ")</f>
        <v>885</v>
      </c>
      <c r="X106" t="s" s="61">
        <f>_xlfn.IFERROR(VLOOKUP($A106,'The List'!$B1:$AS730,31,FALSE)," ")</f>
        <v>885</v>
      </c>
      <c r="Y106" t="s" s="61">
        <f>_xlfn.IFERROR(VLOOKUP($A106,'The List'!$B1:$AS730,32,FALSE)," ")</f>
        <v>885</v>
      </c>
      <c r="Z106" t="s" s="61">
        <f>_xlfn.IFERROR(VLOOKUP($A106,'The List'!$B1:$AS730,33,FALSE)," ")</f>
        <v>885</v>
      </c>
      <c r="AA106" s="64"/>
      <c r="AB106" s="69"/>
      <c r="AC106" s="69"/>
      <c r="AD106" s="69"/>
      <c r="AE106" s="69"/>
      <c r="AF106" s="69"/>
    </row>
    <row r="107" ht="21.25" customHeight="1">
      <c r="A107" s="29"/>
      <c r="B107" t="s" s="77">
        <f>_xlfn.IFERROR(VLOOKUP($A107,'The List'!$B1:$AS730,3,FALSE)," ")</f>
        <v>885</v>
      </c>
      <c r="C107" t="s" s="79">
        <f>_xlfn.IFERROR(VLOOKUP($A107,'The List'!$B1:$AS730,4,FALSE)," ")</f>
        <v>885</v>
      </c>
      <c r="D107" t="s" s="42">
        <f>_xlfn.IFERROR(VLOOKUP($A107,'The List'!$B1:$AS730,5,FALSE)," ")</f>
        <v>885</v>
      </c>
      <c r="E107" t="s" s="42">
        <f>_xlfn.IFERROR(VLOOKUP($A107,'The List'!$B1:$AS730,6,FALSE)," ")</f>
        <v>885</v>
      </c>
      <c r="F107" t="s" s="60">
        <f>_xlfn.IFERROR(VLOOKUP($A107,'The List'!$B1:$AS730,8,FALSE)," ")</f>
        <v>885</v>
      </c>
      <c r="G107" t="s" s="60">
        <f>_xlfn.IFERROR(VLOOKUP($A107,'The List'!$B1:$AS730,10,FALSE)," ")</f>
        <v>885</v>
      </c>
      <c r="H107" s="46"/>
      <c r="I107" t="s" s="61">
        <f>_xlfn.IFERROR(VLOOKUP($A107,'The List'!$B1:$AS730,16,FALSE)," ")</f>
        <v>885</v>
      </c>
      <c r="J107" t="s" s="61">
        <f>_xlfn.IFERROR(VLOOKUP($A107,'The List'!$B1:$AS730,17,FALSE)," ")</f>
        <v>885</v>
      </c>
      <c r="K107" t="s" s="61">
        <f>_xlfn.IFERROR(VLOOKUP($A107,'The List'!$B1:$AS730,18,FALSE)," ")</f>
        <v>885</v>
      </c>
      <c r="L107" t="s" s="61">
        <f>_xlfn.IFERROR(VLOOKUP($A107,'The List'!$B1:$AS730,19,FALSE)," ")</f>
        <v>885</v>
      </c>
      <c r="M107" t="s" s="61">
        <f>_xlfn.IFERROR(VLOOKUP($A107,'The List'!$B1:$AS730,20,FALSE)," ")</f>
        <v>885</v>
      </c>
      <c r="N107" t="s" s="61">
        <f>_xlfn.IFERROR(VLOOKUP($A107,'The List'!$B1:$AS730,21,FALSE)," ")</f>
        <v>885</v>
      </c>
      <c r="O107" t="s" s="61">
        <f>_xlfn.IFERROR(VLOOKUP($A107,'The List'!$B1:$AS730,22,FALSE)," ")</f>
        <v>885</v>
      </c>
      <c r="P107" t="s" s="61">
        <f>_xlfn.IFERROR(VLOOKUP($A107,'The List'!$B1:$AS730,23,FALSE)," ")</f>
        <v>885</v>
      </c>
      <c r="Q107" t="s" s="61">
        <f>_xlfn.IFERROR(VLOOKUP($A107,'The List'!$B1:$AS730,24,FALSE)," ")</f>
        <v>885</v>
      </c>
      <c r="R107" t="s" s="61">
        <f>_xlfn.IFERROR(VLOOKUP($A107,'The List'!$B1:$AS730,25,FALSE)," ")</f>
        <v>885</v>
      </c>
      <c r="S107" t="s" s="61">
        <f>_xlfn.IFERROR(VLOOKUP($A107,'The List'!$B1:$AS730,26,FALSE)," ")</f>
        <v>885</v>
      </c>
      <c r="T107" t="s" s="61">
        <f>_xlfn.IFERROR(VLOOKUP($A107,'The List'!$B1:$AS730,27,FALSE)," ")</f>
        <v>885</v>
      </c>
      <c r="U107" t="s" s="61">
        <f>_xlfn.IFERROR(VLOOKUP($A107,'The List'!$B1:$AS730,28,FALSE)," ")</f>
        <v>885</v>
      </c>
      <c r="V107" t="s" s="61">
        <f>_xlfn.IFERROR(VLOOKUP($A107,'The List'!$B1:$AS730,29,FALSE)," ")</f>
        <v>885</v>
      </c>
      <c r="W107" t="s" s="61">
        <f>_xlfn.IFERROR(VLOOKUP($A107,'The List'!$B1:$AS730,30,FALSE)," ")</f>
        <v>885</v>
      </c>
      <c r="X107" t="s" s="61">
        <f>_xlfn.IFERROR(VLOOKUP($A107,'The List'!$B1:$AS730,31,FALSE)," ")</f>
        <v>885</v>
      </c>
      <c r="Y107" t="s" s="61">
        <f>_xlfn.IFERROR(VLOOKUP($A107,'The List'!$B1:$AS730,32,FALSE)," ")</f>
        <v>885</v>
      </c>
      <c r="Z107" t="s" s="61">
        <f>_xlfn.IFERROR(VLOOKUP($A107,'The List'!$B1:$AS730,33,FALSE)," ")</f>
        <v>885</v>
      </c>
      <c r="AA107" s="64"/>
      <c r="AB107" s="69"/>
      <c r="AC107" s="69"/>
      <c r="AD107" s="69"/>
      <c r="AE107" s="69"/>
      <c r="AF107" s="69"/>
    </row>
    <row r="108" ht="21.25" customHeight="1">
      <c r="A108" s="81"/>
      <c r="B108" t="s" s="82">
        <f>_xlfn.IFERROR(VLOOKUP($A108,'The List'!$B1:$AS730,3,FALSE)," ")</f>
        <v>885</v>
      </c>
      <c r="C108" t="s" s="83">
        <f>_xlfn.IFERROR(VLOOKUP($A108,'The List'!$B1:$AS730,4,FALSE)," ")</f>
        <v>885</v>
      </c>
      <c r="D108" t="s" s="84">
        <f>_xlfn.IFERROR(VLOOKUP($A108,'The List'!$B1:$AS730,5,FALSE)," ")</f>
        <v>885</v>
      </c>
      <c r="E108" t="s" s="84">
        <f>_xlfn.IFERROR(VLOOKUP($A108,'The List'!$B1:$AS730,6,FALSE)," ")</f>
        <v>885</v>
      </c>
      <c r="F108" t="s" s="85">
        <f>_xlfn.IFERROR(VLOOKUP($A108,'The List'!$B1:$AS730,8,FALSE)," ")</f>
        <v>885</v>
      </c>
      <c r="G108" t="s" s="85">
        <f>_xlfn.IFERROR(VLOOKUP($A108,'The List'!$B1:$AS730,10,FALSE)," ")</f>
        <v>885</v>
      </c>
      <c r="H108" s="86"/>
      <c r="I108" t="s" s="87">
        <f>_xlfn.IFERROR(VLOOKUP($A108,'The List'!$B1:$AS730,16,FALSE)," ")</f>
        <v>885</v>
      </c>
      <c r="J108" t="s" s="87">
        <f>_xlfn.IFERROR(VLOOKUP($A108,'The List'!$B1:$AS730,17,FALSE)," ")</f>
        <v>885</v>
      </c>
      <c r="K108" t="s" s="87">
        <f>_xlfn.IFERROR(VLOOKUP($A108,'The List'!$B1:$AS730,18,FALSE)," ")</f>
        <v>885</v>
      </c>
      <c r="L108" t="s" s="87">
        <f>_xlfn.IFERROR(VLOOKUP($A108,'The List'!$B1:$AS730,19,FALSE)," ")</f>
        <v>885</v>
      </c>
      <c r="M108" t="s" s="87">
        <f>_xlfn.IFERROR(VLOOKUP($A108,'The List'!$B1:$AS730,20,FALSE)," ")</f>
        <v>885</v>
      </c>
      <c r="N108" t="s" s="87">
        <f>_xlfn.IFERROR(VLOOKUP($A108,'The List'!$B1:$AS730,21,FALSE)," ")</f>
        <v>885</v>
      </c>
      <c r="O108" t="s" s="87">
        <f>_xlfn.IFERROR(VLOOKUP($A108,'The List'!$B1:$AS730,22,FALSE)," ")</f>
        <v>885</v>
      </c>
      <c r="P108" t="s" s="87">
        <f>_xlfn.IFERROR(VLOOKUP($A108,'The List'!$B1:$AS730,23,FALSE)," ")</f>
        <v>885</v>
      </c>
      <c r="Q108" t="s" s="87">
        <f>_xlfn.IFERROR(VLOOKUP($A108,'The List'!$B1:$AS730,24,FALSE)," ")</f>
        <v>885</v>
      </c>
      <c r="R108" t="s" s="87">
        <f>_xlfn.IFERROR(VLOOKUP($A108,'The List'!$B1:$AS730,25,FALSE)," ")</f>
        <v>885</v>
      </c>
      <c r="S108" t="s" s="87">
        <f>_xlfn.IFERROR(VLOOKUP($A108,'The List'!$B1:$AS730,26,FALSE)," ")</f>
        <v>885</v>
      </c>
      <c r="T108" t="s" s="87">
        <f>_xlfn.IFERROR(VLOOKUP($A108,'The List'!$B1:$AS730,27,FALSE)," ")</f>
        <v>885</v>
      </c>
      <c r="U108" t="s" s="87">
        <f>_xlfn.IFERROR(VLOOKUP($A108,'The List'!$B1:$AS730,28,FALSE)," ")</f>
        <v>885</v>
      </c>
      <c r="V108" t="s" s="87">
        <f>_xlfn.IFERROR(VLOOKUP($A108,'The List'!$B1:$AS730,29,FALSE)," ")</f>
        <v>885</v>
      </c>
      <c r="W108" t="s" s="87">
        <f>_xlfn.IFERROR(VLOOKUP($A108,'The List'!$B1:$AS730,30,FALSE)," ")</f>
        <v>885</v>
      </c>
      <c r="X108" t="s" s="87">
        <f>_xlfn.IFERROR(VLOOKUP($A108,'The List'!$B1:$AS730,31,FALSE)," ")</f>
        <v>885</v>
      </c>
      <c r="Y108" t="s" s="87">
        <f>_xlfn.IFERROR(VLOOKUP($A108,'The List'!$B1:$AS730,32,FALSE)," ")</f>
        <v>885</v>
      </c>
      <c r="Z108" t="s" s="87">
        <f>_xlfn.IFERROR(VLOOKUP($A108,'The List'!$B1:$AS730,33,FALSE)," ")</f>
        <v>885</v>
      </c>
      <c r="AA108" s="64"/>
      <c r="AB108" s="69"/>
      <c r="AC108" s="69"/>
      <c r="AD108" s="69"/>
      <c r="AE108" s="69"/>
      <c r="AF108" s="69"/>
    </row>
    <row r="109" ht="21.25" customHeight="1">
      <c r="A109" s="88"/>
      <c r="B109" s="89"/>
      <c r="C109" s="90"/>
      <c r="D109" s="91"/>
      <c r="E109" t="s" s="127">
        <f>_xlfn.IFERROR(AVERAGE(E89:E108)," ")</f>
        <v>885</v>
      </c>
      <c r="F109" s="93">
        <f>SUM(F89:F108)</f>
        <v>0</v>
      </c>
      <c r="G109" s="93">
        <f>SUM(G89:G108)</f>
        <v>0</v>
      </c>
      <c r="H109" s="94"/>
      <c r="I109" s="95">
        <f>SUM(I89:I108)</f>
        <v>0</v>
      </c>
      <c r="J109" s="94">
        <f>AVERAGE(J89:J108)</f>
      </c>
      <c r="K109" s="95">
        <f>SUM(K89:K108)</f>
        <v>0</v>
      </c>
      <c r="L109" s="95">
        <f>SUM(L89:L108)</f>
        <v>0</v>
      </c>
      <c r="M109" s="95">
        <f>SUM(M89:M108)</f>
        <v>0</v>
      </c>
      <c r="N109" s="95">
        <f>SUM(N89:N108)</f>
        <v>0</v>
      </c>
      <c r="O109" s="95">
        <f>SUM(O89:O108)</f>
        <v>0</v>
      </c>
      <c r="P109" s="95">
        <f>SUM(P89:P108)</f>
        <v>0</v>
      </c>
      <c r="Q109" s="95">
        <f>SUM(Q89:Q108)</f>
        <v>0</v>
      </c>
      <c r="R109" s="95">
        <f>SUM(R89:R108)</f>
        <v>0</v>
      </c>
      <c r="S109" s="95">
        <f>SUM(S89:S108)</f>
        <v>0</v>
      </c>
      <c r="T109" s="95">
        <f>SUM(T89:T108)</f>
        <v>0</v>
      </c>
      <c r="U109" s="95">
        <f>SUM(U89:U108)</f>
        <v>0</v>
      </c>
      <c r="V109" s="95">
        <f>SUM(V89:V108)</f>
        <v>0</v>
      </c>
      <c r="W109" s="95">
        <f>SUM(W89:W108)</f>
        <v>0</v>
      </c>
      <c r="X109" s="95">
        <f>SUM(X89:X108)</f>
        <v>0</v>
      </c>
      <c r="Y109" s="95">
        <f>SUM(Y89:Y108)</f>
        <v>0</v>
      </c>
      <c r="Z109" s="96">
        <f>_xlfn.IFERROR(X109/(X109+Y109),0)</f>
        <v>0</v>
      </c>
      <c r="AA109" s="64"/>
      <c r="AB109" s="97"/>
      <c r="AC109" s="97"/>
      <c r="AD109" s="97"/>
      <c r="AE109" s="97"/>
      <c r="AF109" s="97"/>
    </row>
    <row r="110" ht="21.25" customHeight="1">
      <c r="A110" s="98"/>
      <c r="B110" s="99"/>
      <c r="C110" s="100"/>
      <c r="D110" s="11"/>
      <c r="E110" s="11"/>
      <c r="F110" s="101"/>
      <c r="G110" s="102"/>
      <c r="H110" s="103"/>
      <c r="I110" s="10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9"/>
      <c r="AC110" s="69"/>
      <c r="AD110" s="69"/>
      <c r="AE110" s="69"/>
      <c r="AF110" s="69"/>
    </row>
    <row r="111" ht="21.25" customHeight="1">
      <c r="A111" t="s" s="31">
        <v>66</v>
      </c>
      <c r="B111" t="s" s="105">
        <v>68</v>
      </c>
      <c r="C111" s="19"/>
      <c r="D111" t="s" s="105">
        <v>69</v>
      </c>
      <c r="E111" t="s" s="105">
        <v>70</v>
      </c>
      <c r="F111" t="s" s="106">
        <v>72</v>
      </c>
      <c r="G111" t="s" s="106">
        <v>74</v>
      </c>
      <c r="H111" s="107"/>
      <c r="I111" t="s" s="108">
        <v>79</v>
      </c>
      <c r="J111" t="s" s="108">
        <v>97</v>
      </c>
      <c r="K111" t="s" s="108">
        <v>98</v>
      </c>
      <c r="L111" t="s" s="108">
        <v>99</v>
      </c>
      <c r="M111" t="s" s="108">
        <v>100</v>
      </c>
      <c r="N111" t="s" s="108">
        <v>101</v>
      </c>
      <c r="O111" t="s" s="108">
        <v>102</v>
      </c>
      <c r="P111" t="s" s="108">
        <v>103</v>
      </c>
      <c r="Q111" t="s" s="108">
        <v>104</v>
      </c>
      <c r="R111" s="64"/>
      <c r="S111" s="64"/>
      <c r="T111" s="64"/>
      <c r="U111" t="s" s="105">
        <v>901</v>
      </c>
      <c r="V111" s="107"/>
      <c r="W111" s="107"/>
      <c r="X111" t="s" s="105">
        <v>902</v>
      </c>
      <c r="Y111" s="107"/>
      <c r="Z111" s="107"/>
      <c r="AA111" s="64"/>
      <c r="AB111" s="64"/>
      <c r="AC111" s="64"/>
      <c r="AD111" s="64"/>
      <c r="AE111" s="64"/>
      <c r="AF111" s="64"/>
    </row>
    <row r="112" ht="21.25" customHeight="1">
      <c r="A112" s="128"/>
      <c r="B112" t="s" s="110">
        <f>_xlfn.IFERROR(VLOOKUP($A112,'The List'!$B1:$AS730,3,FALSE)," ")</f>
        <v>885</v>
      </c>
      <c r="C112" t="s" s="129">
        <f>_xlfn.IFERROR(VLOOKUP($A112,'The List'!$B1:$AS730,4,FALSE)," ")</f>
        <v>885</v>
      </c>
      <c r="D112" t="s" s="112">
        <f>_xlfn.IFERROR(VLOOKUP($A112,'The List'!$B1:$AS730,5,FALSE)," ")</f>
        <v>885</v>
      </c>
      <c r="E112" t="s" s="112">
        <f>_xlfn.IFERROR(VLOOKUP($A112,'The List'!$B1:$AS730,6,FALSE)," ")</f>
        <v>885</v>
      </c>
      <c r="F112" t="s" s="130">
        <f>_xlfn.IFERROR(VLOOKUP($A112,'The List'!$B1:$AS730,8,FALSE)," ")</f>
        <v>885</v>
      </c>
      <c r="G112" t="s" s="130">
        <f>_xlfn.IFERROR(VLOOKUP($A112,'The List'!$B1:$AS730,10,FALSE)," ")</f>
        <v>885</v>
      </c>
      <c r="H112" s="115"/>
      <c r="I112" t="s" s="131">
        <f>_xlfn.IFERROR(VLOOKUP($A112,'The List'!$B1:$AS730,35,FALSE)," ")</f>
        <v>885</v>
      </c>
      <c r="J112" t="s" s="131">
        <f>_xlfn.IFERROR(VLOOKUP($A112,'The List'!$B1:$AS730,36,FALSE)," ")</f>
        <v>885</v>
      </c>
      <c r="K112" t="s" s="131">
        <f>_xlfn.IFERROR(VLOOKUP($A112,'The List'!$B1:$AS730,37,FALSE)," ")</f>
        <v>885</v>
      </c>
      <c r="L112" t="s" s="131">
        <f>_xlfn.IFERROR(VLOOKUP($A112,'The List'!$B1:$AS730,38,FALSE)," ")</f>
        <v>885</v>
      </c>
      <c r="M112" t="s" s="131">
        <f>_xlfn.IFERROR(VLOOKUP($A112,'The List'!$B1:$AS730,39,FALSE)," ")</f>
        <v>885</v>
      </c>
      <c r="N112" t="s" s="131">
        <f>_xlfn.IFERROR(VLOOKUP($A112,'The List'!$B1:$AS730,40,FALSE)," ")</f>
        <v>885</v>
      </c>
      <c r="O112" t="s" s="131">
        <f>_xlfn.IFERROR(VLOOKUP($A112,'The List'!$B1:$AS730,41,FALSE)," ")</f>
        <v>885</v>
      </c>
      <c r="P112" t="s" s="131">
        <f>_xlfn.IFERROR(VLOOKUP($A112,'The List'!$B1:$AS730,42,FALSE)," ")</f>
        <v>885</v>
      </c>
      <c r="Q112" t="s" s="131">
        <f>_xlfn.IFERROR(VLOOKUP($A112,'The List'!$B1:$AS730,43,FALSE)," ")</f>
        <v>885</v>
      </c>
      <c r="R112" s="64"/>
      <c r="S112" s="64"/>
      <c r="T112" t="s" s="119">
        <f>A88</f>
        <v>906</v>
      </c>
      <c r="U112" s="120">
        <f>F109+F115</f>
        <v>0</v>
      </c>
      <c r="V112" s="19"/>
      <c r="W112" s="19"/>
      <c r="X112" s="120">
        <f>G115+G109</f>
        <v>0</v>
      </c>
      <c r="Y112" s="19"/>
      <c r="Z112" s="19"/>
      <c r="AA112" s="64"/>
      <c r="AB112" s="64"/>
      <c r="AC112" s="64"/>
      <c r="AD112" s="64"/>
      <c r="AE112" s="64"/>
      <c r="AF112" s="64"/>
    </row>
    <row r="113" ht="21.25" customHeight="1">
      <c r="A113" s="29"/>
      <c r="B113" t="s" s="121">
        <f>_xlfn.IFERROR(VLOOKUP($A113,'The List'!$B1:$AS730,3,FALSE)," ")</f>
        <v>885</v>
      </c>
      <c r="C113" t="s" s="122">
        <f>_xlfn.IFERROR(VLOOKUP($A113,'The List'!$B1:$AS730,4,FALSE)," ")</f>
        <v>885</v>
      </c>
      <c r="D113" t="s" s="42">
        <f>_xlfn.IFERROR(VLOOKUP($A113,'The List'!$B1:$AS730,5,FALSE)," ")</f>
        <v>885</v>
      </c>
      <c r="E113" t="s" s="42">
        <f>_xlfn.IFERROR(VLOOKUP($A113,'The List'!$B1:$AS730,6,FALSE)," ")</f>
        <v>885</v>
      </c>
      <c r="F113" t="s" s="60">
        <f>_xlfn.IFERROR(VLOOKUP($A113,'The List'!$B1:$AS730,8,FALSE)," ")</f>
        <v>885</v>
      </c>
      <c r="G113" t="s" s="60">
        <f>_xlfn.IFERROR(VLOOKUP($A113,'The List'!$B1:$AS730,10,FALSE)," ")</f>
        <v>885</v>
      </c>
      <c r="H113" s="46"/>
      <c r="I113" t="s" s="61">
        <f>_xlfn.IFERROR(VLOOKUP($A113,'The List'!$B1:$AS730,35,FALSE)," ")</f>
        <v>885</v>
      </c>
      <c r="J113" t="s" s="61">
        <f>_xlfn.IFERROR(VLOOKUP($A113,'The List'!$B1:$AS730,36,FALSE)," ")</f>
        <v>885</v>
      </c>
      <c r="K113" t="s" s="61">
        <f>_xlfn.IFERROR(VLOOKUP($A113,'The List'!$B1:$AS730,37,FALSE)," ")</f>
        <v>885</v>
      </c>
      <c r="L113" t="s" s="61">
        <f>_xlfn.IFERROR(VLOOKUP($A113,'The List'!$B1:$AS730,38,FALSE)," ")</f>
        <v>885</v>
      </c>
      <c r="M113" t="s" s="61">
        <f>_xlfn.IFERROR(VLOOKUP($A113,'The List'!$B1:$AS730,39,FALSE)," ")</f>
        <v>885</v>
      </c>
      <c r="N113" t="s" s="61">
        <f>_xlfn.IFERROR(VLOOKUP($A113,'The List'!$B1:$AS730,40,FALSE)," ")</f>
        <v>885</v>
      </c>
      <c r="O113" t="s" s="61">
        <f>_xlfn.IFERROR(VLOOKUP($A113,'The List'!$B1:$AS730,41,FALSE)," ")</f>
        <v>885</v>
      </c>
      <c r="P113" t="s" s="61">
        <f>_xlfn.IFERROR(VLOOKUP($A113,'The List'!$B1:$AS730,42,FALSE)," ")</f>
        <v>885</v>
      </c>
      <c r="Q113" t="s" s="61">
        <f>_xlfn.IFERROR(VLOOKUP($A113,'The List'!$B1:$AS730,43,FALSE)," ")</f>
        <v>885</v>
      </c>
      <c r="R113" s="64"/>
      <c r="S113" s="64"/>
      <c r="T113" s="64"/>
      <c r="U113" s="19"/>
      <c r="V113" s="19"/>
      <c r="W113" s="19"/>
      <c r="X113" s="19"/>
      <c r="Y113" s="19"/>
      <c r="Z113" s="19"/>
      <c r="AA113" s="64"/>
      <c r="AB113" s="64"/>
      <c r="AC113" s="64"/>
      <c r="AD113" s="64"/>
      <c r="AE113" s="64"/>
      <c r="AF113" s="64"/>
    </row>
    <row r="114" ht="21.25" customHeight="1">
      <c r="A114" s="81"/>
      <c r="B114" t="s" s="123">
        <f>_xlfn.IFERROR(VLOOKUP($A114,'The List'!$B1:$AS730,3,FALSE)," ")</f>
        <v>885</v>
      </c>
      <c r="C114" t="s" s="124">
        <f>_xlfn.IFERROR(VLOOKUP($A114,'The List'!$B1:$AS730,4,FALSE)," ")</f>
        <v>885</v>
      </c>
      <c r="D114" t="s" s="84">
        <f>_xlfn.IFERROR(VLOOKUP($A114,'The List'!$B1:$AS730,5,FALSE)," ")</f>
        <v>885</v>
      </c>
      <c r="E114" t="s" s="84">
        <f>_xlfn.IFERROR(VLOOKUP($A114,'The List'!$B1:$AS730,6,FALSE)," ")</f>
        <v>885</v>
      </c>
      <c r="F114" t="s" s="85">
        <f>_xlfn.IFERROR(VLOOKUP($A114,'The List'!$B1:$AS730,8,FALSE)," ")</f>
        <v>885</v>
      </c>
      <c r="G114" t="s" s="85">
        <f>_xlfn.IFERROR(VLOOKUP($A114,'The List'!$B1:$AS730,10,FALSE)," ")</f>
        <v>885</v>
      </c>
      <c r="H114" s="86"/>
      <c r="I114" t="s" s="87">
        <f>_xlfn.IFERROR(VLOOKUP($A114,'The List'!$B1:$AS730,35,FALSE)," ")</f>
        <v>885</v>
      </c>
      <c r="J114" t="s" s="87">
        <f>_xlfn.IFERROR(VLOOKUP($A114,'The List'!$B1:$AS730,36,FALSE)," ")</f>
        <v>885</v>
      </c>
      <c r="K114" t="s" s="87">
        <f>_xlfn.IFERROR(VLOOKUP($A114,'The List'!$B1:$AS730,37,FALSE)," ")</f>
        <v>885</v>
      </c>
      <c r="L114" t="s" s="87">
        <f>_xlfn.IFERROR(VLOOKUP($A114,'The List'!$B1:$AS730,38,FALSE)," ")</f>
        <v>885</v>
      </c>
      <c r="M114" t="s" s="87">
        <f>_xlfn.IFERROR(VLOOKUP($A114,'The List'!$B1:$AS730,39,FALSE)," ")</f>
        <v>885</v>
      </c>
      <c r="N114" t="s" s="87">
        <f>_xlfn.IFERROR(VLOOKUP($A114,'The List'!$B1:$AS730,40,FALSE)," ")</f>
        <v>885</v>
      </c>
      <c r="O114" t="s" s="87">
        <f>_xlfn.IFERROR(VLOOKUP($A114,'The List'!$B1:$AS730,41,FALSE)," ")</f>
        <v>885</v>
      </c>
      <c r="P114" t="s" s="87">
        <f>_xlfn.IFERROR(VLOOKUP($A114,'The List'!$B1:$AS730,42,FALSE)," ")</f>
        <v>885</v>
      </c>
      <c r="Q114" t="s" s="87">
        <f>_xlfn.IFERROR(VLOOKUP($A114,'The List'!$B1:$AS730,43,FALSE)," ")</f>
        <v>885</v>
      </c>
      <c r="R114" s="64"/>
      <c r="S114" s="64"/>
      <c r="T114" s="64"/>
      <c r="U114" s="19"/>
      <c r="V114" s="19"/>
      <c r="W114" s="19"/>
      <c r="X114" s="19"/>
      <c r="Y114" s="19"/>
      <c r="Z114" s="19"/>
      <c r="AA114" s="64"/>
      <c r="AB114" s="64"/>
      <c r="AC114" s="64"/>
      <c r="AD114" s="64"/>
      <c r="AE114" s="64"/>
      <c r="AF114" s="64"/>
    </row>
    <row r="115" ht="21.25" customHeight="1">
      <c r="A115" s="88"/>
      <c r="B115" s="89"/>
      <c r="C115" s="90"/>
      <c r="D115" s="91"/>
      <c r="E115" t="s" s="127">
        <f>_xlfn.IFERROR(AVERAGE(E112:E114)," ")</f>
        <v>885</v>
      </c>
      <c r="F115" s="93">
        <f>SUM(F112:F114)</f>
        <v>0</v>
      </c>
      <c r="G115" s="93">
        <f>SUM(G112:G114)</f>
        <v>0</v>
      </c>
      <c r="H115" s="94"/>
      <c r="I115" s="95">
        <f>SUM(I112:I114)</f>
        <v>0</v>
      </c>
      <c r="J115" s="94">
        <f>SUM(J112:J114)</f>
        <v>0</v>
      </c>
      <c r="K115" s="95">
        <f>SUM(K112:K114)</f>
        <v>0</v>
      </c>
      <c r="L115" s="95">
        <f>SUM(L112:L114)</f>
        <v>0</v>
      </c>
      <c r="M115" s="95">
        <f>SUM(M112:M114)</f>
        <v>0</v>
      </c>
      <c r="N115" s="95">
        <f>SUM(N112:N114)</f>
        <v>0</v>
      </c>
      <c r="O115" s="95">
        <f>SUM(O112:O114)</f>
        <v>0</v>
      </c>
      <c r="P115" s="125">
        <f>1-(O115/(N115+O115))</f>
      </c>
      <c r="Q115" s="126">
        <f>O115/I115</f>
      </c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</row>
    <row r="116" ht="70.85" customHeight="1">
      <c r="A116" s="98"/>
      <c r="B116" s="99"/>
      <c r="C116" s="100"/>
      <c r="D116" s="11"/>
      <c r="E116" s="11"/>
      <c r="F116" s="101"/>
      <c r="G116" s="102"/>
      <c r="H116" s="103"/>
      <c r="I116" s="10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9"/>
      <c r="AB116" s="69"/>
      <c r="AC116" s="69"/>
      <c r="AD116" s="69"/>
      <c r="AE116" s="69"/>
      <c r="AF116" s="69"/>
    </row>
    <row r="117" ht="21.25" customHeight="1">
      <c r="A117" t="s" s="32">
        <v>889</v>
      </c>
      <c r="B117" t="s" s="33">
        <v>68</v>
      </c>
      <c r="C117" s="25"/>
      <c r="D117" t="s" s="33">
        <v>69</v>
      </c>
      <c r="E117" t="s" s="33">
        <v>70</v>
      </c>
      <c r="F117" t="s" s="34">
        <v>72</v>
      </c>
      <c r="G117" t="s" s="34">
        <v>74</v>
      </c>
      <c r="H117" s="35"/>
      <c r="I117" t="s" s="37">
        <v>79</v>
      </c>
      <c r="J117" t="s" s="37">
        <v>80</v>
      </c>
      <c r="K117" t="s" s="37">
        <v>81</v>
      </c>
      <c r="L117" t="s" s="37">
        <v>82</v>
      </c>
      <c r="M117" t="s" s="37">
        <v>83</v>
      </c>
      <c r="N117" t="s" s="37">
        <v>84</v>
      </c>
      <c r="O117" t="s" s="37">
        <v>85</v>
      </c>
      <c r="P117" t="s" s="37">
        <v>86</v>
      </c>
      <c r="Q117" t="s" s="37">
        <v>87</v>
      </c>
      <c r="R117" t="s" s="37">
        <v>88</v>
      </c>
      <c r="S117" t="s" s="37">
        <v>89</v>
      </c>
      <c r="T117" t="s" s="37">
        <v>90</v>
      </c>
      <c r="U117" t="s" s="37">
        <v>91</v>
      </c>
      <c r="V117" t="s" s="37">
        <v>92</v>
      </c>
      <c r="W117" t="s" s="37">
        <v>93</v>
      </c>
      <c r="X117" t="s" s="37">
        <v>94</v>
      </c>
      <c r="Y117" t="s" s="37">
        <v>95</v>
      </c>
      <c r="Z117" t="s" s="37">
        <v>96</v>
      </c>
      <c r="AA117" s="64"/>
      <c r="AB117" s="65"/>
      <c r="AC117" s="65"/>
      <c r="AD117" s="65"/>
      <c r="AE117" s="65"/>
      <c r="AF117" s="65"/>
    </row>
    <row r="118" ht="21.25" customHeight="1">
      <c r="A118" s="29"/>
      <c r="B118" t="s" s="66">
        <f>_xlfn.IFERROR(VLOOKUP($A118,'The List'!$B1:$AS730,3,FALSE)," ")</f>
        <v>885</v>
      </c>
      <c r="C118" t="s" s="70">
        <f>_xlfn.IFERROR(VLOOKUP($A118,'The List'!$B1:$AS730,4,FALSE)," ")</f>
        <v>885</v>
      </c>
      <c r="D118" t="s" s="42">
        <f>_xlfn.IFERROR(VLOOKUP($A118,'The List'!$B1:$AS730,5,FALSE)," ")</f>
        <v>885</v>
      </c>
      <c r="E118" t="s" s="42">
        <f>_xlfn.IFERROR(VLOOKUP($A118,'The List'!$B1:$AS730,6,FALSE)," ")</f>
        <v>885</v>
      </c>
      <c r="F118" t="s" s="60">
        <f>_xlfn.IFERROR(VLOOKUP($A118,'The List'!$B1:$AS730,8,FALSE)," ")</f>
        <v>885</v>
      </c>
      <c r="G118" t="s" s="60">
        <f>_xlfn.IFERROR(VLOOKUP($A118,'The List'!$B1:$AS730,10,FALSE)," ")</f>
        <v>885</v>
      </c>
      <c r="H118" s="46"/>
      <c r="I118" t="s" s="61">
        <f>_xlfn.IFERROR(VLOOKUP($A118,'The List'!$B1:$AS730,16,FALSE)," ")</f>
        <v>885</v>
      </c>
      <c r="J118" t="s" s="61">
        <f>_xlfn.IFERROR(VLOOKUP($A118,'The List'!$B1:$AS730,17,FALSE)," ")</f>
        <v>885</v>
      </c>
      <c r="K118" t="s" s="61">
        <f>_xlfn.IFERROR(VLOOKUP($A118,'The List'!$B1:$AS730,18,FALSE)," ")</f>
        <v>885</v>
      </c>
      <c r="L118" t="s" s="61">
        <f>_xlfn.IFERROR(VLOOKUP($A118,'The List'!$B1:$AS730,19,FALSE)," ")</f>
        <v>885</v>
      </c>
      <c r="M118" t="s" s="61">
        <f>_xlfn.IFERROR(VLOOKUP($A118,'The List'!$B1:$AS730,20,FALSE)," ")</f>
        <v>885</v>
      </c>
      <c r="N118" t="s" s="61">
        <f>_xlfn.IFERROR(VLOOKUP($A118,'The List'!$B1:$AS730,21,FALSE)," ")</f>
        <v>885</v>
      </c>
      <c r="O118" t="s" s="61">
        <f>_xlfn.IFERROR(VLOOKUP($A118,'The List'!$B1:$AS730,22,FALSE)," ")</f>
        <v>885</v>
      </c>
      <c r="P118" t="s" s="61">
        <f>_xlfn.IFERROR(VLOOKUP($A118,'The List'!$B1:$AS730,23,FALSE)," ")</f>
        <v>885</v>
      </c>
      <c r="Q118" t="s" s="61">
        <f>_xlfn.IFERROR(VLOOKUP($A118,'The List'!$B1:$AS730,24,FALSE)," ")</f>
        <v>885</v>
      </c>
      <c r="R118" t="s" s="61">
        <f>_xlfn.IFERROR(VLOOKUP($A118,'The List'!$B1:$AS730,25,FALSE)," ")</f>
        <v>885</v>
      </c>
      <c r="S118" t="s" s="61">
        <f>_xlfn.IFERROR(VLOOKUP($A118,'The List'!$B1:$AS730,26,FALSE)," ")</f>
        <v>885</v>
      </c>
      <c r="T118" t="s" s="61">
        <f>_xlfn.IFERROR(VLOOKUP($A118,'The List'!$B1:$AS730,27,FALSE)," ")</f>
        <v>885</v>
      </c>
      <c r="U118" t="s" s="61">
        <f>_xlfn.IFERROR(VLOOKUP($A118,'The List'!$B1:$AS730,28,FALSE)," ")</f>
        <v>885</v>
      </c>
      <c r="V118" t="s" s="61">
        <f>_xlfn.IFERROR(VLOOKUP($A118,'The List'!$B1:$AS730,29,FALSE)," ")</f>
        <v>885</v>
      </c>
      <c r="W118" t="s" s="61">
        <f>_xlfn.IFERROR(VLOOKUP($A118,'The List'!$B1:$AS730,30,FALSE)," ")</f>
        <v>885</v>
      </c>
      <c r="X118" t="s" s="61">
        <f>_xlfn.IFERROR(VLOOKUP($A118,'The List'!$B1:$AS730,31,FALSE)," ")</f>
        <v>885</v>
      </c>
      <c r="Y118" t="s" s="61">
        <f>_xlfn.IFERROR(VLOOKUP($A118,'The List'!$B1:$AS730,32,FALSE)," ")</f>
        <v>885</v>
      </c>
      <c r="Z118" t="s" s="61">
        <f>_xlfn.IFERROR(VLOOKUP($A118,'The List'!$B1:$AS730,33,FALSE)," ")</f>
        <v>885</v>
      </c>
      <c r="AA118" s="64"/>
      <c r="AB118" s="69"/>
      <c r="AC118" s="69"/>
      <c r="AD118" s="69"/>
      <c r="AE118" s="69"/>
      <c r="AF118" s="69"/>
    </row>
    <row r="119" ht="21.25" customHeight="1">
      <c r="A119" s="29"/>
      <c r="B119" t="s" s="66">
        <f>_xlfn.IFERROR(VLOOKUP($A119,'The List'!$B1:$AS730,3,FALSE)," ")</f>
        <v>885</v>
      </c>
      <c r="C119" t="s" s="70">
        <f>_xlfn.IFERROR(VLOOKUP($A119,'The List'!$B1:$AS730,4,FALSE)," ")</f>
        <v>885</v>
      </c>
      <c r="D119" t="s" s="42">
        <f>_xlfn.IFERROR(VLOOKUP($A119,'The List'!$B1:$AS730,5,FALSE)," ")</f>
        <v>885</v>
      </c>
      <c r="E119" t="s" s="42">
        <f>_xlfn.IFERROR(VLOOKUP($A119,'The List'!$B1:$AS730,6,FALSE)," ")</f>
        <v>885</v>
      </c>
      <c r="F119" t="s" s="60">
        <f>_xlfn.IFERROR(VLOOKUP($A119,'The List'!$B1:$AS730,8,FALSE)," ")</f>
        <v>885</v>
      </c>
      <c r="G119" t="s" s="60">
        <f>_xlfn.IFERROR(VLOOKUP($A119,'The List'!$B1:$AS730,10,FALSE)," ")</f>
        <v>885</v>
      </c>
      <c r="H119" s="46"/>
      <c r="I119" t="s" s="61">
        <f>_xlfn.IFERROR(VLOOKUP($A119,'The List'!$B1:$AS730,16,FALSE)," ")</f>
        <v>885</v>
      </c>
      <c r="J119" t="s" s="61">
        <f>_xlfn.IFERROR(VLOOKUP($A119,'The List'!$B1:$AS730,17,FALSE)," ")</f>
        <v>885</v>
      </c>
      <c r="K119" t="s" s="61">
        <f>_xlfn.IFERROR(VLOOKUP($A119,'The List'!$B1:$AS730,18,FALSE)," ")</f>
        <v>885</v>
      </c>
      <c r="L119" t="s" s="61">
        <f>_xlfn.IFERROR(VLOOKUP($A119,'The List'!$B1:$AS730,19,FALSE)," ")</f>
        <v>885</v>
      </c>
      <c r="M119" t="s" s="61">
        <f>_xlfn.IFERROR(VLOOKUP($A119,'The List'!$B1:$AS730,20,FALSE)," ")</f>
        <v>885</v>
      </c>
      <c r="N119" t="s" s="61">
        <f>_xlfn.IFERROR(VLOOKUP($A119,'The List'!$B1:$AS730,21,FALSE)," ")</f>
        <v>885</v>
      </c>
      <c r="O119" t="s" s="61">
        <f>_xlfn.IFERROR(VLOOKUP($A119,'The List'!$B1:$AS730,22,FALSE)," ")</f>
        <v>885</v>
      </c>
      <c r="P119" t="s" s="61">
        <f>_xlfn.IFERROR(VLOOKUP($A119,'The List'!$B1:$AS730,23,FALSE)," ")</f>
        <v>885</v>
      </c>
      <c r="Q119" t="s" s="61">
        <f>_xlfn.IFERROR(VLOOKUP($A119,'The List'!$B1:$AS730,24,FALSE)," ")</f>
        <v>885</v>
      </c>
      <c r="R119" t="s" s="61">
        <f>_xlfn.IFERROR(VLOOKUP($A119,'The List'!$B1:$AS730,25,FALSE)," ")</f>
        <v>885</v>
      </c>
      <c r="S119" t="s" s="61">
        <f>_xlfn.IFERROR(VLOOKUP($A119,'The List'!$B1:$AS730,26,FALSE)," ")</f>
        <v>885</v>
      </c>
      <c r="T119" t="s" s="61">
        <f>_xlfn.IFERROR(VLOOKUP($A119,'The List'!$B1:$AS730,27,FALSE)," ")</f>
        <v>885</v>
      </c>
      <c r="U119" t="s" s="61">
        <f>_xlfn.IFERROR(VLOOKUP($A119,'The List'!$B1:$AS730,28,FALSE)," ")</f>
        <v>885</v>
      </c>
      <c r="V119" t="s" s="61">
        <f>_xlfn.IFERROR(VLOOKUP($A119,'The List'!$B1:$AS730,29,FALSE)," ")</f>
        <v>885</v>
      </c>
      <c r="W119" t="s" s="61">
        <f>_xlfn.IFERROR(VLOOKUP($A119,'The List'!$B1:$AS730,30,FALSE)," ")</f>
        <v>885</v>
      </c>
      <c r="X119" t="s" s="61">
        <f>_xlfn.IFERROR(VLOOKUP($A119,'The List'!$B1:$AS730,31,FALSE)," ")</f>
        <v>885</v>
      </c>
      <c r="Y119" t="s" s="61">
        <f>_xlfn.IFERROR(VLOOKUP($A119,'The List'!$B1:$AS730,32,FALSE)," ")</f>
        <v>885</v>
      </c>
      <c r="Z119" t="s" s="61">
        <f>_xlfn.IFERROR(VLOOKUP($A119,'The List'!$B1:$AS730,33,FALSE)," ")</f>
        <v>885</v>
      </c>
      <c r="AA119" s="64"/>
      <c r="AB119" s="69"/>
      <c r="AC119" s="69"/>
      <c r="AD119" s="69"/>
      <c r="AE119" s="69"/>
      <c r="AF119" s="69"/>
    </row>
    <row r="120" ht="21.25" customHeight="1">
      <c r="A120" s="29"/>
      <c r="B120" t="s" s="66">
        <f>_xlfn.IFERROR(VLOOKUP($A120,'The List'!$B1:$AS730,3,FALSE)," ")</f>
        <v>885</v>
      </c>
      <c r="C120" t="s" s="70">
        <f>_xlfn.IFERROR(VLOOKUP($A120,'The List'!$B1:$AS730,4,FALSE)," ")</f>
        <v>885</v>
      </c>
      <c r="D120" t="s" s="42">
        <f>_xlfn.IFERROR(VLOOKUP($A120,'The List'!$B1:$AS730,5,FALSE)," ")</f>
        <v>885</v>
      </c>
      <c r="E120" t="s" s="42">
        <f>_xlfn.IFERROR(VLOOKUP($A120,'The List'!$B1:$AS730,6,FALSE)," ")</f>
        <v>885</v>
      </c>
      <c r="F120" t="s" s="60">
        <f>_xlfn.IFERROR(VLOOKUP($A120,'The List'!$B1:$AS730,8,FALSE)," ")</f>
        <v>885</v>
      </c>
      <c r="G120" t="s" s="60">
        <f>_xlfn.IFERROR(VLOOKUP($A120,'The List'!$B1:$AS730,10,FALSE)," ")</f>
        <v>885</v>
      </c>
      <c r="H120" s="46"/>
      <c r="I120" t="s" s="61">
        <f>_xlfn.IFERROR(VLOOKUP($A120,'The List'!$B1:$AS730,16,FALSE)," ")</f>
        <v>885</v>
      </c>
      <c r="J120" t="s" s="61">
        <f>_xlfn.IFERROR(VLOOKUP($A120,'The List'!$B1:$AS730,17,FALSE)," ")</f>
        <v>885</v>
      </c>
      <c r="K120" t="s" s="61">
        <f>_xlfn.IFERROR(VLOOKUP($A120,'The List'!$B1:$AS730,18,FALSE)," ")</f>
        <v>885</v>
      </c>
      <c r="L120" t="s" s="61">
        <f>_xlfn.IFERROR(VLOOKUP($A120,'The List'!$B1:$AS730,19,FALSE)," ")</f>
        <v>885</v>
      </c>
      <c r="M120" t="s" s="61">
        <f>_xlfn.IFERROR(VLOOKUP($A120,'The List'!$B1:$AS730,20,FALSE)," ")</f>
        <v>885</v>
      </c>
      <c r="N120" t="s" s="61">
        <f>_xlfn.IFERROR(VLOOKUP($A120,'The List'!$B1:$AS730,21,FALSE)," ")</f>
        <v>885</v>
      </c>
      <c r="O120" t="s" s="61">
        <f>_xlfn.IFERROR(VLOOKUP($A120,'The List'!$B1:$AS730,22,FALSE)," ")</f>
        <v>885</v>
      </c>
      <c r="P120" t="s" s="61">
        <f>_xlfn.IFERROR(VLOOKUP($A120,'The List'!$B1:$AS730,23,FALSE)," ")</f>
        <v>885</v>
      </c>
      <c r="Q120" t="s" s="61">
        <f>_xlfn.IFERROR(VLOOKUP($A120,'The List'!$B1:$AS730,24,FALSE)," ")</f>
        <v>885</v>
      </c>
      <c r="R120" t="s" s="61">
        <f>_xlfn.IFERROR(VLOOKUP($A120,'The List'!$B1:$AS730,25,FALSE)," ")</f>
        <v>885</v>
      </c>
      <c r="S120" t="s" s="61">
        <f>_xlfn.IFERROR(VLOOKUP($A120,'The List'!$B1:$AS730,26,FALSE)," ")</f>
        <v>885</v>
      </c>
      <c r="T120" t="s" s="61">
        <f>_xlfn.IFERROR(VLOOKUP($A120,'The List'!$B1:$AS730,27,FALSE)," ")</f>
        <v>885</v>
      </c>
      <c r="U120" t="s" s="61">
        <f>_xlfn.IFERROR(VLOOKUP($A120,'The List'!$B1:$AS730,28,FALSE)," ")</f>
        <v>885</v>
      </c>
      <c r="V120" t="s" s="61">
        <f>_xlfn.IFERROR(VLOOKUP($A120,'The List'!$B1:$AS730,29,FALSE)," ")</f>
        <v>885</v>
      </c>
      <c r="W120" t="s" s="61">
        <f>_xlfn.IFERROR(VLOOKUP($A120,'The List'!$B1:$AS730,30,FALSE)," ")</f>
        <v>885</v>
      </c>
      <c r="X120" t="s" s="61">
        <f>_xlfn.IFERROR(VLOOKUP($A120,'The List'!$B1:$AS730,31,FALSE)," ")</f>
        <v>885</v>
      </c>
      <c r="Y120" t="s" s="61">
        <f>_xlfn.IFERROR(VLOOKUP($A120,'The List'!$B1:$AS730,32,FALSE)," ")</f>
        <v>885</v>
      </c>
      <c r="Z120" t="s" s="61">
        <f>_xlfn.IFERROR(VLOOKUP($A120,'The List'!$B1:$AS730,33,FALSE)," ")</f>
        <v>885</v>
      </c>
      <c r="AA120" s="64"/>
      <c r="AB120" s="69"/>
      <c r="AC120" s="69"/>
      <c r="AD120" s="69"/>
      <c r="AE120" s="69"/>
      <c r="AF120" s="69"/>
    </row>
    <row r="121" ht="21.25" customHeight="1">
      <c r="A121" s="29"/>
      <c r="B121" t="s" s="66">
        <f>_xlfn.IFERROR(VLOOKUP($A121,'The List'!$B1:$AS730,3,FALSE)," ")</f>
        <v>885</v>
      </c>
      <c r="C121" t="s" s="70">
        <f>_xlfn.IFERROR(VLOOKUP($A121,'The List'!$B1:$AS730,4,FALSE)," ")</f>
        <v>885</v>
      </c>
      <c r="D121" t="s" s="42">
        <f>_xlfn.IFERROR(VLOOKUP($A121,'The List'!$B1:$AS730,5,FALSE)," ")</f>
        <v>885</v>
      </c>
      <c r="E121" t="s" s="42">
        <f>_xlfn.IFERROR(VLOOKUP($A121,'The List'!$B1:$AS730,6,FALSE)," ")</f>
        <v>885</v>
      </c>
      <c r="F121" t="s" s="60">
        <f>_xlfn.IFERROR(VLOOKUP($A121,'The List'!$B1:$AS730,8,FALSE)," ")</f>
        <v>885</v>
      </c>
      <c r="G121" t="s" s="60">
        <f>_xlfn.IFERROR(VLOOKUP($A121,'The List'!$B1:$AS730,10,FALSE)," ")</f>
        <v>885</v>
      </c>
      <c r="H121" s="46"/>
      <c r="I121" t="s" s="61">
        <f>_xlfn.IFERROR(VLOOKUP($A121,'The List'!$B1:$AS730,16,FALSE)," ")</f>
        <v>885</v>
      </c>
      <c r="J121" t="s" s="61">
        <f>_xlfn.IFERROR(VLOOKUP($A121,'The List'!$B1:$AS730,17,FALSE)," ")</f>
        <v>885</v>
      </c>
      <c r="K121" t="s" s="61">
        <f>_xlfn.IFERROR(VLOOKUP($A121,'The List'!$B1:$AS730,18,FALSE)," ")</f>
        <v>885</v>
      </c>
      <c r="L121" t="s" s="61">
        <f>_xlfn.IFERROR(VLOOKUP($A121,'The List'!$B1:$AS730,19,FALSE)," ")</f>
        <v>885</v>
      </c>
      <c r="M121" t="s" s="61">
        <f>_xlfn.IFERROR(VLOOKUP($A121,'The List'!$B1:$AS730,20,FALSE)," ")</f>
        <v>885</v>
      </c>
      <c r="N121" t="s" s="61">
        <f>_xlfn.IFERROR(VLOOKUP($A121,'The List'!$B1:$AS730,21,FALSE)," ")</f>
        <v>885</v>
      </c>
      <c r="O121" t="s" s="61">
        <f>_xlfn.IFERROR(VLOOKUP($A121,'The List'!$B1:$AS730,22,FALSE)," ")</f>
        <v>885</v>
      </c>
      <c r="P121" t="s" s="61">
        <f>_xlfn.IFERROR(VLOOKUP($A121,'The List'!$B1:$AS730,23,FALSE)," ")</f>
        <v>885</v>
      </c>
      <c r="Q121" t="s" s="61">
        <f>_xlfn.IFERROR(VLOOKUP($A121,'The List'!$B1:$AS730,24,FALSE)," ")</f>
        <v>885</v>
      </c>
      <c r="R121" t="s" s="61">
        <f>_xlfn.IFERROR(VLOOKUP($A121,'The List'!$B1:$AS730,25,FALSE)," ")</f>
        <v>885</v>
      </c>
      <c r="S121" t="s" s="61">
        <f>_xlfn.IFERROR(VLOOKUP($A121,'The List'!$B1:$AS730,26,FALSE)," ")</f>
        <v>885</v>
      </c>
      <c r="T121" t="s" s="61">
        <f>_xlfn.IFERROR(VLOOKUP($A121,'The List'!$B1:$AS730,27,FALSE)," ")</f>
        <v>885</v>
      </c>
      <c r="U121" t="s" s="61">
        <f>_xlfn.IFERROR(VLOOKUP($A121,'The List'!$B1:$AS730,28,FALSE)," ")</f>
        <v>885</v>
      </c>
      <c r="V121" t="s" s="61">
        <f>_xlfn.IFERROR(VLOOKUP($A121,'The List'!$B1:$AS730,29,FALSE)," ")</f>
        <v>885</v>
      </c>
      <c r="W121" t="s" s="61">
        <f>_xlfn.IFERROR(VLOOKUP($A121,'The List'!$B1:$AS730,30,FALSE)," ")</f>
        <v>885</v>
      </c>
      <c r="X121" t="s" s="61">
        <f>_xlfn.IFERROR(VLOOKUP($A121,'The List'!$B1:$AS730,31,FALSE)," ")</f>
        <v>885</v>
      </c>
      <c r="Y121" t="s" s="61">
        <f>_xlfn.IFERROR(VLOOKUP($A121,'The List'!$B1:$AS730,32,FALSE)," ")</f>
        <v>885</v>
      </c>
      <c r="Z121" t="s" s="61">
        <f>_xlfn.IFERROR(VLOOKUP($A121,'The List'!$B1:$AS730,33,FALSE)," ")</f>
        <v>885</v>
      </c>
      <c r="AA121" s="64"/>
      <c r="AB121" s="69"/>
      <c r="AC121" s="69"/>
      <c r="AD121" s="69"/>
      <c r="AE121" s="69"/>
      <c r="AF121" s="69"/>
    </row>
    <row r="122" ht="21.25" customHeight="1">
      <c r="A122" s="29"/>
      <c r="B122" t="s" s="71">
        <f>_xlfn.IFERROR(VLOOKUP($A122,'The List'!$B1:$AS730,3,FALSE)," ")</f>
        <v>885</v>
      </c>
      <c r="C122" t="s" s="73">
        <f>_xlfn.IFERROR(VLOOKUP($A122,'The List'!$B1:$AS730,4,FALSE)," ")</f>
        <v>885</v>
      </c>
      <c r="D122" t="s" s="42">
        <f>_xlfn.IFERROR(VLOOKUP($A122,'The List'!$B1:$AS730,5,FALSE)," ")</f>
        <v>885</v>
      </c>
      <c r="E122" t="s" s="42">
        <f>_xlfn.IFERROR(VLOOKUP($A122,'The List'!$B1:$AS730,6,FALSE)," ")</f>
        <v>885</v>
      </c>
      <c r="F122" t="s" s="60">
        <f>_xlfn.IFERROR(VLOOKUP($A122,'The List'!$B1:$AS730,8,FALSE)," ")</f>
        <v>885</v>
      </c>
      <c r="G122" t="s" s="60">
        <f>_xlfn.IFERROR(VLOOKUP($A122,'The List'!$B1:$AS730,10,FALSE)," ")</f>
        <v>885</v>
      </c>
      <c r="H122" s="46"/>
      <c r="I122" t="s" s="61">
        <f>_xlfn.IFERROR(VLOOKUP($A122,'The List'!$B1:$AS730,16,FALSE)," ")</f>
        <v>885</v>
      </c>
      <c r="J122" t="s" s="61">
        <f>_xlfn.IFERROR(VLOOKUP($A122,'The List'!$B1:$AS730,17,FALSE)," ")</f>
        <v>885</v>
      </c>
      <c r="K122" t="s" s="61">
        <f>_xlfn.IFERROR(VLOOKUP($A122,'The List'!$B1:$AS730,18,FALSE)," ")</f>
        <v>885</v>
      </c>
      <c r="L122" t="s" s="61">
        <f>_xlfn.IFERROR(VLOOKUP($A122,'The List'!$B1:$AS730,19,FALSE)," ")</f>
        <v>885</v>
      </c>
      <c r="M122" t="s" s="61">
        <f>_xlfn.IFERROR(VLOOKUP($A122,'The List'!$B1:$AS730,20,FALSE)," ")</f>
        <v>885</v>
      </c>
      <c r="N122" t="s" s="61">
        <f>_xlfn.IFERROR(VLOOKUP($A122,'The List'!$B1:$AS730,21,FALSE)," ")</f>
        <v>885</v>
      </c>
      <c r="O122" t="s" s="61">
        <f>_xlfn.IFERROR(VLOOKUP($A122,'The List'!$B1:$AS730,22,FALSE)," ")</f>
        <v>885</v>
      </c>
      <c r="P122" t="s" s="61">
        <f>_xlfn.IFERROR(VLOOKUP($A122,'The List'!$B1:$AS730,23,FALSE)," ")</f>
        <v>885</v>
      </c>
      <c r="Q122" t="s" s="61">
        <f>_xlfn.IFERROR(VLOOKUP($A122,'The List'!$B1:$AS730,24,FALSE)," ")</f>
        <v>885</v>
      </c>
      <c r="R122" t="s" s="61">
        <f>_xlfn.IFERROR(VLOOKUP($A122,'The List'!$B1:$AS730,25,FALSE)," ")</f>
        <v>885</v>
      </c>
      <c r="S122" t="s" s="61">
        <f>_xlfn.IFERROR(VLOOKUP($A122,'The List'!$B1:$AS730,26,FALSE)," ")</f>
        <v>885</v>
      </c>
      <c r="T122" t="s" s="61">
        <f>_xlfn.IFERROR(VLOOKUP($A122,'The List'!$B1:$AS730,27,FALSE)," ")</f>
        <v>885</v>
      </c>
      <c r="U122" t="s" s="61">
        <f>_xlfn.IFERROR(VLOOKUP($A122,'The List'!$B1:$AS730,28,FALSE)," ")</f>
        <v>885</v>
      </c>
      <c r="V122" t="s" s="61">
        <f>_xlfn.IFERROR(VLOOKUP($A122,'The List'!$B1:$AS730,29,FALSE)," ")</f>
        <v>885</v>
      </c>
      <c r="W122" t="s" s="61">
        <f>_xlfn.IFERROR(VLOOKUP($A122,'The List'!$B1:$AS730,30,FALSE)," ")</f>
        <v>885</v>
      </c>
      <c r="X122" t="s" s="61">
        <f>_xlfn.IFERROR(VLOOKUP($A122,'The List'!$B1:$AS730,31,FALSE)," ")</f>
        <v>885</v>
      </c>
      <c r="Y122" t="s" s="61">
        <f>_xlfn.IFERROR(VLOOKUP($A122,'The List'!$B1:$AS730,32,FALSE)," ")</f>
        <v>885</v>
      </c>
      <c r="Z122" t="s" s="61">
        <f>_xlfn.IFERROR(VLOOKUP($A122,'The List'!$B1:$AS730,33,FALSE)," ")</f>
        <v>885</v>
      </c>
      <c r="AA122" s="64"/>
      <c r="AB122" s="69"/>
      <c r="AC122" s="69"/>
      <c r="AD122" s="69"/>
      <c r="AE122" s="69"/>
      <c r="AF122" s="69"/>
    </row>
    <row r="123" ht="21.25" customHeight="1">
      <c r="A123" s="29"/>
      <c r="B123" t="s" s="71">
        <f>_xlfn.IFERROR(VLOOKUP($A123,'The List'!$B1:$AS730,3,FALSE)," ")</f>
        <v>885</v>
      </c>
      <c r="C123" t="s" s="73">
        <f>_xlfn.IFERROR(VLOOKUP($A123,'The List'!$B1:$AS730,4,FALSE)," ")</f>
        <v>885</v>
      </c>
      <c r="D123" t="s" s="42">
        <f>_xlfn.IFERROR(VLOOKUP($A123,'The List'!$B1:$AS730,5,FALSE)," ")</f>
        <v>885</v>
      </c>
      <c r="E123" t="s" s="42">
        <f>_xlfn.IFERROR(VLOOKUP($A123,'The List'!$B1:$AS730,6,FALSE)," ")</f>
        <v>885</v>
      </c>
      <c r="F123" t="s" s="60">
        <f>_xlfn.IFERROR(VLOOKUP($A123,'The List'!$B1:$AS730,8,FALSE)," ")</f>
        <v>885</v>
      </c>
      <c r="G123" t="s" s="60">
        <f>_xlfn.IFERROR(VLOOKUP($A123,'The List'!$B1:$AS730,10,FALSE)," ")</f>
        <v>885</v>
      </c>
      <c r="H123" s="46"/>
      <c r="I123" t="s" s="61">
        <f>_xlfn.IFERROR(VLOOKUP($A123,'The List'!$B1:$AS730,16,FALSE)," ")</f>
        <v>885</v>
      </c>
      <c r="J123" t="s" s="61">
        <f>_xlfn.IFERROR(VLOOKUP($A123,'The List'!$B1:$AS730,17,FALSE)," ")</f>
        <v>885</v>
      </c>
      <c r="K123" t="s" s="61">
        <f>_xlfn.IFERROR(VLOOKUP($A123,'The List'!$B1:$AS730,18,FALSE)," ")</f>
        <v>885</v>
      </c>
      <c r="L123" t="s" s="61">
        <f>_xlfn.IFERROR(VLOOKUP($A123,'The List'!$B1:$AS730,19,FALSE)," ")</f>
        <v>885</v>
      </c>
      <c r="M123" t="s" s="61">
        <f>_xlfn.IFERROR(VLOOKUP($A123,'The List'!$B1:$AS730,20,FALSE)," ")</f>
        <v>885</v>
      </c>
      <c r="N123" t="s" s="61">
        <f>_xlfn.IFERROR(VLOOKUP($A123,'The List'!$B1:$AS730,21,FALSE)," ")</f>
        <v>885</v>
      </c>
      <c r="O123" t="s" s="61">
        <f>_xlfn.IFERROR(VLOOKUP($A123,'The List'!$B1:$AS730,22,FALSE)," ")</f>
        <v>885</v>
      </c>
      <c r="P123" t="s" s="61">
        <f>_xlfn.IFERROR(VLOOKUP($A123,'The List'!$B1:$AS730,23,FALSE)," ")</f>
        <v>885</v>
      </c>
      <c r="Q123" t="s" s="61">
        <f>_xlfn.IFERROR(VLOOKUP($A123,'The List'!$B1:$AS730,24,FALSE)," ")</f>
        <v>885</v>
      </c>
      <c r="R123" t="s" s="61">
        <f>_xlfn.IFERROR(VLOOKUP($A123,'The List'!$B1:$AS730,25,FALSE)," ")</f>
        <v>885</v>
      </c>
      <c r="S123" t="s" s="61">
        <f>_xlfn.IFERROR(VLOOKUP($A123,'The List'!$B1:$AS730,26,FALSE)," ")</f>
        <v>885</v>
      </c>
      <c r="T123" t="s" s="61">
        <f>_xlfn.IFERROR(VLOOKUP($A123,'The List'!$B1:$AS730,27,FALSE)," ")</f>
        <v>885</v>
      </c>
      <c r="U123" t="s" s="61">
        <f>_xlfn.IFERROR(VLOOKUP($A123,'The List'!$B1:$AS730,28,FALSE)," ")</f>
        <v>885</v>
      </c>
      <c r="V123" t="s" s="61">
        <f>_xlfn.IFERROR(VLOOKUP($A123,'The List'!$B1:$AS730,29,FALSE)," ")</f>
        <v>885</v>
      </c>
      <c r="W123" t="s" s="61">
        <f>_xlfn.IFERROR(VLOOKUP($A123,'The List'!$B1:$AS730,30,FALSE)," ")</f>
        <v>885</v>
      </c>
      <c r="X123" t="s" s="61">
        <f>_xlfn.IFERROR(VLOOKUP($A123,'The List'!$B1:$AS730,31,FALSE)," ")</f>
        <v>885</v>
      </c>
      <c r="Y123" t="s" s="61">
        <f>_xlfn.IFERROR(VLOOKUP($A123,'The List'!$B1:$AS730,32,FALSE)," ")</f>
        <v>885</v>
      </c>
      <c r="Z123" t="s" s="61">
        <f>_xlfn.IFERROR(VLOOKUP($A123,'The List'!$B1:$AS730,33,FALSE)," ")</f>
        <v>885</v>
      </c>
      <c r="AA123" s="64"/>
      <c r="AB123" s="69"/>
      <c r="AC123" s="69"/>
      <c r="AD123" s="69"/>
      <c r="AE123" s="69"/>
      <c r="AF123" s="69"/>
    </row>
    <row r="124" ht="21.25" customHeight="1">
      <c r="A124" s="29"/>
      <c r="B124" t="s" s="71">
        <f>_xlfn.IFERROR(VLOOKUP($A124,'The List'!$B1:$AS730,3,FALSE)," ")</f>
        <v>885</v>
      </c>
      <c r="C124" t="s" s="73">
        <f>_xlfn.IFERROR(VLOOKUP($A124,'The List'!$B1:$AS730,4,FALSE)," ")</f>
        <v>885</v>
      </c>
      <c r="D124" t="s" s="42">
        <f>_xlfn.IFERROR(VLOOKUP($A124,'The List'!$B1:$AS730,5,FALSE)," ")</f>
        <v>885</v>
      </c>
      <c r="E124" t="s" s="42">
        <f>_xlfn.IFERROR(VLOOKUP($A124,'The List'!$B1:$AS730,6,FALSE)," ")</f>
        <v>885</v>
      </c>
      <c r="F124" t="s" s="60">
        <f>_xlfn.IFERROR(VLOOKUP($A124,'The List'!$B1:$AS730,8,FALSE)," ")</f>
        <v>885</v>
      </c>
      <c r="G124" t="s" s="60">
        <f>_xlfn.IFERROR(VLOOKUP($A124,'The List'!$B1:$AS730,10,FALSE)," ")</f>
        <v>885</v>
      </c>
      <c r="H124" s="46"/>
      <c r="I124" t="s" s="61">
        <f>_xlfn.IFERROR(VLOOKUP($A124,'The List'!$B1:$AS730,16,FALSE)," ")</f>
        <v>885</v>
      </c>
      <c r="J124" t="s" s="61">
        <f>_xlfn.IFERROR(VLOOKUP($A124,'The List'!$B1:$AS730,17,FALSE)," ")</f>
        <v>885</v>
      </c>
      <c r="K124" t="s" s="61">
        <f>_xlfn.IFERROR(VLOOKUP($A124,'The List'!$B1:$AS730,18,FALSE)," ")</f>
        <v>885</v>
      </c>
      <c r="L124" t="s" s="61">
        <f>_xlfn.IFERROR(VLOOKUP($A124,'The List'!$B1:$AS730,19,FALSE)," ")</f>
        <v>885</v>
      </c>
      <c r="M124" t="s" s="61">
        <f>_xlfn.IFERROR(VLOOKUP($A124,'The List'!$B1:$AS730,20,FALSE)," ")</f>
        <v>885</v>
      </c>
      <c r="N124" t="s" s="61">
        <f>_xlfn.IFERROR(VLOOKUP($A124,'The List'!$B1:$AS730,21,FALSE)," ")</f>
        <v>885</v>
      </c>
      <c r="O124" t="s" s="61">
        <f>_xlfn.IFERROR(VLOOKUP($A124,'The List'!$B1:$AS730,22,FALSE)," ")</f>
        <v>885</v>
      </c>
      <c r="P124" t="s" s="61">
        <f>_xlfn.IFERROR(VLOOKUP($A124,'The List'!$B1:$AS730,23,FALSE)," ")</f>
        <v>885</v>
      </c>
      <c r="Q124" t="s" s="61">
        <f>_xlfn.IFERROR(VLOOKUP($A124,'The List'!$B1:$AS730,24,FALSE)," ")</f>
        <v>885</v>
      </c>
      <c r="R124" t="s" s="61">
        <f>_xlfn.IFERROR(VLOOKUP($A124,'The List'!$B1:$AS730,25,FALSE)," ")</f>
        <v>885</v>
      </c>
      <c r="S124" t="s" s="61">
        <f>_xlfn.IFERROR(VLOOKUP($A124,'The List'!$B1:$AS730,26,FALSE)," ")</f>
        <v>885</v>
      </c>
      <c r="T124" t="s" s="61">
        <f>_xlfn.IFERROR(VLOOKUP($A124,'The List'!$B1:$AS730,27,FALSE)," ")</f>
        <v>885</v>
      </c>
      <c r="U124" t="s" s="61">
        <f>_xlfn.IFERROR(VLOOKUP($A124,'The List'!$B1:$AS730,28,FALSE)," ")</f>
        <v>885</v>
      </c>
      <c r="V124" t="s" s="61">
        <f>_xlfn.IFERROR(VLOOKUP($A124,'The List'!$B1:$AS730,29,FALSE)," ")</f>
        <v>885</v>
      </c>
      <c r="W124" t="s" s="61">
        <f>_xlfn.IFERROR(VLOOKUP($A124,'The List'!$B1:$AS730,30,FALSE)," ")</f>
        <v>885</v>
      </c>
      <c r="X124" t="s" s="61">
        <f>_xlfn.IFERROR(VLOOKUP($A124,'The List'!$B1:$AS730,31,FALSE)," ")</f>
        <v>885</v>
      </c>
      <c r="Y124" t="s" s="61">
        <f>_xlfn.IFERROR(VLOOKUP($A124,'The List'!$B1:$AS730,32,FALSE)," ")</f>
        <v>885</v>
      </c>
      <c r="Z124" t="s" s="61">
        <f>_xlfn.IFERROR(VLOOKUP($A124,'The List'!$B1:$AS730,33,FALSE)," ")</f>
        <v>885</v>
      </c>
      <c r="AA124" s="64"/>
      <c r="AB124" s="69"/>
      <c r="AC124" s="69"/>
      <c r="AD124" s="69"/>
      <c r="AE124" s="69"/>
      <c r="AF124" s="69"/>
    </row>
    <row r="125" ht="21.25" customHeight="1">
      <c r="A125" s="29"/>
      <c r="B125" t="s" s="71">
        <f>_xlfn.IFERROR(VLOOKUP($A125,'The List'!$B1:$AS730,3,FALSE)," ")</f>
        <v>885</v>
      </c>
      <c r="C125" t="s" s="73">
        <f>_xlfn.IFERROR(VLOOKUP($A125,'The List'!$B1:$AS730,4,FALSE)," ")</f>
        <v>885</v>
      </c>
      <c r="D125" t="s" s="42">
        <f>_xlfn.IFERROR(VLOOKUP($A125,'The List'!$B1:$AS730,5,FALSE)," ")</f>
        <v>885</v>
      </c>
      <c r="E125" t="s" s="42">
        <f>_xlfn.IFERROR(VLOOKUP($A125,'The List'!$B1:$AS730,6,FALSE)," ")</f>
        <v>885</v>
      </c>
      <c r="F125" t="s" s="60">
        <f>_xlfn.IFERROR(VLOOKUP($A125,'The List'!$B1:$AS730,8,FALSE)," ")</f>
        <v>885</v>
      </c>
      <c r="G125" t="s" s="60">
        <f>_xlfn.IFERROR(VLOOKUP($A125,'The List'!$B1:$AS730,10,FALSE)," ")</f>
        <v>885</v>
      </c>
      <c r="H125" s="46"/>
      <c r="I125" t="s" s="61">
        <f>_xlfn.IFERROR(VLOOKUP($A125,'The List'!$B1:$AS730,16,FALSE)," ")</f>
        <v>885</v>
      </c>
      <c r="J125" t="s" s="61">
        <f>_xlfn.IFERROR(VLOOKUP($A125,'The List'!$B1:$AS730,17,FALSE)," ")</f>
        <v>885</v>
      </c>
      <c r="K125" t="s" s="61">
        <f>_xlfn.IFERROR(VLOOKUP($A125,'The List'!$B1:$AS730,18,FALSE)," ")</f>
        <v>885</v>
      </c>
      <c r="L125" t="s" s="61">
        <f>_xlfn.IFERROR(VLOOKUP($A125,'The List'!$B1:$AS730,19,FALSE)," ")</f>
        <v>885</v>
      </c>
      <c r="M125" t="s" s="61">
        <f>_xlfn.IFERROR(VLOOKUP($A125,'The List'!$B1:$AS730,20,FALSE)," ")</f>
        <v>885</v>
      </c>
      <c r="N125" t="s" s="61">
        <f>_xlfn.IFERROR(VLOOKUP($A125,'The List'!$B1:$AS730,21,FALSE)," ")</f>
        <v>885</v>
      </c>
      <c r="O125" t="s" s="61">
        <f>_xlfn.IFERROR(VLOOKUP($A125,'The List'!$B1:$AS730,22,FALSE)," ")</f>
        <v>885</v>
      </c>
      <c r="P125" t="s" s="61">
        <f>_xlfn.IFERROR(VLOOKUP($A125,'The List'!$B1:$AS730,23,FALSE)," ")</f>
        <v>885</v>
      </c>
      <c r="Q125" t="s" s="61">
        <f>_xlfn.IFERROR(VLOOKUP($A125,'The List'!$B1:$AS730,24,FALSE)," ")</f>
        <v>885</v>
      </c>
      <c r="R125" t="s" s="61">
        <f>_xlfn.IFERROR(VLOOKUP($A125,'The List'!$B1:$AS730,25,FALSE)," ")</f>
        <v>885</v>
      </c>
      <c r="S125" t="s" s="61">
        <f>_xlfn.IFERROR(VLOOKUP($A125,'The List'!$B1:$AS730,26,FALSE)," ")</f>
        <v>885</v>
      </c>
      <c r="T125" t="s" s="61">
        <f>_xlfn.IFERROR(VLOOKUP($A125,'The List'!$B1:$AS730,27,FALSE)," ")</f>
        <v>885</v>
      </c>
      <c r="U125" t="s" s="61">
        <f>_xlfn.IFERROR(VLOOKUP($A125,'The List'!$B1:$AS730,28,FALSE)," ")</f>
        <v>885</v>
      </c>
      <c r="V125" t="s" s="61">
        <f>_xlfn.IFERROR(VLOOKUP($A125,'The List'!$B1:$AS730,29,FALSE)," ")</f>
        <v>885</v>
      </c>
      <c r="W125" t="s" s="61">
        <f>_xlfn.IFERROR(VLOOKUP($A125,'The List'!$B1:$AS730,30,FALSE)," ")</f>
        <v>885</v>
      </c>
      <c r="X125" t="s" s="61">
        <f>_xlfn.IFERROR(VLOOKUP($A125,'The List'!$B1:$AS730,31,FALSE)," ")</f>
        <v>885</v>
      </c>
      <c r="Y125" t="s" s="61">
        <f>_xlfn.IFERROR(VLOOKUP($A125,'The List'!$B1:$AS730,32,FALSE)," ")</f>
        <v>885</v>
      </c>
      <c r="Z125" t="s" s="61">
        <f>_xlfn.IFERROR(VLOOKUP($A125,'The List'!$B1:$AS730,33,FALSE)," ")</f>
        <v>885</v>
      </c>
      <c r="AA125" s="64"/>
      <c r="AB125" s="69"/>
      <c r="AC125" s="69"/>
      <c r="AD125" s="69"/>
      <c r="AE125" s="69"/>
      <c r="AF125" s="69"/>
    </row>
    <row r="126" ht="21.25" customHeight="1">
      <c r="A126" s="29"/>
      <c r="B126" t="s" s="74">
        <f>_xlfn.IFERROR(VLOOKUP($A126,'The List'!$B1:$AS730,3,FALSE)," ")</f>
        <v>885</v>
      </c>
      <c r="C126" t="s" s="76">
        <f>_xlfn.IFERROR(VLOOKUP($A126,'The List'!$B1:$AS730,4,FALSE)," ")</f>
        <v>885</v>
      </c>
      <c r="D126" t="s" s="42">
        <f>_xlfn.IFERROR(VLOOKUP($A126,'The List'!$B1:$AS730,5,FALSE)," ")</f>
        <v>885</v>
      </c>
      <c r="E126" t="s" s="42">
        <f>_xlfn.IFERROR(VLOOKUP($A126,'The List'!$B1:$AS730,6,FALSE)," ")</f>
        <v>885</v>
      </c>
      <c r="F126" t="s" s="60">
        <f>_xlfn.IFERROR(VLOOKUP($A126,'The List'!$B1:$AS730,8,FALSE)," ")</f>
        <v>885</v>
      </c>
      <c r="G126" t="s" s="60">
        <f>_xlfn.IFERROR(VLOOKUP($A126,'The List'!$B1:$AS730,10,FALSE)," ")</f>
        <v>885</v>
      </c>
      <c r="H126" s="46"/>
      <c r="I126" t="s" s="61">
        <f>_xlfn.IFERROR(VLOOKUP($A126,'The List'!$B1:$AS730,16,FALSE)," ")</f>
        <v>885</v>
      </c>
      <c r="J126" t="s" s="61">
        <f>_xlfn.IFERROR(VLOOKUP($A126,'The List'!$B1:$AS730,17,FALSE)," ")</f>
        <v>885</v>
      </c>
      <c r="K126" t="s" s="61">
        <f>_xlfn.IFERROR(VLOOKUP($A126,'The List'!$B1:$AS730,18,FALSE)," ")</f>
        <v>885</v>
      </c>
      <c r="L126" t="s" s="61">
        <f>_xlfn.IFERROR(VLOOKUP($A126,'The List'!$B1:$AS730,19,FALSE)," ")</f>
        <v>885</v>
      </c>
      <c r="M126" t="s" s="61">
        <f>_xlfn.IFERROR(VLOOKUP($A126,'The List'!$B1:$AS730,20,FALSE)," ")</f>
        <v>885</v>
      </c>
      <c r="N126" t="s" s="61">
        <f>_xlfn.IFERROR(VLOOKUP($A126,'The List'!$B1:$AS730,21,FALSE)," ")</f>
        <v>885</v>
      </c>
      <c r="O126" t="s" s="61">
        <f>_xlfn.IFERROR(VLOOKUP($A126,'The List'!$B1:$AS730,22,FALSE)," ")</f>
        <v>885</v>
      </c>
      <c r="P126" t="s" s="61">
        <f>_xlfn.IFERROR(VLOOKUP($A126,'The List'!$B1:$AS730,23,FALSE)," ")</f>
        <v>885</v>
      </c>
      <c r="Q126" t="s" s="61">
        <f>_xlfn.IFERROR(VLOOKUP($A126,'The List'!$B1:$AS730,24,FALSE)," ")</f>
        <v>885</v>
      </c>
      <c r="R126" t="s" s="61">
        <f>_xlfn.IFERROR(VLOOKUP($A126,'The List'!$B1:$AS730,25,FALSE)," ")</f>
        <v>885</v>
      </c>
      <c r="S126" t="s" s="61">
        <f>_xlfn.IFERROR(VLOOKUP($A126,'The List'!$B1:$AS730,26,FALSE)," ")</f>
        <v>885</v>
      </c>
      <c r="T126" t="s" s="61">
        <f>_xlfn.IFERROR(VLOOKUP($A126,'The List'!$B1:$AS730,27,FALSE)," ")</f>
        <v>885</v>
      </c>
      <c r="U126" t="s" s="61">
        <f>_xlfn.IFERROR(VLOOKUP($A126,'The List'!$B1:$AS730,28,FALSE)," ")</f>
        <v>885</v>
      </c>
      <c r="V126" t="s" s="61">
        <f>_xlfn.IFERROR(VLOOKUP($A126,'The List'!$B1:$AS730,29,FALSE)," ")</f>
        <v>885</v>
      </c>
      <c r="W126" t="s" s="61">
        <f>_xlfn.IFERROR(VLOOKUP($A126,'The List'!$B1:$AS730,30,FALSE)," ")</f>
        <v>885</v>
      </c>
      <c r="X126" t="s" s="61">
        <f>_xlfn.IFERROR(VLOOKUP($A126,'The List'!$B1:$AS730,31,FALSE)," ")</f>
        <v>885</v>
      </c>
      <c r="Y126" t="s" s="61">
        <f>_xlfn.IFERROR(VLOOKUP($A126,'The List'!$B1:$AS730,32,FALSE)," ")</f>
        <v>885</v>
      </c>
      <c r="Z126" t="s" s="61">
        <f>_xlfn.IFERROR(VLOOKUP($A126,'The List'!$B1:$AS730,33,FALSE)," ")</f>
        <v>885</v>
      </c>
      <c r="AA126" s="64"/>
      <c r="AB126" s="69"/>
      <c r="AC126" s="69"/>
      <c r="AD126" s="69"/>
      <c r="AE126" s="69"/>
      <c r="AF126" s="69"/>
    </row>
    <row r="127" ht="21.25" customHeight="1">
      <c r="A127" s="29"/>
      <c r="B127" t="s" s="74">
        <f>_xlfn.IFERROR(VLOOKUP($A127,'The List'!$B1:$AS730,3,FALSE)," ")</f>
        <v>885</v>
      </c>
      <c r="C127" t="s" s="76">
        <f>_xlfn.IFERROR(VLOOKUP($A127,'The List'!$B1:$AS730,4,FALSE)," ")</f>
        <v>885</v>
      </c>
      <c r="D127" t="s" s="42">
        <f>_xlfn.IFERROR(VLOOKUP($A127,'The List'!$B1:$AS730,5,FALSE)," ")</f>
        <v>885</v>
      </c>
      <c r="E127" t="s" s="42">
        <f>_xlfn.IFERROR(VLOOKUP($A127,'The List'!$B1:$AS730,6,FALSE)," ")</f>
        <v>885</v>
      </c>
      <c r="F127" t="s" s="60">
        <f>_xlfn.IFERROR(VLOOKUP($A127,'The List'!$B1:$AS730,8,FALSE)," ")</f>
        <v>885</v>
      </c>
      <c r="G127" t="s" s="60">
        <f>_xlfn.IFERROR(VLOOKUP($A127,'The List'!$B1:$AS730,10,FALSE)," ")</f>
        <v>885</v>
      </c>
      <c r="H127" s="46"/>
      <c r="I127" t="s" s="61">
        <f>_xlfn.IFERROR(VLOOKUP($A127,'The List'!$B1:$AS730,16,FALSE)," ")</f>
        <v>885</v>
      </c>
      <c r="J127" t="s" s="61">
        <f>_xlfn.IFERROR(VLOOKUP($A127,'The List'!$B1:$AS730,17,FALSE)," ")</f>
        <v>885</v>
      </c>
      <c r="K127" t="s" s="61">
        <f>_xlfn.IFERROR(VLOOKUP($A127,'The List'!$B1:$AS730,18,FALSE)," ")</f>
        <v>885</v>
      </c>
      <c r="L127" t="s" s="61">
        <f>_xlfn.IFERROR(VLOOKUP($A127,'The List'!$B1:$AS730,19,FALSE)," ")</f>
        <v>885</v>
      </c>
      <c r="M127" t="s" s="61">
        <f>_xlfn.IFERROR(VLOOKUP($A127,'The List'!$B1:$AS730,20,FALSE)," ")</f>
        <v>885</v>
      </c>
      <c r="N127" t="s" s="61">
        <f>_xlfn.IFERROR(VLOOKUP($A127,'The List'!$B1:$AS730,21,FALSE)," ")</f>
        <v>885</v>
      </c>
      <c r="O127" t="s" s="61">
        <f>_xlfn.IFERROR(VLOOKUP($A127,'The List'!$B1:$AS730,22,FALSE)," ")</f>
        <v>885</v>
      </c>
      <c r="P127" t="s" s="61">
        <f>_xlfn.IFERROR(VLOOKUP($A127,'The List'!$B1:$AS730,23,FALSE)," ")</f>
        <v>885</v>
      </c>
      <c r="Q127" t="s" s="61">
        <f>_xlfn.IFERROR(VLOOKUP($A127,'The List'!$B1:$AS730,24,FALSE)," ")</f>
        <v>885</v>
      </c>
      <c r="R127" t="s" s="61">
        <f>_xlfn.IFERROR(VLOOKUP($A127,'The List'!$B1:$AS730,25,FALSE)," ")</f>
        <v>885</v>
      </c>
      <c r="S127" t="s" s="61">
        <f>_xlfn.IFERROR(VLOOKUP($A127,'The List'!$B1:$AS730,26,FALSE)," ")</f>
        <v>885</v>
      </c>
      <c r="T127" t="s" s="61">
        <f>_xlfn.IFERROR(VLOOKUP($A127,'The List'!$B1:$AS730,27,FALSE)," ")</f>
        <v>885</v>
      </c>
      <c r="U127" t="s" s="61">
        <f>_xlfn.IFERROR(VLOOKUP($A127,'The List'!$B1:$AS730,28,FALSE)," ")</f>
        <v>885</v>
      </c>
      <c r="V127" t="s" s="61">
        <f>_xlfn.IFERROR(VLOOKUP($A127,'The List'!$B1:$AS730,29,FALSE)," ")</f>
        <v>885</v>
      </c>
      <c r="W127" t="s" s="61">
        <f>_xlfn.IFERROR(VLOOKUP($A127,'The List'!$B1:$AS730,30,FALSE)," ")</f>
        <v>885</v>
      </c>
      <c r="X127" t="s" s="61">
        <f>_xlfn.IFERROR(VLOOKUP($A127,'The List'!$B1:$AS730,31,FALSE)," ")</f>
        <v>885</v>
      </c>
      <c r="Y127" t="s" s="61">
        <f>_xlfn.IFERROR(VLOOKUP($A127,'The List'!$B1:$AS730,32,FALSE)," ")</f>
        <v>885</v>
      </c>
      <c r="Z127" t="s" s="61">
        <f>_xlfn.IFERROR(VLOOKUP($A127,'The List'!$B1:$AS730,33,FALSE)," ")</f>
        <v>885</v>
      </c>
      <c r="AA127" s="64"/>
      <c r="AB127" s="69"/>
      <c r="AC127" s="69"/>
      <c r="AD127" s="69"/>
      <c r="AE127" s="69"/>
      <c r="AF127" s="69"/>
    </row>
    <row r="128" ht="21.25" customHeight="1">
      <c r="A128" s="29"/>
      <c r="B128" t="s" s="74">
        <f>_xlfn.IFERROR(VLOOKUP($A128,'The List'!$B1:$AS730,3,FALSE)," ")</f>
        <v>885</v>
      </c>
      <c r="C128" t="s" s="76">
        <f>_xlfn.IFERROR(VLOOKUP($A128,'The List'!$B1:$AS730,4,FALSE)," ")</f>
        <v>885</v>
      </c>
      <c r="D128" t="s" s="42">
        <f>_xlfn.IFERROR(VLOOKUP($A128,'The List'!$B1:$AS730,5,FALSE)," ")</f>
        <v>885</v>
      </c>
      <c r="E128" t="s" s="42">
        <f>_xlfn.IFERROR(VLOOKUP($A128,'The List'!$B1:$AS730,6,FALSE)," ")</f>
        <v>885</v>
      </c>
      <c r="F128" t="s" s="60">
        <f>_xlfn.IFERROR(VLOOKUP($A128,'The List'!$B1:$AS730,8,FALSE)," ")</f>
        <v>885</v>
      </c>
      <c r="G128" t="s" s="60">
        <f>_xlfn.IFERROR(VLOOKUP($A128,'The List'!$B1:$AS730,10,FALSE)," ")</f>
        <v>885</v>
      </c>
      <c r="H128" s="46"/>
      <c r="I128" t="s" s="61">
        <f>_xlfn.IFERROR(VLOOKUP($A128,'The List'!$B1:$AS730,16,FALSE)," ")</f>
        <v>885</v>
      </c>
      <c r="J128" t="s" s="61">
        <f>_xlfn.IFERROR(VLOOKUP($A128,'The List'!$B1:$AS730,17,FALSE)," ")</f>
        <v>885</v>
      </c>
      <c r="K128" t="s" s="61">
        <f>_xlfn.IFERROR(VLOOKUP($A128,'The List'!$B1:$AS730,18,FALSE)," ")</f>
        <v>885</v>
      </c>
      <c r="L128" t="s" s="61">
        <f>_xlfn.IFERROR(VLOOKUP($A128,'The List'!$B1:$AS730,19,FALSE)," ")</f>
        <v>885</v>
      </c>
      <c r="M128" t="s" s="61">
        <f>_xlfn.IFERROR(VLOOKUP($A128,'The List'!$B1:$AS730,20,FALSE)," ")</f>
        <v>885</v>
      </c>
      <c r="N128" t="s" s="61">
        <f>_xlfn.IFERROR(VLOOKUP($A128,'The List'!$B1:$AS730,21,FALSE)," ")</f>
        <v>885</v>
      </c>
      <c r="O128" t="s" s="61">
        <f>_xlfn.IFERROR(VLOOKUP($A128,'The List'!$B1:$AS730,22,FALSE)," ")</f>
        <v>885</v>
      </c>
      <c r="P128" t="s" s="61">
        <f>_xlfn.IFERROR(VLOOKUP($A128,'The List'!$B1:$AS730,23,FALSE)," ")</f>
        <v>885</v>
      </c>
      <c r="Q128" t="s" s="61">
        <f>_xlfn.IFERROR(VLOOKUP($A128,'The List'!$B1:$AS730,24,FALSE)," ")</f>
        <v>885</v>
      </c>
      <c r="R128" t="s" s="61">
        <f>_xlfn.IFERROR(VLOOKUP($A128,'The List'!$B1:$AS730,25,FALSE)," ")</f>
        <v>885</v>
      </c>
      <c r="S128" t="s" s="61">
        <f>_xlfn.IFERROR(VLOOKUP($A128,'The List'!$B1:$AS730,26,FALSE)," ")</f>
        <v>885</v>
      </c>
      <c r="T128" t="s" s="61">
        <f>_xlfn.IFERROR(VLOOKUP($A128,'The List'!$B1:$AS730,27,FALSE)," ")</f>
        <v>885</v>
      </c>
      <c r="U128" t="s" s="61">
        <f>_xlfn.IFERROR(VLOOKUP($A128,'The List'!$B1:$AS730,28,FALSE)," ")</f>
        <v>885</v>
      </c>
      <c r="V128" t="s" s="61">
        <f>_xlfn.IFERROR(VLOOKUP($A128,'The List'!$B1:$AS730,29,FALSE)," ")</f>
        <v>885</v>
      </c>
      <c r="W128" t="s" s="61">
        <f>_xlfn.IFERROR(VLOOKUP($A128,'The List'!$B1:$AS730,30,FALSE)," ")</f>
        <v>885</v>
      </c>
      <c r="X128" t="s" s="61">
        <f>_xlfn.IFERROR(VLOOKUP($A128,'The List'!$B1:$AS730,31,FALSE)," ")</f>
        <v>885</v>
      </c>
      <c r="Y128" t="s" s="61">
        <f>_xlfn.IFERROR(VLOOKUP($A128,'The List'!$B1:$AS730,32,FALSE)," ")</f>
        <v>885</v>
      </c>
      <c r="Z128" t="s" s="61">
        <f>_xlfn.IFERROR(VLOOKUP($A128,'The List'!$B1:$AS730,33,FALSE)," ")</f>
        <v>885</v>
      </c>
      <c r="AA128" s="64"/>
      <c r="AB128" s="69"/>
      <c r="AC128" s="69"/>
      <c r="AD128" s="69"/>
      <c r="AE128" s="69"/>
      <c r="AF128" s="69"/>
    </row>
    <row r="129" ht="21.25" customHeight="1">
      <c r="A129" s="29"/>
      <c r="B129" t="s" s="74">
        <f>_xlfn.IFERROR(VLOOKUP($A129,'The List'!$B1:$AS730,3,FALSE)," ")</f>
        <v>885</v>
      </c>
      <c r="C129" t="s" s="76">
        <f>_xlfn.IFERROR(VLOOKUP($A129,'The List'!$B1:$AS730,4,FALSE)," ")</f>
        <v>885</v>
      </c>
      <c r="D129" t="s" s="42">
        <f>_xlfn.IFERROR(VLOOKUP($A129,'The List'!$B1:$AS730,5,FALSE)," ")</f>
        <v>885</v>
      </c>
      <c r="E129" t="s" s="42">
        <f>_xlfn.IFERROR(VLOOKUP($A129,'The List'!$B1:$AS730,6,FALSE)," ")</f>
        <v>885</v>
      </c>
      <c r="F129" t="s" s="60">
        <f>_xlfn.IFERROR(VLOOKUP($A129,'The List'!$B1:$AS730,8,FALSE)," ")</f>
        <v>885</v>
      </c>
      <c r="G129" t="s" s="60">
        <f>_xlfn.IFERROR(VLOOKUP($A129,'The List'!$B1:$AS730,10,FALSE)," ")</f>
        <v>885</v>
      </c>
      <c r="H129" s="46"/>
      <c r="I129" t="s" s="61">
        <f>_xlfn.IFERROR(VLOOKUP($A129,'The List'!$B1:$AS730,16,FALSE)," ")</f>
        <v>885</v>
      </c>
      <c r="J129" t="s" s="61">
        <f>_xlfn.IFERROR(VLOOKUP($A129,'The List'!$B1:$AS730,17,FALSE)," ")</f>
        <v>885</v>
      </c>
      <c r="K129" t="s" s="61">
        <f>_xlfn.IFERROR(VLOOKUP($A129,'The List'!$B1:$AS730,18,FALSE)," ")</f>
        <v>885</v>
      </c>
      <c r="L129" t="s" s="61">
        <f>_xlfn.IFERROR(VLOOKUP($A129,'The List'!$B1:$AS730,19,FALSE)," ")</f>
        <v>885</v>
      </c>
      <c r="M129" t="s" s="61">
        <f>_xlfn.IFERROR(VLOOKUP($A129,'The List'!$B1:$AS730,20,FALSE)," ")</f>
        <v>885</v>
      </c>
      <c r="N129" t="s" s="61">
        <f>_xlfn.IFERROR(VLOOKUP($A129,'The List'!$B1:$AS730,21,FALSE)," ")</f>
        <v>885</v>
      </c>
      <c r="O129" t="s" s="61">
        <f>_xlfn.IFERROR(VLOOKUP($A129,'The List'!$B1:$AS730,22,FALSE)," ")</f>
        <v>885</v>
      </c>
      <c r="P129" t="s" s="61">
        <f>_xlfn.IFERROR(VLOOKUP($A129,'The List'!$B1:$AS730,23,FALSE)," ")</f>
        <v>885</v>
      </c>
      <c r="Q129" t="s" s="61">
        <f>_xlfn.IFERROR(VLOOKUP($A129,'The List'!$B1:$AS730,24,FALSE)," ")</f>
        <v>885</v>
      </c>
      <c r="R129" t="s" s="61">
        <f>_xlfn.IFERROR(VLOOKUP($A129,'The List'!$B1:$AS730,25,FALSE)," ")</f>
        <v>885</v>
      </c>
      <c r="S129" t="s" s="61">
        <f>_xlfn.IFERROR(VLOOKUP($A129,'The List'!$B1:$AS730,26,FALSE)," ")</f>
        <v>885</v>
      </c>
      <c r="T129" t="s" s="61">
        <f>_xlfn.IFERROR(VLOOKUP($A129,'The List'!$B1:$AS730,27,FALSE)," ")</f>
        <v>885</v>
      </c>
      <c r="U129" t="s" s="61">
        <f>_xlfn.IFERROR(VLOOKUP($A129,'The List'!$B1:$AS730,28,FALSE)," ")</f>
        <v>885</v>
      </c>
      <c r="V129" t="s" s="61">
        <f>_xlfn.IFERROR(VLOOKUP($A129,'The List'!$B1:$AS730,29,FALSE)," ")</f>
        <v>885</v>
      </c>
      <c r="W129" t="s" s="61">
        <f>_xlfn.IFERROR(VLOOKUP($A129,'The List'!$B1:$AS730,30,FALSE)," ")</f>
        <v>885</v>
      </c>
      <c r="X129" t="s" s="61">
        <f>_xlfn.IFERROR(VLOOKUP($A129,'The List'!$B1:$AS730,31,FALSE)," ")</f>
        <v>885</v>
      </c>
      <c r="Y129" t="s" s="61">
        <f>_xlfn.IFERROR(VLOOKUP($A129,'The List'!$B1:$AS730,32,FALSE)," ")</f>
        <v>885</v>
      </c>
      <c r="Z129" t="s" s="61">
        <f>_xlfn.IFERROR(VLOOKUP($A129,'The List'!$B1:$AS730,33,FALSE)," ")</f>
        <v>885</v>
      </c>
      <c r="AA129" s="64"/>
      <c r="AB129" s="69"/>
      <c r="AC129" s="69"/>
      <c r="AD129" s="69"/>
      <c r="AE129" s="69"/>
      <c r="AF129" s="69"/>
    </row>
    <row r="130" ht="21.25" customHeight="1">
      <c r="A130" s="29"/>
      <c r="B130" t="s" s="77">
        <f>_xlfn.IFERROR(VLOOKUP($A130,'The List'!$B1:$AS730,3,FALSE)," ")</f>
        <v>885</v>
      </c>
      <c r="C130" t="s" s="79">
        <f>_xlfn.IFERROR(VLOOKUP($A130,'The List'!$B1:$AS730,4,FALSE)," ")</f>
        <v>885</v>
      </c>
      <c r="D130" t="s" s="42">
        <f>_xlfn.IFERROR(VLOOKUP($A130,'The List'!$B1:$AS730,5,FALSE)," ")</f>
        <v>885</v>
      </c>
      <c r="E130" t="s" s="42">
        <f>_xlfn.IFERROR(VLOOKUP($A130,'The List'!$B1:$AS730,6,FALSE)," ")</f>
        <v>885</v>
      </c>
      <c r="F130" t="s" s="60">
        <f>_xlfn.IFERROR(VLOOKUP($A130,'The List'!$B1:$AS730,8,FALSE)," ")</f>
        <v>885</v>
      </c>
      <c r="G130" t="s" s="60">
        <f>_xlfn.IFERROR(VLOOKUP($A130,'The List'!$B1:$AS730,10,FALSE)," ")</f>
        <v>885</v>
      </c>
      <c r="H130" s="46"/>
      <c r="I130" t="s" s="61">
        <f>_xlfn.IFERROR(VLOOKUP($A130,'The List'!$B1:$AS730,16,FALSE)," ")</f>
        <v>885</v>
      </c>
      <c r="J130" t="s" s="61">
        <f>_xlfn.IFERROR(VLOOKUP($A130,'The List'!$B1:$AS730,17,FALSE)," ")</f>
        <v>885</v>
      </c>
      <c r="K130" t="s" s="61">
        <f>_xlfn.IFERROR(VLOOKUP($A130,'The List'!$B1:$AS730,18,FALSE)," ")</f>
        <v>885</v>
      </c>
      <c r="L130" t="s" s="61">
        <f>_xlfn.IFERROR(VLOOKUP($A130,'The List'!$B1:$AS730,19,FALSE)," ")</f>
        <v>885</v>
      </c>
      <c r="M130" t="s" s="61">
        <f>_xlfn.IFERROR(VLOOKUP($A130,'The List'!$B1:$AS730,20,FALSE)," ")</f>
        <v>885</v>
      </c>
      <c r="N130" t="s" s="61">
        <f>_xlfn.IFERROR(VLOOKUP($A130,'The List'!$B1:$AS730,21,FALSE)," ")</f>
        <v>885</v>
      </c>
      <c r="O130" t="s" s="61">
        <f>_xlfn.IFERROR(VLOOKUP($A130,'The List'!$B1:$AS730,22,FALSE)," ")</f>
        <v>885</v>
      </c>
      <c r="P130" t="s" s="61">
        <f>_xlfn.IFERROR(VLOOKUP($A130,'The List'!$B1:$AS730,23,FALSE)," ")</f>
        <v>885</v>
      </c>
      <c r="Q130" t="s" s="61">
        <f>_xlfn.IFERROR(VLOOKUP($A130,'The List'!$B1:$AS730,24,FALSE)," ")</f>
        <v>885</v>
      </c>
      <c r="R130" t="s" s="61">
        <f>_xlfn.IFERROR(VLOOKUP($A130,'The List'!$B1:$AS730,25,FALSE)," ")</f>
        <v>885</v>
      </c>
      <c r="S130" t="s" s="61">
        <f>_xlfn.IFERROR(VLOOKUP($A130,'The List'!$B1:$AS730,26,FALSE)," ")</f>
        <v>885</v>
      </c>
      <c r="T130" t="s" s="61">
        <f>_xlfn.IFERROR(VLOOKUP($A130,'The List'!$B1:$AS730,27,FALSE)," ")</f>
        <v>885</v>
      </c>
      <c r="U130" t="s" s="61">
        <f>_xlfn.IFERROR(VLOOKUP($A130,'The List'!$B1:$AS730,28,FALSE)," ")</f>
        <v>885</v>
      </c>
      <c r="V130" t="s" s="61">
        <f>_xlfn.IFERROR(VLOOKUP($A130,'The List'!$B1:$AS730,29,FALSE)," ")</f>
        <v>885</v>
      </c>
      <c r="W130" t="s" s="61">
        <f>_xlfn.IFERROR(VLOOKUP($A130,'The List'!$B1:$AS730,30,FALSE)," ")</f>
        <v>885</v>
      </c>
      <c r="X130" t="s" s="61">
        <f>_xlfn.IFERROR(VLOOKUP($A130,'The List'!$B1:$AS730,31,FALSE)," ")</f>
        <v>885</v>
      </c>
      <c r="Y130" t="s" s="61">
        <f>_xlfn.IFERROR(VLOOKUP($A130,'The List'!$B1:$AS730,32,FALSE)," ")</f>
        <v>885</v>
      </c>
      <c r="Z130" t="s" s="61">
        <f>_xlfn.IFERROR(VLOOKUP($A130,'The List'!$B1:$AS730,33,FALSE)," ")</f>
        <v>885</v>
      </c>
      <c r="AA130" s="64"/>
      <c r="AB130" s="69"/>
      <c r="AC130" s="69"/>
      <c r="AD130" s="69"/>
      <c r="AE130" s="69"/>
      <c r="AF130" s="69"/>
    </row>
    <row r="131" ht="21.25" customHeight="1">
      <c r="A131" s="29"/>
      <c r="B131" t="s" s="77">
        <f>_xlfn.IFERROR(VLOOKUP($A131,'The List'!$B1:$AS730,3,FALSE)," ")</f>
        <v>885</v>
      </c>
      <c r="C131" t="s" s="79">
        <f>_xlfn.IFERROR(VLOOKUP($A131,'The List'!$B1:$AS730,4,FALSE)," ")</f>
        <v>885</v>
      </c>
      <c r="D131" t="s" s="42">
        <f>_xlfn.IFERROR(VLOOKUP($A131,'The List'!$B1:$AS730,5,FALSE)," ")</f>
        <v>885</v>
      </c>
      <c r="E131" t="s" s="42">
        <f>_xlfn.IFERROR(VLOOKUP($A131,'The List'!$B1:$AS730,6,FALSE)," ")</f>
        <v>885</v>
      </c>
      <c r="F131" t="s" s="60">
        <f>_xlfn.IFERROR(VLOOKUP($A131,'The List'!$B1:$AS730,8,FALSE)," ")</f>
        <v>885</v>
      </c>
      <c r="G131" t="s" s="60">
        <f>_xlfn.IFERROR(VLOOKUP($A131,'The List'!$B1:$AS730,10,FALSE)," ")</f>
        <v>885</v>
      </c>
      <c r="H131" s="46"/>
      <c r="I131" t="s" s="61">
        <f>_xlfn.IFERROR(VLOOKUP($A131,'The List'!$B1:$AS730,16,FALSE)," ")</f>
        <v>885</v>
      </c>
      <c r="J131" t="s" s="61">
        <f>_xlfn.IFERROR(VLOOKUP($A131,'The List'!$B1:$AS730,17,FALSE)," ")</f>
        <v>885</v>
      </c>
      <c r="K131" t="s" s="61">
        <f>_xlfn.IFERROR(VLOOKUP($A131,'The List'!$B1:$AS730,18,FALSE)," ")</f>
        <v>885</v>
      </c>
      <c r="L131" t="s" s="61">
        <f>_xlfn.IFERROR(VLOOKUP($A131,'The List'!$B1:$AS730,19,FALSE)," ")</f>
        <v>885</v>
      </c>
      <c r="M131" t="s" s="61">
        <f>_xlfn.IFERROR(VLOOKUP($A131,'The List'!$B1:$AS730,20,FALSE)," ")</f>
        <v>885</v>
      </c>
      <c r="N131" t="s" s="61">
        <f>_xlfn.IFERROR(VLOOKUP($A131,'The List'!$B1:$AS730,21,FALSE)," ")</f>
        <v>885</v>
      </c>
      <c r="O131" t="s" s="61">
        <f>_xlfn.IFERROR(VLOOKUP($A131,'The List'!$B1:$AS730,22,FALSE)," ")</f>
        <v>885</v>
      </c>
      <c r="P131" t="s" s="61">
        <f>_xlfn.IFERROR(VLOOKUP($A131,'The List'!$B1:$AS730,23,FALSE)," ")</f>
        <v>885</v>
      </c>
      <c r="Q131" t="s" s="61">
        <f>_xlfn.IFERROR(VLOOKUP($A131,'The List'!$B1:$AS730,24,FALSE)," ")</f>
        <v>885</v>
      </c>
      <c r="R131" t="s" s="61">
        <f>_xlfn.IFERROR(VLOOKUP($A131,'The List'!$B1:$AS730,25,FALSE)," ")</f>
        <v>885</v>
      </c>
      <c r="S131" t="s" s="61">
        <f>_xlfn.IFERROR(VLOOKUP($A131,'The List'!$B1:$AS730,26,FALSE)," ")</f>
        <v>885</v>
      </c>
      <c r="T131" t="s" s="61">
        <f>_xlfn.IFERROR(VLOOKUP($A131,'The List'!$B1:$AS730,27,FALSE)," ")</f>
        <v>885</v>
      </c>
      <c r="U131" t="s" s="61">
        <f>_xlfn.IFERROR(VLOOKUP($A131,'The List'!$B1:$AS730,28,FALSE)," ")</f>
        <v>885</v>
      </c>
      <c r="V131" t="s" s="61">
        <f>_xlfn.IFERROR(VLOOKUP($A131,'The List'!$B1:$AS730,29,FALSE)," ")</f>
        <v>885</v>
      </c>
      <c r="W131" t="s" s="61">
        <f>_xlfn.IFERROR(VLOOKUP($A131,'The List'!$B1:$AS730,30,FALSE)," ")</f>
        <v>885</v>
      </c>
      <c r="X131" t="s" s="61">
        <f>_xlfn.IFERROR(VLOOKUP($A131,'The List'!$B1:$AS730,31,FALSE)," ")</f>
        <v>885</v>
      </c>
      <c r="Y131" t="s" s="61">
        <f>_xlfn.IFERROR(VLOOKUP($A131,'The List'!$B1:$AS730,32,FALSE)," ")</f>
        <v>885</v>
      </c>
      <c r="Z131" t="s" s="61">
        <f>_xlfn.IFERROR(VLOOKUP($A131,'The List'!$B1:$AS730,33,FALSE)," ")</f>
        <v>885</v>
      </c>
      <c r="AA131" s="64"/>
      <c r="AB131" s="69"/>
      <c r="AC131" s="69"/>
      <c r="AD131" s="69"/>
      <c r="AE131" s="69"/>
      <c r="AF131" s="69"/>
    </row>
    <row r="132" ht="21.25" customHeight="1">
      <c r="A132" s="29"/>
      <c r="B132" t="s" s="77">
        <f>_xlfn.IFERROR(VLOOKUP($A132,'The List'!$B1:$AS730,3,FALSE)," ")</f>
        <v>885</v>
      </c>
      <c r="C132" t="s" s="79">
        <f>_xlfn.IFERROR(VLOOKUP($A132,'The List'!$B1:$AS730,4,FALSE)," ")</f>
        <v>885</v>
      </c>
      <c r="D132" t="s" s="42">
        <f>_xlfn.IFERROR(VLOOKUP($A132,'The List'!$B1:$AS730,5,FALSE)," ")</f>
        <v>885</v>
      </c>
      <c r="E132" t="s" s="42">
        <f>_xlfn.IFERROR(VLOOKUP($A132,'The List'!$B1:$AS730,6,FALSE)," ")</f>
        <v>885</v>
      </c>
      <c r="F132" t="s" s="60">
        <f>_xlfn.IFERROR(VLOOKUP($A132,'The List'!$B1:$AS730,8,FALSE)," ")</f>
        <v>885</v>
      </c>
      <c r="G132" t="s" s="60">
        <f>_xlfn.IFERROR(VLOOKUP($A132,'The List'!$B1:$AS730,10,FALSE)," ")</f>
        <v>885</v>
      </c>
      <c r="H132" s="46"/>
      <c r="I132" t="s" s="61">
        <f>_xlfn.IFERROR(VLOOKUP($A132,'The List'!$B1:$AS730,16,FALSE)," ")</f>
        <v>885</v>
      </c>
      <c r="J132" t="s" s="61">
        <f>_xlfn.IFERROR(VLOOKUP($A132,'The List'!$B1:$AS730,17,FALSE)," ")</f>
        <v>885</v>
      </c>
      <c r="K132" t="s" s="61">
        <f>_xlfn.IFERROR(VLOOKUP($A132,'The List'!$B1:$AS730,18,FALSE)," ")</f>
        <v>885</v>
      </c>
      <c r="L132" t="s" s="61">
        <f>_xlfn.IFERROR(VLOOKUP($A132,'The List'!$B1:$AS730,19,FALSE)," ")</f>
        <v>885</v>
      </c>
      <c r="M132" t="s" s="61">
        <f>_xlfn.IFERROR(VLOOKUP($A132,'The List'!$B1:$AS730,20,FALSE)," ")</f>
        <v>885</v>
      </c>
      <c r="N132" t="s" s="61">
        <f>_xlfn.IFERROR(VLOOKUP($A132,'The List'!$B1:$AS730,21,FALSE)," ")</f>
        <v>885</v>
      </c>
      <c r="O132" t="s" s="61">
        <f>_xlfn.IFERROR(VLOOKUP($A132,'The List'!$B1:$AS730,22,FALSE)," ")</f>
        <v>885</v>
      </c>
      <c r="P132" t="s" s="61">
        <f>_xlfn.IFERROR(VLOOKUP($A132,'The List'!$B1:$AS730,23,FALSE)," ")</f>
        <v>885</v>
      </c>
      <c r="Q132" t="s" s="61">
        <f>_xlfn.IFERROR(VLOOKUP($A132,'The List'!$B1:$AS730,24,FALSE)," ")</f>
        <v>885</v>
      </c>
      <c r="R132" t="s" s="61">
        <f>_xlfn.IFERROR(VLOOKUP($A132,'The List'!$B1:$AS730,25,FALSE)," ")</f>
        <v>885</v>
      </c>
      <c r="S132" t="s" s="61">
        <f>_xlfn.IFERROR(VLOOKUP($A132,'The List'!$B1:$AS730,26,FALSE)," ")</f>
        <v>885</v>
      </c>
      <c r="T132" t="s" s="61">
        <f>_xlfn.IFERROR(VLOOKUP($A132,'The List'!$B1:$AS730,27,FALSE)," ")</f>
        <v>885</v>
      </c>
      <c r="U132" t="s" s="61">
        <f>_xlfn.IFERROR(VLOOKUP($A132,'The List'!$B1:$AS730,28,FALSE)," ")</f>
        <v>885</v>
      </c>
      <c r="V132" t="s" s="61">
        <f>_xlfn.IFERROR(VLOOKUP($A132,'The List'!$B1:$AS730,29,FALSE)," ")</f>
        <v>885</v>
      </c>
      <c r="W132" t="s" s="61">
        <f>_xlfn.IFERROR(VLOOKUP($A132,'The List'!$B1:$AS730,30,FALSE)," ")</f>
        <v>885</v>
      </c>
      <c r="X132" t="s" s="61">
        <f>_xlfn.IFERROR(VLOOKUP($A132,'The List'!$B1:$AS730,31,FALSE)," ")</f>
        <v>885</v>
      </c>
      <c r="Y132" t="s" s="61">
        <f>_xlfn.IFERROR(VLOOKUP($A132,'The List'!$B1:$AS730,32,FALSE)," ")</f>
        <v>885</v>
      </c>
      <c r="Z132" t="s" s="61">
        <f>_xlfn.IFERROR(VLOOKUP($A132,'The List'!$B1:$AS730,33,FALSE)," ")</f>
        <v>885</v>
      </c>
      <c r="AA132" s="64"/>
      <c r="AB132" s="69"/>
      <c r="AC132" s="69"/>
      <c r="AD132" s="69"/>
      <c r="AE132" s="69"/>
      <c r="AF132" s="69"/>
    </row>
    <row r="133" ht="21.25" customHeight="1">
      <c r="A133" s="29"/>
      <c r="B133" t="s" s="77">
        <f>_xlfn.IFERROR(VLOOKUP($A133,'The List'!$B1:$AS730,3,FALSE)," ")</f>
        <v>885</v>
      </c>
      <c r="C133" t="s" s="79">
        <f>_xlfn.IFERROR(VLOOKUP($A133,'The List'!$B1:$AS730,4,FALSE)," ")</f>
        <v>885</v>
      </c>
      <c r="D133" t="s" s="42">
        <f>_xlfn.IFERROR(VLOOKUP($A133,'The List'!$B1:$AS730,5,FALSE)," ")</f>
        <v>885</v>
      </c>
      <c r="E133" t="s" s="42">
        <f>_xlfn.IFERROR(VLOOKUP($A133,'The List'!$B1:$AS730,6,FALSE)," ")</f>
        <v>885</v>
      </c>
      <c r="F133" t="s" s="60">
        <f>_xlfn.IFERROR(VLOOKUP($A133,'The List'!$B1:$AS730,8,FALSE)," ")</f>
        <v>885</v>
      </c>
      <c r="G133" t="s" s="60">
        <f>_xlfn.IFERROR(VLOOKUP($A133,'The List'!$B1:$AS730,10,FALSE)," ")</f>
        <v>885</v>
      </c>
      <c r="H133" s="46"/>
      <c r="I133" t="s" s="61">
        <f>_xlfn.IFERROR(VLOOKUP($A133,'The List'!$B1:$AS730,16,FALSE)," ")</f>
        <v>885</v>
      </c>
      <c r="J133" t="s" s="61">
        <f>_xlfn.IFERROR(VLOOKUP($A133,'The List'!$B1:$AS730,17,FALSE)," ")</f>
        <v>885</v>
      </c>
      <c r="K133" t="s" s="61">
        <f>_xlfn.IFERROR(VLOOKUP($A133,'The List'!$B1:$AS730,18,FALSE)," ")</f>
        <v>885</v>
      </c>
      <c r="L133" t="s" s="61">
        <f>_xlfn.IFERROR(VLOOKUP($A133,'The List'!$B1:$AS730,19,FALSE)," ")</f>
        <v>885</v>
      </c>
      <c r="M133" t="s" s="61">
        <f>_xlfn.IFERROR(VLOOKUP($A133,'The List'!$B1:$AS730,20,FALSE)," ")</f>
        <v>885</v>
      </c>
      <c r="N133" t="s" s="61">
        <f>_xlfn.IFERROR(VLOOKUP($A133,'The List'!$B1:$AS730,21,FALSE)," ")</f>
        <v>885</v>
      </c>
      <c r="O133" t="s" s="61">
        <f>_xlfn.IFERROR(VLOOKUP($A133,'The List'!$B1:$AS730,22,FALSE)," ")</f>
        <v>885</v>
      </c>
      <c r="P133" t="s" s="61">
        <f>_xlfn.IFERROR(VLOOKUP($A133,'The List'!$B1:$AS730,23,FALSE)," ")</f>
        <v>885</v>
      </c>
      <c r="Q133" t="s" s="61">
        <f>_xlfn.IFERROR(VLOOKUP($A133,'The List'!$B1:$AS730,24,FALSE)," ")</f>
        <v>885</v>
      </c>
      <c r="R133" t="s" s="61">
        <f>_xlfn.IFERROR(VLOOKUP($A133,'The List'!$B1:$AS730,25,FALSE)," ")</f>
        <v>885</v>
      </c>
      <c r="S133" t="s" s="61">
        <f>_xlfn.IFERROR(VLOOKUP($A133,'The List'!$B1:$AS730,26,FALSE)," ")</f>
        <v>885</v>
      </c>
      <c r="T133" t="s" s="61">
        <f>_xlfn.IFERROR(VLOOKUP($A133,'The List'!$B1:$AS730,27,FALSE)," ")</f>
        <v>885</v>
      </c>
      <c r="U133" t="s" s="61">
        <f>_xlfn.IFERROR(VLOOKUP($A133,'The List'!$B1:$AS730,28,FALSE)," ")</f>
        <v>885</v>
      </c>
      <c r="V133" t="s" s="61">
        <f>_xlfn.IFERROR(VLOOKUP($A133,'The List'!$B1:$AS730,29,FALSE)," ")</f>
        <v>885</v>
      </c>
      <c r="W133" t="s" s="61">
        <f>_xlfn.IFERROR(VLOOKUP($A133,'The List'!$B1:$AS730,30,FALSE)," ")</f>
        <v>885</v>
      </c>
      <c r="X133" t="s" s="61">
        <f>_xlfn.IFERROR(VLOOKUP($A133,'The List'!$B1:$AS730,31,FALSE)," ")</f>
        <v>885</v>
      </c>
      <c r="Y133" t="s" s="61">
        <f>_xlfn.IFERROR(VLOOKUP($A133,'The List'!$B1:$AS730,32,FALSE)," ")</f>
        <v>885</v>
      </c>
      <c r="Z133" t="s" s="61">
        <f>_xlfn.IFERROR(VLOOKUP($A133,'The List'!$B1:$AS730,33,FALSE)," ")</f>
        <v>885</v>
      </c>
      <c r="AA133" s="64"/>
      <c r="AB133" s="69"/>
      <c r="AC133" s="69"/>
      <c r="AD133" s="69"/>
      <c r="AE133" s="69"/>
      <c r="AF133" s="69"/>
    </row>
    <row r="134" ht="21.25" customHeight="1">
      <c r="A134" s="29"/>
      <c r="B134" t="s" s="77">
        <f>_xlfn.IFERROR(VLOOKUP($A134,'The List'!$B1:$AS730,3,FALSE)," ")</f>
        <v>885</v>
      </c>
      <c r="C134" t="s" s="79">
        <f>_xlfn.IFERROR(VLOOKUP($A134,'The List'!$B1:$AS730,4,FALSE)," ")</f>
        <v>885</v>
      </c>
      <c r="D134" t="s" s="42">
        <f>_xlfn.IFERROR(VLOOKUP($A134,'The List'!$B1:$AS730,5,FALSE)," ")</f>
        <v>885</v>
      </c>
      <c r="E134" t="s" s="42">
        <f>_xlfn.IFERROR(VLOOKUP($A134,'The List'!$B1:$AS730,6,FALSE)," ")</f>
        <v>885</v>
      </c>
      <c r="F134" t="s" s="60">
        <f>_xlfn.IFERROR(VLOOKUP($A134,'The List'!$B1:$AS730,8,FALSE)," ")</f>
        <v>885</v>
      </c>
      <c r="G134" t="s" s="60">
        <f>_xlfn.IFERROR(VLOOKUP($A134,'The List'!$B1:$AS730,10,FALSE)," ")</f>
        <v>885</v>
      </c>
      <c r="H134" s="46"/>
      <c r="I134" t="s" s="61">
        <f>_xlfn.IFERROR(VLOOKUP($A134,'The List'!$B1:$AS730,16,FALSE)," ")</f>
        <v>885</v>
      </c>
      <c r="J134" t="s" s="61">
        <f>_xlfn.IFERROR(VLOOKUP($A134,'The List'!$B1:$AS730,17,FALSE)," ")</f>
        <v>885</v>
      </c>
      <c r="K134" t="s" s="61">
        <f>_xlfn.IFERROR(VLOOKUP($A134,'The List'!$B1:$AS730,18,FALSE)," ")</f>
        <v>885</v>
      </c>
      <c r="L134" t="s" s="61">
        <f>_xlfn.IFERROR(VLOOKUP($A134,'The List'!$B1:$AS730,19,FALSE)," ")</f>
        <v>885</v>
      </c>
      <c r="M134" t="s" s="61">
        <f>_xlfn.IFERROR(VLOOKUP($A134,'The List'!$B1:$AS730,20,FALSE)," ")</f>
        <v>885</v>
      </c>
      <c r="N134" t="s" s="61">
        <f>_xlfn.IFERROR(VLOOKUP($A134,'The List'!$B1:$AS730,21,FALSE)," ")</f>
        <v>885</v>
      </c>
      <c r="O134" t="s" s="61">
        <f>_xlfn.IFERROR(VLOOKUP($A134,'The List'!$B1:$AS730,22,FALSE)," ")</f>
        <v>885</v>
      </c>
      <c r="P134" t="s" s="61">
        <f>_xlfn.IFERROR(VLOOKUP($A134,'The List'!$B1:$AS730,23,FALSE)," ")</f>
        <v>885</v>
      </c>
      <c r="Q134" t="s" s="61">
        <f>_xlfn.IFERROR(VLOOKUP($A134,'The List'!$B1:$AS730,24,FALSE)," ")</f>
        <v>885</v>
      </c>
      <c r="R134" t="s" s="61">
        <f>_xlfn.IFERROR(VLOOKUP($A134,'The List'!$B1:$AS730,25,FALSE)," ")</f>
        <v>885</v>
      </c>
      <c r="S134" t="s" s="61">
        <f>_xlfn.IFERROR(VLOOKUP($A134,'The List'!$B1:$AS730,26,FALSE)," ")</f>
        <v>885</v>
      </c>
      <c r="T134" t="s" s="61">
        <f>_xlfn.IFERROR(VLOOKUP($A134,'The List'!$B1:$AS730,27,FALSE)," ")</f>
        <v>885</v>
      </c>
      <c r="U134" t="s" s="61">
        <f>_xlfn.IFERROR(VLOOKUP($A134,'The List'!$B1:$AS730,28,FALSE)," ")</f>
        <v>885</v>
      </c>
      <c r="V134" t="s" s="61">
        <f>_xlfn.IFERROR(VLOOKUP($A134,'The List'!$B1:$AS730,29,FALSE)," ")</f>
        <v>885</v>
      </c>
      <c r="W134" t="s" s="61">
        <f>_xlfn.IFERROR(VLOOKUP($A134,'The List'!$B1:$AS730,30,FALSE)," ")</f>
        <v>885</v>
      </c>
      <c r="X134" t="s" s="61">
        <f>_xlfn.IFERROR(VLOOKUP($A134,'The List'!$B1:$AS730,31,FALSE)," ")</f>
        <v>885</v>
      </c>
      <c r="Y134" t="s" s="61">
        <f>_xlfn.IFERROR(VLOOKUP($A134,'The List'!$B1:$AS730,32,FALSE)," ")</f>
        <v>885</v>
      </c>
      <c r="Z134" t="s" s="61">
        <f>_xlfn.IFERROR(VLOOKUP($A134,'The List'!$B1:$AS730,33,FALSE)," ")</f>
        <v>885</v>
      </c>
      <c r="AA134" s="64"/>
      <c r="AB134" s="69"/>
      <c r="AC134" s="69"/>
      <c r="AD134" s="69"/>
      <c r="AE134" s="69"/>
      <c r="AF134" s="69"/>
    </row>
    <row r="135" ht="21.25" customHeight="1">
      <c r="A135" s="29"/>
      <c r="B135" t="s" s="77">
        <f>_xlfn.IFERROR(VLOOKUP($A135,'The List'!$B1:$AS730,3,FALSE)," ")</f>
        <v>885</v>
      </c>
      <c r="C135" t="s" s="79">
        <f>_xlfn.IFERROR(VLOOKUP($A135,'The List'!$B1:$AS730,4,FALSE)," ")</f>
        <v>885</v>
      </c>
      <c r="D135" t="s" s="42">
        <f>_xlfn.IFERROR(VLOOKUP($A135,'The List'!$B1:$AS730,5,FALSE)," ")</f>
        <v>885</v>
      </c>
      <c r="E135" t="s" s="42">
        <f>_xlfn.IFERROR(VLOOKUP($A135,'The List'!$B1:$AS730,6,FALSE)," ")</f>
        <v>885</v>
      </c>
      <c r="F135" t="s" s="60">
        <f>_xlfn.IFERROR(VLOOKUP($A135,'The List'!$B1:$AS730,8,FALSE)," ")</f>
        <v>885</v>
      </c>
      <c r="G135" t="s" s="60">
        <f>_xlfn.IFERROR(VLOOKUP($A135,'The List'!$B1:$AS730,10,FALSE)," ")</f>
        <v>885</v>
      </c>
      <c r="H135" s="46"/>
      <c r="I135" t="s" s="61">
        <f>_xlfn.IFERROR(VLOOKUP($A135,'The List'!$B1:$AS730,16,FALSE)," ")</f>
        <v>885</v>
      </c>
      <c r="J135" t="s" s="61">
        <f>_xlfn.IFERROR(VLOOKUP($A135,'The List'!$B1:$AS730,17,FALSE)," ")</f>
        <v>885</v>
      </c>
      <c r="K135" t="s" s="61">
        <f>_xlfn.IFERROR(VLOOKUP($A135,'The List'!$B1:$AS730,18,FALSE)," ")</f>
        <v>885</v>
      </c>
      <c r="L135" t="s" s="61">
        <f>_xlfn.IFERROR(VLOOKUP($A135,'The List'!$B1:$AS730,19,FALSE)," ")</f>
        <v>885</v>
      </c>
      <c r="M135" t="s" s="61">
        <f>_xlfn.IFERROR(VLOOKUP($A135,'The List'!$B1:$AS730,20,FALSE)," ")</f>
        <v>885</v>
      </c>
      <c r="N135" t="s" s="61">
        <f>_xlfn.IFERROR(VLOOKUP($A135,'The List'!$B1:$AS730,21,FALSE)," ")</f>
        <v>885</v>
      </c>
      <c r="O135" t="s" s="61">
        <f>_xlfn.IFERROR(VLOOKUP($A135,'The List'!$B1:$AS730,22,FALSE)," ")</f>
        <v>885</v>
      </c>
      <c r="P135" t="s" s="61">
        <f>_xlfn.IFERROR(VLOOKUP($A135,'The List'!$B1:$AS730,23,FALSE)," ")</f>
        <v>885</v>
      </c>
      <c r="Q135" t="s" s="61">
        <f>_xlfn.IFERROR(VLOOKUP($A135,'The List'!$B1:$AS730,24,FALSE)," ")</f>
        <v>885</v>
      </c>
      <c r="R135" t="s" s="61">
        <f>_xlfn.IFERROR(VLOOKUP($A135,'The List'!$B1:$AS730,25,FALSE)," ")</f>
        <v>885</v>
      </c>
      <c r="S135" t="s" s="61">
        <f>_xlfn.IFERROR(VLOOKUP($A135,'The List'!$B1:$AS730,26,FALSE)," ")</f>
        <v>885</v>
      </c>
      <c r="T135" t="s" s="61">
        <f>_xlfn.IFERROR(VLOOKUP($A135,'The List'!$B1:$AS730,27,FALSE)," ")</f>
        <v>885</v>
      </c>
      <c r="U135" t="s" s="61">
        <f>_xlfn.IFERROR(VLOOKUP($A135,'The List'!$B1:$AS730,28,FALSE)," ")</f>
        <v>885</v>
      </c>
      <c r="V135" t="s" s="61">
        <f>_xlfn.IFERROR(VLOOKUP($A135,'The List'!$B1:$AS730,29,FALSE)," ")</f>
        <v>885</v>
      </c>
      <c r="W135" t="s" s="61">
        <f>_xlfn.IFERROR(VLOOKUP($A135,'The List'!$B1:$AS730,30,FALSE)," ")</f>
        <v>885</v>
      </c>
      <c r="X135" t="s" s="61">
        <f>_xlfn.IFERROR(VLOOKUP($A135,'The List'!$B1:$AS730,31,FALSE)," ")</f>
        <v>885</v>
      </c>
      <c r="Y135" t="s" s="61">
        <f>_xlfn.IFERROR(VLOOKUP($A135,'The List'!$B1:$AS730,32,FALSE)," ")</f>
        <v>885</v>
      </c>
      <c r="Z135" t="s" s="61">
        <f>_xlfn.IFERROR(VLOOKUP($A135,'The List'!$B1:$AS730,33,FALSE)," ")</f>
        <v>885</v>
      </c>
      <c r="AA135" s="64"/>
      <c r="AB135" s="69"/>
      <c r="AC135" s="69"/>
      <c r="AD135" s="69"/>
      <c r="AE135" s="69"/>
      <c r="AF135" s="69"/>
    </row>
    <row r="136" ht="21.25" customHeight="1">
      <c r="A136" s="29"/>
      <c r="B136" t="s" s="77">
        <f>_xlfn.IFERROR(VLOOKUP($A136,'The List'!$B1:$AS730,3,FALSE)," ")</f>
        <v>885</v>
      </c>
      <c r="C136" t="s" s="79">
        <f>_xlfn.IFERROR(VLOOKUP($A136,'The List'!$B1:$AS730,4,FALSE)," ")</f>
        <v>885</v>
      </c>
      <c r="D136" t="s" s="42">
        <f>_xlfn.IFERROR(VLOOKUP($A136,'The List'!$B1:$AS730,5,FALSE)," ")</f>
        <v>885</v>
      </c>
      <c r="E136" t="s" s="42">
        <f>_xlfn.IFERROR(VLOOKUP($A136,'The List'!$B1:$AS730,6,FALSE)," ")</f>
        <v>885</v>
      </c>
      <c r="F136" t="s" s="60">
        <f>_xlfn.IFERROR(VLOOKUP($A136,'The List'!$B1:$AS730,8,FALSE)," ")</f>
        <v>885</v>
      </c>
      <c r="G136" t="s" s="60">
        <f>_xlfn.IFERROR(VLOOKUP($A136,'The List'!$B1:$AS730,10,FALSE)," ")</f>
        <v>885</v>
      </c>
      <c r="H136" s="46"/>
      <c r="I136" t="s" s="61">
        <f>_xlfn.IFERROR(VLOOKUP($A136,'The List'!$B1:$AS730,16,FALSE)," ")</f>
        <v>885</v>
      </c>
      <c r="J136" t="s" s="61">
        <f>_xlfn.IFERROR(VLOOKUP($A136,'The List'!$B1:$AS730,17,FALSE)," ")</f>
        <v>885</v>
      </c>
      <c r="K136" t="s" s="61">
        <f>_xlfn.IFERROR(VLOOKUP($A136,'The List'!$B1:$AS730,18,FALSE)," ")</f>
        <v>885</v>
      </c>
      <c r="L136" t="s" s="61">
        <f>_xlfn.IFERROR(VLOOKUP($A136,'The List'!$B1:$AS730,19,FALSE)," ")</f>
        <v>885</v>
      </c>
      <c r="M136" t="s" s="61">
        <f>_xlfn.IFERROR(VLOOKUP($A136,'The List'!$B1:$AS730,20,FALSE)," ")</f>
        <v>885</v>
      </c>
      <c r="N136" t="s" s="61">
        <f>_xlfn.IFERROR(VLOOKUP($A136,'The List'!$B1:$AS730,21,FALSE)," ")</f>
        <v>885</v>
      </c>
      <c r="O136" t="s" s="61">
        <f>_xlfn.IFERROR(VLOOKUP($A136,'The List'!$B1:$AS730,22,FALSE)," ")</f>
        <v>885</v>
      </c>
      <c r="P136" t="s" s="61">
        <f>_xlfn.IFERROR(VLOOKUP($A136,'The List'!$B1:$AS730,23,FALSE)," ")</f>
        <v>885</v>
      </c>
      <c r="Q136" t="s" s="61">
        <f>_xlfn.IFERROR(VLOOKUP($A136,'The List'!$B1:$AS730,24,FALSE)," ")</f>
        <v>885</v>
      </c>
      <c r="R136" t="s" s="61">
        <f>_xlfn.IFERROR(VLOOKUP($A136,'The List'!$B1:$AS730,25,FALSE)," ")</f>
        <v>885</v>
      </c>
      <c r="S136" t="s" s="61">
        <f>_xlfn.IFERROR(VLOOKUP($A136,'The List'!$B1:$AS730,26,FALSE)," ")</f>
        <v>885</v>
      </c>
      <c r="T136" t="s" s="61">
        <f>_xlfn.IFERROR(VLOOKUP($A136,'The List'!$B1:$AS730,27,FALSE)," ")</f>
        <v>885</v>
      </c>
      <c r="U136" t="s" s="61">
        <f>_xlfn.IFERROR(VLOOKUP($A136,'The List'!$B1:$AS730,28,FALSE)," ")</f>
        <v>885</v>
      </c>
      <c r="V136" t="s" s="61">
        <f>_xlfn.IFERROR(VLOOKUP($A136,'The List'!$B1:$AS730,29,FALSE)," ")</f>
        <v>885</v>
      </c>
      <c r="W136" t="s" s="61">
        <f>_xlfn.IFERROR(VLOOKUP($A136,'The List'!$B1:$AS730,30,FALSE)," ")</f>
        <v>885</v>
      </c>
      <c r="X136" t="s" s="61">
        <f>_xlfn.IFERROR(VLOOKUP($A136,'The List'!$B1:$AS730,31,FALSE)," ")</f>
        <v>885</v>
      </c>
      <c r="Y136" t="s" s="61">
        <f>_xlfn.IFERROR(VLOOKUP($A136,'The List'!$B1:$AS730,32,FALSE)," ")</f>
        <v>885</v>
      </c>
      <c r="Z136" t="s" s="61">
        <f>_xlfn.IFERROR(VLOOKUP($A136,'The List'!$B1:$AS730,33,FALSE)," ")</f>
        <v>885</v>
      </c>
      <c r="AA136" s="64"/>
      <c r="AB136" s="69"/>
      <c r="AC136" s="69"/>
      <c r="AD136" s="69"/>
      <c r="AE136" s="69"/>
      <c r="AF136" s="69"/>
    </row>
    <row r="137" ht="21.25" customHeight="1">
      <c r="A137" s="81"/>
      <c r="B137" t="s" s="82">
        <f>_xlfn.IFERROR(VLOOKUP($A137,'The List'!$B1:$AS730,3,FALSE)," ")</f>
        <v>885</v>
      </c>
      <c r="C137" t="s" s="83">
        <f>_xlfn.IFERROR(VLOOKUP($A137,'The List'!$B1:$AS730,4,FALSE)," ")</f>
        <v>885</v>
      </c>
      <c r="D137" t="s" s="84">
        <f>_xlfn.IFERROR(VLOOKUP($A137,'The List'!$B1:$AS730,5,FALSE)," ")</f>
        <v>885</v>
      </c>
      <c r="E137" t="s" s="84">
        <f>_xlfn.IFERROR(VLOOKUP($A137,'The List'!$B1:$AS730,6,FALSE)," ")</f>
        <v>885</v>
      </c>
      <c r="F137" t="s" s="85">
        <f>_xlfn.IFERROR(VLOOKUP($A137,'The List'!$B1:$AS730,8,FALSE)," ")</f>
        <v>885</v>
      </c>
      <c r="G137" t="s" s="85">
        <f>_xlfn.IFERROR(VLOOKUP($A137,'The List'!$B1:$AS730,10,FALSE)," ")</f>
        <v>885</v>
      </c>
      <c r="H137" s="86"/>
      <c r="I137" t="s" s="87">
        <f>_xlfn.IFERROR(VLOOKUP($A137,'The List'!$B1:$AS730,16,FALSE)," ")</f>
        <v>885</v>
      </c>
      <c r="J137" t="s" s="87">
        <f>_xlfn.IFERROR(VLOOKUP($A137,'The List'!$B1:$AS730,17,FALSE)," ")</f>
        <v>885</v>
      </c>
      <c r="K137" t="s" s="87">
        <f>_xlfn.IFERROR(VLOOKUP($A137,'The List'!$B1:$AS730,18,FALSE)," ")</f>
        <v>885</v>
      </c>
      <c r="L137" t="s" s="87">
        <f>_xlfn.IFERROR(VLOOKUP($A137,'The List'!$B1:$AS730,19,FALSE)," ")</f>
        <v>885</v>
      </c>
      <c r="M137" t="s" s="87">
        <f>_xlfn.IFERROR(VLOOKUP($A137,'The List'!$B1:$AS730,20,FALSE)," ")</f>
        <v>885</v>
      </c>
      <c r="N137" t="s" s="87">
        <f>_xlfn.IFERROR(VLOOKUP($A137,'The List'!$B1:$AS730,21,FALSE)," ")</f>
        <v>885</v>
      </c>
      <c r="O137" t="s" s="87">
        <f>_xlfn.IFERROR(VLOOKUP($A137,'The List'!$B1:$AS730,22,FALSE)," ")</f>
        <v>885</v>
      </c>
      <c r="P137" t="s" s="87">
        <f>_xlfn.IFERROR(VLOOKUP($A137,'The List'!$B1:$AS730,23,FALSE)," ")</f>
        <v>885</v>
      </c>
      <c r="Q137" t="s" s="87">
        <f>_xlfn.IFERROR(VLOOKUP($A137,'The List'!$B1:$AS730,24,FALSE)," ")</f>
        <v>885</v>
      </c>
      <c r="R137" t="s" s="87">
        <f>_xlfn.IFERROR(VLOOKUP($A137,'The List'!$B1:$AS730,25,FALSE)," ")</f>
        <v>885</v>
      </c>
      <c r="S137" t="s" s="87">
        <f>_xlfn.IFERROR(VLOOKUP($A137,'The List'!$B1:$AS730,26,FALSE)," ")</f>
        <v>885</v>
      </c>
      <c r="T137" t="s" s="87">
        <f>_xlfn.IFERROR(VLOOKUP($A137,'The List'!$B1:$AS730,27,FALSE)," ")</f>
        <v>885</v>
      </c>
      <c r="U137" t="s" s="87">
        <f>_xlfn.IFERROR(VLOOKUP($A137,'The List'!$B1:$AS730,28,FALSE)," ")</f>
        <v>885</v>
      </c>
      <c r="V137" t="s" s="87">
        <f>_xlfn.IFERROR(VLOOKUP($A137,'The List'!$B1:$AS730,29,FALSE)," ")</f>
        <v>885</v>
      </c>
      <c r="W137" t="s" s="87">
        <f>_xlfn.IFERROR(VLOOKUP($A137,'The List'!$B1:$AS730,30,FALSE)," ")</f>
        <v>885</v>
      </c>
      <c r="X137" t="s" s="87">
        <f>_xlfn.IFERROR(VLOOKUP($A137,'The List'!$B1:$AS730,31,FALSE)," ")</f>
        <v>885</v>
      </c>
      <c r="Y137" t="s" s="87">
        <f>_xlfn.IFERROR(VLOOKUP($A137,'The List'!$B1:$AS730,32,FALSE)," ")</f>
        <v>885</v>
      </c>
      <c r="Z137" t="s" s="87">
        <f>_xlfn.IFERROR(VLOOKUP($A137,'The List'!$B1:$AS730,33,FALSE)," ")</f>
        <v>885</v>
      </c>
      <c r="AA137" s="64"/>
      <c r="AB137" s="69"/>
      <c r="AC137" s="69"/>
      <c r="AD137" s="69"/>
      <c r="AE137" s="69"/>
      <c r="AF137" s="69"/>
    </row>
    <row r="138" ht="21.25" customHeight="1">
      <c r="A138" s="88"/>
      <c r="B138" s="89"/>
      <c r="C138" s="90"/>
      <c r="D138" s="91"/>
      <c r="E138" t="s" s="127">
        <f>_xlfn.IFERROR(AVERAGE(E118:E137)," ")</f>
        <v>885</v>
      </c>
      <c r="F138" s="93">
        <f>SUM(F118:F137)</f>
        <v>0</v>
      </c>
      <c r="G138" s="93">
        <f>SUM(G118:G137)</f>
        <v>0</v>
      </c>
      <c r="H138" s="94"/>
      <c r="I138" s="95">
        <f>SUM(I118:I137)</f>
        <v>0</v>
      </c>
      <c r="J138" s="94">
        <f>AVERAGE(J118:J137)</f>
      </c>
      <c r="K138" s="95">
        <f>SUM(K118:K137)</f>
        <v>0</v>
      </c>
      <c r="L138" s="95">
        <f>SUM(L118:L137)</f>
        <v>0</v>
      </c>
      <c r="M138" s="95">
        <f>SUM(M118:M137)</f>
        <v>0</v>
      </c>
      <c r="N138" s="95">
        <f>SUM(N118:N137)</f>
        <v>0</v>
      </c>
      <c r="O138" s="95">
        <f>SUM(O118:O137)</f>
        <v>0</v>
      </c>
      <c r="P138" s="95">
        <f>SUM(P118:P137)</f>
        <v>0</v>
      </c>
      <c r="Q138" s="95">
        <f>SUM(Q118:Q137)</f>
        <v>0</v>
      </c>
      <c r="R138" s="95">
        <f>SUM(R118:R137)</f>
        <v>0</v>
      </c>
      <c r="S138" s="95">
        <f>SUM(S118:S137)</f>
        <v>0</v>
      </c>
      <c r="T138" s="95">
        <f>SUM(T118:T137)</f>
        <v>0</v>
      </c>
      <c r="U138" s="95">
        <f>SUM(U118:U137)</f>
        <v>0</v>
      </c>
      <c r="V138" s="95">
        <f>SUM(V118:V137)</f>
        <v>0</v>
      </c>
      <c r="W138" s="95">
        <f>SUM(W118:W137)</f>
        <v>0</v>
      </c>
      <c r="X138" s="95">
        <f>SUM(X118:X137)</f>
        <v>0</v>
      </c>
      <c r="Y138" s="95">
        <f>SUM(Y118:Y137)</f>
        <v>0</v>
      </c>
      <c r="Z138" s="96">
        <f>_xlfn.IFERROR(X138/(X138+Y138),0)</f>
        <v>0</v>
      </c>
      <c r="AA138" s="64"/>
      <c r="AB138" s="97"/>
      <c r="AC138" s="97"/>
      <c r="AD138" s="97"/>
      <c r="AE138" s="97"/>
      <c r="AF138" s="97"/>
    </row>
    <row r="139" ht="21.25" customHeight="1">
      <c r="A139" s="98"/>
      <c r="B139" s="99"/>
      <c r="C139" s="100"/>
      <c r="D139" s="11"/>
      <c r="E139" s="11"/>
      <c r="F139" s="101"/>
      <c r="G139" s="102"/>
      <c r="H139" s="103"/>
      <c r="I139" s="10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9"/>
      <c r="AC139" s="69"/>
      <c r="AD139" s="69"/>
      <c r="AE139" s="69"/>
      <c r="AF139" s="69"/>
    </row>
    <row r="140" ht="21.25" customHeight="1">
      <c r="A140" t="s" s="31">
        <v>66</v>
      </c>
      <c r="B140" t="s" s="105">
        <v>68</v>
      </c>
      <c r="C140" s="19"/>
      <c r="D140" t="s" s="105">
        <v>69</v>
      </c>
      <c r="E140" t="s" s="105">
        <v>70</v>
      </c>
      <c r="F140" t="s" s="106">
        <v>72</v>
      </c>
      <c r="G140" t="s" s="106">
        <v>74</v>
      </c>
      <c r="H140" s="107"/>
      <c r="I140" t="s" s="108">
        <v>79</v>
      </c>
      <c r="J140" t="s" s="108">
        <v>97</v>
      </c>
      <c r="K140" t="s" s="108">
        <v>98</v>
      </c>
      <c r="L140" t="s" s="108">
        <v>99</v>
      </c>
      <c r="M140" t="s" s="108">
        <v>100</v>
      </c>
      <c r="N140" t="s" s="108">
        <v>101</v>
      </c>
      <c r="O140" t="s" s="108">
        <v>102</v>
      </c>
      <c r="P140" t="s" s="108">
        <v>103</v>
      </c>
      <c r="Q140" t="s" s="108">
        <v>104</v>
      </c>
      <c r="R140" s="64"/>
      <c r="S140" s="64"/>
      <c r="T140" s="64"/>
      <c r="U140" t="s" s="105">
        <v>901</v>
      </c>
      <c r="V140" s="107"/>
      <c r="W140" s="107"/>
      <c r="X140" t="s" s="105">
        <v>902</v>
      </c>
      <c r="Y140" s="107"/>
      <c r="Z140" s="107"/>
      <c r="AA140" s="64"/>
      <c r="AB140" s="64"/>
      <c r="AC140" s="64"/>
      <c r="AD140" s="64"/>
      <c r="AE140" s="64"/>
      <c r="AF140" s="64"/>
    </row>
    <row r="141" ht="21.25" customHeight="1">
      <c r="A141" s="128"/>
      <c r="B141" t="s" s="110">
        <f>_xlfn.IFERROR(VLOOKUP($A141,'The List'!$B1:$AS730,3,FALSE)," ")</f>
        <v>885</v>
      </c>
      <c r="C141" t="s" s="129">
        <f>_xlfn.IFERROR(VLOOKUP($A141,'The List'!$B1:$AS730,4,FALSE)," ")</f>
        <v>885</v>
      </c>
      <c r="D141" t="s" s="112">
        <f>_xlfn.IFERROR(VLOOKUP($A141,'The List'!$B1:$AS730,5,FALSE)," ")</f>
        <v>885</v>
      </c>
      <c r="E141" t="s" s="112">
        <f>_xlfn.IFERROR(VLOOKUP($A141,'The List'!$B1:$AS730,6,FALSE)," ")</f>
        <v>885</v>
      </c>
      <c r="F141" t="s" s="130">
        <f>_xlfn.IFERROR(VLOOKUP($A141,'The List'!$B1:$AS730,8,FALSE)," ")</f>
        <v>885</v>
      </c>
      <c r="G141" t="s" s="130">
        <f>_xlfn.IFERROR(VLOOKUP($A141,'The List'!$B1:$AS730,10,FALSE)," ")</f>
        <v>885</v>
      </c>
      <c r="H141" s="115"/>
      <c r="I141" t="s" s="131">
        <f>_xlfn.IFERROR(VLOOKUP($A141,'The List'!$B1:$AS730,35,FALSE)," ")</f>
        <v>885</v>
      </c>
      <c r="J141" t="s" s="131">
        <f>_xlfn.IFERROR(VLOOKUP($A141,'The List'!$B1:$AS730,36,FALSE)," ")</f>
        <v>885</v>
      </c>
      <c r="K141" t="s" s="131">
        <f>_xlfn.IFERROR(VLOOKUP($A141,'The List'!$B1:$AS730,37,FALSE)," ")</f>
        <v>885</v>
      </c>
      <c r="L141" t="s" s="131">
        <f>_xlfn.IFERROR(VLOOKUP($A141,'The List'!$B1:$AS730,38,FALSE)," ")</f>
        <v>885</v>
      </c>
      <c r="M141" t="s" s="131">
        <f>_xlfn.IFERROR(VLOOKUP($A141,'The List'!$B1:$AS730,39,FALSE)," ")</f>
        <v>885</v>
      </c>
      <c r="N141" t="s" s="131">
        <f>_xlfn.IFERROR(VLOOKUP($A141,'The List'!$B1:$AS730,40,FALSE)," ")</f>
        <v>885</v>
      </c>
      <c r="O141" t="s" s="131">
        <f>_xlfn.IFERROR(VLOOKUP($A141,'The List'!$B1:$AS730,41,FALSE)," ")</f>
        <v>885</v>
      </c>
      <c r="P141" t="s" s="131">
        <f>_xlfn.IFERROR(VLOOKUP($A141,'The List'!$B1:$AS730,42,FALSE)," ")</f>
        <v>885</v>
      </c>
      <c r="Q141" t="s" s="131">
        <f>_xlfn.IFERROR(VLOOKUP($A141,'The List'!$B1:$AS730,43,FALSE)," ")</f>
        <v>885</v>
      </c>
      <c r="R141" s="64"/>
      <c r="S141" s="64"/>
      <c r="T141" t="s" s="119">
        <f>A117</f>
        <v>907</v>
      </c>
      <c r="U141" s="120">
        <f>F138+F144</f>
        <v>0</v>
      </c>
      <c r="V141" s="19"/>
      <c r="W141" s="19"/>
      <c r="X141" s="120">
        <f>G144+G138</f>
        <v>0</v>
      </c>
      <c r="Y141" s="19"/>
      <c r="Z141" s="19"/>
      <c r="AA141" s="64"/>
      <c r="AB141" s="64"/>
      <c r="AC141" s="64"/>
      <c r="AD141" s="64"/>
      <c r="AE141" s="64"/>
      <c r="AF141" s="64"/>
    </row>
    <row r="142" ht="21.25" customHeight="1">
      <c r="A142" s="29"/>
      <c r="B142" t="s" s="121">
        <f>_xlfn.IFERROR(VLOOKUP($A142,'The List'!$B1:$AS730,3,FALSE)," ")</f>
        <v>885</v>
      </c>
      <c r="C142" t="s" s="122">
        <f>_xlfn.IFERROR(VLOOKUP($A142,'The List'!$B1:$AS730,4,FALSE)," ")</f>
        <v>885</v>
      </c>
      <c r="D142" t="s" s="42">
        <f>_xlfn.IFERROR(VLOOKUP($A142,'The List'!$B1:$AS730,5,FALSE)," ")</f>
        <v>885</v>
      </c>
      <c r="E142" t="s" s="42">
        <f>_xlfn.IFERROR(VLOOKUP($A142,'The List'!$B1:$AS730,6,FALSE)," ")</f>
        <v>885</v>
      </c>
      <c r="F142" t="s" s="60">
        <f>_xlfn.IFERROR(VLOOKUP($A142,'The List'!$B1:$AS730,8,FALSE)," ")</f>
        <v>885</v>
      </c>
      <c r="G142" t="s" s="60">
        <f>_xlfn.IFERROR(VLOOKUP($A142,'The List'!$B1:$AS730,10,FALSE)," ")</f>
        <v>885</v>
      </c>
      <c r="H142" s="46"/>
      <c r="I142" t="s" s="61">
        <f>_xlfn.IFERROR(VLOOKUP($A142,'The List'!$B1:$AS730,35,FALSE)," ")</f>
        <v>885</v>
      </c>
      <c r="J142" t="s" s="61">
        <f>_xlfn.IFERROR(VLOOKUP($A142,'The List'!$B1:$AS730,36,FALSE)," ")</f>
        <v>885</v>
      </c>
      <c r="K142" t="s" s="61">
        <f>_xlfn.IFERROR(VLOOKUP($A142,'The List'!$B1:$AS730,37,FALSE)," ")</f>
        <v>885</v>
      </c>
      <c r="L142" t="s" s="61">
        <f>_xlfn.IFERROR(VLOOKUP($A142,'The List'!$B1:$AS730,38,FALSE)," ")</f>
        <v>885</v>
      </c>
      <c r="M142" t="s" s="61">
        <f>_xlfn.IFERROR(VLOOKUP($A142,'The List'!$B1:$AS730,39,FALSE)," ")</f>
        <v>885</v>
      </c>
      <c r="N142" t="s" s="61">
        <f>_xlfn.IFERROR(VLOOKUP($A142,'The List'!$B1:$AS730,40,FALSE)," ")</f>
        <v>885</v>
      </c>
      <c r="O142" t="s" s="61">
        <f>_xlfn.IFERROR(VLOOKUP($A142,'The List'!$B1:$AS730,41,FALSE)," ")</f>
        <v>885</v>
      </c>
      <c r="P142" t="s" s="61">
        <f>_xlfn.IFERROR(VLOOKUP($A142,'The List'!$B1:$AS730,42,FALSE)," ")</f>
        <v>885</v>
      </c>
      <c r="Q142" t="s" s="61">
        <f>_xlfn.IFERROR(VLOOKUP($A142,'The List'!$B1:$AS730,43,FALSE)," ")</f>
        <v>885</v>
      </c>
      <c r="R142" s="64"/>
      <c r="S142" s="64"/>
      <c r="T142" s="64"/>
      <c r="U142" s="19"/>
      <c r="V142" s="19"/>
      <c r="W142" s="19"/>
      <c r="X142" s="19"/>
      <c r="Y142" s="19"/>
      <c r="Z142" s="19"/>
      <c r="AA142" s="64"/>
      <c r="AB142" s="64"/>
      <c r="AC142" s="64"/>
      <c r="AD142" s="64"/>
      <c r="AE142" s="64"/>
      <c r="AF142" s="64"/>
    </row>
    <row r="143" ht="21.25" customHeight="1">
      <c r="A143" s="81"/>
      <c r="B143" t="s" s="123">
        <f>_xlfn.IFERROR(VLOOKUP($A143,'The List'!$B1:$AS730,3,FALSE)," ")</f>
        <v>885</v>
      </c>
      <c r="C143" t="s" s="124">
        <f>_xlfn.IFERROR(VLOOKUP($A143,'The List'!$B1:$AS730,4,FALSE)," ")</f>
        <v>885</v>
      </c>
      <c r="D143" t="s" s="84">
        <f>_xlfn.IFERROR(VLOOKUP($A143,'The List'!$B1:$AS730,5,FALSE)," ")</f>
        <v>885</v>
      </c>
      <c r="E143" t="s" s="84">
        <f>_xlfn.IFERROR(VLOOKUP($A143,'The List'!$B1:$AS730,6,FALSE)," ")</f>
        <v>885</v>
      </c>
      <c r="F143" t="s" s="85">
        <f>_xlfn.IFERROR(VLOOKUP($A143,'The List'!$B1:$AS730,8,FALSE)," ")</f>
        <v>885</v>
      </c>
      <c r="G143" t="s" s="85">
        <f>_xlfn.IFERROR(VLOOKUP($A143,'The List'!$B1:$AS730,10,FALSE)," ")</f>
        <v>885</v>
      </c>
      <c r="H143" s="86"/>
      <c r="I143" t="s" s="87">
        <f>_xlfn.IFERROR(VLOOKUP($A143,'The List'!$B1:$AS730,35,FALSE)," ")</f>
        <v>885</v>
      </c>
      <c r="J143" t="s" s="87">
        <f>_xlfn.IFERROR(VLOOKUP($A143,'The List'!$B1:$AS730,36,FALSE)," ")</f>
        <v>885</v>
      </c>
      <c r="K143" t="s" s="87">
        <f>_xlfn.IFERROR(VLOOKUP($A143,'The List'!$B1:$AS730,37,FALSE)," ")</f>
        <v>885</v>
      </c>
      <c r="L143" t="s" s="87">
        <f>_xlfn.IFERROR(VLOOKUP($A143,'The List'!$B1:$AS730,38,FALSE)," ")</f>
        <v>885</v>
      </c>
      <c r="M143" t="s" s="87">
        <f>_xlfn.IFERROR(VLOOKUP($A143,'The List'!$B1:$AS730,39,FALSE)," ")</f>
        <v>885</v>
      </c>
      <c r="N143" t="s" s="87">
        <f>_xlfn.IFERROR(VLOOKUP($A143,'The List'!$B1:$AS730,40,FALSE)," ")</f>
        <v>885</v>
      </c>
      <c r="O143" t="s" s="87">
        <f>_xlfn.IFERROR(VLOOKUP($A143,'The List'!$B1:$AS730,41,FALSE)," ")</f>
        <v>885</v>
      </c>
      <c r="P143" t="s" s="87">
        <f>_xlfn.IFERROR(VLOOKUP($A143,'The List'!$B1:$AS730,42,FALSE)," ")</f>
        <v>885</v>
      </c>
      <c r="Q143" t="s" s="87">
        <f>_xlfn.IFERROR(VLOOKUP($A143,'The List'!$B1:$AS730,43,FALSE)," ")</f>
        <v>885</v>
      </c>
      <c r="R143" s="64"/>
      <c r="S143" s="64"/>
      <c r="T143" s="64"/>
      <c r="U143" s="19"/>
      <c r="V143" s="19"/>
      <c r="W143" s="19"/>
      <c r="X143" s="19"/>
      <c r="Y143" s="19"/>
      <c r="Z143" s="19"/>
      <c r="AA143" s="64"/>
      <c r="AB143" s="64"/>
      <c r="AC143" s="64"/>
      <c r="AD143" s="64"/>
      <c r="AE143" s="64"/>
      <c r="AF143" s="64"/>
    </row>
    <row r="144" ht="21.25" customHeight="1">
      <c r="A144" s="88"/>
      <c r="B144" s="89"/>
      <c r="C144" s="90"/>
      <c r="D144" s="91"/>
      <c r="E144" t="s" s="127">
        <f>_xlfn.IFERROR(AVERAGE(E141:E143)," ")</f>
        <v>885</v>
      </c>
      <c r="F144" s="93">
        <f>SUM(F141:F143)</f>
        <v>0</v>
      </c>
      <c r="G144" s="93">
        <f>SUM(G141:G143)</f>
        <v>0</v>
      </c>
      <c r="H144" s="94"/>
      <c r="I144" s="95">
        <f>SUM(I141:I143)</f>
        <v>0</v>
      </c>
      <c r="J144" s="94">
        <f>SUM(J141:J143)</f>
        <v>0</v>
      </c>
      <c r="K144" s="95">
        <f>SUM(K141:K143)</f>
        <v>0</v>
      </c>
      <c r="L144" s="95">
        <f>SUM(L141:L143)</f>
        <v>0</v>
      </c>
      <c r="M144" s="95">
        <f>SUM(M141:M143)</f>
        <v>0</v>
      </c>
      <c r="N144" s="95">
        <f>SUM(N141:N143)</f>
        <v>0</v>
      </c>
      <c r="O144" s="95">
        <f>SUM(O141:O143)</f>
        <v>0</v>
      </c>
      <c r="P144" s="125">
        <f>1-(O144/(N144+O144))</f>
      </c>
      <c r="Q144" s="126">
        <f>O144/I144</f>
      </c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</row>
    <row r="145" ht="70.85" customHeight="1">
      <c r="A145" s="98"/>
      <c r="B145" s="99"/>
      <c r="C145" s="100"/>
      <c r="D145" s="11"/>
      <c r="E145" s="11"/>
      <c r="F145" s="101"/>
      <c r="G145" s="102"/>
      <c r="H145" s="103"/>
      <c r="I145" s="10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9"/>
      <c r="AB145" s="69"/>
      <c r="AC145" s="69"/>
      <c r="AD145" s="69"/>
      <c r="AE145" s="69"/>
      <c r="AF145" s="69"/>
    </row>
    <row r="146" ht="21.25" customHeight="1">
      <c r="A146" t="s" s="32">
        <v>890</v>
      </c>
      <c r="B146" t="s" s="33">
        <v>68</v>
      </c>
      <c r="C146" s="25"/>
      <c r="D146" t="s" s="33">
        <v>69</v>
      </c>
      <c r="E146" t="s" s="33">
        <v>70</v>
      </c>
      <c r="F146" t="s" s="34">
        <v>72</v>
      </c>
      <c r="G146" t="s" s="34">
        <v>74</v>
      </c>
      <c r="H146" s="35"/>
      <c r="I146" t="s" s="37">
        <v>79</v>
      </c>
      <c r="J146" t="s" s="37">
        <v>80</v>
      </c>
      <c r="K146" t="s" s="37">
        <v>81</v>
      </c>
      <c r="L146" t="s" s="37">
        <v>82</v>
      </c>
      <c r="M146" t="s" s="37">
        <v>83</v>
      </c>
      <c r="N146" t="s" s="37">
        <v>84</v>
      </c>
      <c r="O146" t="s" s="37">
        <v>85</v>
      </c>
      <c r="P146" t="s" s="37">
        <v>86</v>
      </c>
      <c r="Q146" t="s" s="37">
        <v>87</v>
      </c>
      <c r="R146" t="s" s="37">
        <v>88</v>
      </c>
      <c r="S146" t="s" s="37">
        <v>89</v>
      </c>
      <c r="T146" t="s" s="37">
        <v>90</v>
      </c>
      <c r="U146" t="s" s="37">
        <v>91</v>
      </c>
      <c r="V146" t="s" s="37">
        <v>92</v>
      </c>
      <c r="W146" t="s" s="37">
        <v>93</v>
      </c>
      <c r="X146" t="s" s="37">
        <v>94</v>
      </c>
      <c r="Y146" t="s" s="37">
        <v>95</v>
      </c>
      <c r="Z146" t="s" s="37">
        <v>96</v>
      </c>
      <c r="AA146" s="64"/>
      <c r="AB146" s="65"/>
      <c r="AC146" s="65"/>
      <c r="AD146" s="65"/>
      <c r="AE146" s="65"/>
      <c r="AF146" s="65"/>
    </row>
    <row r="147" ht="21.25" customHeight="1">
      <c r="A147" s="29"/>
      <c r="B147" t="s" s="66">
        <f>_xlfn.IFERROR(VLOOKUP($A147,'The List'!$B1:$AS730,3,FALSE)," ")</f>
        <v>885</v>
      </c>
      <c r="C147" t="s" s="70">
        <f>_xlfn.IFERROR(VLOOKUP($A147,'The List'!$B1:$AS730,4,FALSE)," ")</f>
        <v>885</v>
      </c>
      <c r="D147" t="s" s="42">
        <f>_xlfn.IFERROR(VLOOKUP($A147,'The List'!$B1:$AS730,5,FALSE)," ")</f>
        <v>885</v>
      </c>
      <c r="E147" t="s" s="42">
        <f>_xlfn.IFERROR(VLOOKUP($A147,'The List'!$B1:$AS730,6,FALSE)," ")</f>
        <v>885</v>
      </c>
      <c r="F147" t="s" s="60">
        <f>_xlfn.IFERROR(VLOOKUP($A147,'The List'!$B1:$AS730,8,FALSE)," ")</f>
        <v>885</v>
      </c>
      <c r="G147" t="s" s="60">
        <f>_xlfn.IFERROR(VLOOKUP($A147,'The List'!$B1:$AS730,10,FALSE)," ")</f>
        <v>885</v>
      </c>
      <c r="H147" s="46"/>
      <c r="I147" t="s" s="61">
        <f>_xlfn.IFERROR(VLOOKUP($A147,'The List'!$B1:$AS730,16,FALSE)," ")</f>
        <v>885</v>
      </c>
      <c r="J147" t="s" s="61">
        <f>_xlfn.IFERROR(VLOOKUP($A147,'The List'!$B1:$AS730,17,FALSE)," ")</f>
        <v>885</v>
      </c>
      <c r="K147" t="s" s="61">
        <f>_xlfn.IFERROR(VLOOKUP($A147,'The List'!$B1:$AS730,18,FALSE)," ")</f>
        <v>885</v>
      </c>
      <c r="L147" t="s" s="61">
        <f>_xlfn.IFERROR(VLOOKUP($A147,'The List'!$B1:$AS730,19,FALSE)," ")</f>
        <v>885</v>
      </c>
      <c r="M147" t="s" s="61">
        <f>_xlfn.IFERROR(VLOOKUP($A147,'The List'!$B1:$AS730,20,FALSE)," ")</f>
        <v>885</v>
      </c>
      <c r="N147" t="s" s="61">
        <f>_xlfn.IFERROR(VLOOKUP($A147,'The List'!$B1:$AS730,21,FALSE)," ")</f>
        <v>885</v>
      </c>
      <c r="O147" t="s" s="61">
        <f>_xlfn.IFERROR(VLOOKUP($A147,'The List'!$B1:$AS730,22,FALSE)," ")</f>
        <v>885</v>
      </c>
      <c r="P147" t="s" s="61">
        <f>_xlfn.IFERROR(VLOOKUP($A147,'The List'!$B1:$AS730,23,FALSE)," ")</f>
        <v>885</v>
      </c>
      <c r="Q147" t="s" s="61">
        <f>_xlfn.IFERROR(VLOOKUP($A147,'The List'!$B1:$AS730,24,FALSE)," ")</f>
        <v>885</v>
      </c>
      <c r="R147" t="s" s="61">
        <f>_xlfn.IFERROR(VLOOKUP($A147,'The List'!$B1:$AS730,25,FALSE)," ")</f>
        <v>885</v>
      </c>
      <c r="S147" t="s" s="61">
        <f>_xlfn.IFERROR(VLOOKUP($A147,'The List'!$B1:$AS730,26,FALSE)," ")</f>
        <v>885</v>
      </c>
      <c r="T147" t="s" s="61">
        <f>_xlfn.IFERROR(VLOOKUP($A147,'The List'!$B1:$AS730,27,FALSE)," ")</f>
        <v>885</v>
      </c>
      <c r="U147" t="s" s="61">
        <f>_xlfn.IFERROR(VLOOKUP($A147,'The List'!$B1:$AS730,28,FALSE)," ")</f>
        <v>885</v>
      </c>
      <c r="V147" t="s" s="61">
        <f>_xlfn.IFERROR(VLOOKUP($A147,'The List'!$B1:$AS730,29,FALSE)," ")</f>
        <v>885</v>
      </c>
      <c r="W147" t="s" s="61">
        <f>_xlfn.IFERROR(VLOOKUP($A147,'The List'!$B1:$AS730,30,FALSE)," ")</f>
        <v>885</v>
      </c>
      <c r="X147" t="s" s="61">
        <f>_xlfn.IFERROR(VLOOKUP($A147,'The List'!$B1:$AS730,31,FALSE)," ")</f>
        <v>885</v>
      </c>
      <c r="Y147" t="s" s="61">
        <f>_xlfn.IFERROR(VLOOKUP($A147,'The List'!$B1:$AS730,32,FALSE)," ")</f>
        <v>885</v>
      </c>
      <c r="Z147" t="s" s="61">
        <f>_xlfn.IFERROR(VLOOKUP($A147,'The List'!$B1:$AS730,33,FALSE)," ")</f>
        <v>885</v>
      </c>
      <c r="AA147" s="64"/>
      <c r="AB147" s="69"/>
      <c r="AC147" s="69"/>
      <c r="AD147" s="69"/>
      <c r="AE147" s="69"/>
      <c r="AF147" s="69"/>
    </row>
    <row r="148" ht="21.25" customHeight="1">
      <c r="A148" s="29"/>
      <c r="B148" t="s" s="66">
        <f>_xlfn.IFERROR(VLOOKUP($A148,'The List'!$B1:$AS730,3,FALSE)," ")</f>
        <v>885</v>
      </c>
      <c r="C148" t="s" s="70">
        <f>_xlfn.IFERROR(VLOOKUP($A148,'The List'!$B1:$AS730,4,FALSE)," ")</f>
        <v>885</v>
      </c>
      <c r="D148" t="s" s="42">
        <f>_xlfn.IFERROR(VLOOKUP($A148,'The List'!$B1:$AS730,5,FALSE)," ")</f>
        <v>885</v>
      </c>
      <c r="E148" t="s" s="42">
        <f>_xlfn.IFERROR(VLOOKUP($A148,'The List'!$B1:$AS730,6,FALSE)," ")</f>
        <v>885</v>
      </c>
      <c r="F148" t="s" s="60">
        <f>_xlfn.IFERROR(VLOOKUP($A148,'The List'!$B1:$AS730,8,FALSE)," ")</f>
        <v>885</v>
      </c>
      <c r="G148" t="s" s="60">
        <f>_xlfn.IFERROR(VLOOKUP($A148,'The List'!$B1:$AS730,10,FALSE)," ")</f>
        <v>885</v>
      </c>
      <c r="H148" s="46"/>
      <c r="I148" t="s" s="61">
        <f>_xlfn.IFERROR(VLOOKUP($A148,'The List'!$B1:$AS730,16,FALSE)," ")</f>
        <v>885</v>
      </c>
      <c r="J148" t="s" s="61">
        <f>_xlfn.IFERROR(VLOOKUP($A148,'The List'!$B1:$AS730,17,FALSE)," ")</f>
        <v>885</v>
      </c>
      <c r="K148" t="s" s="61">
        <f>_xlfn.IFERROR(VLOOKUP($A148,'The List'!$B1:$AS730,18,FALSE)," ")</f>
        <v>885</v>
      </c>
      <c r="L148" t="s" s="61">
        <f>_xlfn.IFERROR(VLOOKUP($A148,'The List'!$B1:$AS730,19,FALSE)," ")</f>
        <v>885</v>
      </c>
      <c r="M148" t="s" s="61">
        <f>_xlfn.IFERROR(VLOOKUP($A148,'The List'!$B1:$AS730,20,FALSE)," ")</f>
        <v>885</v>
      </c>
      <c r="N148" t="s" s="61">
        <f>_xlfn.IFERROR(VLOOKUP($A148,'The List'!$B1:$AS730,21,FALSE)," ")</f>
        <v>885</v>
      </c>
      <c r="O148" t="s" s="61">
        <f>_xlfn.IFERROR(VLOOKUP($A148,'The List'!$B1:$AS730,22,FALSE)," ")</f>
        <v>885</v>
      </c>
      <c r="P148" t="s" s="61">
        <f>_xlfn.IFERROR(VLOOKUP($A148,'The List'!$B1:$AS730,23,FALSE)," ")</f>
        <v>885</v>
      </c>
      <c r="Q148" t="s" s="61">
        <f>_xlfn.IFERROR(VLOOKUP($A148,'The List'!$B1:$AS730,24,FALSE)," ")</f>
        <v>885</v>
      </c>
      <c r="R148" t="s" s="61">
        <f>_xlfn.IFERROR(VLOOKUP($A148,'The List'!$B1:$AS730,25,FALSE)," ")</f>
        <v>885</v>
      </c>
      <c r="S148" t="s" s="61">
        <f>_xlfn.IFERROR(VLOOKUP($A148,'The List'!$B1:$AS730,26,FALSE)," ")</f>
        <v>885</v>
      </c>
      <c r="T148" t="s" s="61">
        <f>_xlfn.IFERROR(VLOOKUP($A148,'The List'!$B1:$AS730,27,FALSE)," ")</f>
        <v>885</v>
      </c>
      <c r="U148" t="s" s="61">
        <f>_xlfn.IFERROR(VLOOKUP($A148,'The List'!$B1:$AS730,28,FALSE)," ")</f>
        <v>885</v>
      </c>
      <c r="V148" t="s" s="61">
        <f>_xlfn.IFERROR(VLOOKUP($A148,'The List'!$B1:$AS730,29,FALSE)," ")</f>
        <v>885</v>
      </c>
      <c r="W148" t="s" s="61">
        <f>_xlfn.IFERROR(VLOOKUP($A148,'The List'!$B1:$AS730,30,FALSE)," ")</f>
        <v>885</v>
      </c>
      <c r="X148" t="s" s="61">
        <f>_xlfn.IFERROR(VLOOKUP($A148,'The List'!$B1:$AS730,31,FALSE)," ")</f>
        <v>885</v>
      </c>
      <c r="Y148" t="s" s="61">
        <f>_xlfn.IFERROR(VLOOKUP($A148,'The List'!$B1:$AS730,32,FALSE)," ")</f>
        <v>885</v>
      </c>
      <c r="Z148" t="s" s="61">
        <f>_xlfn.IFERROR(VLOOKUP($A148,'The List'!$B1:$AS730,33,FALSE)," ")</f>
        <v>885</v>
      </c>
      <c r="AA148" s="64"/>
      <c r="AB148" s="69"/>
      <c r="AC148" s="69"/>
      <c r="AD148" s="69"/>
      <c r="AE148" s="69"/>
      <c r="AF148" s="69"/>
    </row>
    <row r="149" ht="21.25" customHeight="1">
      <c r="A149" s="29"/>
      <c r="B149" t="s" s="66">
        <f>_xlfn.IFERROR(VLOOKUP($A149,'The List'!$B1:$AS730,3,FALSE)," ")</f>
        <v>885</v>
      </c>
      <c r="C149" t="s" s="70">
        <f>_xlfn.IFERROR(VLOOKUP($A149,'The List'!$B1:$AS730,4,FALSE)," ")</f>
        <v>885</v>
      </c>
      <c r="D149" t="s" s="42">
        <f>_xlfn.IFERROR(VLOOKUP($A149,'The List'!$B1:$AS730,5,FALSE)," ")</f>
        <v>885</v>
      </c>
      <c r="E149" t="s" s="42">
        <f>_xlfn.IFERROR(VLOOKUP($A149,'The List'!$B1:$AS730,6,FALSE)," ")</f>
        <v>885</v>
      </c>
      <c r="F149" t="s" s="60">
        <f>_xlfn.IFERROR(VLOOKUP($A149,'The List'!$B1:$AS730,8,FALSE)," ")</f>
        <v>885</v>
      </c>
      <c r="G149" t="s" s="60">
        <f>_xlfn.IFERROR(VLOOKUP($A149,'The List'!$B1:$AS730,10,FALSE)," ")</f>
        <v>885</v>
      </c>
      <c r="H149" s="46"/>
      <c r="I149" t="s" s="61">
        <f>_xlfn.IFERROR(VLOOKUP($A149,'The List'!$B1:$AS730,16,FALSE)," ")</f>
        <v>885</v>
      </c>
      <c r="J149" t="s" s="61">
        <f>_xlfn.IFERROR(VLOOKUP($A149,'The List'!$B1:$AS730,17,FALSE)," ")</f>
        <v>885</v>
      </c>
      <c r="K149" t="s" s="61">
        <f>_xlfn.IFERROR(VLOOKUP($A149,'The List'!$B1:$AS730,18,FALSE)," ")</f>
        <v>885</v>
      </c>
      <c r="L149" t="s" s="61">
        <f>_xlfn.IFERROR(VLOOKUP($A149,'The List'!$B1:$AS730,19,FALSE)," ")</f>
        <v>885</v>
      </c>
      <c r="M149" t="s" s="61">
        <f>_xlfn.IFERROR(VLOOKUP($A149,'The List'!$B1:$AS730,20,FALSE)," ")</f>
        <v>885</v>
      </c>
      <c r="N149" t="s" s="61">
        <f>_xlfn.IFERROR(VLOOKUP($A149,'The List'!$B1:$AS730,21,FALSE)," ")</f>
        <v>885</v>
      </c>
      <c r="O149" t="s" s="61">
        <f>_xlfn.IFERROR(VLOOKUP($A149,'The List'!$B1:$AS730,22,FALSE)," ")</f>
        <v>885</v>
      </c>
      <c r="P149" t="s" s="61">
        <f>_xlfn.IFERROR(VLOOKUP($A149,'The List'!$B1:$AS730,23,FALSE)," ")</f>
        <v>885</v>
      </c>
      <c r="Q149" t="s" s="61">
        <f>_xlfn.IFERROR(VLOOKUP($A149,'The List'!$B1:$AS730,24,FALSE)," ")</f>
        <v>885</v>
      </c>
      <c r="R149" t="s" s="61">
        <f>_xlfn.IFERROR(VLOOKUP($A149,'The List'!$B1:$AS730,25,FALSE)," ")</f>
        <v>885</v>
      </c>
      <c r="S149" t="s" s="61">
        <f>_xlfn.IFERROR(VLOOKUP($A149,'The List'!$B1:$AS730,26,FALSE)," ")</f>
        <v>885</v>
      </c>
      <c r="T149" t="s" s="61">
        <f>_xlfn.IFERROR(VLOOKUP($A149,'The List'!$B1:$AS730,27,FALSE)," ")</f>
        <v>885</v>
      </c>
      <c r="U149" t="s" s="61">
        <f>_xlfn.IFERROR(VLOOKUP($A149,'The List'!$B1:$AS730,28,FALSE)," ")</f>
        <v>885</v>
      </c>
      <c r="V149" t="s" s="61">
        <f>_xlfn.IFERROR(VLOOKUP($A149,'The List'!$B1:$AS730,29,FALSE)," ")</f>
        <v>885</v>
      </c>
      <c r="W149" t="s" s="61">
        <f>_xlfn.IFERROR(VLOOKUP($A149,'The List'!$B1:$AS730,30,FALSE)," ")</f>
        <v>885</v>
      </c>
      <c r="X149" t="s" s="61">
        <f>_xlfn.IFERROR(VLOOKUP($A149,'The List'!$B1:$AS730,31,FALSE)," ")</f>
        <v>885</v>
      </c>
      <c r="Y149" t="s" s="61">
        <f>_xlfn.IFERROR(VLOOKUP($A149,'The List'!$B1:$AS730,32,FALSE)," ")</f>
        <v>885</v>
      </c>
      <c r="Z149" t="s" s="61">
        <f>_xlfn.IFERROR(VLOOKUP($A149,'The List'!$B1:$AS730,33,FALSE)," ")</f>
        <v>885</v>
      </c>
      <c r="AA149" s="64"/>
      <c r="AB149" s="69"/>
      <c r="AC149" s="69"/>
      <c r="AD149" s="69"/>
      <c r="AE149" s="69"/>
      <c r="AF149" s="69"/>
    </row>
    <row r="150" ht="21.25" customHeight="1">
      <c r="A150" s="29"/>
      <c r="B150" t="s" s="66">
        <f>_xlfn.IFERROR(VLOOKUP($A150,'The List'!$B1:$AS730,3,FALSE)," ")</f>
        <v>885</v>
      </c>
      <c r="C150" t="s" s="70">
        <f>_xlfn.IFERROR(VLOOKUP($A150,'The List'!$B1:$AS730,4,FALSE)," ")</f>
        <v>885</v>
      </c>
      <c r="D150" t="s" s="42">
        <f>_xlfn.IFERROR(VLOOKUP($A150,'The List'!$B1:$AS730,5,FALSE)," ")</f>
        <v>885</v>
      </c>
      <c r="E150" t="s" s="42">
        <f>_xlfn.IFERROR(VLOOKUP($A150,'The List'!$B1:$AS730,6,FALSE)," ")</f>
        <v>885</v>
      </c>
      <c r="F150" t="s" s="60">
        <f>_xlfn.IFERROR(VLOOKUP($A150,'The List'!$B1:$AS730,8,FALSE)," ")</f>
        <v>885</v>
      </c>
      <c r="G150" t="s" s="60">
        <f>_xlfn.IFERROR(VLOOKUP($A150,'The List'!$B1:$AS730,10,FALSE)," ")</f>
        <v>885</v>
      </c>
      <c r="H150" s="46"/>
      <c r="I150" t="s" s="61">
        <f>_xlfn.IFERROR(VLOOKUP($A150,'The List'!$B1:$AS730,16,FALSE)," ")</f>
        <v>885</v>
      </c>
      <c r="J150" t="s" s="61">
        <f>_xlfn.IFERROR(VLOOKUP($A150,'The List'!$B1:$AS730,17,FALSE)," ")</f>
        <v>885</v>
      </c>
      <c r="K150" t="s" s="61">
        <f>_xlfn.IFERROR(VLOOKUP($A150,'The List'!$B1:$AS730,18,FALSE)," ")</f>
        <v>885</v>
      </c>
      <c r="L150" t="s" s="61">
        <f>_xlfn.IFERROR(VLOOKUP($A150,'The List'!$B1:$AS730,19,FALSE)," ")</f>
        <v>885</v>
      </c>
      <c r="M150" t="s" s="61">
        <f>_xlfn.IFERROR(VLOOKUP($A150,'The List'!$B1:$AS730,20,FALSE)," ")</f>
        <v>885</v>
      </c>
      <c r="N150" t="s" s="61">
        <f>_xlfn.IFERROR(VLOOKUP($A150,'The List'!$B1:$AS730,21,FALSE)," ")</f>
        <v>885</v>
      </c>
      <c r="O150" t="s" s="61">
        <f>_xlfn.IFERROR(VLOOKUP($A150,'The List'!$B1:$AS730,22,FALSE)," ")</f>
        <v>885</v>
      </c>
      <c r="P150" t="s" s="61">
        <f>_xlfn.IFERROR(VLOOKUP($A150,'The List'!$B1:$AS730,23,FALSE)," ")</f>
        <v>885</v>
      </c>
      <c r="Q150" t="s" s="61">
        <f>_xlfn.IFERROR(VLOOKUP($A150,'The List'!$B1:$AS730,24,FALSE)," ")</f>
        <v>885</v>
      </c>
      <c r="R150" t="s" s="61">
        <f>_xlfn.IFERROR(VLOOKUP($A150,'The List'!$B1:$AS730,25,FALSE)," ")</f>
        <v>885</v>
      </c>
      <c r="S150" t="s" s="61">
        <f>_xlfn.IFERROR(VLOOKUP($A150,'The List'!$B1:$AS730,26,FALSE)," ")</f>
        <v>885</v>
      </c>
      <c r="T150" t="s" s="61">
        <f>_xlfn.IFERROR(VLOOKUP($A150,'The List'!$B1:$AS730,27,FALSE)," ")</f>
        <v>885</v>
      </c>
      <c r="U150" t="s" s="61">
        <f>_xlfn.IFERROR(VLOOKUP($A150,'The List'!$B1:$AS730,28,FALSE)," ")</f>
        <v>885</v>
      </c>
      <c r="V150" t="s" s="61">
        <f>_xlfn.IFERROR(VLOOKUP($A150,'The List'!$B1:$AS730,29,FALSE)," ")</f>
        <v>885</v>
      </c>
      <c r="W150" t="s" s="61">
        <f>_xlfn.IFERROR(VLOOKUP($A150,'The List'!$B1:$AS730,30,FALSE)," ")</f>
        <v>885</v>
      </c>
      <c r="X150" t="s" s="61">
        <f>_xlfn.IFERROR(VLOOKUP($A150,'The List'!$B1:$AS730,31,FALSE)," ")</f>
        <v>885</v>
      </c>
      <c r="Y150" t="s" s="61">
        <f>_xlfn.IFERROR(VLOOKUP($A150,'The List'!$B1:$AS730,32,FALSE)," ")</f>
        <v>885</v>
      </c>
      <c r="Z150" t="s" s="61">
        <f>_xlfn.IFERROR(VLOOKUP($A150,'The List'!$B1:$AS730,33,FALSE)," ")</f>
        <v>885</v>
      </c>
      <c r="AA150" s="64"/>
      <c r="AB150" s="69"/>
      <c r="AC150" s="69"/>
      <c r="AD150" s="69"/>
      <c r="AE150" s="69"/>
      <c r="AF150" s="69"/>
    </row>
    <row r="151" ht="21.25" customHeight="1">
      <c r="A151" s="29"/>
      <c r="B151" t="s" s="71">
        <f>_xlfn.IFERROR(VLOOKUP($A151,'The List'!$B1:$AS730,3,FALSE)," ")</f>
        <v>885</v>
      </c>
      <c r="C151" t="s" s="73">
        <f>_xlfn.IFERROR(VLOOKUP($A151,'The List'!$B1:$AS730,4,FALSE)," ")</f>
        <v>885</v>
      </c>
      <c r="D151" t="s" s="42">
        <f>_xlfn.IFERROR(VLOOKUP($A151,'The List'!$B1:$AS730,5,FALSE)," ")</f>
        <v>885</v>
      </c>
      <c r="E151" t="s" s="42">
        <f>_xlfn.IFERROR(VLOOKUP($A151,'The List'!$B1:$AS730,6,FALSE)," ")</f>
        <v>885</v>
      </c>
      <c r="F151" t="s" s="60">
        <f>_xlfn.IFERROR(VLOOKUP($A151,'The List'!$B1:$AS730,8,FALSE)," ")</f>
        <v>885</v>
      </c>
      <c r="G151" t="s" s="60">
        <f>_xlfn.IFERROR(VLOOKUP($A151,'The List'!$B1:$AS730,10,FALSE)," ")</f>
        <v>885</v>
      </c>
      <c r="H151" s="46"/>
      <c r="I151" t="s" s="61">
        <f>_xlfn.IFERROR(VLOOKUP($A151,'The List'!$B1:$AS730,16,FALSE)," ")</f>
        <v>885</v>
      </c>
      <c r="J151" t="s" s="61">
        <f>_xlfn.IFERROR(VLOOKUP($A151,'The List'!$B1:$AS730,17,FALSE)," ")</f>
        <v>885</v>
      </c>
      <c r="K151" t="s" s="61">
        <f>_xlfn.IFERROR(VLOOKUP($A151,'The List'!$B1:$AS730,18,FALSE)," ")</f>
        <v>885</v>
      </c>
      <c r="L151" t="s" s="61">
        <f>_xlfn.IFERROR(VLOOKUP($A151,'The List'!$B1:$AS730,19,FALSE)," ")</f>
        <v>885</v>
      </c>
      <c r="M151" t="s" s="61">
        <f>_xlfn.IFERROR(VLOOKUP($A151,'The List'!$B1:$AS730,20,FALSE)," ")</f>
        <v>885</v>
      </c>
      <c r="N151" t="s" s="61">
        <f>_xlfn.IFERROR(VLOOKUP($A151,'The List'!$B1:$AS730,21,FALSE)," ")</f>
        <v>885</v>
      </c>
      <c r="O151" t="s" s="61">
        <f>_xlfn.IFERROR(VLOOKUP($A151,'The List'!$B1:$AS730,22,FALSE)," ")</f>
        <v>885</v>
      </c>
      <c r="P151" t="s" s="61">
        <f>_xlfn.IFERROR(VLOOKUP($A151,'The List'!$B1:$AS730,23,FALSE)," ")</f>
        <v>885</v>
      </c>
      <c r="Q151" t="s" s="61">
        <f>_xlfn.IFERROR(VLOOKUP($A151,'The List'!$B1:$AS730,24,FALSE)," ")</f>
        <v>885</v>
      </c>
      <c r="R151" t="s" s="61">
        <f>_xlfn.IFERROR(VLOOKUP($A151,'The List'!$B1:$AS730,25,FALSE)," ")</f>
        <v>885</v>
      </c>
      <c r="S151" t="s" s="61">
        <f>_xlfn.IFERROR(VLOOKUP($A151,'The List'!$B1:$AS730,26,FALSE)," ")</f>
        <v>885</v>
      </c>
      <c r="T151" t="s" s="61">
        <f>_xlfn.IFERROR(VLOOKUP($A151,'The List'!$B1:$AS730,27,FALSE)," ")</f>
        <v>885</v>
      </c>
      <c r="U151" t="s" s="61">
        <f>_xlfn.IFERROR(VLOOKUP($A151,'The List'!$B1:$AS730,28,FALSE)," ")</f>
        <v>885</v>
      </c>
      <c r="V151" t="s" s="61">
        <f>_xlfn.IFERROR(VLOOKUP($A151,'The List'!$B1:$AS730,29,FALSE)," ")</f>
        <v>885</v>
      </c>
      <c r="W151" t="s" s="61">
        <f>_xlfn.IFERROR(VLOOKUP($A151,'The List'!$B1:$AS730,30,FALSE)," ")</f>
        <v>885</v>
      </c>
      <c r="X151" t="s" s="61">
        <f>_xlfn.IFERROR(VLOOKUP($A151,'The List'!$B1:$AS730,31,FALSE)," ")</f>
        <v>885</v>
      </c>
      <c r="Y151" t="s" s="61">
        <f>_xlfn.IFERROR(VLOOKUP($A151,'The List'!$B1:$AS730,32,FALSE)," ")</f>
        <v>885</v>
      </c>
      <c r="Z151" t="s" s="61">
        <f>_xlfn.IFERROR(VLOOKUP($A151,'The List'!$B1:$AS730,33,FALSE)," ")</f>
        <v>885</v>
      </c>
      <c r="AA151" s="64"/>
      <c r="AB151" s="69"/>
      <c r="AC151" s="69"/>
      <c r="AD151" s="69"/>
      <c r="AE151" s="69"/>
      <c r="AF151" s="69"/>
    </row>
    <row r="152" ht="21.25" customHeight="1">
      <c r="A152" s="29"/>
      <c r="B152" t="s" s="71">
        <f>_xlfn.IFERROR(VLOOKUP($A152,'The List'!$B1:$AS730,3,FALSE)," ")</f>
        <v>885</v>
      </c>
      <c r="C152" t="s" s="73">
        <f>_xlfn.IFERROR(VLOOKUP($A152,'The List'!$B1:$AS730,4,FALSE)," ")</f>
        <v>885</v>
      </c>
      <c r="D152" t="s" s="42">
        <f>_xlfn.IFERROR(VLOOKUP($A152,'The List'!$B1:$AS730,5,FALSE)," ")</f>
        <v>885</v>
      </c>
      <c r="E152" t="s" s="42">
        <f>_xlfn.IFERROR(VLOOKUP($A152,'The List'!$B1:$AS730,6,FALSE)," ")</f>
        <v>885</v>
      </c>
      <c r="F152" t="s" s="60">
        <f>_xlfn.IFERROR(VLOOKUP($A152,'The List'!$B1:$AS730,8,FALSE)," ")</f>
        <v>885</v>
      </c>
      <c r="G152" t="s" s="60">
        <f>_xlfn.IFERROR(VLOOKUP($A152,'The List'!$B1:$AS730,10,FALSE)," ")</f>
        <v>885</v>
      </c>
      <c r="H152" s="46"/>
      <c r="I152" t="s" s="61">
        <f>_xlfn.IFERROR(VLOOKUP($A152,'The List'!$B1:$AS730,16,FALSE)," ")</f>
        <v>885</v>
      </c>
      <c r="J152" t="s" s="61">
        <f>_xlfn.IFERROR(VLOOKUP($A152,'The List'!$B1:$AS730,17,FALSE)," ")</f>
        <v>885</v>
      </c>
      <c r="K152" t="s" s="61">
        <f>_xlfn.IFERROR(VLOOKUP($A152,'The List'!$B1:$AS730,18,FALSE)," ")</f>
        <v>885</v>
      </c>
      <c r="L152" t="s" s="61">
        <f>_xlfn.IFERROR(VLOOKUP($A152,'The List'!$B1:$AS730,19,FALSE)," ")</f>
        <v>885</v>
      </c>
      <c r="M152" t="s" s="61">
        <f>_xlfn.IFERROR(VLOOKUP($A152,'The List'!$B1:$AS730,20,FALSE)," ")</f>
        <v>885</v>
      </c>
      <c r="N152" t="s" s="61">
        <f>_xlfn.IFERROR(VLOOKUP($A152,'The List'!$B1:$AS730,21,FALSE)," ")</f>
        <v>885</v>
      </c>
      <c r="O152" t="s" s="61">
        <f>_xlfn.IFERROR(VLOOKUP($A152,'The List'!$B1:$AS730,22,FALSE)," ")</f>
        <v>885</v>
      </c>
      <c r="P152" t="s" s="61">
        <f>_xlfn.IFERROR(VLOOKUP($A152,'The List'!$B1:$AS730,23,FALSE)," ")</f>
        <v>885</v>
      </c>
      <c r="Q152" t="s" s="61">
        <f>_xlfn.IFERROR(VLOOKUP($A152,'The List'!$B1:$AS730,24,FALSE)," ")</f>
        <v>885</v>
      </c>
      <c r="R152" t="s" s="61">
        <f>_xlfn.IFERROR(VLOOKUP($A152,'The List'!$B1:$AS730,25,FALSE)," ")</f>
        <v>885</v>
      </c>
      <c r="S152" t="s" s="61">
        <f>_xlfn.IFERROR(VLOOKUP($A152,'The List'!$B1:$AS730,26,FALSE)," ")</f>
        <v>885</v>
      </c>
      <c r="T152" t="s" s="61">
        <f>_xlfn.IFERROR(VLOOKUP($A152,'The List'!$B1:$AS730,27,FALSE)," ")</f>
        <v>885</v>
      </c>
      <c r="U152" t="s" s="61">
        <f>_xlfn.IFERROR(VLOOKUP($A152,'The List'!$B1:$AS730,28,FALSE)," ")</f>
        <v>885</v>
      </c>
      <c r="V152" t="s" s="61">
        <f>_xlfn.IFERROR(VLOOKUP($A152,'The List'!$B1:$AS730,29,FALSE)," ")</f>
        <v>885</v>
      </c>
      <c r="W152" t="s" s="61">
        <f>_xlfn.IFERROR(VLOOKUP($A152,'The List'!$B1:$AS730,30,FALSE)," ")</f>
        <v>885</v>
      </c>
      <c r="X152" t="s" s="61">
        <f>_xlfn.IFERROR(VLOOKUP($A152,'The List'!$B1:$AS730,31,FALSE)," ")</f>
        <v>885</v>
      </c>
      <c r="Y152" t="s" s="61">
        <f>_xlfn.IFERROR(VLOOKUP($A152,'The List'!$B1:$AS730,32,FALSE)," ")</f>
        <v>885</v>
      </c>
      <c r="Z152" t="s" s="61">
        <f>_xlfn.IFERROR(VLOOKUP($A152,'The List'!$B1:$AS730,33,FALSE)," ")</f>
        <v>885</v>
      </c>
      <c r="AA152" s="64"/>
      <c r="AB152" s="69"/>
      <c r="AC152" s="69"/>
      <c r="AD152" s="69"/>
      <c r="AE152" s="69"/>
      <c r="AF152" s="69"/>
    </row>
    <row r="153" ht="21.25" customHeight="1">
      <c r="A153" s="29"/>
      <c r="B153" t="s" s="71">
        <f>_xlfn.IFERROR(VLOOKUP($A153,'The List'!$B1:$AS730,3,FALSE)," ")</f>
        <v>885</v>
      </c>
      <c r="C153" t="s" s="73">
        <f>_xlfn.IFERROR(VLOOKUP($A153,'The List'!$B1:$AS730,4,FALSE)," ")</f>
        <v>885</v>
      </c>
      <c r="D153" t="s" s="42">
        <f>_xlfn.IFERROR(VLOOKUP($A153,'The List'!$B1:$AS730,5,FALSE)," ")</f>
        <v>885</v>
      </c>
      <c r="E153" t="s" s="42">
        <f>_xlfn.IFERROR(VLOOKUP($A153,'The List'!$B1:$AS730,6,FALSE)," ")</f>
        <v>885</v>
      </c>
      <c r="F153" t="s" s="60">
        <f>_xlfn.IFERROR(VLOOKUP($A153,'The List'!$B1:$AS730,8,FALSE)," ")</f>
        <v>885</v>
      </c>
      <c r="G153" t="s" s="60">
        <f>_xlfn.IFERROR(VLOOKUP($A153,'The List'!$B1:$AS730,10,FALSE)," ")</f>
        <v>885</v>
      </c>
      <c r="H153" s="46"/>
      <c r="I153" t="s" s="61">
        <f>_xlfn.IFERROR(VLOOKUP($A153,'The List'!$B1:$AS730,16,FALSE)," ")</f>
        <v>885</v>
      </c>
      <c r="J153" t="s" s="61">
        <f>_xlfn.IFERROR(VLOOKUP($A153,'The List'!$B1:$AS730,17,FALSE)," ")</f>
        <v>885</v>
      </c>
      <c r="K153" t="s" s="61">
        <f>_xlfn.IFERROR(VLOOKUP($A153,'The List'!$B1:$AS730,18,FALSE)," ")</f>
        <v>885</v>
      </c>
      <c r="L153" t="s" s="61">
        <f>_xlfn.IFERROR(VLOOKUP($A153,'The List'!$B1:$AS730,19,FALSE)," ")</f>
        <v>885</v>
      </c>
      <c r="M153" t="s" s="61">
        <f>_xlfn.IFERROR(VLOOKUP($A153,'The List'!$B1:$AS730,20,FALSE)," ")</f>
        <v>885</v>
      </c>
      <c r="N153" t="s" s="61">
        <f>_xlfn.IFERROR(VLOOKUP($A153,'The List'!$B1:$AS730,21,FALSE)," ")</f>
        <v>885</v>
      </c>
      <c r="O153" t="s" s="61">
        <f>_xlfn.IFERROR(VLOOKUP($A153,'The List'!$B1:$AS730,22,FALSE)," ")</f>
        <v>885</v>
      </c>
      <c r="P153" t="s" s="61">
        <f>_xlfn.IFERROR(VLOOKUP($A153,'The List'!$B1:$AS730,23,FALSE)," ")</f>
        <v>885</v>
      </c>
      <c r="Q153" t="s" s="61">
        <f>_xlfn.IFERROR(VLOOKUP($A153,'The List'!$B1:$AS730,24,FALSE)," ")</f>
        <v>885</v>
      </c>
      <c r="R153" t="s" s="61">
        <f>_xlfn.IFERROR(VLOOKUP($A153,'The List'!$B1:$AS730,25,FALSE)," ")</f>
        <v>885</v>
      </c>
      <c r="S153" t="s" s="61">
        <f>_xlfn.IFERROR(VLOOKUP($A153,'The List'!$B1:$AS730,26,FALSE)," ")</f>
        <v>885</v>
      </c>
      <c r="T153" t="s" s="61">
        <f>_xlfn.IFERROR(VLOOKUP($A153,'The List'!$B1:$AS730,27,FALSE)," ")</f>
        <v>885</v>
      </c>
      <c r="U153" t="s" s="61">
        <f>_xlfn.IFERROR(VLOOKUP($A153,'The List'!$B1:$AS730,28,FALSE)," ")</f>
        <v>885</v>
      </c>
      <c r="V153" t="s" s="61">
        <f>_xlfn.IFERROR(VLOOKUP($A153,'The List'!$B1:$AS730,29,FALSE)," ")</f>
        <v>885</v>
      </c>
      <c r="W153" t="s" s="61">
        <f>_xlfn.IFERROR(VLOOKUP($A153,'The List'!$B1:$AS730,30,FALSE)," ")</f>
        <v>885</v>
      </c>
      <c r="X153" t="s" s="61">
        <f>_xlfn.IFERROR(VLOOKUP($A153,'The List'!$B1:$AS730,31,FALSE)," ")</f>
        <v>885</v>
      </c>
      <c r="Y153" t="s" s="61">
        <f>_xlfn.IFERROR(VLOOKUP($A153,'The List'!$B1:$AS730,32,FALSE)," ")</f>
        <v>885</v>
      </c>
      <c r="Z153" t="s" s="61">
        <f>_xlfn.IFERROR(VLOOKUP($A153,'The List'!$B1:$AS730,33,FALSE)," ")</f>
        <v>885</v>
      </c>
      <c r="AA153" s="64"/>
      <c r="AB153" s="69"/>
      <c r="AC153" s="69"/>
      <c r="AD153" s="69"/>
      <c r="AE153" s="69"/>
      <c r="AF153" s="69"/>
    </row>
    <row r="154" ht="21.25" customHeight="1">
      <c r="A154" s="29"/>
      <c r="B154" t="s" s="71">
        <f>_xlfn.IFERROR(VLOOKUP($A154,'The List'!$B1:$AS730,3,FALSE)," ")</f>
        <v>885</v>
      </c>
      <c r="C154" t="s" s="73">
        <f>_xlfn.IFERROR(VLOOKUP($A154,'The List'!$B1:$AS730,4,FALSE)," ")</f>
        <v>885</v>
      </c>
      <c r="D154" t="s" s="42">
        <f>_xlfn.IFERROR(VLOOKUP($A154,'The List'!$B1:$AS730,5,FALSE)," ")</f>
        <v>885</v>
      </c>
      <c r="E154" t="s" s="42">
        <f>_xlfn.IFERROR(VLOOKUP($A154,'The List'!$B1:$AS730,6,FALSE)," ")</f>
        <v>885</v>
      </c>
      <c r="F154" t="s" s="60">
        <f>_xlfn.IFERROR(VLOOKUP($A154,'The List'!$B1:$AS730,8,FALSE)," ")</f>
        <v>885</v>
      </c>
      <c r="G154" t="s" s="60">
        <f>_xlfn.IFERROR(VLOOKUP($A154,'The List'!$B1:$AS730,10,FALSE)," ")</f>
        <v>885</v>
      </c>
      <c r="H154" s="46"/>
      <c r="I154" t="s" s="61">
        <f>_xlfn.IFERROR(VLOOKUP($A154,'The List'!$B1:$AS730,16,FALSE)," ")</f>
        <v>885</v>
      </c>
      <c r="J154" t="s" s="61">
        <f>_xlfn.IFERROR(VLOOKUP($A154,'The List'!$B1:$AS730,17,FALSE)," ")</f>
        <v>885</v>
      </c>
      <c r="K154" t="s" s="61">
        <f>_xlfn.IFERROR(VLOOKUP($A154,'The List'!$B1:$AS730,18,FALSE)," ")</f>
        <v>885</v>
      </c>
      <c r="L154" t="s" s="61">
        <f>_xlfn.IFERROR(VLOOKUP($A154,'The List'!$B1:$AS730,19,FALSE)," ")</f>
        <v>885</v>
      </c>
      <c r="M154" t="s" s="61">
        <f>_xlfn.IFERROR(VLOOKUP($A154,'The List'!$B1:$AS730,20,FALSE)," ")</f>
        <v>885</v>
      </c>
      <c r="N154" t="s" s="61">
        <f>_xlfn.IFERROR(VLOOKUP($A154,'The List'!$B1:$AS730,21,FALSE)," ")</f>
        <v>885</v>
      </c>
      <c r="O154" t="s" s="61">
        <f>_xlfn.IFERROR(VLOOKUP($A154,'The List'!$B1:$AS730,22,FALSE)," ")</f>
        <v>885</v>
      </c>
      <c r="P154" t="s" s="61">
        <f>_xlfn.IFERROR(VLOOKUP($A154,'The List'!$B1:$AS730,23,FALSE)," ")</f>
        <v>885</v>
      </c>
      <c r="Q154" t="s" s="61">
        <f>_xlfn.IFERROR(VLOOKUP($A154,'The List'!$B1:$AS730,24,FALSE)," ")</f>
        <v>885</v>
      </c>
      <c r="R154" t="s" s="61">
        <f>_xlfn.IFERROR(VLOOKUP($A154,'The List'!$B1:$AS730,25,FALSE)," ")</f>
        <v>885</v>
      </c>
      <c r="S154" t="s" s="61">
        <f>_xlfn.IFERROR(VLOOKUP($A154,'The List'!$B1:$AS730,26,FALSE)," ")</f>
        <v>885</v>
      </c>
      <c r="T154" t="s" s="61">
        <f>_xlfn.IFERROR(VLOOKUP($A154,'The List'!$B1:$AS730,27,FALSE)," ")</f>
        <v>885</v>
      </c>
      <c r="U154" t="s" s="61">
        <f>_xlfn.IFERROR(VLOOKUP($A154,'The List'!$B1:$AS730,28,FALSE)," ")</f>
        <v>885</v>
      </c>
      <c r="V154" t="s" s="61">
        <f>_xlfn.IFERROR(VLOOKUP($A154,'The List'!$B1:$AS730,29,FALSE)," ")</f>
        <v>885</v>
      </c>
      <c r="W154" t="s" s="61">
        <f>_xlfn.IFERROR(VLOOKUP($A154,'The List'!$B1:$AS730,30,FALSE)," ")</f>
        <v>885</v>
      </c>
      <c r="X154" t="s" s="61">
        <f>_xlfn.IFERROR(VLOOKUP($A154,'The List'!$B1:$AS730,31,FALSE)," ")</f>
        <v>885</v>
      </c>
      <c r="Y154" t="s" s="61">
        <f>_xlfn.IFERROR(VLOOKUP($A154,'The List'!$B1:$AS730,32,FALSE)," ")</f>
        <v>885</v>
      </c>
      <c r="Z154" t="s" s="61">
        <f>_xlfn.IFERROR(VLOOKUP($A154,'The List'!$B1:$AS730,33,FALSE)," ")</f>
        <v>885</v>
      </c>
      <c r="AA154" s="64"/>
      <c r="AB154" s="69"/>
      <c r="AC154" s="69"/>
      <c r="AD154" s="69"/>
      <c r="AE154" s="69"/>
      <c r="AF154" s="69"/>
    </row>
    <row r="155" ht="21.25" customHeight="1">
      <c r="A155" s="29"/>
      <c r="B155" t="s" s="74">
        <f>_xlfn.IFERROR(VLOOKUP($A155,'The List'!$B1:$AS730,3,FALSE)," ")</f>
        <v>885</v>
      </c>
      <c r="C155" t="s" s="76">
        <f>_xlfn.IFERROR(VLOOKUP($A155,'The List'!$B1:$AS730,4,FALSE)," ")</f>
        <v>885</v>
      </c>
      <c r="D155" t="s" s="42">
        <f>_xlfn.IFERROR(VLOOKUP($A155,'The List'!$B1:$AS730,5,FALSE)," ")</f>
        <v>885</v>
      </c>
      <c r="E155" t="s" s="42">
        <f>_xlfn.IFERROR(VLOOKUP($A155,'The List'!$B1:$AS730,6,FALSE)," ")</f>
        <v>885</v>
      </c>
      <c r="F155" t="s" s="60">
        <f>_xlfn.IFERROR(VLOOKUP($A155,'The List'!$B1:$AS730,8,FALSE)," ")</f>
        <v>885</v>
      </c>
      <c r="G155" t="s" s="60">
        <f>_xlfn.IFERROR(VLOOKUP($A155,'The List'!$B1:$AS730,10,FALSE)," ")</f>
        <v>885</v>
      </c>
      <c r="H155" s="46"/>
      <c r="I155" t="s" s="61">
        <f>_xlfn.IFERROR(VLOOKUP($A155,'The List'!$B1:$AS730,16,FALSE)," ")</f>
        <v>885</v>
      </c>
      <c r="J155" t="s" s="61">
        <f>_xlfn.IFERROR(VLOOKUP($A155,'The List'!$B1:$AS730,17,FALSE)," ")</f>
        <v>885</v>
      </c>
      <c r="K155" t="s" s="61">
        <f>_xlfn.IFERROR(VLOOKUP($A155,'The List'!$B1:$AS730,18,FALSE)," ")</f>
        <v>885</v>
      </c>
      <c r="L155" t="s" s="61">
        <f>_xlfn.IFERROR(VLOOKUP($A155,'The List'!$B1:$AS730,19,FALSE)," ")</f>
        <v>885</v>
      </c>
      <c r="M155" t="s" s="61">
        <f>_xlfn.IFERROR(VLOOKUP($A155,'The List'!$B1:$AS730,20,FALSE)," ")</f>
        <v>885</v>
      </c>
      <c r="N155" t="s" s="61">
        <f>_xlfn.IFERROR(VLOOKUP($A155,'The List'!$B1:$AS730,21,FALSE)," ")</f>
        <v>885</v>
      </c>
      <c r="O155" t="s" s="61">
        <f>_xlfn.IFERROR(VLOOKUP($A155,'The List'!$B1:$AS730,22,FALSE)," ")</f>
        <v>885</v>
      </c>
      <c r="P155" t="s" s="61">
        <f>_xlfn.IFERROR(VLOOKUP($A155,'The List'!$B1:$AS730,23,FALSE)," ")</f>
        <v>885</v>
      </c>
      <c r="Q155" t="s" s="61">
        <f>_xlfn.IFERROR(VLOOKUP($A155,'The List'!$B1:$AS730,24,FALSE)," ")</f>
        <v>885</v>
      </c>
      <c r="R155" t="s" s="61">
        <f>_xlfn.IFERROR(VLOOKUP($A155,'The List'!$B1:$AS730,25,FALSE)," ")</f>
        <v>885</v>
      </c>
      <c r="S155" t="s" s="61">
        <f>_xlfn.IFERROR(VLOOKUP($A155,'The List'!$B1:$AS730,26,FALSE)," ")</f>
        <v>885</v>
      </c>
      <c r="T155" t="s" s="61">
        <f>_xlfn.IFERROR(VLOOKUP($A155,'The List'!$B1:$AS730,27,FALSE)," ")</f>
        <v>885</v>
      </c>
      <c r="U155" t="s" s="61">
        <f>_xlfn.IFERROR(VLOOKUP($A155,'The List'!$B1:$AS730,28,FALSE)," ")</f>
        <v>885</v>
      </c>
      <c r="V155" t="s" s="61">
        <f>_xlfn.IFERROR(VLOOKUP($A155,'The List'!$B1:$AS730,29,FALSE)," ")</f>
        <v>885</v>
      </c>
      <c r="W155" t="s" s="61">
        <f>_xlfn.IFERROR(VLOOKUP($A155,'The List'!$B1:$AS730,30,FALSE)," ")</f>
        <v>885</v>
      </c>
      <c r="X155" t="s" s="61">
        <f>_xlfn.IFERROR(VLOOKUP($A155,'The List'!$B1:$AS730,31,FALSE)," ")</f>
        <v>885</v>
      </c>
      <c r="Y155" t="s" s="61">
        <f>_xlfn.IFERROR(VLOOKUP($A155,'The List'!$B1:$AS730,32,FALSE)," ")</f>
        <v>885</v>
      </c>
      <c r="Z155" t="s" s="61">
        <f>_xlfn.IFERROR(VLOOKUP($A155,'The List'!$B1:$AS730,33,FALSE)," ")</f>
        <v>885</v>
      </c>
      <c r="AA155" s="64"/>
      <c r="AB155" s="69"/>
      <c r="AC155" s="69"/>
      <c r="AD155" s="69"/>
      <c r="AE155" s="69"/>
      <c r="AF155" s="69"/>
    </row>
    <row r="156" ht="21.25" customHeight="1">
      <c r="A156" s="29"/>
      <c r="B156" t="s" s="74">
        <f>_xlfn.IFERROR(VLOOKUP($A156,'The List'!$B1:$AS730,3,FALSE)," ")</f>
        <v>885</v>
      </c>
      <c r="C156" t="s" s="76">
        <f>_xlfn.IFERROR(VLOOKUP($A156,'The List'!$B1:$AS730,4,FALSE)," ")</f>
        <v>885</v>
      </c>
      <c r="D156" t="s" s="42">
        <f>_xlfn.IFERROR(VLOOKUP($A156,'The List'!$B1:$AS730,5,FALSE)," ")</f>
        <v>885</v>
      </c>
      <c r="E156" t="s" s="42">
        <f>_xlfn.IFERROR(VLOOKUP($A156,'The List'!$B1:$AS730,6,FALSE)," ")</f>
        <v>885</v>
      </c>
      <c r="F156" t="s" s="60">
        <f>_xlfn.IFERROR(VLOOKUP($A156,'The List'!$B1:$AS730,8,FALSE)," ")</f>
        <v>885</v>
      </c>
      <c r="G156" t="s" s="60">
        <f>_xlfn.IFERROR(VLOOKUP($A156,'The List'!$B1:$AS730,10,FALSE)," ")</f>
        <v>885</v>
      </c>
      <c r="H156" s="46"/>
      <c r="I156" t="s" s="61">
        <f>_xlfn.IFERROR(VLOOKUP($A156,'The List'!$B1:$AS730,16,FALSE)," ")</f>
        <v>885</v>
      </c>
      <c r="J156" t="s" s="61">
        <f>_xlfn.IFERROR(VLOOKUP($A156,'The List'!$B1:$AS730,17,FALSE)," ")</f>
        <v>885</v>
      </c>
      <c r="K156" t="s" s="61">
        <f>_xlfn.IFERROR(VLOOKUP($A156,'The List'!$B1:$AS730,18,FALSE)," ")</f>
        <v>885</v>
      </c>
      <c r="L156" t="s" s="61">
        <f>_xlfn.IFERROR(VLOOKUP($A156,'The List'!$B1:$AS730,19,FALSE)," ")</f>
        <v>885</v>
      </c>
      <c r="M156" t="s" s="61">
        <f>_xlfn.IFERROR(VLOOKUP($A156,'The List'!$B1:$AS730,20,FALSE)," ")</f>
        <v>885</v>
      </c>
      <c r="N156" t="s" s="61">
        <f>_xlfn.IFERROR(VLOOKUP($A156,'The List'!$B1:$AS730,21,FALSE)," ")</f>
        <v>885</v>
      </c>
      <c r="O156" t="s" s="61">
        <f>_xlfn.IFERROR(VLOOKUP($A156,'The List'!$B1:$AS730,22,FALSE)," ")</f>
        <v>885</v>
      </c>
      <c r="P156" t="s" s="61">
        <f>_xlfn.IFERROR(VLOOKUP($A156,'The List'!$B1:$AS730,23,FALSE)," ")</f>
        <v>885</v>
      </c>
      <c r="Q156" t="s" s="61">
        <f>_xlfn.IFERROR(VLOOKUP($A156,'The List'!$B1:$AS730,24,FALSE)," ")</f>
        <v>885</v>
      </c>
      <c r="R156" t="s" s="61">
        <f>_xlfn.IFERROR(VLOOKUP($A156,'The List'!$B1:$AS730,25,FALSE)," ")</f>
        <v>885</v>
      </c>
      <c r="S156" t="s" s="61">
        <f>_xlfn.IFERROR(VLOOKUP($A156,'The List'!$B1:$AS730,26,FALSE)," ")</f>
        <v>885</v>
      </c>
      <c r="T156" t="s" s="61">
        <f>_xlfn.IFERROR(VLOOKUP($A156,'The List'!$B1:$AS730,27,FALSE)," ")</f>
        <v>885</v>
      </c>
      <c r="U156" t="s" s="61">
        <f>_xlfn.IFERROR(VLOOKUP($A156,'The List'!$B1:$AS730,28,FALSE)," ")</f>
        <v>885</v>
      </c>
      <c r="V156" t="s" s="61">
        <f>_xlfn.IFERROR(VLOOKUP($A156,'The List'!$B1:$AS730,29,FALSE)," ")</f>
        <v>885</v>
      </c>
      <c r="W156" t="s" s="61">
        <f>_xlfn.IFERROR(VLOOKUP($A156,'The List'!$B1:$AS730,30,FALSE)," ")</f>
        <v>885</v>
      </c>
      <c r="X156" t="s" s="61">
        <f>_xlfn.IFERROR(VLOOKUP($A156,'The List'!$B1:$AS730,31,FALSE)," ")</f>
        <v>885</v>
      </c>
      <c r="Y156" t="s" s="61">
        <f>_xlfn.IFERROR(VLOOKUP($A156,'The List'!$B1:$AS730,32,FALSE)," ")</f>
        <v>885</v>
      </c>
      <c r="Z156" t="s" s="61">
        <f>_xlfn.IFERROR(VLOOKUP($A156,'The List'!$B1:$AS730,33,FALSE)," ")</f>
        <v>885</v>
      </c>
      <c r="AA156" s="64"/>
      <c r="AB156" s="69"/>
      <c r="AC156" s="69"/>
      <c r="AD156" s="69"/>
      <c r="AE156" s="69"/>
      <c r="AF156" s="69"/>
    </row>
    <row r="157" ht="21.25" customHeight="1">
      <c r="A157" s="29"/>
      <c r="B157" t="s" s="74">
        <f>_xlfn.IFERROR(VLOOKUP($A157,'The List'!$B1:$AS730,3,FALSE)," ")</f>
        <v>885</v>
      </c>
      <c r="C157" t="s" s="76">
        <f>_xlfn.IFERROR(VLOOKUP($A157,'The List'!$B1:$AS730,4,FALSE)," ")</f>
        <v>885</v>
      </c>
      <c r="D157" t="s" s="42">
        <f>_xlfn.IFERROR(VLOOKUP($A157,'The List'!$B1:$AS730,5,FALSE)," ")</f>
        <v>885</v>
      </c>
      <c r="E157" t="s" s="42">
        <f>_xlfn.IFERROR(VLOOKUP($A157,'The List'!$B1:$AS730,6,FALSE)," ")</f>
        <v>885</v>
      </c>
      <c r="F157" t="s" s="60">
        <f>_xlfn.IFERROR(VLOOKUP($A157,'The List'!$B1:$AS730,8,FALSE)," ")</f>
        <v>885</v>
      </c>
      <c r="G157" t="s" s="60">
        <f>_xlfn.IFERROR(VLOOKUP($A157,'The List'!$B1:$AS730,10,FALSE)," ")</f>
        <v>885</v>
      </c>
      <c r="H157" s="46"/>
      <c r="I157" t="s" s="61">
        <f>_xlfn.IFERROR(VLOOKUP($A157,'The List'!$B1:$AS730,16,FALSE)," ")</f>
        <v>885</v>
      </c>
      <c r="J157" t="s" s="61">
        <f>_xlfn.IFERROR(VLOOKUP($A157,'The List'!$B1:$AS730,17,FALSE)," ")</f>
        <v>885</v>
      </c>
      <c r="K157" t="s" s="61">
        <f>_xlfn.IFERROR(VLOOKUP($A157,'The List'!$B1:$AS730,18,FALSE)," ")</f>
        <v>885</v>
      </c>
      <c r="L157" t="s" s="61">
        <f>_xlfn.IFERROR(VLOOKUP($A157,'The List'!$B1:$AS730,19,FALSE)," ")</f>
        <v>885</v>
      </c>
      <c r="M157" t="s" s="61">
        <f>_xlfn.IFERROR(VLOOKUP($A157,'The List'!$B1:$AS730,20,FALSE)," ")</f>
        <v>885</v>
      </c>
      <c r="N157" t="s" s="61">
        <f>_xlfn.IFERROR(VLOOKUP($A157,'The List'!$B1:$AS730,21,FALSE)," ")</f>
        <v>885</v>
      </c>
      <c r="O157" t="s" s="61">
        <f>_xlfn.IFERROR(VLOOKUP($A157,'The List'!$B1:$AS730,22,FALSE)," ")</f>
        <v>885</v>
      </c>
      <c r="P157" t="s" s="61">
        <f>_xlfn.IFERROR(VLOOKUP($A157,'The List'!$B1:$AS730,23,FALSE)," ")</f>
        <v>885</v>
      </c>
      <c r="Q157" t="s" s="61">
        <f>_xlfn.IFERROR(VLOOKUP($A157,'The List'!$B1:$AS730,24,FALSE)," ")</f>
        <v>885</v>
      </c>
      <c r="R157" t="s" s="61">
        <f>_xlfn.IFERROR(VLOOKUP($A157,'The List'!$B1:$AS730,25,FALSE)," ")</f>
        <v>885</v>
      </c>
      <c r="S157" t="s" s="61">
        <f>_xlfn.IFERROR(VLOOKUP($A157,'The List'!$B1:$AS730,26,FALSE)," ")</f>
        <v>885</v>
      </c>
      <c r="T157" t="s" s="61">
        <f>_xlfn.IFERROR(VLOOKUP($A157,'The List'!$B1:$AS730,27,FALSE)," ")</f>
        <v>885</v>
      </c>
      <c r="U157" t="s" s="61">
        <f>_xlfn.IFERROR(VLOOKUP($A157,'The List'!$B1:$AS730,28,FALSE)," ")</f>
        <v>885</v>
      </c>
      <c r="V157" t="s" s="61">
        <f>_xlfn.IFERROR(VLOOKUP($A157,'The List'!$B1:$AS730,29,FALSE)," ")</f>
        <v>885</v>
      </c>
      <c r="W157" t="s" s="61">
        <f>_xlfn.IFERROR(VLOOKUP($A157,'The List'!$B1:$AS730,30,FALSE)," ")</f>
        <v>885</v>
      </c>
      <c r="X157" t="s" s="61">
        <f>_xlfn.IFERROR(VLOOKUP($A157,'The List'!$B1:$AS730,31,FALSE)," ")</f>
        <v>885</v>
      </c>
      <c r="Y157" t="s" s="61">
        <f>_xlfn.IFERROR(VLOOKUP($A157,'The List'!$B1:$AS730,32,FALSE)," ")</f>
        <v>885</v>
      </c>
      <c r="Z157" t="s" s="61">
        <f>_xlfn.IFERROR(VLOOKUP($A157,'The List'!$B1:$AS730,33,FALSE)," ")</f>
        <v>885</v>
      </c>
      <c r="AA157" s="64"/>
      <c r="AB157" s="69"/>
      <c r="AC157" s="69"/>
      <c r="AD157" s="69"/>
      <c r="AE157" s="69"/>
      <c r="AF157" s="69"/>
    </row>
    <row r="158" ht="21.25" customHeight="1">
      <c r="A158" s="29"/>
      <c r="B158" t="s" s="74">
        <f>_xlfn.IFERROR(VLOOKUP($A158,'The List'!$B1:$AS730,3,FALSE)," ")</f>
        <v>885</v>
      </c>
      <c r="C158" t="s" s="76">
        <f>_xlfn.IFERROR(VLOOKUP($A158,'The List'!$B1:$AS730,4,FALSE)," ")</f>
        <v>885</v>
      </c>
      <c r="D158" t="s" s="42">
        <f>_xlfn.IFERROR(VLOOKUP($A158,'The List'!$B1:$AS730,5,FALSE)," ")</f>
        <v>885</v>
      </c>
      <c r="E158" t="s" s="42">
        <f>_xlfn.IFERROR(VLOOKUP($A158,'The List'!$B1:$AS730,6,FALSE)," ")</f>
        <v>885</v>
      </c>
      <c r="F158" t="s" s="60">
        <f>_xlfn.IFERROR(VLOOKUP($A158,'The List'!$B1:$AS730,8,FALSE)," ")</f>
        <v>885</v>
      </c>
      <c r="G158" t="s" s="60">
        <f>_xlfn.IFERROR(VLOOKUP($A158,'The List'!$B1:$AS730,10,FALSE)," ")</f>
        <v>885</v>
      </c>
      <c r="H158" s="46"/>
      <c r="I158" t="s" s="61">
        <f>_xlfn.IFERROR(VLOOKUP($A158,'The List'!$B1:$AS730,16,FALSE)," ")</f>
        <v>885</v>
      </c>
      <c r="J158" t="s" s="61">
        <f>_xlfn.IFERROR(VLOOKUP($A158,'The List'!$B1:$AS730,17,FALSE)," ")</f>
        <v>885</v>
      </c>
      <c r="K158" t="s" s="61">
        <f>_xlfn.IFERROR(VLOOKUP($A158,'The List'!$B1:$AS730,18,FALSE)," ")</f>
        <v>885</v>
      </c>
      <c r="L158" t="s" s="61">
        <f>_xlfn.IFERROR(VLOOKUP($A158,'The List'!$B1:$AS730,19,FALSE)," ")</f>
        <v>885</v>
      </c>
      <c r="M158" t="s" s="61">
        <f>_xlfn.IFERROR(VLOOKUP($A158,'The List'!$B1:$AS730,20,FALSE)," ")</f>
        <v>885</v>
      </c>
      <c r="N158" t="s" s="61">
        <f>_xlfn.IFERROR(VLOOKUP($A158,'The List'!$B1:$AS730,21,FALSE)," ")</f>
        <v>885</v>
      </c>
      <c r="O158" t="s" s="61">
        <f>_xlfn.IFERROR(VLOOKUP($A158,'The List'!$B1:$AS730,22,FALSE)," ")</f>
        <v>885</v>
      </c>
      <c r="P158" t="s" s="61">
        <f>_xlfn.IFERROR(VLOOKUP($A158,'The List'!$B1:$AS730,23,FALSE)," ")</f>
        <v>885</v>
      </c>
      <c r="Q158" t="s" s="61">
        <f>_xlfn.IFERROR(VLOOKUP($A158,'The List'!$B1:$AS730,24,FALSE)," ")</f>
        <v>885</v>
      </c>
      <c r="R158" t="s" s="61">
        <f>_xlfn.IFERROR(VLOOKUP($A158,'The List'!$B1:$AS730,25,FALSE)," ")</f>
        <v>885</v>
      </c>
      <c r="S158" t="s" s="61">
        <f>_xlfn.IFERROR(VLOOKUP($A158,'The List'!$B1:$AS730,26,FALSE)," ")</f>
        <v>885</v>
      </c>
      <c r="T158" t="s" s="61">
        <f>_xlfn.IFERROR(VLOOKUP($A158,'The List'!$B1:$AS730,27,FALSE)," ")</f>
        <v>885</v>
      </c>
      <c r="U158" t="s" s="61">
        <f>_xlfn.IFERROR(VLOOKUP($A158,'The List'!$B1:$AS730,28,FALSE)," ")</f>
        <v>885</v>
      </c>
      <c r="V158" t="s" s="61">
        <f>_xlfn.IFERROR(VLOOKUP($A158,'The List'!$B1:$AS730,29,FALSE)," ")</f>
        <v>885</v>
      </c>
      <c r="W158" t="s" s="61">
        <f>_xlfn.IFERROR(VLOOKUP($A158,'The List'!$B1:$AS730,30,FALSE)," ")</f>
        <v>885</v>
      </c>
      <c r="X158" t="s" s="61">
        <f>_xlfn.IFERROR(VLOOKUP($A158,'The List'!$B1:$AS730,31,FALSE)," ")</f>
        <v>885</v>
      </c>
      <c r="Y158" t="s" s="61">
        <f>_xlfn.IFERROR(VLOOKUP($A158,'The List'!$B1:$AS730,32,FALSE)," ")</f>
        <v>885</v>
      </c>
      <c r="Z158" t="s" s="61">
        <f>_xlfn.IFERROR(VLOOKUP($A158,'The List'!$B1:$AS730,33,FALSE)," ")</f>
        <v>885</v>
      </c>
      <c r="AA158" s="64"/>
      <c r="AB158" s="69"/>
      <c r="AC158" s="69"/>
      <c r="AD158" s="69"/>
      <c r="AE158" s="69"/>
      <c r="AF158" s="69"/>
    </row>
    <row r="159" ht="21.25" customHeight="1">
      <c r="A159" s="29"/>
      <c r="B159" t="s" s="77">
        <f>_xlfn.IFERROR(VLOOKUP($A159,'The List'!$B1:$AS730,3,FALSE)," ")</f>
        <v>885</v>
      </c>
      <c r="C159" t="s" s="79">
        <f>_xlfn.IFERROR(VLOOKUP($A159,'The List'!$B1:$AS730,4,FALSE)," ")</f>
        <v>885</v>
      </c>
      <c r="D159" t="s" s="42">
        <f>_xlfn.IFERROR(VLOOKUP($A159,'The List'!$B1:$AS730,5,FALSE)," ")</f>
        <v>885</v>
      </c>
      <c r="E159" t="s" s="42">
        <f>_xlfn.IFERROR(VLOOKUP($A159,'The List'!$B1:$AS730,6,FALSE)," ")</f>
        <v>885</v>
      </c>
      <c r="F159" t="s" s="60">
        <f>_xlfn.IFERROR(VLOOKUP($A159,'The List'!$B1:$AS730,8,FALSE)," ")</f>
        <v>885</v>
      </c>
      <c r="G159" t="s" s="60">
        <f>_xlfn.IFERROR(VLOOKUP($A159,'The List'!$B1:$AS730,10,FALSE)," ")</f>
        <v>885</v>
      </c>
      <c r="H159" s="46"/>
      <c r="I159" t="s" s="61">
        <f>_xlfn.IFERROR(VLOOKUP($A159,'The List'!$B1:$AS730,16,FALSE)," ")</f>
        <v>885</v>
      </c>
      <c r="J159" t="s" s="61">
        <f>_xlfn.IFERROR(VLOOKUP($A159,'The List'!$B1:$AS730,17,FALSE)," ")</f>
        <v>885</v>
      </c>
      <c r="K159" t="s" s="61">
        <f>_xlfn.IFERROR(VLOOKUP($A159,'The List'!$B1:$AS730,18,FALSE)," ")</f>
        <v>885</v>
      </c>
      <c r="L159" t="s" s="61">
        <f>_xlfn.IFERROR(VLOOKUP($A159,'The List'!$B1:$AS730,19,FALSE)," ")</f>
        <v>885</v>
      </c>
      <c r="M159" t="s" s="61">
        <f>_xlfn.IFERROR(VLOOKUP($A159,'The List'!$B1:$AS730,20,FALSE)," ")</f>
        <v>885</v>
      </c>
      <c r="N159" t="s" s="61">
        <f>_xlfn.IFERROR(VLOOKUP($A159,'The List'!$B1:$AS730,21,FALSE)," ")</f>
        <v>885</v>
      </c>
      <c r="O159" t="s" s="61">
        <f>_xlfn.IFERROR(VLOOKUP($A159,'The List'!$B1:$AS730,22,FALSE)," ")</f>
        <v>885</v>
      </c>
      <c r="P159" t="s" s="61">
        <f>_xlfn.IFERROR(VLOOKUP($A159,'The List'!$B1:$AS730,23,FALSE)," ")</f>
        <v>885</v>
      </c>
      <c r="Q159" t="s" s="61">
        <f>_xlfn.IFERROR(VLOOKUP($A159,'The List'!$B1:$AS730,24,FALSE)," ")</f>
        <v>885</v>
      </c>
      <c r="R159" t="s" s="61">
        <f>_xlfn.IFERROR(VLOOKUP($A159,'The List'!$B1:$AS730,25,FALSE)," ")</f>
        <v>885</v>
      </c>
      <c r="S159" t="s" s="61">
        <f>_xlfn.IFERROR(VLOOKUP($A159,'The List'!$B1:$AS730,26,FALSE)," ")</f>
        <v>885</v>
      </c>
      <c r="T159" t="s" s="61">
        <f>_xlfn.IFERROR(VLOOKUP($A159,'The List'!$B1:$AS730,27,FALSE)," ")</f>
        <v>885</v>
      </c>
      <c r="U159" t="s" s="61">
        <f>_xlfn.IFERROR(VLOOKUP($A159,'The List'!$B1:$AS730,28,FALSE)," ")</f>
        <v>885</v>
      </c>
      <c r="V159" t="s" s="61">
        <f>_xlfn.IFERROR(VLOOKUP($A159,'The List'!$B1:$AS730,29,FALSE)," ")</f>
        <v>885</v>
      </c>
      <c r="W159" t="s" s="61">
        <f>_xlfn.IFERROR(VLOOKUP($A159,'The List'!$B1:$AS730,30,FALSE)," ")</f>
        <v>885</v>
      </c>
      <c r="X159" t="s" s="61">
        <f>_xlfn.IFERROR(VLOOKUP($A159,'The List'!$B1:$AS730,31,FALSE)," ")</f>
        <v>885</v>
      </c>
      <c r="Y159" t="s" s="61">
        <f>_xlfn.IFERROR(VLOOKUP($A159,'The List'!$B1:$AS730,32,FALSE)," ")</f>
        <v>885</v>
      </c>
      <c r="Z159" t="s" s="61">
        <f>_xlfn.IFERROR(VLOOKUP($A159,'The List'!$B1:$AS730,33,FALSE)," ")</f>
        <v>885</v>
      </c>
      <c r="AA159" s="64"/>
      <c r="AB159" s="69"/>
      <c r="AC159" s="69"/>
      <c r="AD159" s="69"/>
      <c r="AE159" s="69"/>
      <c r="AF159" s="69"/>
    </row>
    <row r="160" ht="21.25" customHeight="1">
      <c r="A160" s="29"/>
      <c r="B160" t="s" s="77">
        <f>_xlfn.IFERROR(VLOOKUP($A160,'The List'!$B1:$AS730,3,FALSE)," ")</f>
        <v>885</v>
      </c>
      <c r="C160" t="s" s="79">
        <f>_xlfn.IFERROR(VLOOKUP($A160,'The List'!$B1:$AS730,4,FALSE)," ")</f>
        <v>885</v>
      </c>
      <c r="D160" t="s" s="42">
        <f>_xlfn.IFERROR(VLOOKUP($A160,'The List'!$B1:$AS730,5,FALSE)," ")</f>
        <v>885</v>
      </c>
      <c r="E160" t="s" s="42">
        <f>_xlfn.IFERROR(VLOOKUP($A160,'The List'!$B1:$AS730,6,FALSE)," ")</f>
        <v>885</v>
      </c>
      <c r="F160" t="s" s="60">
        <f>_xlfn.IFERROR(VLOOKUP($A160,'The List'!$B1:$AS730,8,FALSE)," ")</f>
        <v>885</v>
      </c>
      <c r="G160" t="s" s="60">
        <f>_xlfn.IFERROR(VLOOKUP($A160,'The List'!$B1:$AS730,10,FALSE)," ")</f>
        <v>885</v>
      </c>
      <c r="H160" s="46"/>
      <c r="I160" t="s" s="61">
        <f>_xlfn.IFERROR(VLOOKUP($A160,'The List'!$B1:$AS730,16,FALSE)," ")</f>
        <v>885</v>
      </c>
      <c r="J160" t="s" s="61">
        <f>_xlfn.IFERROR(VLOOKUP($A160,'The List'!$B1:$AS730,17,FALSE)," ")</f>
        <v>885</v>
      </c>
      <c r="K160" t="s" s="61">
        <f>_xlfn.IFERROR(VLOOKUP($A160,'The List'!$B1:$AS730,18,FALSE)," ")</f>
        <v>885</v>
      </c>
      <c r="L160" t="s" s="61">
        <f>_xlfn.IFERROR(VLOOKUP($A160,'The List'!$B1:$AS730,19,FALSE)," ")</f>
        <v>885</v>
      </c>
      <c r="M160" t="s" s="61">
        <f>_xlfn.IFERROR(VLOOKUP($A160,'The List'!$B1:$AS730,20,FALSE)," ")</f>
        <v>885</v>
      </c>
      <c r="N160" t="s" s="61">
        <f>_xlfn.IFERROR(VLOOKUP($A160,'The List'!$B1:$AS730,21,FALSE)," ")</f>
        <v>885</v>
      </c>
      <c r="O160" t="s" s="61">
        <f>_xlfn.IFERROR(VLOOKUP($A160,'The List'!$B1:$AS730,22,FALSE)," ")</f>
        <v>885</v>
      </c>
      <c r="P160" t="s" s="61">
        <f>_xlfn.IFERROR(VLOOKUP($A160,'The List'!$B1:$AS730,23,FALSE)," ")</f>
        <v>885</v>
      </c>
      <c r="Q160" t="s" s="61">
        <f>_xlfn.IFERROR(VLOOKUP($A160,'The List'!$B1:$AS730,24,FALSE)," ")</f>
        <v>885</v>
      </c>
      <c r="R160" t="s" s="61">
        <f>_xlfn.IFERROR(VLOOKUP($A160,'The List'!$B1:$AS730,25,FALSE)," ")</f>
        <v>885</v>
      </c>
      <c r="S160" t="s" s="61">
        <f>_xlfn.IFERROR(VLOOKUP($A160,'The List'!$B1:$AS730,26,FALSE)," ")</f>
        <v>885</v>
      </c>
      <c r="T160" t="s" s="61">
        <f>_xlfn.IFERROR(VLOOKUP($A160,'The List'!$B1:$AS730,27,FALSE)," ")</f>
        <v>885</v>
      </c>
      <c r="U160" t="s" s="61">
        <f>_xlfn.IFERROR(VLOOKUP($A160,'The List'!$B1:$AS730,28,FALSE)," ")</f>
        <v>885</v>
      </c>
      <c r="V160" t="s" s="61">
        <f>_xlfn.IFERROR(VLOOKUP($A160,'The List'!$B1:$AS730,29,FALSE)," ")</f>
        <v>885</v>
      </c>
      <c r="W160" t="s" s="61">
        <f>_xlfn.IFERROR(VLOOKUP($A160,'The List'!$B1:$AS730,30,FALSE)," ")</f>
        <v>885</v>
      </c>
      <c r="X160" t="s" s="61">
        <f>_xlfn.IFERROR(VLOOKUP($A160,'The List'!$B1:$AS730,31,FALSE)," ")</f>
        <v>885</v>
      </c>
      <c r="Y160" t="s" s="61">
        <f>_xlfn.IFERROR(VLOOKUP($A160,'The List'!$B1:$AS730,32,FALSE)," ")</f>
        <v>885</v>
      </c>
      <c r="Z160" t="s" s="61">
        <f>_xlfn.IFERROR(VLOOKUP($A160,'The List'!$B1:$AS730,33,FALSE)," ")</f>
        <v>885</v>
      </c>
      <c r="AA160" s="64"/>
      <c r="AB160" s="69"/>
      <c r="AC160" s="69"/>
      <c r="AD160" s="69"/>
      <c r="AE160" s="69"/>
      <c r="AF160" s="69"/>
    </row>
    <row r="161" ht="21.25" customHeight="1">
      <c r="A161" s="29"/>
      <c r="B161" t="s" s="77">
        <f>_xlfn.IFERROR(VLOOKUP($A161,'The List'!$B1:$AS730,3,FALSE)," ")</f>
        <v>885</v>
      </c>
      <c r="C161" t="s" s="79">
        <f>_xlfn.IFERROR(VLOOKUP($A161,'The List'!$B1:$AS730,4,FALSE)," ")</f>
        <v>885</v>
      </c>
      <c r="D161" t="s" s="42">
        <f>_xlfn.IFERROR(VLOOKUP($A161,'The List'!$B1:$AS730,5,FALSE)," ")</f>
        <v>885</v>
      </c>
      <c r="E161" t="s" s="42">
        <f>_xlfn.IFERROR(VLOOKUP($A161,'The List'!$B1:$AS730,6,FALSE)," ")</f>
        <v>885</v>
      </c>
      <c r="F161" t="s" s="60">
        <f>_xlfn.IFERROR(VLOOKUP($A161,'The List'!$B1:$AS730,8,FALSE)," ")</f>
        <v>885</v>
      </c>
      <c r="G161" t="s" s="60">
        <f>_xlfn.IFERROR(VLOOKUP($A161,'The List'!$B1:$AS730,10,FALSE)," ")</f>
        <v>885</v>
      </c>
      <c r="H161" s="46"/>
      <c r="I161" t="s" s="61">
        <f>_xlfn.IFERROR(VLOOKUP($A161,'The List'!$B1:$AS730,16,FALSE)," ")</f>
        <v>885</v>
      </c>
      <c r="J161" t="s" s="61">
        <f>_xlfn.IFERROR(VLOOKUP($A161,'The List'!$B1:$AS730,17,FALSE)," ")</f>
        <v>885</v>
      </c>
      <c r="K161" t="s" s="61">
        <f>_xlfn.IFERROR(VLOOKUP($A161,'The List'!$B1:$AS730,18,FALSE)," ")</f>
        <v>885</v>
      </c>
      <c r="L161" t="s" s="61">
        <f>_xlfn.IFERROR(VLOOKUP($A161,'The List'!$B1:$AS730,19,FALSE)," ")</f>
        <v>885</v>
      </c>
      <c r="M161" t="s" s="61">
        <f>_xlfn.IFERROR(VLOOKUP($A161,'The List'!$B1:$AS730,20,FALSE)," ")</f>
        <v>885</v>
      </c>
      <c r="N161" t="s" s="61">
        <f>_xlfn.IFERROR(VLOOKUP($A161,'The List'!$B1:$AS730,21,FALSE)," ")</f>
        <v>885</v>
      </c>
      <c r="O161" t="s" s="61">
        <f>_xlfn.IFERROR(VLOOKUP($A161,'The List'!$B1:$AS730,22,FALSE)," ")</f>
        <v>885</v>
      </c>
      <c r="P161" t="s" s="61">
        <f>_xlfn.IFERROR(VLOOKUP($A161,'The List'!$B1:$AS730,23,FALSE)," ")</f>
        <v>885</v>
      </c>
      <c r="Q161" t="s" s="61">
        <f>_xlfn.IFERROR(VLOOKUP($A161,'The List'!$B1:$AS730,24,FALSE)," ")</f>
        <v>885</v>
      </c>
      <c r="R161" t="s" s="61">
        <f>_xlfn.IFERROR(VLOOKUP($A161,'The List'!$B1:$AS730,25,FALSE)," ")</f>
        <v>885</v>
      </c>
      <c r="S161" t="s" s="61">
        <f>_xlfn.IFERROR(VLOOKUP($A161,'The List'!$B1:$AS730,26,FALSE)," ")</f>
        <v>885</v>
      </c>
      <c r="T161" t="s" s="61">
        <f>_xlfn.IFERROR(VLOOKUP($A161,'The List'!$B1:$AS730,27,FALSE)," ")</f>
        <v>885</v>
      </c>
      <c r="U161" t="s" s="61">
        <f>_xlfn.IFERROR(VLOOKUP($A161,'The List'!$B1:$AS730,28,FALSE)," ")</f>
        <v>885</v>
      </c>
      <c r="V161" t="s" s="61">
        <f>_xlfn.IFERROR(VLOOKUP($A161,'The List'!$B1:$AS730,29,FALSE)," ")</f>
        <v>885</v>
      </c>
      <c r="W161" t="s" s="61">
        <f>_xlfn.IFERROR(VLOOKUP($A161,'The List'!$B1:$AS730,30,FALSE)," ")</f>
        <v>885</v>
      </c>
      <c r="X161" t="s" s="61">
        <f>_xlfn.IFERROR(VLOOKUP($A161,'The List'!$B1:$AS730,31,FALSE)," ")</f>
        <v>885</v>
      </c>
      <c r="Y161" t="s" s="61">
        <f>_xlfn.IFERROR(VLOOKUP($A161,'The List'!$B1:$AS730,32,FALSE)," ")</f>
        <v>885</v>
      </c>
      <c r="Z161" t="s" s="61">
        <f>_xlfn.IFERROR(VLOOKUP($A161,'The List'!$B1:$AS730,33,FALSE)," ")</f>
        <v>885</v>
      </c>
      <c r="AA161" s="64"/>
      <c r="AB161" s="69"/>
      <c r="AC161" s="69"/>
      <c r="AD161" s="69"/>
      <c r="AE161" s="69"/>
      <c r="AF161" s="69"/>
    </row>
    <row r="162" ht="21.25" customHeight="1">
      <c r="A162" s="29"/>
      <c r="B162" t="s" s="77">
        <f>_xlfn.IFERROR(VLOOKUP($A162,'The List'!$B1:$AS730,3,FALSE)," ")</f>
        <v>885</v>
      </c>
      <c r="C162" t="s" s="79">
        <f>_xlfn.IFERROR(VLOOKUP($A162,'The List'!$B1:$AS730,4,FALSE)," ")</f>
        <v>885</v>
      </c>
      <c r="D162" t="s" s="42">
        <f>_xlfn.IFERROR(VLOOKUP($A162,'The List'!$B1:$AS730,5,FALSE)," ")</f>
        <v>885</v>
      </c>
      <c r="E162" t="s" s="42">
        <f>_xlfn.IFERROR(VLOOKUP($A162,'The List'!$B1:$AS730,6,FALSE)," ")</f>
        <v>885</v>
      </c>
      <c r="F162" t="s" s="60">
        <f>_xlfn.IFERROR(VLOOKUP($A162,'The List'!$B1:$AS730,8,FALSE)," ")</f>
        <v>885</v>
      </c>
      <c r="G162" t="s" s="60">
        <f>_xlfn.IFERROR(VLOOKUP($A162,'The List'!$B1:$AS730,10,FALSE)," ")</f>
        <v>885</v>
      </c>
      <c r="H162" s="46"/>
      <c r="I162" t="s" s="61">
        <f>_xlfn.IFERROR(VLOOKUP($A162,'The List'!$B1:$AS730,16,FALSE)," ")</f>
        <v>885</v>
      </c>
      <c r="J162" t="s" s="61">
        <f>_xlfn.IFERROR(VLOOKUP($A162,'The List'!$B1:$AS730,17,FALSE)," ")</f>
        <v>885</v>
      </c>
      <c r="K162" t="s" s="61">
        <f>_xlfn.IFERROR(VLOOKUP($A162,'The List'!$B1:$AS730,18,FALSE)," ")</f>
        <v>885</v>
      </c>
      <c r="L162" t="s" s="61">
        <f>_xlfn.IFERROR(VLOOKUP($A162,'The List'!$B1:$AS730,19,FALSE)," ")</f>
        <v>885</v>
      </c>
      <c r="M162" t="s" s="61">
        <f>_xlfn.IFERROR(VLOOKUP($A162,'The List'!$B1:$AS730,20,FALSE)," ")</f>
        <v>885</v>
      </c>
      <c r="N162" t="s" s="61">
        <f>_xlfn.IFERROR(VLOOKUP($A162,'The List'!$B1:$AS730,21,FALSE)," ")</f>
        <v>885</v>
      </c>
      <c r="O162" t="s" s="61">
        <f>_xlfn.IFERROR(VLOOKUP($A162,'The List'!$B1:$AS730,22,FALSE)," ")</f>
        <v>885</v>
      </c>
      <c r="P162" t="s" s="61">
        <f>_xlfn.IFERROR(VLOOKUP($A162,'The List'!$B1:$AS730,23,FALSE)," ")</f>
        <v>885</v>
      </c>
      <c r="Q162" t="s" s="61">
        <f>_xlfn.IFERROR(VLOOKUP($A162,'The List'!$B1:$AS730,24,FALSE)," ")</f>
        <v>885</v>
      </c>
      <c r="R162" t="s" s="61">
        <f>_xlfn.IFERROR(VLOOKUP($A162,'The List'!$B1:$AS730,25,FALSE)," ")</f>
        <v>885</v>
      </c>
      <c r="S162" t="s" s="61">
        <f>_xlfn.IFERROR(VLOOKUP($A162,'The List'!$B1:$AS730,26,FALSE)," ")</f>
        <v>885</v>
      </c>
      <c r="T162" t="s" s="61">
        <f>_xlfn.IFERROR(VLOOKUP($A162,'The List'!$B1:$AS730,27,FALSE)," ")</f>
        <v>885</v>
      </c>
      <c r="U162" t="s" s="61">
        <f>_xlfn.IFERROR(VLOOKUP($A162,'The List'!$B1:$AS730,28,FALSE)," ")</f>
        <v>885</v>
      </c>
      <c r="V162" t="s" s="61">
        <f>_xlfn.IFERROR(VLOOKUP($A162,'The List'!$B1:$AS730,29,FALSE)," ")</f>
        <v>885</v>
      </c>
      <c r="W162" t="s" s="61">
        <f>_xlfn.IFERROR(VLOOKUP($A162,'The List'!$B1:$AS730,30,FALSE)," ")</f>
        <v>885</v>
      </c>
      <c r="X162" t="s" s="61">
        <f>_xlfn.IFERROR(VLOOKUP($A162,'The List'!$B1:$AS730,31,FALSE)," ")</f>
        <v>885</v>
      </c>
      <c r="Y162" t="s" s="61">
        <f>_xlfn.IFERROR(VLOOKUP($A162,'The List'!$B1:$AS730,32,FALSE)," ")</f>
        <v>885</v>
      </c>
      <c r="Z162" t="s" s="61">
        <f>_xlfn.IFERROR(VLOOKUP($A162,'The List'!$B1:$AS730,33,FALSE)," ")</f>
        <v>885</v>
      </c>
      <c r="AA162" s="64"/>
      <c r="AB162" s="69"/>
      <c r="AC162" s="69"/>
      <c r="AD162" s="69"/>
      <c r="AE162" s="69"/>
      <c r="AF162" s="69"/>
    </row>
    <row r="163" ht="21.25" customHeight="1">
      <c r="A163" s="29"/>
      <c r="B163" t="s" s="77">
        <f>_xlfn.IFERROR(VLOOKUP($A163,'The List'!$B1:$AS730,3,FALSE)," ")</f>
        <v>885</v>
      </c>
      <c r="C163" t="s" s="79">
        <f>_xlfn.IFERROR(VLOOKUP($A163,'The List'!$B1:$AS730,4,FALSE)," ")</f>
        <v>885</v>
      </c>
      <c r="D163" t="s" s="42">
        <f>_xlfn.IFERROR(VLOOKUP($A163,'The List'!$B1:$AS730,5,FALSE)," ")</f>
        <v>885</v>
      </c>
      <c r="E163" t="s" s="42">
        <f>_xlfn.IFERROR(VLOOKUP($A163,'The List'!$B1:$AS730,6,FALSE)," ")</f>
        <v>885</v>
      </c>
      <c r="F163" t="s" s="60">
        <f>_xlfn.IFERROR(VLOOKUP($A163,'The List'!$B1:$AS730,8,FALSE)," ")</f>
        <v>885</v>
      </c>
      <c r="G163" t="s" s="60">
        <f>_xlfn.IFERROR(VLOOKUP($A163,'The List'!$B1:$AS730,10,FALSE)," ")</f>
        <v>885</v>
      </c>
      <c r="H163" s="46"/>
      <c r="I163" t="s" s="61">
        <f>_xlfn.IFERROR(VLOOKUP($A163,'The List'!$B1:$AS730,16,FALSE)," ")</f>
        <v>885</v>
      </c>
      <c r="J163" t="s" s="61">
        <f>_xlfn.IFERROR(VLOOKUP($A163,'The List'!$B1:$AS730,17,FALSE)," ")</f>
        <v>885</v>
      </c>
      <c r="K163" t="s" s="61">
        <f>_xlfn.IFERROR(VLOOKUP($A163,'The List'!$B1:$AS730,18,FALSE)," ")</f>
        <v>885</v>
      </c>
      <c r="L163" t="s" s="61">
        <f>_xlfn.IFERROR(VLOOKUP($A163,'The List'!$B1:$AS730,19,FALSE)," ")</f>
        <v>885</v>
      </c>
      <c r="M163" t="s" s="61">
        <f>_xlfn.IFERROR(VLOOKUP($A163,'The List'!$B1:$AS730,20,FALSE)," ")</f>
        <v>885</v>
      </c>
      <c r="N163" t="s" s="61">
        <f>_xlfn.IFERROR(VLOOKUP($A163,'The List'!$B1:$AS730,21,FALSE)," ")</f>
        <v>885</v>
      </c>
      <c r="O163" t="s" s="61">
        <f>_xlfn.IFERROR(VLOOKUP($A163,'The List'!$B1:$AS730,22,FALSE)," ")</f>
        <v>885</v>
      </c>
      <c r="P163" t="s" s="61">
        <f>_xlfn.IFERROR(VLOOKUP($A163,'The List'!$B1:$AS730,23,FALSE)," ")</f>
        <v>885</v>
      </c>
      <c r="Q163" t="s" s="61">
        <f>_xlfn.IFERROR(VLOOKUP($A163,'The List'!$B1:$AS730,24,FALSE)," ")</f>
        <v>885</v>
      </c>
      <c r="R163" t="s" s="61">
        <f>_xlfn.IFERROR(VLOOKUP($A163,'The List'!$B1:$AS730,25,FALSE)," ")</f>
        <v>885</v>
      </c>
      <c r="S163" t="s" s="61">
        <f>_xlfn.IFERROR(VLOOKUP($A163,'The List'!$B1:$AS730,26,FALSE)," ")</f>
        <v>885</v>
      </c>
      <c r="T163" t="s" s="61">
        <f>_xlfn.IFERROR(VLOOKUP($A163,'The List'!$B1:$AS730,27,FALSE)," ")</f>
        <v>885</v>
      </c>
      <c r="U163" t="s" s="61">
        <f>_xlfn.IFERROR(VLOOKUP($A163,'The List'!$B1:$AS730,28,FALSE)," ")</f>
        <v>885</v>
      </c>
      <c r="V163" t="s" s="61">
        <f>_xlfn.IFERROR(VLOOKUP($A163,'The List'!$B1:$AS730,29,FALSE)," ")</f>
        <v>885</v>
      </c>
      <c r="W163" t="s" s="61">
        <f>_xlfn.IFERROR(VLOOKUP($A163,'The List'!$B1:$AS730,30,FALSE)," ")</f>
        <v>885</v>
      </c>
      <c r="X163" t="s" s="61">
        <f>_xlfn.IFERROR(VLOOKUP($A163,'The List'!$B1:$AS730,31,FALSE)," ")</f>
        <v>885</v>
      </c>
      <c r="Y163" t="s" s="61">
        <f>_xlfn.IFERROR(VLOOKUP($A163,'The List'!$B1:$AS730,32,FALSE)," ")</f>
        <v>885</v>
      </c>
      <c r="Z163" t="s" s="61">
        <f>_xlfn.IFERROR(VLOOKUP($A163,'The List'!$B1:$AS730,33,FALSE)," ")</f>
        <v>885</v>
      </c>
      <c r="AA163" s="64"/>
      <c r="AB163" s="69"/>
      <c r="AC163" s="69"/>
      <c r="AD163" s="69"/>
      <c r="AE163" s="69"/>
      <c r="AF163" s="69"/>
    </row>
    <row r="164" ht="21.25" customHeight="1">
      <c r="A164" s="29"/>
      <c r="B164" t="s" s="77">
        <f>_xlfn.IFERROR(VLOOKUP($A164,'The List'!$B1:$AS730,3,FALSE)," ")</f>
        <v>885</v>
      </c>
      <c r="C164" t="s" s="79">
        <f>_xlfn.IFERROR(VLOOKUP($A164,'The List'!$B1:$AS730,4,FALSE)," ")</f>
        <v>885</v>
      </c>
      <c r="D164" t="s" s="42">
        <f>_xlfn.IFERROR(VLOOKUP($A164,'The List'!$B1:$AS730,5,FALSE)," ")</f>
        <v>885</v>
      </c>
      <c r="E164" t="s" s="42">
        <f>_xlfn.IFERROR(VLOOKUP($A164,'The List'!$B1:$AS730,6,FALSE)," ")</f>
        <v>885</v>
      </c>
      <c r="F164" t="s" s="60">
        <f>_xlfn.IFERROR(VLOOKUP($A164,'The List'!$B1:$AS730,8,FALSE)," ")</f>
        <v>885</v>
      </c>
      <c r="G164" t="s" s="60">
        <f>_xlfn.IFERROR(VLOOKUP($A164,'The List'!$B1:$AS730,10,FALSE)," ")</f>
        <v>885</v>
      </c>
      <c r="H164" s="46"/>
      <c r="I164" t="s" s="61">
        <f>_xlfn.IFERROR(VLOOKUP($A164,'The List'!$B1:$AS730,16,FALSE)," ")</f>
        <v>885</v>
      </c>
      <c r="J164" t="s" s="61">
        <f>_xlfn.IFERROR(VLOOKUP($A164,'The List'!$B1:$AS730,17,FALSE)," ")</f>
        <v>885</v>
      </c>
      <c r="K164" t="s" s="61">
        <f>_xlfn.IFERROR(VLOOKUP($A164,'The List'!$B1:$AS730,18,FALSE)," ")</f>
        <v>885</v>
      </c>
      <c r="L164" t="s" s="61">
        <f>_xlfn.IFERROR(VLOOKUP($A164,'The List'!$B1:$AS730,19,FALSE)," ")</f>
        <v>885</v>
      </c>
      <c r="M164" t="s" s="61">
        <f>_xlfn.IFERROR(VLOOKUP($A164,'The List'!$B1:$AS730,20,FALSE)," ")</f>
        <v>885</v>
      </c>
      <c r="N164" t="s" s="61">
        <f>_xlfn.IFERROR(VLOOKUP($A164,'The List'!$B1:$AS730,21,FALSE)," ")</f>
        <v>885</v>
      </c>
      <c r="O164" t="s" s="61">
        <f>_xlfn.IFERROR(VLOOKUP($A164,'The List'!$B1:$AS730,22,FALSE)," ")</f>
        <v>885</v>
      </c>
      <c r="P164" t="s" s="61">
        <f>_xlfn.IFERROR(VLOOKUP($A164,'The List'!$B1:$AS730,23,FALSE)," ")</f>
        <v>885</v>
      </c>
      <c r="Q164" t="s" s="61">
        <f>_xlfn.IFERROR(VLOOKUP($A164,'The List'!$B1:$AS730,24,FALSE)," ")</f>
        <v>885</v>
      </c>
      <c r="R164" t="s" s="61">
        <f>_xlfn.IFERROR(VLOOKUP($A164,'The List'!$B1:$AS730,25,FALSE)," ")</f>
        <v>885</v>
      </c>
      <c r="S164" t="s" s="61">
        <f>_xlfn.IFERROR(VLOOKUP($A164,'The List'!$B1:$AS730,26,FALSE)," ")</f>
        <v>885</v>
      </c>
      <c r="T164" t="s" s="61">
        <f>_xlfn.IFERROR(VLOOKUP($A164,'The List'!$B1:$AS730,27,FALSE)," ")</f>
        <v>885</v>
      </c>
      <c r="U164" t="s" s="61">
        <f>_xlfn.IFERROR(VLOOKUP($A164,'The List'!$B1:$AS730,28,FALSE)," ")</f>
        <v>885</v>
      </c>
      <c r="V164" t="s" s="61">
        <f>_xlfn.IFERROR(VLOOKUP($A164,'The List'!$B1:$AS730,29,FALSE)," ")</f>
        <v>885</v>
      </c>
      <c r="W164" t="s" s="61">
        <f>_xlfn.IFERROR(VLOOKUP($A164,'The List'!$B1:$AS730,30,FALSE)," ")</f>
        <v>885</v>
      </c>
      <c r="X164" t="s" s="61">
        <f>_xlfn.IFERROR(VLOOKUP($A164,'The List'!$B1:$AS730,31,FALSE)," ")</f>
        <v>885</v>
      </c>
      <c r="Y164" t="s" s="61">
        <f>_xlfn.IFERROR(VLOOKUP($A164,'The List'!$B1:$AS730,32,FALSE)," ")</f>
        <v>885</v>
      </c>
      <c r="Z164" t="s" s="61">
        <f>_xlfn.IFERROR(VLOOKUP($A164,'The List'!$B1:$AS730,33,FALSE)," ")</f>
        <v>885</v>
      </c>
      <c r="AA164" s="64"/>
      <c r="AB164" s="69"/>
      <c r="AC164" s="69"/>
      <c r="AD164" s="69"/>
      <c r="AE164" s="69"/>
      <c r="AF164" s="69"/>
    </row>
    <row r="165" ht="21.25" customHeight="1">
      <c r="A165" s="29"/>
      <c r="B165" t="s" s="77">
        <f>_xlfn.IFERROR(VLOOKUP($A165,'The List'!$B1:$AS730,3,FALSE)," ")</f>
        <v>885</v>
      </c>
      <c r="C165" t="s" s="79">
        <f>_xlfn.IFERROR(VLOOKUP($A165,'The List'!$B1:$AS730,4,FALSE)," ")</f>
        <v>885</v>
      </c>
      <c r="D165" t="s" s="42">
        <f>_xlfn.IFERROR(VLOOKUP($A165,'The List'!$B1:$AS730,5,FALSE)," ")</f>
        <v>885</v>
      </c>
      <c r="E165" t="s" s="42">
        <f>_xlfn.IFERROR(VLOOKUP($A165,'The List'!$B1:$AS730,6,FALSE)," ")</f>
        <v>885</v>
      </c>
      <c r="F165" t="s" s="60">
        <f>_xlfn.IFERROR(VLOOKUP($A165,'The List'!$B1:$AS730,8,FALSE)," ")</f>
        <v>885</v>
      </c>
      <c r="G165" t="s" s="60">
        <f>_xlfn.IFERROR(VLOOKUP($A165,'The List'!$B1:$AS730,10,FALSE)," ")</f>
        <v>885</v>
      </c>
      <c r="H165" s="46"/>
      <c r="I165" t="s" s="61">
        <f>_xlfn.IFERROR(VLOOKUP($A165,'The List'!$B1:$AS730,16,FALSE)," ")</f>
        <v>885</v>
      </c>
      <c r="J165" t="s" s="61">
        <f>_xlfn.IFERROR(VLOOKUP($A165,'The List'!$B1:$AS730,17,FALSE)," ")</f>
        <v>885</v>
      </c>
      <c r="K165" t="s" s="61">
        <f>_xlfn.IFERROR(VLOOKUP($A165,'The List'!$B1:$AS730,18,FALSE)," ")</f>
        <v>885</v>
      </c>
      <c r="L165" t="s" s="61">
        <f>_xlfn.IFERROR(VLOOKUP($A165,'The List'!$B1:$AS730,19,FALSE)," ")</f>
        <v>885</v>
      </c>
      <c r="M165" t="s" s="61">
        <f>_xlfn.IFERROR(VLOOKUP($A165,'The List'!$B1:$AS730,20,FALSE)," ")</f>
        <v>885</v>
      </c>
      <c r="N165" t="s" s="61">
        <f>_xlfn.IFERROR(VLOOKUP($A165,'The List'!$B1:$AS730,21,FALSE)," ")</f>
        <v>885</v>
      </c>
      <c r="O165" t="s" s="61">
        <f>_xlfn.IFERROR(VLOOKUP($A165,'The List'!$B1:$AS730,22,FALSE)," ")</f>
        <v>885</v>
      </c>
      <c r="P165" t="s" s="61">
        <f>_xlfn.IFERROR(VLOOKUP($A165,'The List'!$B1:$AS730,23,FALSE)," ")</f>
        <v>885</v>
      </c>
      <c r="Q165" t="s" s="61">
        <f>_xlfn.IFERROR(VLOOKUP($A165,'The List'!$B1:$AS730,24,FALSE)," ")</f>
        <v>885</v>
      </c>
      <c r="R165" t="s" s="61">
        <f>_xlfn.IFERROR(VLOOKUP($A165,'The List'!$B1:$AS730,25,FALSE)," ")</f>
        <v>885</v>
      </c>
      <c r="S165" t="s" s="61">
        <f>_xlfn.IFERROR(VLOOKUP($A165,'The List'!$B1:$AS730,26,FALSE)," ")</f>
        <v>885</v>
      </c>
      <c r="T165" t="s" s="61">
        <f>_xlfn.IFERROR(VLOOKUP($A165,'The List'!$B1:$AS730,27,FALSE)," ")</f>
        <v>885</v>
      </c>
      <c r="U165" t="s" s="61">
        <f>_xlfn.IFERROR(VLOOKUP($A165,'The List'!$B1:$AS730,28,FALSE)," ")</f>
        <v>885</v>
      </c>
      <c r="V165" t="s" s="61">
        <f>_xlfn.IFERROR(VLOOKUP($A165,'The List'!$B1:$AS730,29,FALSE)," ")</f>
        <v>885</v>
      </c>
      <c r="W165" t="s" s="61">
        <f>_xlfn.IFERROR(VLOOKUP($A165,'The List'!$B1:$AS730,30,FALSE)," ")</f>
        <v>885</v>
      </c>
      <c r="X165" t="s" s="61">
        <f>_xlfn.IFERROR(VLOOKUP($A165,'The List'!$B1:$AS730,31,FALSE)," ")</f>
        <v>885</v>
      </c>
      <c r="Y165" t="s" s="61">
        <f>_xlfn.IFERROR(VLOOKUP($A165,'The List'!$B1:$AS730,32,FALSE)," ")</f>
        <v>885</v>
      </c>
      <c r="Z165" t="s" s="61">
        <f>_xlfn.IFERROR(VLOOKUP($A165,'The List'!$B1:$AS730,33,FALSE)," ")</f>
        <v>885</v>
      </c>
      <c r="AA165" s="64"/>
      <c r="AB165" s="69"/>
      <c r="AC165" s="69"/>
      <c r="AD165" s="69"/>
      <c r="AE165" s="69"/>
      <c r="AF165" s="69"/>
    </row>
    <row r="166" ht="21.25" customHeight="1">
      <c r="A166" s="81"/>
      <c r="B166" t="s" s="82">
        <f>_xlfn.IFERROR(VLOOKUP($A166,'The List'!$B1:$AS730,3,FALSE)," ")</f>
        <v>885</v>
      </c>
      <c r="C166" t="s" s="83">
        <f>_xlfn.IFERROR(VLOOKUP($A166,'The List'!$B1:$AS730,4,FALSE)," ")</f>
        <v>885</v>
      </c>
      <c r="D166" t="s" s="84">
        <f>_xlfn.IFERROR(VLOOKUP($A166,'The List'!$B1:$AS730,5,FALSE)," ")</f>
        <v>885</v>
      </c>
      <c r="E166" t="s" s="84">
        <f>_xlfn.IFERROR(VLOOKUP($A166,'The List'!$B1:$AS730,6,FALSE)," ")</f>
        <v>885</v>
      </c>
      <c r="F166" t="s" s="85">
        <f>_xlfn.IFERROR(VLOOKUP($A166,'The List'!$B1:$AS730,8,FALSE)," ")</f>
        <v>885</v>
      </c>
      <c r="G166" t="s" s="85">
        <f>_xlfn.IFERROR(VLOOKUP($A166,'The List'!$B1:$AS730,10,FALSE)," ")</f>
        <v>885</v>
      </c>
      <c r="H166" s="86"/>
      <c r="I166" t="s" s="87">
        <f>_xlfn.IFERROR(VLOOKUP($A166,'The List'!$B1:$AS730,16,FALSE)," ")</f>
        <v>885</v>
      </c>
      <c r="J166" t="s" s="87">
        <f>_xlfn.IFERROR(VLOOKUP($A166,'The List'!$B1:$AS730,17,FALSE)," ")</f>
        <v>885</v>
      </c>
      <c r="K166" t="s" s="87">
        <f>_xlfn.IFERROR(VLOOKUP($A166,'The List'!$B1:$AS730,18,FALSE)," ")</f>
        <v>885</v>
      </c>
      <c r="L166" t="s" s="87">
        <f>_xlfn.IFERROR(VLOOKUP($A166,'The List'!$B1:$AS730,19,FALSE)," ")</f>
        <v>885</v>
      </c>
      <c r="M166" t="s" s="87">
        <f>_xlfn.IFERROR(VLOOKUP($A166,'The List'!$B1:$AS730,20,FALSE)," ")</f>
        <v>885</v>
      </c>
      <c r="N166" t="s" s="87">
        <f>_xlfn.IFERROR(VLOOKUP($A166,'The List'!$B1:$AS730,21,FALSE)," ")</f>
        <v>885</v>
      </c>
      <c r="O166" t="s" s="87">
        <f>_xlfn.IFERROR(VLOOKUP($A166,'The List'!$B1:$AS730,22,FALSE)," ")</f>
        <v>885</v>
      </c>
      <c r="P166" t="s" s="87">
        <f>_xlfn.IFERROR(VLOOKUP($A166,'The List'!$B1:$AS730,23,FALSE)," ")</f>
        <v>885</v>
      </c>
      <c r="Q166" t="s" s="87">
        <f>_xlfn.IFERROR(VLOOKUP($A166,'The List'!$B1:$AS730,24,FALSE)," ")</f>
        <v>885</v>
      </c>
      <c r="R166" t="s" s="87">
        <f>_xlfn.IFERROR(VLOOKUP($A166,'The List'!$B1:$AS730,25,FALSE)," ")</f>
        <v>885</v>
      </c>
      <c r="S166" t="s" s="87">
        <f>_xlfn.IFERROR(VLOOKUP($A166,'The List'!$B1:$AS730,26,FALSE)," ")</f>
        <v>885</v>
      </c>
      <c r="T166" t="s" s="87">
        <f>_xlfn.IFERROR(VLOOKUP($A166,'The List'!$B1:$AS730,27,FALSE)," ")</f>
        <v>885</v>
      </c>
      <c r="U166" t="s" s="87">
        <f>_xlfn.IFERROR(VLOOKUP($A166,'The List'!$B1:$AS730,28,FALSE)," ")</f>
        <v>885</v>
      </c>
      <c r="V166" t="s" s="87">
        <f>_xlfn.IFERROR(VLOOKUP($A166,'The List'!$B1:$AS730,29,FALSE)," ")</f>
        <v>885</v>
      </c>
      <c r="W166" t="s" s="87">
        <f>_xlfn.IFERROR(VLOOKUP($A166,'The List'!$B1:$AS730,30,FALSE)," ")</f>
        <v>885</v>
      </c>
      <c r="X166" t="s" s="87">
        <f>_xlfn.IFERROR(VLOOKUP($A166,'The List'!$B1:$AS730,31,FALSE)," ")</f>
        <v>885</v>
      </c>
      <c r="Y166" t="s" s="87">
        <f>_xlfn.IFERROR(VLOOKUP($A166,'The List'!$B1:$AS730,32,FALSE)," ")</f>
        <v>885</v>
      </c>
      <c r="Z166" t="s" s="87">
        <f>_xlfn.IFERROR(VLOOKUP($A166,'The List'!$B1:$AS730,33,FALSE)," ")</f>
        <v>885</v>
      </c>
      <c r="AA166" s="64"/>
      <c r="AB166" s="69"/>
      <c r="AC166" s="69"/>
      <c r="AD166" s="69"/>
      <c r="AE166" s="69"/>
      <c r="AF166" s="69"/>
    </row>
    <row r="167" ht="21.25" customHeight="1">
      <c r="A167" s="88"/>
      <c r="B167" s="89"/>
      <c r="C167" s="90"/>
      <c r="D167" s="91"/>
      <c r="E167" t="s" s="127">
        <f>_xlfn.IFERROR(AVERAGE(E147:E166)," ")</f>
        <v>885</v>
      </c>
      <c r="F167" s="93">
        <f>SUM(F147:F166)</f>
        <v>0</v>
      </c>
      <c r="G167" s="93">
        <f>SUM(G147:G166)</f>
        <v>0</v>
      </c>
      <c r="H167" s="94"/>
      <c r="I167" s="95">
        <f>SUM(I147:I166)</f>
        <v>0</v>
      </c>
      <c r="J167" s="94">
        <f>AVERAGE(J147:J166)</f>
      </c>
      <c r="K167" s="95">
        <f>SUM(K147:K166)</f>
        <v>0</v>
      </c>
      <c r="L167" s="95">
        <f>SUM(L147:L166)</f>
        <v>0</v>
      </c>
      <c r="M167" s="95">
        <f>SUM(M147:M166)</f>
        <v>0</v>
      </c>
      <c r="N167" s="95">
        <f>SUM(N147:N166)</f>
        <v>0</v>
      </c>
      <c r="O167" s="95">
        <f>SUM(O147:O166)</f>
        <v>0</v>
      </c>
      <c r="P167" s="95">
        <f>SUM(P147:P166)</f>
        <v>0</v>
      </c>
      <c r="Q167" s="95">
        <f>SUM(Q147:Q166)</f>
        <v>0</v>
      </c>
      <c r="R167" s="95">
        <f>SUM(R147:R166)</f>
        <v>0</v>
      </c>
      <c r="S167" s="95">
        <f>SUM(S147:S166)</f>
        <v>0</v>
      </c>
      <c r="T167" s="95">
        <f>SUM(T147:T166)</f>
        <v>0</v>
      </c>
      <c r="U167" s="95">
        <f>SUM(U147:U166)</f>
        <v>0</v>
      </c>
      <c r="V167" s="95">
        <f>SUM(V147:V166)</f>
        <v>0</v>
      </c>
      <c r="W167" s="95">
        <f>SUM(W147:W166)</f>
        <v>0</v>
      </c>
      <c r="X167" s="95">
        <f>SUM(X147:X166)</f>
        <v>0</v>
      </c>
      <c r="Y167" s="95">
        <f>SUM(Y147:Y166)</f>
        <v>0</v>
      </c>
      <c r="Z167" s="96">
        <f>_xlfn.IFERROR(X167/(X167+Y167),0)</f>
        <v>0</v>
      </c>
      <c r="AA167" s="64"/>
      <c r="AB167" s="97"/>
      <c r="AC167" s="97"/>
      <c r="AD167" s="97"/>
      <c r="AE167" s="97"/>
      <c r="AF167" s="97"/>
    </row>
    <row r="168" ht="21.25" customHeight="1">
      <c r="A168" s="98"/>
      <c r="B168" s="99"/>
      <c r="C168" s="100"/>
      <c r="D168" s="11"/>
      <c r="E168" s="11"/>
      <c r="F168" s="101"/>
      <c r="G168" s="102"/>
      <c r="H168" s="103"/>
      <c r="I168" s="10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9"/>
      <c r="AC168" s="69"/>
      <c r="AD168" s="69"/>
      <c r="AE168" s="69"/>
      <c r="AF168" s="69"/>
    </row>
    <row r="169" ht="21.25" customHeight="1">
      <c r="A169" t="s" s="31">
        <v>66</v>
      </c>
      <c r="B169" t="s" s="105">
        <v>68</v>
      </c>
      <c r="C169" s="19"/>
      <c r="D169" t="s" s="105">
        <v>69</v>
      </c>
      <c r="E169" t="s" s="105">
        <v>70</v>
      </c>
      <c r="F169" t="s" s="106">
        <v>72</v>
      </c>
      <c r="G169" t="s" s="106">
        <v>74</v>
      </c>
      <c r="H169" s="107"/>
      <c r="I169" t="s" s="108">
        <v>79</v>
      </c>
      <c r="J169" t="s" s="108">
        <v>97</v>
      </c>
      <c r="K169" t="s" s="108">
        <v>98</v>
      </c>
      <c r="L169" t="s" s="108">
        <v>99</v>
      </c>
      <c r="M169" t="s" s="108">
        <v>100</v>
      </c>
      <c r="N169" t="s" s="108">
        <v>101</v>
      </c>
      <c r="O169" t="s" s="108">
        <v>102</v>
      </c>
      <c r="P169" t="s" s="108">
        <v>103</v>
      </c>
      <c r="Q169" t="s" s="108">
        <v>104</v>
      </c>
      <c r="R169" s="64"/>
      <c r="S169" s="64"/>
      <c r="T169" s="64"/>
      <c r="U169" t="s" s="105">
        <v>901</v>
      </c>
      <c r="V169" s="107"/>
      <c r="W169" s="107"/>
      <c r="X169" t="s" s="105">
        <v>902</v>
      </c>
      <c r="Y169" s="107"/>
      <c r="Z169" s="107"/>
      <c r="AA169" s="64"/>
      <c r="AB169" s="64"/>
      <c r="AC169" s="64"/>
      <c r="AD169" s="64"/>
      <c r="AE169" s="64"/>
      <c r="AF169" s="64"/>
    </row>
    <row r="170" ht="21.25" customHeight="1">
      <c r="A170" s="128"/>
      <c r="B170" t="s" s="110">
        <f>_xlfn.IFERROR(VLOOKUP($A170,'The List'!$B1:$AS730,3,FALSE)," ")</f>
        <v>885</v>
      </c>
      <c r="C170" t="s" s="129">
        <f>_xlfn.IFERROR(VLOOKUP($A170,'The List'!$B1:$AS730,4,FALSE)," ")</f>
        <v>885</v>
      </c>
      <c r="D170" t="s" s="112">
        <f>_xlfn.IFERROR(VLOOKUP($A170,'The List'!$B1:$AS730,5,FALSE)," ")</f>
        <v>885</v>
      </c>
      <c r="E170" t="s" s="112">
        <f>_xlfn.IFERROR(VLOOKUP($A170,'The List'!$B1:$AS730,6,FALSE)," ")</f>
        <v>885</v>
      </c>
      <c r="F170" t="s" s="130">
        <f>_xlfn.IFERROR(VLOOKUP($A170,'The List'!$B1:$AS730,8,FALSE)," ")</f>
        <v>885</v>
      </c>
      <c r="G170" t="s" s="130">
        <f>_xlfn.IFERROR(VLOOKUP($A170,'The List'!$B1:$AS730,10,FALSE)," ")</f>
        <v>885</v>
      </c>
      <c r="H170" s="115"/>
      <c r="I170" t="s" s="131">
        <f>_xlfn.IFERROR(VLOOKUP($A170,'The List'!$B1:$AS730,35,FALSE)," ")</f>
        <v>885</v>
      </c>
      <c r="J170" t="s" s="131">
        <f>_xlfn.IFERROR(VLOOKUP($A170,'The List'!$B1:$AS730,36,FALSE)," ")</f>
        <v>885</v>
      </c>
      <c r="K170" t="s" s="131">
        <f>_xlfn.IFERROR(VLOOKUP($A170,'The List'!$B1:$AS730,37,FALSE)," ")</f>
        <v>885</v>
      </c>
      <c r="L170" t="s" s="131">
        <f>_xlfn.IFERROR(VLOOKUP($A170,'The List'!$B1:$AS730,38,FALSE)," ")</f>
        <v>885</v>
      </c>
      <c r="M170" t="s" s="131">
        <f>_xlfn.IFERROR(VLOOKUP($A170,'The List'!$B1:$AS730,39,FALSE)," ")</f>
        <v>885</v>
      </c>
      <c r="N170" t="s" s="131">
        <f>_xlfn.IFERROR(VLOOKUP($A170,'The List'!$B1:$AS730,40,FALSE)," ")</f>
        <v>885</v>
      </c>
      <c r="O170" t="s" s="131">
        <f>_xlfn.IFERROR(VLOOKUP($A170,'The List'!$B1:$AS730,41,FALSE)," ")</f>
        <v>885</v>
      </c>
      <c r="P170" t="s" s="131">
        <f>_xlfn.IFERROR(VLOOKUP($A170,'The List'!$B1:$AS730,42,FALSE)," ")</f>
        <v>885</v>
      </c>
      <c r="Q170" t="s" s="131">
        <f>_xlfn.IFERROR(VLOOKUP($A170,'The List'!$B1:$AS730,43,FALSE)," ")</f>
        <v>885</v>
      </c>
      <c r="R170" s="64"/>
      <c r="S170" s="64"/>
      <c r="T170" t="s" s="119">
        <f>A146</f>
        <v>908</v>
      </c>
      <c r="U170" s="120">
        <f>F167+F173</f>
        <v>0</v>
      </c>
      <c r="V170" s="19"/>
      <c r="W170" s="19"/>
      <c r="X170" s="120">
        <f>G173+G167</f>
        <v>0</v>
      </c>
      <c r="Y170" s="19"/>
      <c r="Z170" s="19"/>
      <c r="AA170" s="64"/>
      <c r="AB170" s="64"/>
      <c r="AC170" s="64"/>
      <c r="AD170" s="64"/>
      <c r="AE170" s="64"/>
      <c r="AF170" s="64"/>
    </row>
    <row r="171" ht="21.25" customHeight="1">
      <c r="A171" s="29"/>
      <c r="B171" t="s" s="121">
        <f>_xlfn.IFERROR(VLOOKUP($A171,'The List'!$B1:$AS730,3,FALSE)," ")</f>
        <v>885</v>
      </c>
      <c r="C171" t="s" s="122">
        <f>_xlfn.IFERROR(VLOOKUP($A171,'The List'!$B1:$AS730,4,FALSE)," ")</f>
        <v>885</v>
      </c>
      <c r="D171" t="s" s="42">
        <f>_xlfn.IFERROR(VLOOKUP($A171,'The List'!$B1:$AS730,5,FALSE)," ")</f>
        <v>885</v>
      </c>
      <c r="E171" t="s" s="42">
        <f>_xlfn.IFERROR(VLOOKUP($A171,'The List'!$B1:$AS730,6,FALSE)," ")</f>
        <v>885</v>
      </c>
      <c r="F171" t="s" s="60">
        <f>_xlfn.IFERROR(VLOOKUP($A171,'The List'!$B1:$AS730,8,FALSE)," ")</f>
        <v>885</v>
      </c>
      <c r="G171" t="s" s="60">
        <f>_xlfn.IFERROR(VLOOKUP($A171,'The List'!$B1:$AS730,10,FALSE)," ")</f>
        <v>885</v>
      </c>
      <c r="H171" s="46"/>
      <c r="I171" t="s" s="61">
        <f>_xlfn.IFERROR(VLOOKUP($A171,'The List'!$B1:$AS730,35,FALSE)," ")</f>
        <v>885</v>
      </c>
      <c r="J171" t="s" s="61">
        <f>_xlfn.IFERROR(VLOOKUP($A171,'The List'!$B1:$AS730,36,FALSE)," ")</f>
        <v>885</v>
      </c>
      <c r="K171" t="s" s="61">
        <f>_xlfn.IFERROR(VLOOKUP($A171,'The List'!$B1:$AS730,37,FALSE)," ")</f>
        <v>885</v>
      </c>
      <c r="L171" t="s" s="61">
        <f>_xlfn.IFERROR(VLOOKUP($A171,'The List'!$B1:$AS730,38,FALSE)," ")</f>
        <v>885</v>
      </c>
      <c r="M171" t="s" s="61">
        <f>_xlfn.IFERROR(VLOOKUP($A171,'The List'!$B1:$AS730,39,FALSE)," ")</f>
        <v>885</v>
      </c>
      <c r="N171" t="s" s="61">
        <f>_xlfn.IFERROR(VLOOKUP($A171,'The List'!$B1:$AS730,40,FALSE)," ")</f>
        <v>885</v>
      </c>
      <c r="O171" t="s" s="61">
        <f>_xlfn.IFERROR(VLOOKUP($A171,'The List'!$B1:$AS730,41,FALSE)," ")</f>
        <v>885</v>
      </c>
      <c r="P171" t="s" s="61">
        <f>_xlfn.IFERROR(VLOOKUP($A171,'The List'!$B1:$AS730,42,FALSE)," ")</f>
        <v>885</v>
      </c>
      <c r="Q171" t="s" s="61">
        <f>_xlfn.IFERROR(VLOOKUP($A171,'The List'!$B1:$AS730,43,FALSE)," ")</f>
        <v>885</v>
      </c>
      <c r="R171" s="64"/>
      <c r="S171" s="64"/>
      <c r="T171" s="64"/>
      <c r="U171" s="19"/>
      <c r="V171" s="19"/>
      <c r="W171" s="19"/>
      <c r="X171" s="19"/>
      <c r="Y171" s="19"/>
      <c r="Z171" s="19"/>
      <c r="AA171" s="64"/>
      <c r="AB171" s="64"/>
      <c r="AC171" s="64"/>
      <c r="AD171" s="64"/>
      <c r="AE171" s="64"/>
      <c r="AF171" s="64"/>
    </row>
    <row r="172" ht="21.25" customHeight="1">
      <c r="A172" s="81"/>
      <c r="B172" t="s" s="123">
        <f>_xlfn.IFERROR(VLOOKUP($A172,'The List'!$B1:$AS730,3,FALSE)," ")</f>
        <v>885</v>
      </c>
      <c r="C172" t="s" s="124">
        <f>_xlfn.IFERROR(VLOOKUP($A172,'The List'!$B1:$AS730,4,FALSE)," ")</f>
        <v>885</v>
      </c>
      <c r="D172" t="s" s="84">
        <f>_xlfn.IFERROR(VLOOKUP($A172,'The List'!$B1:$AS730,5,FALSE)," ")</f>
        <v>885</v>
      </c>
      <c r="E172" t="s" s="84">
        <f>_xlfn.IFERROR(VLOOKUP($A172,'The List'!$B1:$AS730,6,FALSE)," ")</f>
        <v>885</v>
      </c>
      <c r="F172" t="s" s="85">
        <f>_xlfn.IFERROR(VLOOKUP($A172,'The List'!$B1:$AS730,8,FALSE)," ")</f>
        <v>885</v>
      </c>
      <c r="G172" t="s" s="85">
        <f>_xlfn.IFERROR(VLOOKUP($A172,'The List'!$B1:$AS730,10,FALSE)," ")</f>
        <v>885</v>
      </c>
      <c r="H172" s="86"/>
      <c r="I172" t="s" s="87">
        <f>_xlfn.IFERROR(VLOOKUP($A172,'The List'!$B1:$AS730,35,FALSE)," ")</f>
        <v>885</v>
      </c>
      <c r="J172" t="s" s="87">
        <f>_xlfn.IFERROR(VLOOKUP($A172,'The List'!$B1:$AS730,36,FALSE)," ")</f>
        <v>885</v>
      </c>
      <c r="K172" t="s" s="87">
        <f>_xlfn.IFERROR(VLOOKUP($A172,'The List'!$B1:$AS730,37,FALSE)," ")</f>
        <v>885</v>
      </c>
      <c r="L172" t="s" s="87">
        <f>_xlfn.IFERROR(VLOOKUP($A172,'The List'!$B1:$AS730,38,FALSE)," ")</f>
        <v>885</v>
      </c>
      <c r="M172" t="s" s="87">
        <f>_xlfn.IFERROR(VLOOKUP($A172,'The List'!$B1:$AS730,39,FALSE)," ")</f>
        <v>885</v>
      </c>
      <c r="N172" t="s" s="87">
        <f>_xlfn.IFERROR(VLOOKUP($A172,'The List'!$B1:$AS730,40,FALSE)," ")</f>
        <v>885</v>
      </c>
      <c r="O172" t="s" s="87">
        <f>_xlfn.IFERROR(VLOOKUP($A172,'The List'!$B1:$AS730,41,FALSE)," ")</f>
        <v>885</v>
      </c>
      <c r="P172" t="s" s="87">
        <f>_xlfn.IFERROR(VLOOKUP($A172,'The List'!$B1:$AS730,42,FALSE)," ")</f>
        <v>885</v>
      </c>
      <c r="Q172" t="s" s="87">
        <f>_xlfn.IFERROR(VLOOKUP($A172,'The List'!$B1:$AS730,43,FALSE)," ")</f>
        <v>885</v>
      </c>
      <c r="R172" s="64"/>
      <c r="S172" s="64"/>
      <c r="T172" s="64"/>
      <c r="U172" s="19"/>
      <c r="V172" s="19"/>
      <c r="W172" s="19"/>
      <c r="X172" s="19"/>
      <c r="Y172" s="19"/>
      <c r="Z172" s="19"/>
      <c r="AA172" s="64"/>
      <c r="AB172" s="64"/>
      <c r="AC172" s="64"/>
      <c r="AD172" s="64"/>
      <c r="AE172" s="64"/>
      <c r="AF172" s="64"/>
    </row>
    <row r="173" ht="21.25" customHeight="1">
      <c r="A173" s="88"/>
      <c r="B173" s="89"/>
      <c r="C173" s="90"/>
      <c r="D173" s="91"/>
      <c r="E173" t="s" s="127">
        <f>_xlfn.IFERROR(AVERAGE(E170:E172)," ")</f>
        <v>885</v>
      </c>
      <c r="F173" s="93">
        <f>SUM(F170:F172)</f>
        <v>0</v>
      </c>
      <c r="G173" s="93">
        <f>SUM(G170:G172)</f>
        <v>0</v>
      </c>
      <c r="H173" s="94"/>
      <c r="I173" s="95">
        <f>SUM(I170:I172)</f>
        <v>0</v>
      </c>
      <c r="J173" s="94">
        <f>SUM(J170:J172)</f>
        <v>0</v>
      </c>
      <c r="K173" s="95">
        <f>SUM(K170:K172)</f>
        <v>0</v>
      </c>
      <c r="L173" s="95">
        <f>SUM(L170:L172)</f>
        <v>0</v>
      </c>
      <c r="M173" s="95">
        <f>SUM(M170:M172)</f>
        <v>0</v>
      </c>
      <c r="N173" s="95">
        <f>SUM(N170:N172)</f>
        <v>0</v>
      </c>
      <c r="O173" s="95">
        <f>SUM(O170:O172)</f>
        <v>0</v>
      </c>
      <c r="P173" s="125">
        <f>1-(O173/(N173+O173))</f>
      </c>
      <c r="Q173" s="126">
        <f>O173/I173</f>
      </c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</row>
    <row r="174" ht="70.85" customHeight="1">
      <c r="A174" s="98"/>
      <c r="B174" s="99"/>
      <c r="C174" s="100"/>
      <c r="D174" s="11"/>
      <c r="E174" s="11"/>
      <c r="F174" s="101"/>
      <c r="G174" s="102"/>
      <c r="H174" s="103"/>
      <c r="I174" s="10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9"/>
      <c r="AB174" s="69"/>
      <c r="AC174" s="69"/>
      <c r="AD174" s="69"/>
      <c r="AE174" s="69"/>
      <c r="AF174" s="69"/>
    </row>
    <row r="175" ht="21.25" customHeight="1">
      <c r="A175" t="s" s="32">
        <v>891</v>
      </c>
      <c r="B175" t="s" s="33">
        <v>68</v>
      </c>
      <c r="C175" s="25"/>
      <c r="D175" t="s" s="33">
        <v>69</v>
      </c>
      <c r="E175" t="s" s="33">
        <v>70</v>
      </c>
      <c r="F175" t="s" s="34">
        <v>72</v>
      </c>
      <c r="G175" t="s" s="34">
        <v>74</v>
      </c>
      <c r="H175" s="35"/>
      <c r="I175" t="s" s="37">
        <v>79</v>
      </c>
      <c r="J175" t="s" s="37">
        <v>80</v>
      </c>
      <c r="K175" t="s" s="37">
        <v>81</v>
      </c>
      <c r="L175" t="s" s="37">
        <v>82</v>
      </c>
      <c r="M175" t="s" s="37">
        <v>83</v>
      </c>
      <c r="N175" t="s" s="37">
        <v>84</v>
      </c>
      <c r="O175" t="s" s="37">
        <v>85</v>
      </c>
      <c r="P175" t="s" s="37">
        <v>86</v>
      </c>
      <c r="Q175" t="s" s="37">
        <v>87</v>
      </c>
      <c r="R175" t="s" s="37">
        <v>88</v>
      </c>
      <c r="S175" t="s" s="37">
        <v>89</v>
      </c>
      <c r="T175" t="s" s="37">
        <v>90</v>
      </c>
      <c r="U175" t="s" s="37">
        <v>91</v>
      </c>
      <c r="V175" t="s" s="37">
        <v>92</v>
      </c>
      <c r="W175" t="s" s="37">
        <v>93</v>
      </c>
      <c r="X175" t="s" s="37">
        <v>94</v>
      </c>
      <c r="Y175" t="s" s="37">
        <v>95</v>
      </c>
      <c r="Z175" t="s" s="37">
        <v>96</v>
      </c>
      <c r="AA175" s="64"/>
      <c r="AB175" s="65"/>
      <c r="AC175" s="65"/>
      <c r="AD175" s="65"/>
      <c r="AE175" s="65"/>
      <c r="AF175" s="65"/>
    </row>
    <row r="176" ht="21.25" customHeight="1">
      <c r="A176" s="29"/>
      <c r="B176" t="s" s="66">
        <f>_xlfn.IFERROR(VLOOKUP($A176,'The List'!$B1:$AS730,3,FALSE)," ")</f>
        <v>885</v>
      </c>
      <c r="C176" t="s" s="70">
        <f>_xlfn.IFERROR(VLOOKUP($A176,'The List'!$B1:$AS730,4,FALSE)," ")</f>
        <v>885</v>
      </c>
      <c r="D176" t="s" s="42">
        <f>_xlfn.IFERROR(VLOOKUP($A176,'The List'!$B1:$AS730,5,FALSE)," ")</f>
        <v>885</v>
      </c>
      <c r="E176" t="s" s="42">
        <f>_xlfn.IFERROR(VLOOKUP($A176,'The List'!$B1:$AS730,6,FALSE)," ")</f>
        <v>885</v>
      </c>
      <c r="F176" t="s" s="60">
        <f>_xlfn.IFERROR(VLOOKUP($A176,'The List'!$B1:$AS730,8,FALSE)," ")</f>
        <v>885</v>
      </c>
      <c r="G176" t="s" s="60">
        <f>_xlfn.IFERROR(VLOOKUP($A176,'The List'!$B1:$AS730,10,FALSE)," ")</f>
        <v>885</v>
      </c>
      <c r="H176" s="46"/>
      <c r="I176" t="s" s="61">
        <f>_xlfn.IFERROR(VLOOKUP($A176,'The List'!$B1:$AS730,16,FALSE)," ")</f>
        <v>885</v>
      </c>
      <c r="J176" t="s" s="61">
        <f>_xlfn.IFERROR(VLOOKUP($A176,'The List'!$B1:$AS730,17,FALSE)," ")</f>
        <v>885</v>
      </c>
      <c r="K176" t="s" s="61">
        <f>_xlfn.IFERROR(VLOOKUP($A176,'The List'!$B1:$AS730,18,FALSE)," ")</f>
        <v>885</v>
      </c>
      <c r="L176" t="s" s="61">
        <f>_xlfn.IFERROR(VLOOKUP($A176,'The List'!$B1:$AS730,19,FALSE)," ")</f>
        <v>885</v>
      </c>
      <c r="M176" t="s" s="61">
        <f>_xlfn.IFERROR(VLOOKUP($A176,'The List'!$B1:$AS730,20,FALSE)," ")</f>
        <v>885</v>
      </c>
      <c r="N176" t="s" s="61">
        <f>_xlfn.IFERROR(VLOOKUP($A176,'The List'!$B1:$AS730,21,FALSE)," ")</f>
        <v>885</v>
      </c>
      <c r="O176" t="s" s="61">
        <f>_xlfn.IFERROR(VLOOKUP($A176,'The List'!$B1:$AS730,22,FALSE)," ")</f>
        <v>885</v>
      </c>
      <c r="P176" t="s" s="61">
        <f>_xlfn.IFERROR(VLOOKUP($A176,'The List'!$B1:$AS730,23,FALSE)," ")</f>
        <v>885</v>
      </c>
      <c r="Q176" t="s" s="61">
        <f>_xlfn.IFERROR(VLOOKUP($A176,'The List'!$B1:$AS730,24,FALSE)," ")</f>
        <v>885</v>
      </c>
      <c r="R176" t="s" s="61">
        <f>_xlfn.IFERROR(VLOOKUP($A176,'The List'!$B1:$AS730,25,FALSE)," ")</f>
        <v>885</v>
      </c>
      <c r="S176" t="s" s="61">
        <f>_xlfn.IFERROR(VLOOKUP($A176,'The List'!$B1:$AS730,26,FALSE)," ")</f>
        <v>885</v>
      </c>
      <c r="T176" t="s" s="61">
        <f>_xlfn.IFERROR(VLOOKUP($A176,'The List'!$B1:$AS730,27,FALSE)," ")</f>
        <v>885</v>
      </c>
      <c r="U176" t="s" s="61">
        <f>_xlfn.IFERROR(VLOOKUP($A176,'The List'!$B1:$AS730,28,FALSE)," ")</f>
        <v>885</v>
      </c>
      <c r="V176" t="s" s="61">
        <f>_xlfn.IFERROR(VLOOKUP($A176,'The List'!$B1:$AS730,29,FALSE)," ")</f>
        <v>885</v>
      </c>
      <c r="W176" t="s" s="61">
        <f>_xlfn.IFERROR(VLOOKUP($A176,'The List'!$B1:$AS730,30,FALSE)," ")</f>
        <v>885</v>
      </c>
      <c r="X176" t="s" s="61">
        <f>_xlfn.IFERROR(VLOOKUP($A176,'The List'!$B1:$AS730,31,FALSE)," ")</f>
        <v>885</v>
      </c>
      <c r="Y176" t="s" s="61">
        <f>_xlfn.IFERROR(VLOOKUP($A176,'The List'!$B1:$AS730,32,FALSE)," ")</f>
        <v>885</v>
      </c>
      <c r="Z176" t="s" s="61">
        <f>_xlfn.IFERROR(VLOOKUP($A176,'The List'!$B1:$AS730,33,FALSE)," ")</f>
        <v>885</v>
      </c>
      <c r="AA176" s="64"/>
      <c r="AB176" s="69"/>
      <c r="AC176" s="69"/>
      <c r="AD176" s="69"/>
      <c r="AE176" s="69"/>
      <c r="AF176" s="69"/>
    </row>
    <row r="177" ht="21.25" customHeight="1">
      <c r="A177" s="29"/>
      <c r="B177" t="s" s="66">
        <f>_xlfn.IFERROR(VLOOKUP($A177,'The List'!$B1:$AS730,3,FALSE)," ")</f>
        <v>885</v>
      </c>
      <c r="C177" t="s" s="70">
        <f>_xlfn.IFERROR(VLOOKUP($A177,'The List'!$B1:$AS730,4,FALSE)," ")</f>
        <v>885</v>
      </c>
      <c r="D177" t="s" s="42">
        <f>_xlfn.IFERROR(VLOOKUP($A177,'The List'!$B1:$AS730,5,FALSE)," ")</f>
        <v>885</v>
      </c>
      <c r="E177" t="s" s="42">
        <f>_xlfn.IFERROR(VLOOKUP($A177,'The List'!$B1:$AS730,6,FALSE)," ")</f>
        <v>885</v>
      </c>
      <c r="F177" t="s" s="60">
        <f>_xlfn.IFERROR(VLOOKUP($A177,'The List'!$B1:$AS730,8,FALSE)," ")</f>
        <v>885</v>
      </c>
      <c r="G177" t="s" s="60">
        <f>_xlfn.IFERROR(VLOOKUP($A177,'The List'!$B1:$AS730,10,FALSE)," ")</f>
        <v>885</v>
      </c>
      <c r="H177" s="46"/>
      <c r="I177" t="s" s="61">
        <f>_xlfn.IFERROR(VLOOKUP($A177,'The List'!$B1:$AS730,16,FALSE)," ")</f>
        <v>885</v>
      </c>
      <c r="J177" t="s" s="61">
        <f>_xlfn.IFERROR(VLOOKUP($A177,'The List'!$B1:$AS730,17,FALSE)," ")</f>
        <v>885</v>
      </c>
      <c r="K177" t="s" s="61">
        <f>_xlfn.IFERROR(VLOOKUP($A177,'The List'!$B1:$AS730,18,FALSE)," ")</f>
        <v>885</v>
      </c>
      <c r="L177" t="s" s="61">
        <f>_xlfn.IFERROR(VLOOKUP($A177,'The List'!$B1:$AS730,19,FALSE)," ")</f>
        <v>885</v>
      </c>
      <c r="M177" t="s" s="61">
        <f>_xlfn.IFERROR(VLOOKUP($A177,'The List'!$B1:$AS730,20,FALSE)," ")</f>
        <v>885</v>
      </c>
      <c r="N177" t="s" s="61">
        <f>_xlfn.IFERROR(VLOOKUP($A177,'The List'!$B1:$AS730,21,FALSE)," ")</f>
        <v>885</v>
      </c>
      <c r="O177" t="s" s="61">
        <f>_xlfn.IFERROR(VLOOKUP($A177,'The List'!$B1:$AS730,22,FALSE)," ")</f>
        <v>885</v>
      </c>
      <c r="P177" t="s" s="61">
        <f>_xlfn.IFERROR(VLOOKUP($A177,'The List'!$B1:$AS730,23,FALSE)," ")</f>
        <v>885</v>
      </c>
      <c r="Q177" t="s" s="61">
        <f>_xlfn.IFERROR(VLOOKUP($A177,'The List'!$B1:$AS730,24,FALSE)," ")</f>
        <v>885</v>
      </c>
      <c r="R177" t="s" s="61">
        <f>_xlfn.IFERROR(VLOOKUP($A177,'The List'!$B1:$AS730,25,FALSE)," ")</f>
        <v>885</v>
      </c>
      <c r="S177" t="s" s="61">
        <f>_xlfn.IFERROR(VLOOKUP($A177,'The List'!$B1:$AS730,26,FALSE)," ")</f>
        <v>885</v>
      </c>
      <c r="T177" t="s" s="61">
        <f>_xlfn.IFERROR(VLOOKUP($A177,'The List'!$B1:$AS730,27,FALSE)," ")</f>
        <v>885</v>
      </c>
      <c r="U177" t="s" s="61">
        <f>_xlfn.IFERROR(VLOOKUP($A177,'The List'!$B1:$AS730,28,FALSE)," ")</f>
        <v>885</v>
      </c>
      <c r="V177" t="s" s="61">
        <f>_xlfn.IFERROR(VLOOKUP($A177,'The List'!$B1:$AS730,29,FALSE)," ")</f>
        <v>885</v>
      </c>
      <c r="W177" t="s" s="61">
        <f>_xlfn.IFERROR(VLOOKUP($A177,'The List'!$B1:$AS730,30,FALSE)," ")</f>
        <v>885</v>
      </c>
      <c r="X177" t="s" s="61">
        <f>_xlfn.IFERROR(VLOOKUP($A177,'The List'!$B1:$AS730,31,FALSE)," ")</f>
        <v>885</v>
      </c>
      <c r="Y177" t="s" s="61">
        <f>_xlfn.IFERROR(VLOOKUP($A177,'The List'!$B1:$AS730,32,FALSE)," ")</f>
        <v>885</v>
      </c>
      <c r="Z177" t="s" s="61">
        <f>_xlfn.IFERROR(VLOOKUP($A177,'The List'!$B1:$AS730,33,FALSE)," ")</f>
        <v>885</v>
      </c>
      <c r="AA177" s="64"/>
      <c r="AB177" s="69"/>
      <c r="AC177" s="69"/>
      <c r="AD177" s="69"/>
      <c r="AE177" s="69"/>
      <c r="AF177" s="69"/>
    </row>
    <row r="178" ht="21.25" customHeight="1">
      <c r="A178" s="29"/>
      <c r="B178" t="s" s="66">
        <f>_xlfn.IFERROR(VLOOKUP($A178,'The List'!$B1:$AS730,3,FALSE)," ")</f>
        <v>885</v>
      </c>
      <c r="C178" t="s" s="70">
        <f>_xlfn.IFERROR(VLOOKUP($A178,'The List'!$B1:$AS730,4,FALSE)," ")</f>
        <v>885</v>
      </c>
      <c r="D178" t="s" s="42">
        <f>_xlfn.IFERROR(VLOOKUP($A178,'The List'!$B1:$AS730,5,FALSE)," ")</f>
        <v>885</v>
      </c>
      <c r="E178" t="s" s="42">
        <f>_xlfn.IFERROR(VLOOKUP($A178,'The List'!$B1:$AS730,6,FALSE)," ")</f>
        <v>885</v>
      </c>
      <c r="F178" t="s" s="60">
        <f>_xlfn.IFERROR(VLOOKUP($A178,'The List'!$B1:$AS730,8,FALSE)," ")</f>
        <v>885</v>
      </c>
      <c r="G178" t="s" s="60">
        <f>_xlfn.IFERROR(VLOOKUP($A178,'The List'!$B1:$AS730,10,FALSE)," ")</f>
        <v>885</v>
      </c>
      <c r="H178" s="46"/>
      <c r="I178" t="s" s="61">
        <f>_xlfn.IFERROR(VLOOKUP($A178,'The List'!$B1:$AS730,16,FALSE)," ")</f>
        <v>885</v>
      </c>
      <c r="J178" t="s" s="61">
        <f>_xlfn.IFERROR(VLOOKUP($A178,'The List'!$B1:$AS730,17,FALSE)," ")</f>
        <v>885</v>
      </c>
      <c r="K178" t="s" s="61">
        <f>_xlfn.IFERROR(VLOOKUP($A178,'The List'!$B1:$AS730,18,FALSE)," ")</f>
        <v>885</v>
      </c>
      <c r="L178" t="s" s="61">
        <f>_xlfn.IFERROR(VLOOKUP($A178,'The List'!$B1:$AS730,19,FALSE)," ")</f>
        <v>885</v>
      </c>
      <c r="M178" t="s" s="61">
        <f>_xlfn.IFERROR(VLOOKUP($A178,'The List'!$B1:$AS730,20,FALSE)," ")</f>
        <v>885</v>
      </c>
      <c r="N178" t="s" s="61">
        <f>_xlfn.IFERROR(VLOOKUP($A178,'The List'!$B1:$AS730,21,FALSE)," ")</f>
        <v>885</v>
      </c>
      <c r="O178" t="s" s="61">
        <f>_xlfn.IFERROR(VLOOKUP($A178,'The List'!$B1:$AS730,22,FALSE)," ")</f>
        <v>885</v>
      </c>
      <c r="P178" t="s" s="61">
        <f>_xlfn.IFERROR(VLOOKUP($A178,'The List'!$B1:$AS730,23,FALSE)," ")</f>
        <v>885</v>
      </c>
      <c r="Q178" t="s" s="61">
        <f>_xlfn.IFERROR(VLOOKUP($A178,'The List'!$B1:$AS730,24,FALSE)," ")</f>
        <v>885</v>
      </c>
      <c r="R178" t="s" s="61">
        <f>_xlfn.IFERROR(VLOOKUP($A178,'The List'!$B1:$AS730,25,FALSE)," ")</f>
        <v>885</v>
      </c>
      <c r="S178" t="s" s="61">
        <f>_xlfn.IFERROR(VLOOKUP($A178,'The List'!$B1:$AS730,26,FALSE)," ")</f>
        <v>885</v>
      </c>
      <c r="T178" t="s" s="61">
        <f>_xlfn.IFERROR(VLOOKUP($A178,'The List'!$B1:$AS730,27,FALSE)," ")</f>
        <v>885</v>
      </c>
      <c r="U178" t="s" s="61">
        <f>_xlfn.IFERROR(VLOOKUP($A178,'The List'!$B1:$AS730,28,FALSE)," ")</f>
        <v>885</v>
      </c>
      <c r="V178" t="s" s="61">
        <f>_xlfn.IFERROR(VLOOKUP($A178,'The List'!$B1:$AS730,29,FALSE)," ")</f>
        <v>885</v>
      </c>
      <c r="W178" t="s" s="61">
        <f>_xlfn.IFERROR(VLOOKUP($A178,'The List'!$B1:$AS730,30,FALSE)," ")</f>
        <v>885</v>
      </c>
      <c r="X178" t="s" s="61">
        <f>_xlfn.IFERROR(VLOOKUP($A178,'The List'!$B1:$AS730,31,FALSE)," ")</f>
        <v>885</v>
      </c>
      <c r="Y178" t="s" s="61">
        <f>_xlfn.IFERROR(VLOOKUP($A178,'The List'!$B1:$AS730,32,FALSE)," ")</f>
        <v>885</v>
      </c>
      <c r="Z178" t="s" s="61">
        <f>_xlfn.IFERROR(VLOOKUP($A178,'The List'!$B1:$AS730,33,FALSE)," ")</f>
        <v>885</v>
      </c>
      <c r="AA178" s="64"/>
      <c r="AB178" s="69"/>
      <c r="AC178" s="69"/>
      <c r="AD178" s="69"/>
      <c r="AE178" s="69"/>
      <c r="AF178" s="69"/>
    </row>
    <row r="179" ht="21.25" customHeight="1">
      <c r="A179" s="29"/>
      <c r="B179" t="s" s="66">
        <f>_xlfn.IFERROR(VLOOKUP($A179,'The List'!$B1:$AS730,3,FALSE)," ")</f>
        <v>885</v>
      </c>
      <c r="C179" t="s" s="70">
        <f>_xlfn.IFERROR(VLOOKUP($A179,'The List'!$B1:$AS730,4,FALSE)," ")</f>
        <v>885</v>
      </c>
      <c r="D179" t="s" s="42">
        <f>_xlfn.IFERROR(VLOOKUP($A179,'The List'!$B1:$AS730,5,FALSE)," ")</f>
        <v>885</v>
      </c>
      <c r="E179" t="s" s="42">
        <f>_xlfn.IFERROR(VLOOKUP($A179,'The List'!$B1:$AS730,6,FALSE)," ")</f>
        <v>885</v>
      </c>
      <c r="F179" t="s" s="60">
        <f>_xlfn.IFERROR(VLOOKUP($A179,'The List'!$B1:$AS730,8,FALSE)," ")</f>
        <v>885</v>
      </c>
      <c r="G179" t="s" s="60">
        <f>_xlfn.IFERROR(VLOOKUP($A179,'The List'!$B1:$AS730,10,FALSE)," ")</f>
        <v>885</v>
      </c>
      <c r="H179" s="46"/>
      <c r="I179" t="s" s="61">
        <f>_xlfn.IFERROR(VLOOKUP($A179,'The List'!$B1:$AS730,16,FALSE)," ")</f>
        <v>885</v>
      </c>
      <c r="J179" t="s" s="61">
        <f>_xlfn.IFERROR(VLOOKUP($A179,'The List'!$B1:$AS730,17,FALSE)," ")</f>
        <v>885</v>
      </c>
      <c r="K179" t="s" s="61">
        <f>_xlfn.IFERROR(VLOOKUP($A179,'The List'!$B1:$AS730,18,FALSE)," ")</f>
        <v>885</v>
      </c>
      <c r="L179" t="s" s="61">
        <f>_xlfn.IFERROR(VLOOKUP($A179,'The List'!$B1:$AS730,19,FALSE)," ")</f>
        <v>885</v>
      </c>
      <c r="M179" t="s" s="61">
        <f>_xlfn.IFERROR(VLOOKUP($A179,'The List'!$B1:$AS730,20,FALSE)," ")</f>
        <v>885</v>
      </c>
      <c r="N179" t="s" s="61">
        <f>_xlfn.IFERROR(VLOOKUP($A179,'The List'!$B1:$AS730,21,FALSE)," ")</f>
        <v>885</v>
      </c>
      <c r="O179" t="s" s="61">
        <f>_xlfn.IFERROR(VLOOKUP($A179,'The List'!$B1:$AS730,22,FALSE)," ")</f>
        <v>885</v>
      </c>
      <c r="P179" t="s" s="61">
        <f>_xlfn.IFERROR(VLOOKUP($A179,'The List'!$B1:$AS730,23,FALSE)," ")</f>
        <v>885</v>
      </c>
      <c r="Q179" t="s" s="61">
        <f>_xlfn.IFERROR(VLOOKUP($A179,'The List'!$B1:$AS730,24,FALSE)," ")</f>
        <v>885</v>
      </c>
      <c r="R179" t="s" s="61">
        <f>_xlfn.IFERROR(VLOOKUP($A179,'The List'!$B1:$AS730,25,FALSE)," ")</f>
        <v>885</v>
      </c>
      <c r="S179" t="s" s="61">
        <f>_xlfn.IFERROR(VLOOKUP($A179,'The List'!$B1:$AS730,26,FALSE)," ")</f>
        <v>885</v>
      </c>
      <c r="T179" t="s" s="61">
        <f>_xlfn.IFERROR(VLOOKUP($A179,'The List'!$B1:$AS730,27,FALSE)," ")</f>
        <v>885</v>
      </c>
      <c r="U179" t="s" s="61">
        <f>_xlfn.IFERROR(VLOOKUP($A179,'The List'!$B1:$AS730,28,FALSE)," ")</f>
        <v>885</v>
      </c>
      <c r="V179" t="s" s="61">
        <f>_xlfn.IFERROR(VLOOKUP($A179,'The List'!$B1:$AS730,29,FALSE)," ")</f>
        <v>885</v>
      </c>
      <c r="W179" t="s" s="61">
        <f>_xlfn.IFERROR(VLOOKUP($A179,'The List'!$B1:$AS730,30,FALSE)," ")</f>
        <v>885</v>
      </c>
      <c r="X179" t="s" s="61">
        <f>_xlfn.IFERROR(VLOOKUP($A179,'The List'!$B1:$AS730,31,FALSE)," ")</f>
        <v>885</v>
      </c>
      <c r="Y179" t="s" s="61">
        <f>_xlfn.IFERROR(VLOOKUP($A179,'The List'!$B1:$AS730,32,FALSE)," ")</f>
        <v>885</v>
      </c>
      <c r="Z179" t="s" s="61">
        <f>_xlfn.IFERROR(VLOOKUP($A179,'The List'!$B1:$AS730,33,FALSE)," ")</f>
        <v>885</v>
      </c>
      <c r="AA179" s="64"/>
      <c r="AB179" s="69"/>
      <c r="AC179" s="69"/>
      <c r="AD179" s="69"/>
      <c r="AE179" s="69"/>
      <c r="AF179" s="69"/>
    </row>
    <row r="180" ht="21.25" customHeight="1">
      <c r="A180" s="29"/>
      <c r="B180" t="s" s="71">
        <f>_xlfn.IFERROR(VLOOKUP($A180,'The List'!$B1:$AS730,3,FALSE)," ")</f>
        <v>885</v>
      </c>
      <c r="C180" t="s" s="73">
        <f>_xlfn.IFERROR(VLOOKUP($A180,'The List'!$B1:$AS730,4,FALSE)," ")</f>
        <v>885</v>
      </c>
      <c r="D180" t="s" s="42">
        <f>_xlfn.IFERROR(VLOOKUP($A180,'The List'!$B1:$AS730,5,FALSE)," ")</f>
        <v>885</v>
      </c>
      <c r="E180" t="s" s="42">
        <f>_xlfn.IFERROR(VLOOKUP($A180,'The List'!$B1:$AS730,6,FALSE)," ")</f>
        <v>885</v>
      </c>
      <c r="F180" t="s" s="60">
        <f>_xlfn.IFERROR(VLOOKUP($A180,'The List'!$B1:$AS730,8,FALSE)," ")</f>
        <v>885</v>
      </c>
      <c r="G180" t="s" s="60">
        <f>_xlfn.IFERROR(VLOOKUP($A180,'The List'!$B1:$AS730,10,FALSE)," ")</f>
        <v>885</v>
      </c>
      <c r="H180" s="46"/>
      <c r="I180" t="s" s="61">
        <f>_xlfn.IFERROR(VLOOKUP($A180,'The List'!$B1:$AS730,16,FALSE)," ")</f>
        <v>885</v>
      </c>
      <c r="J180" t="s" s="61">
        <f>_xlfn.IFERROR(VLOOKUP($A180,'The List'!$B1:$AS730,17,FALSE)," ")</f>
        <v>885</v>
      </c>
      <c r="K180" t="s" s="61">
        <f>_xlfn.IFERROR(VLOOKUP($A180,'The List'!$B1:$AS730,18,FALSE)," ")</f>
        <v>885</v>
      </c>
      <c r="L180" t="s" s="61">
        <f>_xlfn.IFERROR(VLOOKUP($A180,'The List'!$B1:$AS730,19,FALSE)," ")</f>
        <v>885</v>
      </c>
      <c r="M180" t="s" s="61">
        <f>_xlfn.IFERROR(VLOOKUP($A180,'The List'!$B1:$AS730,20,FALSE)," ")</f>
        <v>885</v>
      </c>
      <c r="N180" t="s" s="61">
        <f>_xlfn.IFERROR(VLOOKUP($A180,'The List'!$B1:$AS730,21,FALSE)," ")</f>
        <v>885</v>
      </c>
      <c r="O180" t="s" s="61">
        <f>_xlfn.IFERROR(VLOOKUP($A180,'The List'!$B1:$AS730,22,FALSE)," ")</f>
        <v>885</v>
      </c>
      <c r="P180" t="s" s="61">
        <f>_xlfn.IFERROR(VLOOKUP($A180,'The List'!$B1:$AS730,23,FALSE)," ")</f>
        <v>885</v>
      </c>
      <c r="Q180" t="s" s="61">
        <f>_xlfn.IFERROR(VLOOKUP($A180,'The List'!$B1:$AS730,24,FALSE)," ")</f>
        <v>885</v>
      </c>
      <c r="R180" t="s" s="61">
        <f>_xlfn.IFERROR(VLOOKUP($A180,'The List'!$B1:$AS730,25,FALSE)," ")</f>
        <v>885</v>
      </c>
      <c r="S180" t="s" s="61">
        <f>_xlfn.IFERROR(VLOOKUP($A180,'The List'!$B1:$AS730,26,FALSE)," ")</f>
        <v>885</v>
      </c>
      <c r="T180" t="s" s="61">
        <f>_xlfn.IFERROR(VLOOKUP($A180,'The List'!$B1:$AS730,27,FALSE)," ")</f>
        <v>885</v>
      </c>
      <c r="U180" t="s" s="61">
        <f>_xlfn.IFERROR(VLOOKUP($A180,'The List'!$B1:$AS730,28,FALSE)," ")</f>
        <v>885</v>
      </c>
      <c r="V180" t="s" s="61">
        <f>_xlfn.IFERROR(VLOOKUP($A180,'The List'!$B1:$AS730,29,FALSE)," ")</f>
        <v>885</v>
      </c>
      <c r="W180" t="s" s="61">
        <f>_xlfn.IFERROR(VLOOKUP($A180,'The List'!$B1:$AS730,30,FALSE)," ")</f>
        <v>885</v>
      </c>
      <c r="X180" t="s" s="61">
        <f>_xlfn.IFERROR(VLOOKUP($A180,'The List'!$B1:$AS730,31,FALSE)," ")</f>
        <v>885</v>
      </c>
      <c r="Y180" t="s" s="61">
        <f>_xlfn.IFERROR(VLOOKUP($A180,'The List'!$B1:$AS730,32,FALSE)," ")</f>
        <v>885</v>
      </c>
      <c r="Z180" t="s" s="61">
        <f>_xlfn.IFERROR(VLOOKUP($A180,'The List'!$B1:$AS730,33,FALSE)," ")</f>
        <v>885</v>
      </c>
      <c r="AA180" s="64"/>
      <c r="AB180" s="69"/>
      <c r="AC180" s="69"/>
      <c r="AD180" s="69"/>
      <c r="AE180" s="69"/>
      <c r="AF180" s="69"/>
    </row>
    <row r="181" ht="21.25" customHeight="1">
      <c r="A181" s="29"/>
      <c r="B181" t="s" s="71">
        <f>_xlfn.IFERROR(VLOOKUP($A181,'The List'!$B1:$AS730,3,FALSE)," ")</f>
        <v>885</v>
      </c>
      <c r="C181" t="s" s="73">
        <f>_xlfn.IFERROR(VLOOKUP($A181,'The List'!$B1:$AS730,4,FALSE)," ")</f>
        <v>885</v>
      </c>
      <c r="D181" t="s" s="42">
        <f>_xlfn.IFERROR(VLOOKUP($A181,'The List'!$B1:$AS730,5,FALSE)," ")</f>
        <v>885</v>
      </c>
      <c r="E181" t="s" s="42">
        <f>_xlfn.IFERROR(VLOOKUP($A181,'The List'!$B1:$AS730,6,FALSE)," ")</f>
        <v>885</v>
      </c>
      <c r="F181" t="s" s="60">
        <f>_xlfn.IFERROR(VLOOKUP($A181,'The List'!$B1:$AS730,8,FALSE)," ")</f>
        <v>885</v>
      </c>
      <c r="G181" t="s" s="60">
        <f>_xlfn.IFERROR(VLOOKUP($A181,'The List'!$B1:$AS730,10,FALSE)," ")</f>
        <v>885</v>
      </c>
      <c r="H181" s="46"/>
      <c r="I181" t="s" s="61">
        <f>_xlfn.IFERROR(VLOOKUP($A181,'The List'!$B1:$AS730,16,FALSE)," ")</f>
        <v>885</v>
      </c>
      <c r="J181" t="s" s="61">
        <f>_xlfn.IFERROR(VLOOKUP($A181,'The List'!$B1:$AS730,17,FALSE)," ")</f>
        <v>885</v>
      </c>
      <c r="K181" t="s" s="61">
        <f>_xlfn.IFERROR(VLOOKUP($A181,'The List'!$B1:$AS730,18,FALSE)," ")</f>
        <v>885</v>
      </c>
      <c r="L181" t="s" s="61">
        <f>_xlfn.IFERROR(VLOOKUP($A181,'The List'!$B1:$AS730,19,FALSE)," ")</f>
        <v>885</v>
      </c>
      <c r="M181" t="s" s="61">
        <f>_xlfn.IFERROR(VLOOKUP($A181,'The List'!$B1:$AS730,20,FALSE)," ")</f>
        <v>885</v>
      </c>
      <c r="N181" t="s" s="61">
        <f>_xlfn.IFERROR(VLOOKUP($A181,'The List'!$B1:$AS730,21,FALSE)," ")</f>
        <v>885</v>
      </c>
      <c r="O181" t="s" s="61">
        <f>_xlfn.IFERROR(VLOOKUP($A181,'The List'!$B1:$AS730,22,FALSE)," ")</f>
        <v>885</v>
      </c>
      <c r="P181" t="s" s="61">
        <f>_xlfn.IFERROR(VLOOKUP($A181,'The List'!$B1:$AS730,23,FALSE)," ")</f>
        <v>885</v>
      </c>
      <c r="Q181" t="s" s="61">
        <f>_xlfn.IFERROR(VLOOKUP($A181,'The List'!$B1:$AS730,24,FALSE)," ")</f>
        <v>885</v>
      </c>
      <c r="R181" t="s" s="61">
        <f>_xlfn.IFERROR(VLOOKUP($A181,'The List'!$B1:$AS730,25,FALSE)," ")</f>
        <v>885</v>
      </c>
      <c r="S181" t="s" s="61">
        <f>_xlfn.IFERROR(VLOOKUP($A181,'The List'!$B1:$AS730,26,FALSE)," ")</f>
        <v>885</v>
      </c>
      <c r="T181" t="s" s="61">
        <f>_xlfn.IFERROR(VLOOKUP($A181,'The List'!$B1:$AS730,27,FALSE)," ")</f>
        <v>885</v>
      </c>
      <c r="U181" t="s" s="61">
        <f>_xlfn.IFERROR(VLOOKUP($A181,'The List'!$B1:$AS730,28,FALSE)," ")</f>
        <v>885</v>
      </c>
      <c r="V181" t="s" s="61">
        <f>_xlfn.IFERROR(VLOOKUP($A181,'The List'!$B1:$AS730,29,FALSE)," ")</f>
        <v>885</v>
      </c>
      <c r="W181" t="s" s="61">
        <f>_xlfn.IFERROR(VLOOKUP($A181,'The List'!$B1:$AS730,30,FALSE)," ")</f>
        <v>885</v>
      </c>
      <c r="X181" t="s" s="61">
        <f>_xlfn.IFERROR(VLOOKUP($A181,'The List'!$B1:$AS730,31,FALSE)," ")</f>
        <v>885</v>
      </c>
      <c r="Y181" t="s" s="61">
        <f>_xlfn.IFERROR(VLOOKUP($A181,'The List'!$B1:$AS730,32,FALSE)," ")</f>
        <v>885</v>
      </c>
      <c r="Z181" t="s" s="61">
        <f>_xlfn.IFERROR(VLOOKUP($A181,'The List'!$B1:$AS730,33,FALSE)," ")</f>
        <v>885</v>
      </c>
      <c r="AA181" s="64"/>
      <c r="AB181" s="69"/>
      <c r="AC181" s="69"/>
      <c r="AD181" s="69"/>
      <c r="AE181" s="69"/>
      <c r="AF181" s="69"/>
    </row>
    <row r="182" ht="21.25" customHeight="1">
      <c r="A182" s="29"/>
      <c r="B182" t="s" s="71">
        <f>_xlfn.IFERROR(VLOOKUP($A182,'The List'!$B1:$AS730,3,FALSE)," ")</f>
        <v>885</v>
      </c>
      <c r="C182" t="s" s="73">
        <f>_xlfn.IFERROR(VLOOKUP($A182,'The List'!$B1:$AS730,4,FALSE)," ")</f>
        <v>885</v>
      </c>
      <c r="D182" t="s" s="42">
        <f>_xlfn.IFERROR(VLOOKUP($A182,'The List'!$B1:$AS730,5,FALSE)," ")</f>
        <v>885</v>
      </c>
      <c r="E182" t="s" s="42">
        <f>_xlfn.IFERROR(VLOOKUP($A182,'The List'!$B1:$AS730,6,FALSE)," ")</f>
        <v>885</v>
      </c>
      <c r="F182" t="s" s="60">
        <f>_xlfn.IFERROR(VLOOKUP($A182,'The List'!$B1:$AS730,8,FALSE)," ")</f>
        <v>885</v>
      </c>
      <c r="G182" t="s" s="60">
        <f>_xlfn.IFERROR(VLOOKUP($A182,'The List'!$B1:$AS730,10,FALSE)," ")</f>
        <v>885</v>
      </c>
      <c r="H182" s="46"/>
      <c r="I182" t="s" s="61">
        <f>_xlfn.IFERROR(VLOOKUP($A182,'The List'!$B1:$AS730,16,FALSE)," ")</f>
        <v>885</v>
      </c>
      <c r="J182" t="s" s="61">
        <f>_xlfn.IFERROR(VLOOKUP($A182,'The List'!$B1:$AS730,17,FALSE)," ")</f>
        <v>885</v>
      </c>
      <c r="K182" t="s" s="61">
        <f>_xlfn.IFERROR(VLOOKUP($A182,'The List'!$B1:$AS730,18,FALSE)," ")</f>
        <v>885</v>
      </c>
      <c r="L182" t="s" s="61">
        <f>_xlfn.IFERROR(VLOOKUP($A182,'The List'!$B1:$AS730,19,FALSE)," ")</f>
        <v>885</v>
      </c>
      <c r="M182" t="s" s="61">
        <f>_xlfn.IFERROR(VLOOKUP($A182,'The List'!$B1:$AS730,20,FALSE)," ")</f>
        <v>885</v>
      </c>
      <c r="N182" t="s" s="61">
        <f>_xlfn.IFERROR(VLOOKUP($A182,'The List'!$B1:$AS730,21,FALSE)," ")</f>
        <v>885</v>
      </c>
      <c r="O182" t="s" s="61">
        <f>_xlfn.IFERROR(VLOOKUP($A182,'The List'!$B1:$AS730,22,FALSE)," ")</f>
        <v>885</v>
      </c>
      <c r="P182" t="s" s="61">
        <f>_xlfn.IFERROR(VLOOKUP($A182,'The List'!$B1:$AS730,23,FALSE)," ")</f>
        <v>885</v>
      </c>
      <c r="Q182" t="s" s="61">
        <f>_xlfn.IFERROR(VLOOKUP($A182,'The List'!$B1:$AS730,24,FALSE)," ")</f>
        <v>885</v>
      </c>
      <c r="R182" t="s" s="61">
        <f>_xlfn.IFERROR(VLOOKUP($A182,'The List'!$B1:$AS730,25,FALSE)," ")</f>
        <v>885</v>
      </c>
      <c r="S182" t="s" s="61">
        <f>_xlfn.IFERROR(VLOOKUP($A182,'The List'!$B1:$AS730,26,FALSE)," ")</f>
        <v>885</v>
      </c>
      <c r="T182" t="s" s="61">
        <f>_xlfn.IFERROR(VLOOKUP($A182,'The List'!$B1:$AS730,27,FALSE)," ")</f>
        <v>885</v>
      </c>
      <c r="U182" t="s" s="61">
        <f>_xlfn.IFERROR(VLOOKUP($A182,'The List'!$B1:$AS730,28,FALSE)," ")</f>
        <v>885</v>
      </c>
      <c r="V182" t="s" s="61">
        <f>_xlfn.IFERROR(VLOOKUP($A182,'The List'!$B1:$AS730,29,FALSE)," ")</f>
        <v>885</v>
      </c>
      <c r="W182" t="s" s="61">
        <f>_xlfn.IFERROR(VLOOKUP($A182,'The List'!$B1:$AS730,30,FALSE)," ")</f>
        <v>885</v>
      </c>
      <c r="X182" t="s" s="61">
        <f>_xlfn.IFERROR(VLOOKUP($A182,'The List'!$B1:$AS730,31,FALSE)," ")</f>
        <v>885</v>
      </c>
      <c r="Y182" t="s" s="61">
        <f>_xlfn.IFERROR(VLOOKUP($A182,'The List'!$B1:$AS730,32,FALSE)," ")</f>
        <v>885</v>
      </c>
      <c r="Z182" t="s" s="61">
        <f>_xlfn.IFERROR(VLOOKUP($A182,'The List'!$B1:$AS730,33,FALSE)," ")</f>
        <v>885</v>
      </c>
      <c r="AA182" s="64"/>
      <c r="AB182" s="69"/>
      <c r="AC182" s="69"/>
      <c r="AD182" s="69"/>
      <c r="AE182" s="69"/>
      <c r="AF182" s="69"/>
    </row>
    <row r="183" ht="21.25" customHeight="1">
      <c r="A183" s="29"/>
      <c r="B183" t="s" s="71">
        <f>_xlfn.IFERROR(VLOOKUP($A183,'The List'!$B1:$AS730,3,FALSE)," ")</f>
        <v>885</v>
      </c>
      <c r="C183" t="s" s="73">
        <f>_xlfn.IFERROR(VLOOKUP($A183,'The List'!$B1:$AS730,4,FALSE)," ")</f>
        <v>885</v>
      </c>
      <c r="D183" t="s" s="42">
        <f>_xlfn.IFERROR(VLOOKUP($A183,'The List'!$B1:$AS730,5,FALSE)," ")</f>
        <v>885</v>
      </c>
      <c r="E183" t="s" s="42">
        <f>_xlfn.IFERROR(VLOOKUP($A183,'The List'!$B1:$AS730,6,FALSE)," ")</f>
        <v>885</v>
      </c>
      <c r="F183" t="s" s="60">
        <f>_xlfn.IFERROR(VLOOKUP($A183,'The List'!$B1:$AS730,8,FALSE)," ")</f>
        <v>885</v>
      </c>
      <c r="G183" t="s" s="60">
        <f>_xlfn.IFERROR(VLOOKUP($A183,'The List'!$B1:$AS730,10,FALSE)," ")</f>
        <v>885</v>
      </c>
      <c r="H183" s="46"/>
      <c r="I183" t="s" s="61">
        <f>_xlfn.IFERROR(VLOOKUP($A183,'The List'!$B1:$AS730,16,FALSE)," ")</f>
        <v>885</v>
      </c>
      <c r="J183" t="s" s="61">
        <f>_xlfn.IFERROR(VLOOKUP($A183,'The List'!$B1:$AS730,17,FALSE)," ")</f>
        <v>885</v>
      </c>
      <c r="K183" t="s" s="61">
        <f>_xlfn.IFERROR(VLOOKUP($A183,'The List'!$B1:$AS730,18,FALSE)," ")</f>
        <v>885</v>
      </c>
      <c r="L183" t="s" s="61">
        <f>_xlfn.IFERROR(VLOOKUP($A183,'The List'!$B1:$AS730,19,FALSE)," ")</f>
        <v>885</v>
      </c>
      <c r="M183" t="s" s="61">
        <f>_xlfn.IFERROR(VLOOKUP($A183,'The List'!$B1:$AS730,20,FALSE)," ")</f>
        <v>885</v>
      </c>
      <c r="N183" t="s" s="61">
        <f>_xlfn.IFERROR(VLOOKUP($A183,'The List'!$B1:$AS730,21,FALSE)," ")</f>
        <v>885</v>
      </c>
      <c r="O183" t="s" s="61">
        <f>_xlfn.IFERROR(VLOOKUP($A183,'The List'!$B1:$AS730,22,FALSE)," ")</f>
        <v>885</v>
      </c>
      <c r="P183" t="s" s="61">
        <f>_xlfn.IFERROR(VLOOKUP($A183,'The List'!$B1:$AS730,23,FALSE)," ")</f>
        <v>885</v>
      </c>
      <c r="Q183" t="s" s="61">
        <f>_xlfn.IFERROR(VLOOKUP($A183,'The List'!$B1:$AS730,24,FALSE)," ")</f>
        <v>885</v>
      </c>
      <c r="R183" t="s" s="61">
        <f>_xlfn.IFERROR(VLOOKUP($A183,'The List'!$B1:$AS730,25,FALSE)," ")</f>
        <v>885</v>
      </c>
      <c r="S183" t="s" s="61">
        <f>_xlfn.IFERROR(VLOOKUP($A183,'The List'!$B1:$AS730,26,FALSE)," ")</f>
        <v>885</v>
      </c>
      <c r="T183" t="s" s="61">
        <f>_xlfn.IFERROR(VLOOKUP($A183,'The List'!$B1:$AS730,27,FALSE)," ")</f>
        <v>885</v>
      </c>
      <c r="U183" t="s" s="61">
        <f>_xlfn.IFERROR(VLOOKUP($A183,'The List'!$B1:$AS730,28,FALSE)," ")</f>
        <v>885</v>
      </c>
      <c r="V183" t="s" s="61">
        <f>_xlfn.IFERROR(VLOOKUP($A183,'The List'!$B1:$AS730,29,FALSE)," ")</f>
        <v>885</v>
      </c>
      <c r="W183" t="s" s="61">
        <f>_xlfn.IFERROR(VLOOKUP($A183,'The List'!$B1:$AS730,30,FALSE)," ")</f>
        <v>885</v>
      </c>
      <c r="X183" t="s" s="61">
        <f>_xlfn.IFERROR(VLOOKUP($A183,'The List'!$B1:$AS730,31,FALSE)," ")</f>
        <v>885</v>
      </c>
      <c r="Y183" t="s" s="61">
        <f>_xlfn.IFERROR(VLOOKUP($A183,'The List'!$B1:$AS730,32,FALSE)," ")</f>
        <v>885</v>
      </c>
      <c r="Z183" t="s" s="61">
        <f>_xlfn.IFERROR(VLOOKUP($A183,'The List'!$B1:$AS730,33,FALSE)," ")</f>
        <v>885</v>
      </c>
      <c r="AA183" s="64"/>
      <c r="AB183" s="69"/>
      <c r="AC183" s="69"/>
      <c r="AD183" s="69"/>
      <c r="AE183" s="69"/>
      <c r="AF183" s="69"/>
    </row>
    <row r="184" ht="21.25" customHeight="1">
      <c r="A184" s="29"/>
      <c r="B184" t="s" s="74">
        <f>_xlfn.IFERROR(VLOOKUP($A184,'The List'!$B1:$AS730,3,FALSE)," ")</f>
        <v>885</v>
      </c>
      <c r="C184" t="s" s="76">
        <f>_xlfn.IFERROR(VLOOKUP($A184,'The List'!$B1:$AS730,4,FALSE)," ")</f>
        <v>885</v>
      </c>
      <c r="D184" t="s" s="42">
        <f>_xlfn.IFERROR(VLOOKUP($A184,'The List'!$B1:$AS730,5,FALSE)," ")</f>
        <v>885</v>
      </c>
      <c r="E184" t="s" s="42">
        <f>_xlfn.IFERROR(VLOOKUP($A184,'The List'!$B1:$AS730,6,FALSE)," ")</f>
        <v>885</v>
      </c>
      <c r="F184" t="s" s="60">
        <f>_xlfn.IFERROR(VLOOKUP($A184,'The List'!$B1:$AS730,8,FALSE)," ")</f>
        <v>885</v>
      </c>
      <c r="G184" t="s" s="60">
        <f>_xlfn.IFERROR(VLOOKUP($A184,'The List'!$B1:$AS730,10,FALSE)," ")</f>
        <v>885</v>
      </c>
      <c r="H184" s="46"/>
      <c r="I184" t="s" s="61">
        <f>_xlfn.IFERROR(VLOOKUP($A184,'The List'!$B1:$AS730,16,FALSE)," ")</f>
        <v>885</v>
      </c>
      <c r="J184" t="s" s="61">
        <f>_xlfn.IFERROR(VLOOKUP($A184,'The List'!$B1:$AS730,17,FALSE)," ")</f>
        <v>885</v>
      </c>
      <c r="K184" t="s" s="61">
        <f>_xlfn.IFERROR(VLOOKUP($A184,'The List'!$B1:$AS730,18,FALSE)," ")</f>
        <v>885</v>
      </c>
      <c r="L184" t="s" s="61">
        <f>_xlfn.IFERROR(VLOOKUP($A184,'The List'!$B1:$AS730,19,FALSE)," ")</f>
        <v>885</v>
      </c>
      <c r="M184" t="s" s="61">
        <f>_xlfn.IFERROR(VLOOKUP($A184,'The List'!$B1:$AS730,20,FALSE)," ")</f>
        <v>885</v>
      </c>
      <c r="N184" t="s" s="61">
        <f>_xlfn.IFERROR(VLOOKUP($A184,'The List'!$B1:$AS730,21,FALSE)," ")</f>
        <v>885</v>
      </c>
      <c r="O184" t="s" s="61">
        <f>_xlfn.IFERROR(VLOOKUP($A184,'The List'!$B1:$AS730,22,FALSE)," ")</f>
        <v>885</v>
      </c>
      <c r="P184" t="s" s="61">
        <f>_xlfn.IFERROR(VLOOKUP($A184,'The List'!$B1:$AS730,23,FALSE)," ")</f>
        <v>885</v>
      </c>
      <c r="Q184" t="s" s="61">
        <f>_xlfn.IFERROR(VLOOKUP($A184,'The List'!$B1:$AS730,24,FALSE)," ")</f>
        <v>885</v>
      </c>
      <c r="R184" t="s" s="61">
        <f>_xlfn.IFERROR(VLOOKUP($A184,'The List'!$B1:$AS730,25,FALSE)," ")</f>
        <v>885</v>
      </c>
      <c r="S184" t="s" s="61">
        <f>_xlfn.IFERROR(VLOOKUP($A184,'The List'!$B1:$AS730,26,FALSE)," ")</f>
        <v>885</v>
      </c>
      <c r="T184" t="s" s="61">
        <f>_xlfn.IFERROR(VLOOKUP($A184,'The List'!$B1:$AS730,27,FALSE)," ")</f>
        <v>885</v>
      </c>
      <c r="U184" t="s" s="61">
        <f>_xlfn.IFERROR(VLOOKUP($A184,'The List'!$B1:$AS730,28,FALSE)," ")</f>
        <v>885</v>
      </c>
      <c r="V184" t="s" s="61">
        <f>_xlfn.IFERROR(VLOOKUP($A184,'The List'!$B1:$AS730,29,FALSE)," ")</f>
        <v>885</v>
      </c>
      <c r="W184" t="s" s="61">
        <f>_xlfn.IFERROR(VLOOKUP($A184,'The List'!$B1:$AS730,30,FALSE)," ")</f>
        <v>885</v>
      </c>
      <c r="X184" t="s" s="61">
        <f>_xlfn.IFERROR(VLOOKUP($A184,'The List'!$B1:$AS730,31,FALSE)," ")</f>
        <v>885</v>
      </c>
      <c r="Y184" t="s" s="61">
        <f>_xlfn.IFERROR(VLOOKUP($A184,'The List'!$B1:$AS730,32,FALSE)," ")</f>
        <v>885</v>
      </c>
      <c r="Z184" t="s" s="61">
        <f>_xlfn.IFERROR(VLOOKUP($A184,'The List'!$B1:$AS730,33,FALSE)," ")</f>
        <v>885</v>
      </c>
      <c r="AA184" s="64"/>
      <c r="AB184" s="69"/>
      <c r="AC184" s="69"/>
      <c r="AD184" s="69"/>
      <c r="AE184" s="69"/>
      <c r="AF184" s="69"/>
    </row>
    <row r="185" ht="21.25" customHeight="1">
      <c r="A185" s="29"/>
      <c r="B185" t="s" s="74">
        <f>_xlfn.IFERROR(VLOOKUP($A185,'The List'!$B1:$AS730,3,FALSE)," ")</f>
        <v>885</v>
      </c>
      <c r="C185" t="s" s="76">
        <f>_xlfn.IFERROR(VLOOKUP($A185,'The List'!$B1:$AS730,4,FALSE)," ")</f>
        <v>885</v>
      </c>
      <c r="D185" t="s" s="42">
        <f>_xlfn.IFERROR(VLOOKUP($A185,'The List'!$B1:$AS730,5,FALSE)," ")</f>
        <v>885</v>
      </c>
      <c r="E185" t="s" s="42">
        <f>_xlfn.IFERROR(VLOOKUP($A185,'The List'!$B1:$AS730,6,FALSE)," ")</f>
        <v>885</v>
      </c>
      <c r="F185" t="s" s="60">
        <f>_xlfn.IFERROR(VLOOKUP($A185,'The List'!$B1:$AS730,8,FALSE)," ")</f>
        <v>885</v>
      </c>
      <c r="G185" t="s" s="60">
        <f>_xlfn.IFERROR(VLOOKUP($A185,'The List'!$B1:$AS730,10,FALSE)," ")</f>
        <v>885</v>
      </c>
      <c r="H185" s="46"/>
      <c r="I185" t="s" s="61">
        <f>_xlfn.IFERROR(VLOOKUP($A185,'The List'!$B1:$AS730,16,FALSE)," ")</f>
        <v>885</v>
      </c>
      <c r="J185" t="s" s="61">
        <f>_xlfn.IFERROR(VLOOKUP($A185,'The List'!$B1:$AS730,17,FALSE)," ")</f>
        <v>885</v>
      </c>
      <c r="K185" t="s" s="61">
        <f>_xlfn.IFERROR(VLOOKUP($A185,'The List'!$B1:$AS730,18,FALSE)," ")</f>
        <v>885</v>
      </c>
      <c r="L185" t="s" s="61">
        <f>_xlfn.IFERROR(VLOOKUP($A185,'The List'!$B1:$AS730,19,FALSE)," ")</f>
        <v>885</v>
      </c>
      <c r="M185" t="s" s="61">
        <f>_xlfn.IFERROR(VLOOKUP($A185,'The List'!$B1:$AS730,20,FALSE)," ")</f>
        <v>885</v>
      </c>
      <c r="N185" t="s" s="61">
        <f>_xlfn.IFERROR(VLOOKUP($A185,'The List'!$B1:$AS730,21,FALSE)," ")</f>
        <v>885</v>
      </c>
      <c r="O185" t="s" s="61">
        <f>_xlfn.IFERROR(VLOOKUP($A185,'The List'!$B1:$AS730,22,FALSE)," ")</f>
        <v>885</v>
      </c>
      <c r="P185" t="s" s="61">
        <f>_xlfn.IFERROR(VLOOKUP($A185,'The List'!$B1:$AS730,23,FALSE)," ")</f>
        <v>885</v>
      </c>
      <c r="Q185" t="s" s="61">
        <f>_xlfn.IFERROR(VLOOKUP($A185,'The List'!$B1:$AS730,24,FALSE)," ")</f>
        <v>885</v>
      </c>
      <c r="R185" t="s" s="61">
        <f>_xlfn.IFERROR(VLOOKUP($A185,'The List'!$B1:$AS730,25,FALSE)," ")</f>
        <v>885</v>
      </c>
      <c r="S185" t="s" s="61">
        <f>_xlfn.IFERROR(VLOOKUP($A185,'The List'!$B1:$AS730,26,FALSE)," ")</f>
        <v>885</v>
      </c>
      <c r="T185" t="s" s="61">
        <f>_xlfn.IFERROR(VLOOKUP($A185,'The List'!$B1:$AS730,27,FALSE)," ")</f>
        <v>885</v>
      </c>
      <c r="U185" t="s" s="61">
        <f>_xlfn.IFERROR(VLOOKUP($A185,'The List'!$B1:$AS730,28,FALSE)," ")</f>
        <v>885</v>
      </c>
      <c r="V185" t="s" s="61">
        <f>_xlfn.IFERROR(VLOOKUP($A185,'The List'!$B1:$AS730,29,FALSE)," ")</f>
        <v>885</v>
      </c>
      <c r="W185" t="s" s="61">
        <f>_xlfn.IFERROR(VLOOKUP($A185,'The List'!$B1:$AS730,30,FALSE)," ")</f>
        <v>885</v>
      </c>
      <c r="X185" t="s" s="61">
        <f>_xlfn.IFERROR(VLOOKUP($A185,'The List'!$B1:$AS730,31,FALSE)," ")</f>
        <v>885</v>
      </c>
      <c r="Y185" t="s" s="61">
        <f>_xlfn.IFERROR(VLOOKUP($A185,'The List'!$B1:$AS730,32,FALSE)," ")</f>
        <v>885</v>
      </c>
      <c r="Z185" t="s" s="61">
        <f>_xlfn.IFERROR(VLOOKUP($A185,'The List'!$B1:$AS730,33,FALSE)," ")</f>
        <v>885</v>
      </c>
      <c r="AA185" s="64"/>
      <c r="AB185" s="69"/>
      <c r="AC185" s="69"/>
      <c r="AD185" s="69"/>
      <c r="AE185" s="69"/>
      <c r="AF185" s="69"/>
    </row>
    <row r="186" ht="21.25" customHeight="1">
      <c r="A186" s="29"/>
      <c r="B186" t="s" s="74">
        <f>_xlfn.IFERROR(VLOOKUP($A186,'The List'!$B1:$AS730,3,FALSE)," ")</f>
        <v>885</v>
      </c>
      <c r="C186" t="s" s="76">
        <f>_xlfn.IFERROR(VLOOKUP($A186,'The List'!$B1:$AS730,4,FALSE)," ")</f>
        <v>885</v>
      </c>
      <c r="D186" t="s" s="42">
        <f>_xlfn.IFERROR(VLOOKUP($A186,'The List'!$B1:$AS730,5,FALSE)," ")</f>
        <v>885</v>
      </c>
      <c r="E186" t="s" s="42">
        <f>_xlfn.IFERROR(VLOOKUP($A186,'The List'!$B1:$AS730,6,FALSE)," ")</f>
        <v>885</v>
      </c>
      <c r="F186" t="s" s="60">
        <f>_xlfn.IFERROR(VLOOKUP($A186,'The List'!$B1:$AS730,8,FALSE)," ")</f>
        <v>885</v>
      </c>
      <c r="G186" t="s" s="60">
        <f>_xlfn.IFERROR(VLOOKUP($A186,'The List'!$B1:$AS730,10,FALSE)," ")</f>
        <v>885</v>
      </c>
      <c r="H186" s="46"/>
      <c r="I186" t="s" s="61">
        <f>_xlfn.IFERROR(VLOOKUP($A186,'The List'!$B1:$AS730,16,FALSE)," ")</f>
        <v>885</v>
      </c>
      <c r="J186" t="s" s="61">
        <f>_xlfn.IFERROR(VLOOKUP($A186,'The List'!$B1:$AS730,17,FALSE)," ")</f>
        <v>885</v>
      </c>
      <c r="K186" t="s" s="61">
        <f>_xlfn.IFERROR(VLOOKUP($A186,'The List'!$B1:$AS730,18,FALSE)," ")</f>
        <v>885</v>
      </c>
      <c r="L186" t="s" s="61">
        <f>_xlfn.IFERROR(VLOOKUP($A186,'The List'!$B1:$AS730,19,FALSE)," ")</f>
        <v>885</v>
      </c>
      <c r="M186" t="s" s="61">
        <f>_xlfn.IFERROR(VLOOKUP($A186,'The List'!$B1:$AS730,20,FALSE)," ")</f>
        <v>885</v>
      </c>
      <c r="N186" t="s" s="61">
        <f>_xlfn.IFERROR(VLOOKUP($A186,'The List'!$B1:$AS730,21,FALSE)," ")</f>
        <v>885</v>
      </c>
      <c r="O186" t="s" s="61">
        <f>_xlfn.IFERROR(VLOOKUP($A186,'The List'!$B1:$AS730,22,FALSE)," ")</f>
        <v>885</v>
      </c>
      <c r="P186" t="s" s="61">
        <f>_xlfn.IFERROR(VLOOKUP($A186,'The List'!$B1:$AS730,23,FALSE)," ")</f>
        <v>885</v>
      </c>
      <c r="Q186" t="s" s="61">
        <f>_xlfn.IFERROR(VLOOKUP($A186,'The List'!$B1:$AS730,24,FALSE)," ")</f>
        <v>885</v>
      </c>
      <c r="R186" t="s" s="61">
        <f>_xlfn.IFERROR(VLOOKUP($A186,'The List'!$B1:$AS730,25,FALSE)," ")</f>
        <v>885</v>
      </c>
      <c r="S186" t="s" s="61">
        <f>_xlfn.IFERROR(VLOOKUP($A186,'The List'!$B1:$AS730,26,FALSE)," ")</f>
        <v>885</v>
      </c>
      <c r="T186" t="s" s="61">
        <f>_xlfn.IFERROR(VLOOKUP($A186,'The List'!$B1:$AS730,27,FALSE)," ")</f>
        <v>885</v>
      </c>
      <c r="U186" t="s" s="61">
        <f>_xlfn.IFERROR(VLOOKUP($A186,'The List'!$B1:$AS730,28,FALSE)," ")</f>
        <v>885</v>
      </c>
      <c r="V186" t="s" s="61">
        <f>_xlfn.IFERROR(VLOOKUP($A186,'The List'!$B1:$AS730,29,FALSE)," ")</f>
        <v>885</v>
      </c>
      <c r="W186" t="s" s="61">
        <f>_xlfn.IFERROR(VLOOKUP($A186,'The List'!$B1:$AS730,30,FALSE)," ")</f>
        <v>885</v>
      </c>
      <c r="X186" t="s" s="61">
        <f>_xlfn.IFERROR(VLOOKUP($A186,'The List'!$B1:$AS730,31,FALSE)," ")</f>
        <v>885</v>
      </c>
      <c r="Y186" t="s" s="61">
        <f>_xlfn.IFERROR(VLOOKUP($A186,'The List'!$B1:$AS730,32,FALSE)," ")</f>
        <v>885</v>
      </c>
      <c r="Z186" t="s" s="61">
        <f>_xlfn.IFERROR(VLOOKUP($A186,'The List'!$B1:$AS730,33,FALSE)," ")</f>
        <v>885</v>
      </c>
      <c r="AA186" s="64"/>
      <c r="AB186" s="69"/>
      <c r="AC186" s="69"/>
      <c r="AD186" s="69"/>
      <c r="AE186" s="69"/>
      <c r="AF186" s="69"/>
    </row>
    <row r="187" ht="21.25" customHeight="1">
      <c r="A187" s="29"/>
      <c r="B187" t="s" s="74">
        <f>_xlfn.IFERROR(VLOOKUP($A187,'The List'!$B1:$AS730,3,FALSE)," ")</f>
        <v>885</v>
      </c>
      <c r="C187" t="s" s="76">
        <f>_xlfn.IFERROR(VLOOKUP($A187,'The List'!$B1:$AS730,4,FALSE)," ")</f>
        <v>885</v>
      </c>
      <c r="D187" t="s" s="42">
        <f>_xlfn.IFERROR(VLOOKUP($A187,'The List'!$B1:$AS730,5,FALSE)," ")</f>
        <v>885</v>
      </c>
      <c r="E187" t="s" s="42">
        <f>_xlfn.IFERROR(VLOOKUP($A187,'The List'!$B1:$AS730,6,FALSE)," ")</f>
        <v>885</v>
      </c>
      <c r="F187" t="s" s="60">
        <f>_xlfn.IFERROR(VLOOKUP($A187,'The List'!$B1:$AS730,8,FALSE)," ")</f>
        <v>885</v>
      </c>
      <c r="G187" t="s" s="60">
        <f>_xlfn.IFERROR(VLOOKUP($A187,'The List'!$B1:$AS730,10,FALSE)," ")</f>
        <v>885</v>
      </c>
      <c r="H187" s="46"/>
      <c r="I187" t="s" s="61">
        <f>_xlfn.IFERROR(VLOOKUP($A187,'The List'!$B1:$AS730,16,FALSE)," ")</f>
        <v>885</v>
      </c>
      <c r="J187" t="s" s="61">
        <f>_xlfn.IFERROR(VLOOKUP($A187,'The List'!$B1:$AS730,17,FALSE)," ")</f>
        <v>885</v>
      </c>
      <c r="K187" t="s" s="61">
        <f>_xlfn.IFERROR(VLOOKUP($A187,'The List'!$B1:$AS730,18,FALSE)," ")</f>
        <v>885</v>
      </c>
      <c r="L187" t="s" s="61">
        <f>_xlfn.IFERROR(VLOOKUP($A187,'The List'!$B1:$AS730,19,FALSE)," ")</f>
        <v>885</v>
      </c>
      <c r="M187" t="s" s="61">
        <f>_xlfn.IFERROR(VLOOKUP($A187,'The List'!$B1:$AS730,20,FALSE)," ")</f>
        <v>885</v>
      </c>
      <c r="N187" t="s" s="61">
        <f>_xlfn.IFERROR(VLOOKUP($A187,'The List'!$B1:$AS730,21,FALSE)," ")</f>
        <v>885</v>
      </c>
      <c r="O187" t="s" s="61">
        <f>_xlfn.IFERROR(VLOOKUP($A187,'The List'!$B1:$AS730,22,FALSE)," ")</f>
        <v>885</v>
      </c>
      <c r="P187" t="s" s="61">
        <f>_xlfn.IFERROR(VLOOKUP($A187,'The List'!$B1:$AS730,23,FALSE)," ")</f>
        <v>885</v>
      </c>
      <c r="Q187" t="s" s="61">
        <f>_xlfn.IFERROR(VLOOKUP($A187,'The List'!$B1:$AS730,24,FALSE)," ")</f>
        <v>885</v>
      </c>
      <c r="R187" t="s" s="61">
        <f>_xlfn.IFERROR(VLOOKUP($A187,'The List'!$B1:$AS730,25,FALSE)," ")</f>
        <v>885</v>
      </c>
      <c r="S187" t="s" s="61">
        <f>_xlfn.IFERROR(VLOOKUP($A187,'The List'!$B1:$AS730,26,FALSE)," ")</f>
        <v>885</v>
      </c>
      <c r="T187" t="s" s="61">
        <f>_xlfn.IFERROR(VLOOKUP($A187,'The List'!$B1:$AS730,27,FALSE)," ")</f>
        <v>885</v>
      </c>
      <c r="U187" t="s" s="61">
        <f>_xlfn.IFERROR(VLOOKUP($A187,'The List'!$B1:$AS730,28,FALSE)," ")</f>
        <v>885</v>
      </c>
      <c r="V187" t="s" s="61">
        <f>_xlfn.IFERROR(VLOOKUP($A187,'The List'!$B1:$AS730,29,FALSE)," ")</f>
        <v>885</v>
      </c>
      <c r="W187" t="s" s="61">
        <f>_xlfn.IFERROR(VLOOKUP($A187,'The List'!$B1:$AS730,30,FALSE)," ")</f>
        <v>885</v>
      </c>
      <c r="X187" t="s" s="61">
        <f>_xlfn.IFERROR(VLOOKUP($A187,'The List'!$B1:$AS730,31,FALSE)," ")</f>
        <v>885</v>
      </c>
      <c r="Y187" t="s" s="61">
        <f>_xlfn.IFERROR(VLOOKUP($A187,'The List'!$B1:$AS730,32,FALSE)," ")</f>
        <v>885</v>
      </c>
      <c r="Z187" t="s" s="61">
        <f>_xlfn.IFERROR(VLOOKUP($A187,'The List'!$B1:$AS730,33,FALSE)," ")</f>
        <v>885</v>
      </c>
      <c r="AA187" s="64"/>
      <c r="AB187" s="69"/>
      <c r="AC187" s="69"/>
      <c r="AD187" s="69"/>
      <c r="AE187" s="69"/>
      <c r="AF187" s="69"/>
    </row>
    <row r="188" ht="21.25" customHeight="1">
      <c r="A188" s="29"/>
      <c r="B188" t="s" s="77">
        <f>_xlfn.IFERROR(VLOOKUP($A188,'The List'!$B1:$AS730,3,FALSE)," ")</f>
        <v>885</v>
      </c>
      <c r="C188" t="s" s="79">
        <f>_xlfn.IFERROR(VLOOKUP($A188,'The List'!$B1:$AS730,4,FALSE)," ")</f>
        <v>885</v>
      </c>
      <c r="D188" t="s" s="42">
        <f>_xlfn.IFERROR(VLOOKUP($A188,'The List'!$B1:$AS730,5,FALSE)," ")</f>
        <v>885</v>
      </c>
      <c r="E188" t="s" s="42">
        <f>_xlfn.IFERROR(VLOOKUP($A188,'The List'!$B1:$AS730,6,FALSE)," ")</f>
        <v>885</v>
      </c>
      <c r="F188" t="s" s="60">
        <f>_xlfn.IFERROR(VLOOKUP($A188,'The List'!$B1:$AS730,8,FALSE)," ")</f>
        <v>885</v>
      </c>
      <c r="G188" t="s" s="60">
        <f>_xlfn.IFERROR(VLOOKUP($A188,'The List'!$B1:$AS730,10,FALSE)," ")</f>
        <v>885</v>
      </c>
      <c r="H188" s="46"/>
      <c r="I188" t="s" s="61">
        <f>_xlfn.IFERROR(VLOOKUP($A188,'The List'!$B1:$AS730,16,FALSE)," ")</f>
        <v>885</v>
      </c>
      <c r="J188" t="s" s="61">
        <f>_xlfn.IFERROR(VLOOKUP($A188,'The List'!$B1:$AS730,17,FALSE)," ")</f>
        <v>885</v>
      </c>
      <c r="K188" t="s" s="61">
        <f>_xlfn.IFERROR(VLOOKUP($A188,'The List'!$B1:$AS730,18,FALSE)," ")</f>
        <v>885</v>
      </c>
      <c r="L188" t="s" s="61">
        <f>_xlfn.IFERROR(VLOOKUP($A188,'The List'!$B1:$AS730,19,FALSE)," ")</f>
        <v>885</v>
      </c>
      <c r="M188" t="s" s="61">
        <f>_xlfn.IFERROR(VLOOKUP($A188,'The List'!$B1:$AS730,20,FALSE)," ")</f>
        <v>885</v>
      </c>
      <c r="N188" t="s" s="61">
        <f>_xlfn.IFERROR(VLOOKUP($A188,'The List'!$B1:$AS730,21,FALSE)," ")</f>
        <v>885</v>
      </c>
      <c r="O188" t="s" s="61">
        <f>_xlfn.IFERROR(VLOOKUP($A188,'The List'!$B1:$AS730,22,FALSE)," ")</f>
        <v>885</v>
      </c>
      <c r="P188" t="s" s="61">
        <f>_xlfn.IFERROR(VLOOKUP($A188,'The List'!$B1:$AS730,23,FALSE)," ")</f>
        <v>885</v>
      </c>
      <c r="Q188" t="s" s="61">
        <f>_xlfn.IFERROR(VLOOKUP($A188,'The List'!$B1:$AS730,24,FALSE)," ")</f>
        <v>885</v>
      </c>
      <c r="R188" t="s" s="61">
        <f>_xlfn.IFERROR(VLOOKUP($A188,'The List'!$B1:$AS730,25,FALSE)," ")</f>
        <v>885</v>
      </c>
      <c r="S188" t="s" s="61">
        <f>_xlfn.IFERROR(VLOOKUP($A188,'The List'!$B1:$AS730,26,FALSE)," ")</f>
        <v>885</v>
      </c>
      <c r="T188" t="s" s="61">
        <f>_xlfn.IFERROR(VLOOKUP($A188,'The List'!$B1:$AS730,27,FALSE)," ")</f>
        <v>885</v>
      </c>
      <c r="U188" t="s" s="61">
        <f>_xlfn.IFERROR(VLOOKUP($A188,'The List'!$B1:$AS730,28,FALSE)," ")</f>
        <v>885</v>
      </c>
      <c r="V188" t="s" s="61">
        <f>_xlfn.IFERROR(VLOOKUP($A188,'The List'!$B1:$AS730,29,FALSE)," ")</f>
        <v>885</v>
      </c>
      <c r="W188" t="s" s="61">
        <f>_xlfn.IFERROR(VLOOKUP($A188,'The List'!$B1:$AS730,30,FALSE)," ")</f>
        <v>885</v>
      </c>
      <c r="X188" t="s" s="61">
        <f>_xlfn.IFERROR(VLOOKUP($A188,'The List'!$B1:$AS730,31,FALSE)," ")</f>
        <v>885</v>
      </c>
      <c r="Y188" t="s" s="61">
        <f>_xlfn.IFERROR(VLOOKUP($A188,'The List'!$B1:$AS730,32,FALSE)," ")</f>
        <v>885</v>
      </c>
      <c r="Z188" t="s" s="61">
        <f>_xlfn.IFERROR(VLOOKUP($A188,'The List'!$B1:$AS730,33,FALSE)," ")</f>
        <v>885</v>
      </c>
      <c r="AA188" s="64"/>
      <c r="AB188" s="69"/>
      <c r="AC188" s="69"/>
      <c r="AD188" s="69"/>
      <c r="AE188" s="69"/>
      <c r="AF188" s="69"/>
    </row>
    <row r="189" ht="21.25" customHeight="1">
      <c r="A189" s="29"/>
      <c r="B189" t="s" s="77">
        <f>_xlfn.IFERROR(VLOOKUP($A189,'The List'!$B1:$AS730,3,FALSE)," ")</f>
        <v>885</v>
      </c>
      <c r="C189" t="s" s="79">
        <f>_xlfn.IFERROR(VLOOKUP($A189,'The List'!$B1:$AS730,4,FALSE)," ")</f>
        <v>885</v>
      </c>
      <c r="D189" t="s" s="42">
        <f>_xlfn.IFERROR(VLOOKUP($A189,'The List'!$B1:$AS730,5,FALSE)," ")</f>
        <v>885</v>
      </c>
      <c r="E189" t="s" s="42">
        <f>_xlfn.IFERROR(VLOOKUP($A189,'The List'!$B1:$AS730,6,FALSE)," ")</f>
        <v>885</v>
      </c>
      <c r="F189" t="s" s="60">
        <f>_xlfn.IFERROR(VLOOKUP($A189,'The List'!$B1:$AS730,8,FALSE)," ")</f>
        <v>885</v>
      </c>
      <c r="G189" t="s" s="60">
        <f>_xlfn.IFERROR(VLOOKUP($A189,'The List'!$B1:$AS730,10,FALSE)," ")</f>
        <v>885</v>
      </c>
      <c r="H189" s="46"/>
      <c r="I189" t="s" s="61">
        <f>_xlfn.IFERROR(VLOOKUP($A189,'The List'!$B1:$AS730,16,FALSE)," ")</f>
        <v>885</v>
      </c>
      <c r="J189" t="s" s="61">
        <f>_xlfn.IFERROR(VLOOKUP($A189,'The List'!$B1:$AS730,17,FALSE)," ")</f>
        <v>885</v>
      </c>
      <c r="K189" t="s" s="61">
        <f>_xlfn.IFERROR(VLOOKUP($A189,'The List'!$B1:$AS730,18,FALSE)," ")</f>
        <v>885</v>
      </c>
      <c r="L189" t="s" s="61">
        <f>_xlfn.IFERROR(VLOOKUP($A189,'The List'!$B1:$AS730,19,FALSE)," ")</f>
        <v>885</v>
      </c>
      <c r="M189" t="s" s="61">
        <f>_xlfn.IFERROR(VLOOKUP($A189,'The List'!$B1:$AS730,20,FALSE)," ")</f>
        <v>885</v>
      </c>
      <c r="N189" t="s" s="61">
        <f>_xlfn.IFERROR(VLOOKUP($A189,'The List'!$B1:$AS730,21,FALSE)," ")</f>
        <v>885</v>
      </c>
      <c r="O189" t="s" s="61">
        <f>_xlfn.IFERROR(VLOOKUP($A189,'The List'!$B1:$AS730,22,FALSE)," ")</f>
        <v>885</v>
      </c>
      <c r="P189" t="s" s="61">
        <f>_xlfn.IFERROR(VLOOKUP($A189,'The List'!$B1:$AS730,23,FALSE)," ")</f>
        <v>885</v>
      </c>
      <c r="Q189" t="s" s="61">
        <f>_xlfn.IFERROR(VLOOKUP($A189,'The List'!$B1:$AS730,24,FALSE)," ")</f>
        <v>885</v>
      </c>
      <c r="R189" t="s" s="61">
        <f>_xlfn.IFERROR(VLOOKUP($A189,'The List'!$B1:$AS730,25,FALSE)," ")</f>
        <v>885</v>
      </c>
      <c r="S189" t="s" s="61">
        <f>_xlfn.IFERROR(VLOOKUP($A189,'The List'!$B1:$AS730,26,FALSE)," ")</f>
        <v>885</v>
      </c>
      <c r="T189" t="s" s="61">
        <f>_xlfn.IFERROR(VLOOKUP($A189,'The List'!$B1:$AS730,27,FALSE)," ")</f>
        <v>885</v>
      </c>
      <c r="U189" t="s" s="61">
        <f>_xlfn.IFERROR(VLOOKUP($A189,'The List'!$B1:$AS730,28,FALSE)," ")</f>
        <v>885</v>
      </c>
      <c r="V189" t="s" s="61">
        <f>_xlfn.IFERROR(VLOOKUP($A189,'The List'!$B1:$AS730,29,FALSE)," ")</f>
        <v>885</v>
      </c>
      <c r="W189" t="s" s="61">
        <f>_xlfn.IFERROR(VLOOKUP($A189,'The List'!$B1:$AS730,30,FALSE)," ")</f>
        <v>885</v>
      </c>
      <c r="X189" t="s" s="61">
        <f>_xlfn.IFERROR(VLOOKUP($A189,'The List'!$B1:$AS730,31,FALSE)," ")</f>
        <v>885</v>
      </c>
      <c r="Y189" t="s" s="61">
        <f>_xlfn.IFERROR(VLOOKUP($A189,'The List'!$B1:$AS730,32,FALSE)," ")</f>
        <v>885</v>
      </c>
      <c r="Z189" t="s" s="61">
        <f>_xlfn.IFERROR(VLOOKUP($A189,'The List'!$B1:$AS730,33,FALSE)," ")</f>
        <v>885</v>
      </c>
      <c r="AA189" s="64"/>
      <c r="AB189" s="69"/>
      <c r="AC189" s="69"/>
      <c r="AD189" s="69"/>
      <c r="AE189" s="69"/>
      <c r="AF189" s="69"/>
    </row>
    <row r="190" ht="21.25" customHeight="1">
      <c r="A190" s="29"/>
      <c r="B190" t="s" s="77">
        <f>_xlfn.IFERROR(VLOOKUP($A190,'The List'!$B1:$AS730,3,FALSE)," ")</f>
        <v>885</v>
      </c>
      <c r="C190" t="s" s="79">
        <f>_xlfn.IFERROR(VLOOKUP($A190,'The List'!$B1:$AS730,4,FALSE)," ")</f>
        <v>885</v>
      </c>
      <c r="D190" t="s" s="42">
        <f>_xlfn.IFERROR(VLOOKUP($A190,'The List'!$B1:$AS730,5,FALSE)," ")</f>
        <v>885</v>
      </c>
      <c r="E190" t="s" s="42">
        <f>_xlfn.IFERROR(VLOOKUP($A190,'The List'!$B1:$AS730,6,FALSE)," ")</f>
        <v>885</v>
      </c>
      <c r="F190" t="s" s="60">
        <f>_xlfn.IFERROR(VLOOKUP($A190,'The List'!$B1:$AS730,8,FALSE)," ")</f>
        <v>885</v>
      </c>
      <c r="G190" t="s" s="60">
        <f>_xlfn.IFERROR(VLOOKUP($A190,'The List'!$B1:$AS730,10,FALSE)," ")</f>
        <v>885</v>
      </c>
      <c r="H190" s="46"/>
      <c r="I190" t="s" s="61">
        <f>_xlfn.IFERROR(VLOOKUP($A190,'The List'!$B1:$AS730,16,FALSE)," ")</f>
        <v>885</v>
      </c>
      <c r="J190" t="s" s="61">
        <f>_xlfn.IFERROR(VLOOKUP($A190,'The List'!$B1:$AS730,17,FALSE)," ")</f>
        <v>885</v>
      </c>
      <c r="K190" t="s" s="61">
        <f>_xlfn.IFERROR(VLOOKUP($A190,'The List'!$B1:$AS730,18,FALSE)," ")</f>
        <v>885</v>
      </c>
      <c r="L190" t="s" s="61">
        <f>_xlfn.IFERROR(VLOOKUP($A190,'The List'!$B1:$AS730,19,FALSE)," ")</f>
        <v>885</v>
      </c>
      <c r="M190" t="s" s="61">
        <f>_xlfn.IFERROR(VLOOKUP($A190,'The List'!$B1:$AS730,20,FALSE)," ")</f>
        <v>885</v>
      </c>
      <c r="N190" t="s" s="61">
        <f>_xlfn.IFERROR(VLOOKUP($A190,'The List'!$B1:$AS730,21,FALSE)," ")</f>
        <v>885</v>
      </c>
      <c r="O190" t="s" s="61">
        <f>_xlfn.IFERROR(VLOOKUP($A190,'The List'!$B1:$AS730,22,FALSE)," ")</f>
        <v>885</v>
      </c>
      <c r="P190" t="s" s="61">
        <f>_xlfn.IFERROR(VLOOKUP($A190,'The List'!$B1:$AS730,23,FALSE)," ")</f>
        <v>885</v>
      </c>
      <c r="Q190" t="s" s="61">
        <f>_xlfn.IFERROR(VLOOKUP($A190,'The List'!$B1:$AS730,24,FALSE)," ")</f>
        <v>885</v>
      </c>
      <c r="R190" t="s" s="61">
        <f>_xlfn.IFERROR(VLOOKUP($A190,'The List'!$B1:$AS730,25,FALSE)," ")</f>
        <v>885</v>
      </c>
      <c r="S190" t="s" s="61">
        <f>_xlfn.IFERROR(VLOOKUP($A190,'The List'!$B1:$AS730,26,FALSE)," ")</f>
        <v>885</v>
      </c>
      <c r="T190" t="s" s="61">
        <f>_xlfn.IFERROR(VLOOKUP($A190,'The List'!$B1:$AS730,27,FALSE)," ")</f>
        <v>885</v>
      </c>
      <c r="U190" t="s" s="61">
        <f>_xlfn.IFERROR(VLOOKUP($A190,'The List'!$B1:$AS730,28,FALSE)," ")</f>
        <v>885</v>
      </c>
      <c r="V190" t="s" s="61">
        <f>_xlfn.IFERROR(VLOOKUP($A190,'The List'!$B1:$AS730,29,FALSE)," ")</f>
        <v>885</v>
      </c>
      <c r="W190" t="s" s="61">
        <f>_xlfn.IFERROR(VLOOKUP($A190,'The List'!$B1:$AS730,30,FALSE)," ")</f>
        <v>885</v>
      </c>
      <c r="X190" t="s" s="61">
        <f>_xlfn.IFERROR(VLOOKUP($A190,'The List'!$B1:$AS730,31,FALSE)," ")</f>
        <v>885</v>
      </c>
      <c r="Y190" t="s" s="61">
        <f>_xlfn.IFERROR(VLOOKUP($A190,'The List'!$B1:$AS730,32,FALSE)," ")</f>
        <v>885</v>
      </c>
      <c r="Z190" t="s" s="61">
        <f>_xlfn.IFERROR(VLOOKUP($A190,'The List'!$B1:$AS730,33,FALSE)," ")</f>
        <v>885</v>
      </c>
      <c r="AA190" s="64"/>
      <c r="AB190" s="69"/>
      <c r="AC190" s="69"/>
      <c r="AD190" s="69"/>
      <c r="AE190" s="69"/>
      <c r="AF190" s="69"/>
    </row>
    <row r="191" ht="21.25" customHeight="1">
      <c r="A191" s="29"/>
      <c r="B191" t="s" s="77">
        <f>_xlfn.IFERROR(VLOOKUP($A191,'The List'!$B1:$AS730,3,FALSE)," ")</f>
        <v>885</v>
      </c>
      <c r="C191" t="s" s="79">
        <f>_xlfn.IFERROR(VLOOKUP($A191,'The List'!$B1:$AS730,4,FALSE)," ")</f>
        <v>885</v>
      </c>
      <c r="D191" t="s" s="42">
        <f>_xlfn.IFERROR(VLOOKUP($A191,'The List'!$B1:$AS730,5,FALSE)," ")</f>
        <v>885</v>
      </c>
      <c r="E191" t="s" s="42">
        <f>_xlfn.IFERROR(VLOOKUP($A191,'The List'!$B1:$AS730,6,FALSE)," ")</f>
        <v>885</v>
      </c>
      <c r="F191" t="s" s="60">
        <f>_xlfn.IFERROR(VLOOKUP($A191,'The List'!$B1:$AS730,8,FALSE)," ")</f>
        <v>885</v>
      </c>
      <c r="G191" t="s" s="60">
        <f>_xlfn.IFERROR(VLOOKUP($A191,'The List'!$B1:$AS730,10,FALSE)," ")</f>
        <v>885</v>
      </c>
      <c r="H191" s="46"/>
      <c r="I191" t="s" s="61">
        <f>_xlfn.IFERROR(VLOOKUP($A191,'The List'!$B1:$AS730,16,FALSE)," ")</f>
        <v>885</v>
      </c>
      <c r="J191" t="s" s="61">
        <f>_xlfn.IFERROR(VLOOKUP($A191,'The List'!$B1:$AS730,17,FALSE)," ")</f>
        <v>885</v>
      </c>
      <c r="K191" t="s" s="61">
        <f>_xlfn.IFERROR(VLOOKUP($A191,'The List'!$B1:$AS730,18,FALSE)," ")</f>
        <v>885</v>
      </c>
      <c r="L191" t="s" s="61">
        <f>_xlfn.IFERROR(VLOOKUP($A191,'The List'!$B1:$AS730,19,FALSE)," ")</f>
        <v>885</v>
      </c>
      <c r="M191" t="s" s="61">
        <f>_xlfn.IFERROR(VLOOKUP($A191,'The List'!$B1:$AS730,20,FALSE)," ")</f>
        <v>885</v>
      </c>
      <c r="N191" t="s" s="61">
        <f>_xlfn.IFERROR(VLOOKUP($A191,'The List'!$B1:$AS730,21,FALSE)," ")</f>
        <v>885</v>
      </c>
      <c r="O191" t="s" s="61">
        <f>_xlfn.IFERROR(VLOOKUP($A191,'The List'!$B1:$AS730,22,FALSE)," ")</f>
        <v>885</v>
      </c>
      <c r="P191" t="s" s="61">
        <f>_xlfn.IFERROR(VLOOKUP($A191,'The List'!$B1:$AS730,23,FALSE)," ")</f>
        <v>885</v>
      </c>
      <c r="Q191" t="s" s="61">
        <f>_xlfn.IFERROR(VLOOKUP($A191,'The List'!$B1:$AS730,24,FALSE)," ")</f>
        <v>885</v>
      </c>
      <c r="R191" t="s" s="61">
        <f>_xlfn.IFERROR(VLOOKUP($A191,'The List'!$B1:$AS730,25,FALSE)," ")</f>
        <v>885</v>
      </c>
      <c r="S191" t="s" s="61">
        <f>_xlfn.IFERROR(VLOOKUP($A191,'The List'!$B1:$AS730,26,FALSE)," ")</f>
        <v>885</v>
      </c>
      <c r="T191" t="s" s="61">
        <f>_xlfn.IFERROR(VLOOKUP($A191,'The List'!$B1:$AS730,27,FALSE)," ")</f>
        <v>885</v>
      </c>
      <c r="U191" t="s" s="61">
        <f>_xlfn.IFERROR(VLOOKUP($A191,'The List'!$B1:$AS730,28,FALSE)," ")</f>
        <v>885</v>
      </c>
      <c r="V191" t="s" s="61">
        <f>_xlfn.IFERROR(VLOOKUP($A191,'The List'!$B1:$AS730,29,FALSE)," ")</f>
        <v>885</v>
      </c>
      <c r="W191" t="s" s="61">
        <f>_xlfn.IFERROR(VLOOKUP($A191,'The List'!$B1:$AS730,30,FALSE)," ")</f>
        <v>885</v>
      </c>
      <c r="X191" t="s" s="61">
        <f>_xlfn.IFERROR(VLOOKUP($A191,'The List'!$B1:$AS730,31,FALSE)," ")</f>
        <v>885</v>
      </c>
      <c r="Y191" t="s" s="61">
        <f>_xlfn.IFERROR(VLOOKUP($A191,'The List'!$B1:$AS730,32,FALSE)," ")</f>
        <v>885</v>
      </c>
      <c r="Z191" t="s" s="61">
        <f>_xlfn.IFERROR(VLOOKUP($A191,'The List'!$B1:$AS730,33,FALSE)," ")</f>
        <v>885</v>
      </c>
      <c r="AA191" s="64"/>
      <c r="AB191" s="69"/>
      <c r="AC191" s="69"/>
      <c r="AD191" s="69"/>
      <c r="AE191" s="69"/>
      <c r="AF191" s="69"/>
    </row>
    <row r="192" ht="21.25" customHeight="1">
      <c r="A192" s="29"/>
      <c r="B192" t="s" s="77">
        <f>_xlfn.IFERROR(VLOOKUP($A192,'The List'!$B1:$AS730,3,FALSE)," ")</f>
        <v>885</v>
      </c>
      <c r="C192" t="s" s="79">
        <f>_xlfn.IFERROR(VLOOKUP($A192,'The List'!$B1:$AS730,4,FALSE)," ")</f>
        <v>885</v>
      </c>
      <c r="D192" t="s" s="42">
        <f>_xlfn.IFERROR(VLOOKUP($A192,'The List'!$B1:$AS730,5,FALSE)," ")</f>
        <v>885</v>
      </c>
      <c r="E192" t="s" s="42">
        <f>_xlfn.IFERROR(VLOOKUP($A192,'The List'!$B1:$AS730,6,FALSE)," ")</f>
        <v>885</v>
      </c>
      <c r="F192" t="s" s="60">
        <f>_xlfn.IFERROR(VLOOKUP($A192,'The List'!$B1:$AS730,8,FALSE)," ")</f>
        <v>885</v>
      </c>
      <c r="G192" t="s" s="60">
        <f>_xlfn.IFERROR(VLOOKUP($A192,'The List'!$B1:$AS730,10,FALSE)," ")</f>
        <v>885</v>
      </c>
      <c r="H192" s="46"/>
      <c r="I192" t="s" s="61">
        <f>_xlfn.IFERROR(VLOOKUP($A192,'The List'!$B1:$AS730,16,FALSE)," ")</f>
        <v>885</v>
      </c>
      <c r="J192" t="s" s="61">
        <f>_xlfn.IFERROR(VLOOKUP($A192,'The List'!$B1:$AS730,17,FALSE)," ")</f>
        <v>885</v>
      </c>
      <c r="K192" t="s" s="61">
        <f>_xlfn.IFERROR(VLOOKUP($A192,'The List'!$B1:$AS730,18,FALSE)," ")</f>
        <v>885</v>
      </c>
      <c r="L192" t="s" s="61">
        <f>_xlfn.IFERROR(VLOOKUP($A192,'The List'!$B1:$AS730,19,FALSE)," ")</f>
        <v>885</v>
      </c>
      <c r="M192" t="s" s="61">
        <f>_xlfn.IFERROR(VLOOKUP($A192,'The List'!$B1:$AS730,20,FALSE)," ")</f>
        <v>885</v>
      </c>
      <c r="N192" t="s" s="61">
        <f>_xlfn.IFERROR(VLOOKUP($A192,'The List'!$B1:$AS730,21,FALSE)," ")</f>
        <v>885</v>
      </c>
      <c r="O192" t="s" s="61">
        <f>_xlfn.IFERROR(VLOOKUP($A192,'The List'!$B1:$AS730,22,FALSE)," ")</f>
        <v>885</v>
      </c>
      <c r="P192" t="s" s="61">
        <f>_xlfn.IFERROR(VLOOKUP($A192,'The List'!$B1:$AS730,23,FALSE)," ")</f>
        <v>885</v>
      </c>
      <c r="Q192" t="s" s="61">
        <f>_xlfn.IFERROR(VLOOKUP($A192,'The List'!$B1:$AS730,24,FALSE)," ")</f>
        <v>885</v>
      </c>
      <c r="R192" t="s" s="61">
        <f>_xlfn.IFERROR(VLOOKUP($A192,'The List'!$B1:$AS730,25,FALSE)," ")</f>
        <v>885</v>
      </c>
      <c r="S192" t="s" s="61">
        <f>_xlfn.IFERROR(VLOOKUP($A192,'The List'!$B1:$AS730,26,FALSE)," ")</f>
        <v>885</v>
      </c>
      <c r="T192" t="s" s="61">
        <f>_xlfn.IFERROR(VLOOKUP($A192,'The List'!$B1:$AS730,27,FALSE)," ")</f>
        <v>885</v>
      </c>
      <c r="U192" t="s" s="61">
        <f>_xlfn.IFERROR(VLOOKUP($A192,'The List'!$B1:$AS730,28,FALSE)," ")</f>
        <v>885</v>
      </c>
      <c r="V192" t="s" s="61">
        <f>_xlfn.IFERROR(VLOOKUP($A192,'The List'!$B1:$AS730,29,FALSE)," ")</f>
        <v>885</v>
      </c>
      <c r="W192" t="s" s="61">
        <f>_xlfn.IFERROR(VLOOKUP($A192,'The List'!$B1:$AS730,30,FALSE)," ")</f>
        <v>885</v>
      </c>
      <c r="X192" t="s" s="61">
        <f>_xlfn.IFERROR(VLOOKUP($A192,'The List'!$B1:$AS730,31,FALSE)," ")</f>
        <v>885</v>
      </c>
      <c r="Y192" t="s" s="61">
        <f>_xlfn.IFERROR(VLOOKUP($A192,'The List'!$B1:$AS730,32,FALSE)," ")</f>
        <v>885</v>
      </c>
      <c r="Z192" t="s" s="61">
        <f>_xlfn.IFERROR(VLOOKUP($A192,'The List'!$B1:$AS730,33,FALSE)," ")</f>
        <v>885</v>
      </c>
      <c r="AA192" s="64"/>
      <c r="AB192" s="69"/>
      <c r="AC192" s="69"/>
      <c r="AD192" s="69"/>
      <c r="AE192" s="69"/>
      <c r="AF192" s="69"/>
    </row>
    <row r="193" ht="21.25" customHeight="1">
      <c r="A193" s="29"/>
      <c r="B193" t="s" s="77">
        <f>_xlfn.IFERROR(VLOOKUP($A193,'The List'!$B1:$AS730,3,FALSE)," ")</f>
        <v>885</v>
      </c>
      <c r="C193" t="s" s="79">
        <f>_xlfn.IFERROR(VLOOKUP($A193,'The List'!$B1:$AS730,4,FALSE)," ")</f>
        <v>885</v>
      </c>
      <c r="D193" t="s" s="42">
        <f>_xlfn.IFERROR(VLOOKUP($A193,'The List'!$B1:$AS730,5,FALSE)," ")</f>
        <v>885</v>
      </c>
      <c r="E193" t="s" s="42">
        <f>_xlfn.IFERROR(VLOOKUP($A193,'The List'!$B1:$AS730,6,FALSE)," ")</f>
        <v>885</v>
      </c>
      <c r="F193" t="s" s="60">
        <f>_xlfn.IFERROR(VLOOKUP($A193,'The List'!$B1:$AS730,8,FALSE)," ")</f>
        <v>885</v>
      </c>
      <c r="G193" t="s" s="60">
        <f>_xlfn.IFERROR(VLOOKUP($A193,'The List'!$B1:$AS730,10,FALSE)," ")</f>
        <v>885</v>
      </c>
      <c r="H193" s="46"/>
      <c r="I193" t="s" s="61">
        <f>_xlfn.IFERROR(VLOOKUP($A193,'The List'!$B1:$AS730,16,FALSE)," ")</f>
        <v>885</v>
      </c>
      <c r="J193" t="s" s="61">
        <f>_xlfn.IFERROR(VLOOKUP($A193,'The List'!$B1:$AS730,17,FALSE)," ")</f>
        <v>885</v>
      </c>
      <c r="K193" t="s" s="61">
        <f>_xlfn.IFERROR(VLOOKUP($A193,'The List'!$B1:$AS730,18,FALSE)," ")</f>
        <v>885</v>
      </c>
      <c r="L193" t="s" s="61">
        <f>_xlfn.IFERROR(VLOOKUP($A193,'The List'!$B1:$AS730,19,FALSE)," ")</f>
        <v>885</v>
      </c>
      <c r="M193" t="s" s="61">
        <f>_xlfn.IFERROR(VLOOKUP($A193,'The List'!$B1:$AS730,20,FALSE)," ")</f>
        <v>885</v>
      </c>
      <c r="N193" t="s" s="61">
        <f>_xlfn.IFERROR(VLOOKUP($A193,'The List'!$B1:$AS730,21,FALSE)," ")</f>
        <v>885</v>
      </c>
      <c r="O193" t="s" s="61">
        <f>_xlfn.IFERROR(VLOOKUP($A193,'The List'!$B1:$AS730,22,FALSE)," ")</f>
        <v>885</v>
      </c>
      <c r="P193" t="s" s="61">
        <f>_xlfn.IFERROR(VLOOKUP($A193,'The List'!$B1:$AS730,23,FALSE)," ")</f>
        <v>885</v>
      </c>
      <c r="Q193" t="s" s="61">
        <f>_xlfn.IFERROR(VLOOKUP($A193,'The List'!$B1:$AS730,24,FALSE)," ")</f>
        <v>885</v>
      </c>
      <c r="R193" t="s" s="61">
        <f>_xlfn.IFERROR(VLOOKUP($A193,'The List'!$B1:$AS730,25,FALSE)," ")</f>
        <v>885</v>
      </c>
      <c r="S193" t="s" s="61">
        <f>_xlfn.IFERROR(VLOOKUP($A193,'The List'!$B1:$AS730,26,FALSE)," ")</f>
        <v>885</v>
      </c>
      <c r="T193" t="s" s="61">
        <f>_xlfn.IFERROR(VLOOKUP($A193,'The List'!$B1:$AS730,27,FALSE)," ")</f>
        <v>885</v>
      </c>
      <c r="U193" t="s" s="61">
        <f>_xlfn.IFERROR(VLOOKUP($A193,'The List'!$B1:$AS730,28,FALSE)," ")</f>
        <v>885</v>
      </c>
      <c r="V193" t="s" s="61">
        <f>_xlfn.IFERROR(VLOOKUP($A193,'The List'!$B1:$AS730,29,FALSE)," ")</f>
        <v>885</v>
      </c>
      <c r="W193" t="s" s="61">
        <f>_xlfn.IFERROR(VLOOKUP($A193,'The List'!$B1:$AS730,30,FALSE)," ")</f>
        <v>885</v>
      </c>
      <c r="X193" t="s" s="61">
        <f>_xlfn.IFERROR(VLOOKUP($A193,'The List'!$B1:$AS730,31,FALSE)," ")</f>
        <v>885</v>
      </c>
      <c r="Y193" t="s" s="61">
        <f>_xlfn.IFERROR(VLOOKUP($A193,'The List'!$B1:$AS730,32,FALSE)," ")</f>
        <v>885</v>
      </c>
      <c r="Z193" t="s" s="61">
        <f>_xlfn.IFERROR(VLOOKUP($A193,'The List'!$B1:$AS730,33,FALSE)," ")</f>
        <v>885</v>
      </c>
      <c r="AA193" s="64"/>
      <c r="AB193" s="69"/>
      <c r="AC193" s="69"/>
      <c r="AD193" s="69"/>
      <c r="AE193" s="69"/>
      <c r="AF193" s="69"/>
    </row>
    <row r="194" ht="21.25" customHeight="1">
      <c r="A194" s="29"/>
      <c r="B194" t="s" s="77">
        <f>_xlfn.IFERROR(VLOOKUP($A194,'The List'!$B1:$AS730,3,FALSE)," ")</f>
        <v>885</v>
      </c>
      <c r="C194" t="s" s="79">
        <f>_xlfn.IFERROR(VLOOKUP($A194,'The List'!$B1:$AS730,4,FALSE)," ")</f>
        <v>885</v>
      </c>
      <c r="D194" t="s" s="42">
        <f>_xlfn.IFERROR(VLOOKUP($A194,'The List'!$B1:$AS730,5,FALSE)," ")</f>
        <v>885</v>
      </c>
      <c r="E194" t="s" s="42">
        <f>_xlfn.IFERROR(VLOOKUP($A194,'The List'!$B1:$AS730,6,FALSE)," ")</f>
        <v>885</v>
      </c>
      <c r="F194" t="s" s="60">
        <f>_xlfn.IFERROR(VLOOKUP($A194,'The List'!$B1:$AS730,8,FALSE)," ")</f>
        <v>885</v>
      </c>
      <c r="G194" t="s" s="60">
        <f>_xlfn.IFERROR(VLOOKUP($A194,'The List'!$B1:$AS730,10,FALSE)," ")</f>
        <v>885</v>
      </c>
      <c r="H194" s="46"/>
      <c r="I194" t="s" s="61">
        <f>_xlfn.IFERROR(VLOOKUP($A194,'The List'!$B1:$AS730,16,FALSE)," ")</f>
        <v>885</v>
      </c>
      <c r="J194" t="s" s="61">
        <f>_xlfn.IFERROR(VLOOKUP($A194,'The List'!$B1:$AS730,17,FALSE)," ")</f>
        <v>885</v>
      </c>
      <c r="K194" t="s" s="61">
        <f>_xlfn.IFERROR(VLOOKUP($A194,'The List'!$B1:$AS730,18,FALSE)," ")</f>
        <v>885</v>
      </c>
      <c r="L194" t="s" s="61">
        <f>_xlfn.IFERROR(VLOOKUP($A194,'The List'!$B1:$AS730,19,FALSE)," ")</f>
        <v>885</v>
      </c>
      <c r="M194" t="s" s="61">
        <f>_xlfn.IFERROR(VLOOKUP($A194,'The List'!$B1:$AS730,20,FALSE)," ")</f>
        <v>885</v>
      </c>
      <c r="N194" t="s" s="61">
        <f>_xlfn.IFERROR(VLOOKUP($A194,'The List'!$B1:$AS730,21,FALSE)," ")</f>
        <v>885</v>
      </c>
      <c r="O194" t="s" s="61">
        <f>_xlfn.IFERROR(VLOOKUP($A194,'The List'!$B1:$AS730,22,FALSE)," ")</f>
        <v>885</v>
      </c>
      <c r="P194" t="s" s="61">
        <f>_xlfn.IFERROR(VLOOKUP($A194,'The List'!$B1:$AS730,23,FALSE)," ")</f>
        <v>885</v>
      </c>
      <c r="Q194" t="s" s="61">
        <f>_xlfn.IFERROR(VLOOKUP($A194,'The List'!$B1:$AS730,24,FALSE)," ")</f>
        <v>885</v>
      </c>
      <c r="R194" t="s" s="61">
        <f>_xlfn.IFERROR(VLOOKUP($A194,'The List'!$B1:$AS730,25,FALSE)," ")</f>
        <v>885</v>
      </c>
      <c r="S194" t="s" s="61">
        <f>_xlfn.IFERROR(VLOOKUP($A194,'The List'!$B1:$AS730,26,FALSE)," ")</f>
        <v>885</v>
      </c>
      <c r="T194" t="s" s="61">
        <f>_xlfn.IFERROR(VLOOKUP($A194,'The List'!$B1:$AS730,27,FALSE)," ")</f>
        <v>885</v>
      </c>
      <c r="U194" t="s" s="61">
        <f>_xlfn.IFERROR(VLOOKUP($A194,'The List'!$B1:$AS730,28,FALSE)," ")</f>
        <v>885</v>
      </c>
      <c r="V194" t="s" s="61">
        <f>_xlfn.IFERROR(VLOOKUP($A194,'The List'!$B1:$AS730,29,FALSE)," ")</f>
        <v>885</v>
      </c>
      <c r="W194" t="s" s="61">
        <f>_xlfn.IFERROR(VLOOKUP($A194,'The List'!$B1:$AS730,30,FALSE)," ")</f>
        <v>885</v>
      </c>
      <c r="X194" t="s" s="61">
        <f>_xlfn.IFERROR(VLOOKUP($A194,'The List'!$B1:$AS730,31,FALSE)," ")</f>
        <v>885</v>
      </c>
      <c r="Y194" t="s" s="61">
        <f>_xlfn.IFERROR(VLOOKUP($A194,'The List'!$B1:$AS730,32,FALSE)," ")</f>
        <v>885</v>
      </c>
      <c r="Z194" t="s" s="61">
        <f>_xlfn.IFERROR(VLOOKUP($A194,'The List'!$B1:$AS730,33,FALSE)," ")</f>
        <v>885</v>
      </c>
      <c r="AA194" s="64"/>
      <c r="AB194" s="69"/>
      <c r="AC194" s="69"/>
      <c r="AD194" s="69"/>
      <c r="AE194" s="69"/>
      <c r="AF194" s="69"/>
    </row>
    <row r="195" ht="21.25" customHeight="1">
      <c r="A195" s="81"/>
      <c r="B195" t="s" s="82">
        <f>_xlfn.IFERROR(VLOOKUP($A195,'The List'!$B1:$AS730,3,FALSE)," ")</f>
        <v>885</v>
      </c>
      <c r="C195" t="s" s="83">
        <f>_xlfn.IFERROR(VLOOKUP($A195,'The List'!$B1:$AS730,4,FALSE)," ")</f>
        <v>885</v>
      </c>
      <c r="D195" t="s" s="84">
        <f>_xlfn.IFERROR(VLOOKUP($A195,'The List'!$B1:$AS730,5,FALSE)," ")</f>
        <v>885</v>
      </c>
      <c r="E195" t="s" s="84">
        <f>_xlfn.IFERROR(VLOOKUP($A195,'The List'!$B1:$AS730,6,FALSE)," ")</f>
        <v>885</v>
      </c>
      <c r="F195" t="s" s="85">
        <f>_xlfn.IFERROR(VLOOKUP($A195,'The List'!$B1:$AS730,8,FALSE)," ")</f>
        <v>885</v>
      </c>
      <c r="G195" t="s" s="85">
        <f>_xlfn.IFERROR(VLOOKUP($A195,'The List'!$B1:$AS730,10,FALSE)," ")</f>
        <v>885</v>
      </c>
      <c r="H195" s="86"/>
      <c r="I195" t="s" s="87">
        <f>_xlfn.IFERROR(VLOOKUP($A195,'The List'!$B1:$AS730,16,FALSE)," ")</f>
        <v>885</v>
      </c>
      <c r="J195" t="s" s="87">
        <f>_xlfn.IFERROR(VLOOKUP($A195,'The List'!$B1:$AS730,17,FALSE)," ")</f>
        <v>885</v>
      </c>
      <c r="K195" t="s" s="87">
        <f>_xlfn.IFERROR(VLOOKUP($A195,'The List'!$B1:$AS730,18,FALSE)," ")</f>
        <v>885</v>
      </c>
      <c r="L195" t="s" s="87">
        <f>_xlfn.IFERROR(VLOOKUP($A195,'The List'!$B1:$AS730,19,FALSE)," ")</f>
        <v>885</v>
      </c>
      <c r="M195" t="s" s="87">
        <f>_xlfn.IFERROR(VLOOKUP($A195,'The List'!$B1:$AS730,20,FALSE)," ")</f>
        <v>885</v>
      </c>
      <c r="N195" t="s" s="87">
        <f>_xlfn.IFERROR(VLOOKUP($A195,'The List'!$B1:$AS730,21,FALSE)," ")</f>
        <v>885</v>
      </c>
      <c r="O195" t="s" s="87">
        <f>_xlfn.IFERROR(VLOOKUP($A195,'The List'!$B1:$AS730,22,FALSE)," ")</f>
        <v>885</v>
      </c>
      <c r="P195" t="s" s="87">
        <f>_xlfn.IFERROR(VLOOKUP($A195,'The List'!$B1:$AS730,23,FALSE)," ")</f>
        <v>885</v>
      </c>
      <c r="Q195" t="s" s="87">
        <f>_xlfn.IFERROR(VLOOKUP($A195,'The List'!$B1:$AS730,24,FALSE)," ")</f>
        <v>885</v>
      </c>
      <c r="R195" t="s" s="87">
        <f>_xlfn.IFERROR(VLOOKUP($A195,'The List'!$B1:$AS730,25,FALSE)," ")</f>
        <v>885</v>
      </c>
      <c r="S195" t="s" s="87">
        <f>_xlfn.IFERROR(VLOOKUP($A195,'The List'!$B1:$AS730,26,FALSE)," ")</f>
        <v>885</v>
      </c>
      <c r="T195" t="s" s="87">
        <f>_xlfn.IFERROR(VLOOKUP($A195,'The List'!$B1:$AS730,27,FALSE)," ")</f>
        <v>885</v>
      </c>
      <c r="U195" t="s" s="87">
        <f>_xlfn.IFERROR(VLOOKUP($A195,'The List'!$B1:$AS730,28,FALSE)," ")</f>
        <v>885</v>
      </c>
      <c r="V195" t="s" s="87">
        <f>_xlfn.IFERROR(VLOOKUP($A195,'The List'!$B1:$AS730,29,FALSE)," ")</f>
        <v>885</v>
      </c>
      <c r="W195" t="s" s="87">
        <f>_xlfn.IFERROR(VLOOKUP($A195,'The List'!$B1:$AS730,30,FALSE)," ")</f>
        <v>885</v>
      </c>
      <c r="X195" t="s" s="87">
        <f>_xlfn.IFERROR(VLOOKUP($A195,'The List'!$B1:$AS730,31,FALSE)," ")</f>
        <v>885</v>
      </c>
      <c r="Y195" t="s" s="87">
        <f>_xlfn.IFERROR(VLOOKUP($A195,'The List'!$B1:$AS730,32,FALSE)," ")</f>
        <v>885</v>
      </c>
      <c r="Z195" t="s" s="87">
        <f>_xlfn.IFERROR(VLOOKUP($A195,'The List'!$B1:$AS730,33,FALSE)," ")</f>
        <v>885</v>
      </c>
      <c r="AA195" s="64"/>
      <c r="AB195" s="69"/>
      <c r="AC195" s="69"/>
      <c r="AD195" s="69"/>
      <c r="AE195" s="69"/>
      <c r="AF195" s="69"/>
    </row>
    <row r="196" ht="21.25" customHeight="1">
      <c r="A196" s="88"/>
      <c r="B196" s="89"/>
      <c r="C196" s="90"/>
      <c r="D196" s="91"/>
      <c r="E196" t="s" s="127">
        <f>_xlfn.IFERROR(AVERAGE(E176:E195)," ")</f>
        <v>885</v>
      </c>
      <c r="F196" s="93">
        <f>SUM(F176:F195)</f>
        <v>0</v>
      </c>
      <c r="G196" s="93">
        <f>SUM(G176:G195)</f>
        <v>0</v>
      </c>
      <c r="H196" s="94"/>
      <c r="I196" s="95">
        <f>SUM(I176:I195)</f>
        <v>0</v>
      </c>
      <c r="J196" s="94">
        <f>AVERAGE(J176:J195)</f>
      </c>
      <c r="K196" s="95">
        <f>SUM(K176:K195)</f>
        <v>0</v>
      </c>
      <c r="L196" s="95">
        <f>SUM(L176:L195)</f>
        <v>0</v>
      </c>
      <c r="M196" s="95">
        <f>SUM(M176:M195)</f>
        <v>0</v>
      </c>
      <c r="N196" s="95">
        <f>SUM(N176:N195)</f>
        <v>0</v>
      </c>
      <c r="O196" s="95">
        <f>SUM(O176:O195)</f>
        <v>0</v>
      </c>
      <c r="P196" s="95">
        <f>SUM(P176:P195)</f>
        <v>0</v>
      </c>
      <c r="Q196" s="95">
        <f>SUM(Q176:Q195)</f>
        <v>0</v>
      </c>
      <c r="R196" s="95">
        <f>SUM(R176:R195)</f>
        <v>0</v>
      </c>
      <c r="S196" s="95">
        <f>SUM(S176:S195)</f>
        <v>0</v>
      </c>
      <c r="T196" s="95">
        <f>SUM(T176:T195)</f>
        <v>0</v>
      </c>
      <c r="U196" s="95">
        <f>SUM(U176:U195)</f>
        <v>0</v>
      </c>
      <c r="V196" s="95">
        <f>SUM(V176:V195)</f>
        <v>0</v>
      </c>
      <c r="W196" s="95">
        <f>SUM(W176:W195)</f>
        <v>0</v>
      </c>
      <c r="X196" s="95">
        <f>SUM(X176:X195)</f>
        <v>0</v>
      </c>
      <c r="Y196" s="95">
        <f>SUM(Y176:Y195)</f>
        <v>0</v>
      </c>
      <c r="Z196" s="96">
        <f>_xlfn.IFERROR(X196/(X196+Y196),0)</f>
        <v>0</v>
      </c>
      <c r="AA196" s="64"/>
      <c r="AB196" s="97"/>
      <c r="AC196" s="97"/>
      <c r="AD196" s="97"/>
      <c r="AE196" s="97"/>
      <c r="AF196" s="97"/>
    </row>
    <row r="197" ht="21.25" customHeight="1">
      <c r="A197" s="98"/>
      <c r="B197" s="99"/>
      <c r="C197" s="100"/>
      <c r="D197" s="11"/>
      <c r="E197" s="11"/>
      <c r="F197" s="101"/>
      <c r="G197" s="102"/>
      <c r="H197" s="103"/>
      <c r="I197" s="10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9"/>
      <c r="AC197" s="69"/>
      <c r="AD197" s="69"/>
      <c r="AE197" s="69"/>
      <c r="AF197" s="69"/>
    </row>
    <row r="198" ht="21.25" customHeight="1">
      <c r="A198" t="s" s="31">
        <v>66</v>
      </c>
      <c r="B198" t="s" s="105">
        <v>68</v>
      </c>
      <c r="C198" s="19"/>
      <c r="D198" t="s" s="105">
        <v>69</v>
      </c>
      <c r="E198" t="s" s="105">
        <v>70</v>
      </c>
      <c r="F198" t="s" s="106">
        <v>72</v>
      </c>
      <c r="G198" t="s" s="106">
        <v>74</v>
      </c>
      <c r="H198" s="107"/>
      <c r="I198" t="s" s="108">
        <v>79</v>
      </c>
      <c r="J198" t="s" s="108">
        <v>97</v>
      </c>
      <c r="K198" t="s" s="108">
        <v>98</v>
      </c>
      <c r="L198" t="s" s="108">
        <v>99</v>
      </c>
      <c r="M198" t="s" s="108">
        <v>100</v>
      </c>
      <c r="N198" t="s" s="108">
        <v>101</v>
      </c>
      <c r="O198" t="s" s="108">
        <v>102</v>
      </c>
      <c r="P198" t="s" s="108">
        <v>103</v>
      </c>
      <c r="Q198" t="s" s="108">
        <v>104</v>
      </c>
      <c r="R198" s="64"/>
      <c r="S198" s="64"/>
      <c r="T198" s="64"/>
      <c r="U198" t="s" s="105">
        <v>901</v>
      </c>
      <c r="V198" s="107"/>
      <c r="W198" s="107"/>
      <c r="X198" t="s" s="105">
        <v>902</v>
      </c>
      <c r="Y198" s="107"/>
      <c r="Z198" s="107"/>
      <c r="AA198" s="64"/>
      <c r="AB198" s="64"/>
      <c r="AC198" s="64"/>
      <c r="AD198" s="64"/>
      <c r="AE198" s="64"/>
      <c r="AF198" s="64"/>
    </row>
    <row r="199" ht="21.25" customHeight="1">
      <c r="A199" s="128"/>
      <c r="B199" t="s" s="110">
        <f>_xlfn.IFERROR(VLOOKUP($A199,'The List'!$B1:$AS730,3,FALSE)," ")</f>
        <v>885</v>
      </c>
      <c r="C199" t="s" s="129">
        <f>_xlfn.IFERROR(VLOOKUP($A199,'The List'!$B1:$AS730,4,FALSE)," ")</f>
        <v>885</v>
      </c>
      <c r="D199" t="s" s="112">
        <f>_xlfn.IFERROR(VLOOKUP($A199,'The List'!$B1:$AS730,5,FALSE)," ")</f>
        <v>885</v>
      </c>
      <c r="E199" t="s" s="112">
        <f>_xlfn.IFERROR(VLOOKUP($A199,'The List'!$B1:$AS730,6,FALSE)," ")</f>
        <v>885</v>
      </c>
      <c r="F199" t="s" s="130">
        <f>_xlfn.IFERROR(VLOOKUP($A199,'The List'!$B1:$AS730,8,FALSE)," ")</f>
        <v>885</v>
      </c>
      <c r="G199" t="s" s="130">
        <f>_xlfn.IFERROR(VLOOKUP($A199,'The List'!$B1:$AS730,10,FALSE)," ")</f>
        <v>885</v>
      </c>
      <c r="H199" s="115"/>
      <c r="I199" t="s" s="131">
        <f>_xlfn.IFERROR(VLOOKUP($A199,'The List'!$B1:$AS730,35,FALSE)," ")</f>
        <v>885</v>
      </c>
      <c r="J199" t="s" s="131">
        <f>_xlfn.IFERROR(VLOOKUP($A199,'The List'!$B1:$AS730,36,FALSE)," ")</f>
        <v>885</v>
      </c>
      <c r="K199" t="s" s="131">
        <f>_xlfn.IFERROR(VLOOKUP($A199,'The List'!$B1:$AS730,37,FALSE)," ")</f>
        <v>885</v>
      </c>
      <c r="L199" t="s" s="131">
        <f>_xlfn.IFERROR(VLOOKUP($A199,'The List'!$B1:$AS730,38,FALSE)," ")</f>
        <v>885</v>
      </c>
      <c r="M199" t="s" s="131">
        <f>_xlfn.IFERROR(VLOOKUP($A199,'The List'!$B1:$AS730,39,FALSE)," ")</f>
        <v>885</v>
      </c>
      <c r="N199" t="s" s="131">
        <f>_xlfn.IFERROR(VLOOKUP($A199,'The List'!$B1:$AS730,40,FALSE)," ")</f>
        <v>885</v>
      </c>
      <c r="O199" t="s" s="131">
        <f>_xlfn.IFERROR(VLOOKUP($A199,'The List'!$B1:$AS730,41,FALSE)," ")</f>
        <v>885</v>
      </c>
      <c r="P199" t="s" s="131">
        <f>_xlfn.IFERROR(VLOOKUP($A199,'The List'!$B1:$AS730,42,FALSE)," ")</f>
        <v>885</v>
      </c>
      <c r="Q199" t="s" s="131">
        <f>_xlfn.IFERROR(VLOOKUP($A199,'The List'!$B1:$AS730,43,FALSE)," ")</f>
        <v>885</v>
      </c>
      <c r="R199" s="64"/>
      <c r="S199" s="64"/>
      <c r="T199" t="s" s="119">
        <f>A175</f>
        <v>909</v>
      </c>
      <c r="U199" s="120">
        <f>F196+F202</f>
        <v>0</v>
      </c>
      <c r="V199" s="19"/>
      <c r="W199" s="19"/>
      <c r="X199" s="120">
        <f>G202+G196</f>
        <v>0</v>
      </c>
      <c r="Y199" s="19"/>
      <c r="Z199" s="19"/>
      <c r="AA199" s="64"/>
      <c r="AB199" s="64"/>
      <c r="AC199" s="64"/>
      <c r="AD199" s="64"/>
      <c r="AE199" s="64"/>
      <c r="AF199" s="64"/>
    </row>
    <row r="200" ht="21.25" customHeight="1">
      <c r="A200" s="29"/>
      <c r="B200" t="s" s="121">
        <f>_xlfn.IFERROR(VLOOKUP($A200,'The List'!$B1:$AS730,3,FALSE)," ")</f>
        <v>885</v>
      </c>
      <c r="C200" t="s" s="122">
        <f>_xlfn.IFERROR(VLOOKUP($A200,'The List'!$B1:$AS730,4,FALSE)," ")</f>
        <v>885</v>
      </c>
      <c r="D200" t="s" s="42">
        <f>_xlfn.IFERROR(VLOOKUP($A200,'The List'!$B1:$AS730,5,FALSE)," ")</f>
        <v>885</v>
      </c>
      <c r="E200" t="s" s="42">
        <f>_xlfn.IFERROR(VLOOKUP($A200,'The List'!$B1:$AS730,6,FALSE)," ")</f>
        <v>885</v>
      </c>
      <c r="F200" t="s" s="60">
        <f>_xlfn.IFERROR(VLOOKUP($A200,'The List'!$B1:$AS730,8,FALSE)," ")</f>
        <v>885</v>
      </c>
      <c r="G200" t="s" s="60">
        <f>_xlfn.IFERROR(VLOOKUP($A200,'The List'!$B1:$AS730,10,FALSE)," ")</f>
        <v>885</v>
      </c>
      <c r="H200" s="46"/>
      <c r="I200" t="s" s="61">
        <f>_xlfn.IFERROR(VLOOKUP($A200,'The List'!$B1:$AS730,35,FALSE)," ")</f>
        <v>885</v>
      </c>
      <c r="J200" t="s" s="61">
        <f>_xlfn.IFERROR(VLOOKUP($A200,'The List'!$B1:$AS730,36,FALSE)," ")</f>
        <v>885</v>
      </c>
      <c r="K200" t="s" s="61">
        <f>_xlfn.IFERROR(VLOOKUP($A200,'The List'!$B1:$AS730,37,FALSE)," ")</f>
        <v>885</v>
      </c>
      <c r="L200" t="s" s="61">
        <f>_xlfn.IFERROR(VLOOKUP($A200,'The List'!$B1:$AS730,38,FALSE)," ")</f>
        <v>885</v>
      </c>
      <c r="M200" t="s" s="61">
        <f>_xlfn.IFERROR(VLOOKUP($A200,'The List'!$B1:$AS730,39,FALSE)," ")</f>
        <v>885</v>
      </c>
      <c r="N200" t="s" s="61">
        <f>_xlfn.IFERROR(VLOOKUP($A200,'The List'!$B1:$AS730,40,FALSE)," ")</f>
        <v>885</v>
      </c>
      <c r="O200" t="s" s="61">
        <f>_xlfn.IFERROR(VLOOKUP($A200,'The List'!$B1:$AS730,41,FALSE)," ")</f>
        <v>885</v>
      </c>
      <c r="P200" t="s" s="61">
        <f>_xlfn.IFERROR(VLOOKUP($A200,'The List'!$B1:$AS730,42,FALSE)," ")</f>
        <v>885</v>
      </c>
      <c r="Q200" t="s" s="61">
        <f>_xlfn.IFERROR(VLOOKUP($A200,'The List'!$B1:$AS730,43,FALSE)," ")</f>
        <v>885</v>
      </c>
      <c r="R200" s="64"/>
      <c r="S200" s="64"/>
      <c r="T200" s="64"/>
      <c r="U200" s="19"/>
      <c r="V200" s="19"/>
      <c r="W200" s="19"/>
      <c r="X200" s="19"/>
      <c r="Y200" s="19"/>
      <c r="Z200" s="19"/>
      <c r="AA200" s="64"/>
      <c r="AB200" s="64"/>
      <c r="AC200" s="64"/>
      <c r="AD200" s="64"/>
      <c r="AE200" s="64"/>
      <c r="AF200" s="64"/>
    </row>
    <row r="201" ht="21.25" customHeight="1">
      <c r="A201" s="81"/>
      <c r="B201" t="s" s="123">
        <f>_xlfn.IFERROR(VLOOKUP($A201,'The List'!$B1:$AS730,3,FALSE)," ")</f>
        <v>885</v>
      </c>
      <c r="C201" t="s" s="124">
        <f>_xlfn.IFERROR(VLOOKUP($A201,'The List'!$B1:$AS730,4,FALSE)," ")</f>
        <v>885</v>
      </c>
      <c r="D201" t="s" s="84">
        <f>_xlfn.IFERROR(VLOOKUP($A201,'The List'!$B1:$AS730,5,FALSE)," ")</f>
        <v>885</v>
      </c>
      <c r="E201" t="s" s="84">
        <f>_xlfn.IFERROR(VLOOKUP($A201,'The List'!$B1:$AS730,6,FALSE)," ")</f>
        <v>885</v>
      </c>
      <c r="F201" t="s" s="85">
        <f>_xlfn.IFERROR(VLOOKUP($A201,'The List'!$B1:$AS730,8,FALSE)," ")</f>
        <v>885</v>
      </c>
      <c r="G201" t="s" s="85">
        <f>_xlfn.IFERROR(VLOOKUP($A201,'The List'!$B1:$AS730,10,FALSE)," ")</f>
        <v>885</v>
      </c>
      <c r="H201" s="86"/>
      <c r="I201" t="s" s="87">
        <f>_xlfn.IFERROR(VLOOKUP($A201,'The List'!$B1:$AS730,35,FALSE)," ")</f>
        <v>885</v>
      </c>
      <c r="J201" t="s" s="87">
        <f>_xlfn.IFERROR(VLOOKUP($A201,'The List'!$B1:$AS730,36,FALSE)," ")</f>
        <v>885</v>
      </c>
      <c r="K201" t="s" s="87">
        <f>_xlfn.IFERROR(VLOOKUP($A201,'The List'!$B1:$AS730,37,FALSE)," ")</f>
        <v>885</v>
      </c>
      <c r="L201" t="s" s="87">
        <f>_xlfn.IFERROR(VLOOKUP($A201,'The List'!$B1:$AS730,38,FALSE)," ")</f>
        <v>885</v>
      </c>
      <c r="M201" t="s" s="87">
        <f>_xlfn.IFERROR(VLOOKUP($A201,'The List'!$B1:$AS730,39,FALSE)," ")</f>
        <v>885</v>
      </c>
      <c r="N201" t="s" s="87">
        <f>_xlfn.IFERROR(VLOOKUP($A201,'The List'!$B1:$AS730,40,FALSE)," ")</f>
        <v>885</v>
      </c>
      <c r="O201" t="s" s="87">
        <f>_xlfn.IFERROR(VLOOKUP($A201,'The List'!$B1:$AS730,41,FALSE)," ")</f>
        <v>885</v>
      </c>
      <c r="P201" t="s" s="87">
        <f>_xlfn.IFERROR(VLOOKUP($A201,'The List'!$B1:$AS730,42,FALSE)," ")</f>
        <v>885</v>
      </c>
      <c r="Q201" t="s" s="87">
        <f>_xlfn.IFERROR(VLOOKUP($A201,'The List'!$B1:$AS730,43,FALSE)," ")</f>
        <v>885</v>
      </c>
      <c r="R201" s="64"/>
      <c r="S201" s="64"/>
      <c r="T201" s="64"/>
      <c r="U201" s="19"/>
      <c r="V201" s="19"/>
      <c r="W201" s="19"/>
      <c r="X201" s="19"/>
      <c r="Y201" s="19"/>
      <c r="Z201" s="19"/>
      <c r="AA201" s="64"/>
      <c r="AB201" s="64"/>
      <c r="AC201" s="64"/>
      <c r="AD201" s="64"/>
      <c r="AE201" s="64"/>
      <c r="AF201" s="64"/>
    </row>
    <row r="202" ht="21.25" customHeight="1">
      <c r="A202" s="88"/>
      <c r="B202" s="89"/>
      <c r="C202" s="90"/>
      <c r="D202" s="91"/>
      <c r="E202" t="s" s="127">
        <f>_xlfn.IFERROR(AVERAGE(E199:E201)," ")</f>
        <v>885</v>
      </c>
      <c r="F202" s="93">
        <f>SUM(F199:F201)</f>
        <v>0</v>
      </c>
      <c r="G202" s="93">
        <f>SUM(G199:G201)</f>
        <v>0</v>
      </c>
      <c r="H202" s="94"/>
      <c r="I202" s="95">
        <f>SUM(I199:I201)</f>
        <v>0</v>
      </c>
      <c r="J202" s="94">
        <f>SUM(J199:J201)</f>
        <v>0</v>
      </c>
      <c r="K202" s="95">
        <f>SUM(K199:K201)</f>
        <v>0</v>
      </c>
      <c r="L202" s="95">
        <f>SUM(L199:L201)</f>
        <v>0</v>
      </c>
      <c r="M202" s="95">
        <f>SUM(M199:M201)</f>
        <v>0</v>
      </c>
      <c r="N202" s="95">
        <f>SUM(N199:N201)</f>
        <v>0</v>
      </c>
      <c r="O202" s="95">
        <f>SUM(O199:O201)</f>
        <v>0</v>
      </c>
      <c r="P202" s="125">
        <f>1-(O202/(N202+O202))</f>
      </c>
      <c r="Q202" s="126">
        <f>O202/I202</f>
      </c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</row>
    <row r="203" ht="70.85" customHeight="1">
      <c r="A203" s="98"/>
      <c r="B203" s="99"/>
      <c r="C203" s="100"/>
      <c r="D203" s="11"/>
      <c r="E203" s="11"/>
      <c r="F203" s="101"/>
      <c r="G203" s="102"/>
      <c r="H203" s="103"/>
      <c r="I203" s="10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9"/>
      <c r="AB203" s="69"/>
      <c r="AC203" s="69"/>
      <c r="AD203" s="69"/>
      <c r="AE203" s="69"/>
      <c r="AF203" s="69"/>
    </row>
    <row r="204" ht="21.25" customHeight="1">
      <c r="A204" t="s" s="32">
        <v>892</v>
      </c>
      <c r="B204" t="s" s="33">
        <v>68</v>
      </c>
      <c r="C204" s="25"/>
      <c r="D204" t="s" s="33">
        <v>69</v>
      </c>
      <c r="E204" t="s" s="33">
        <v>70</v>
      </c>
      <c r="F204" t="s" s="34">
        <v>72</v>
      </c>
      <c r="G204" t="s" s="34">
        <v>74</v>
      </c>
      <c r="H204" s="35"/>
      <c r="I204" t="s" s="37">
        <v>79</v>
      </c>
      <c r="J204" t="s" s="37">
        <v>80</v>
      </c>
      <c r="K204" t="s" s="37">
        <v>81</v>
      </c>
      <c r="L204" t="s" s="37">
        <v>82</v>
      </c>
      <c r="M204" t="s" s="37">
        <v>83</v>
      </c>
      <c r="N204" t="s" s="37">
        <v>84</v>
      </c>
      <c r="O204" t="s" s="37">
        <v>85</v>
      </c>
      <c r="P204" t="s" s="37">
        <v>86</v>
      </c>
      <c r="Q204" t="s" s="37">
        <v>87</v>
      </c>
      <c r="R204" t="s" s="37">
        <v>88</v>
      </c>
      <c r="S204" t="s" s="37">
        <v>89</v>
      </c>
      <c r="T204" t="s" s="37">
        <v>90</v>
      </c>
      <c r="U204" t="s" s="37">
        <v>91</v>
      </c>
      <c r="V204" t="s" s="37">
        <v>92</v>
      </c>
      <c r="W204" t="s" s="37">
        <v>93</v>
      </c>
      <c r="X204" t="s" s="37">
        <v>94</v>
      </c>
      <c r="Y204" t="s" s="37">
        <v>95</v>
      </c>
      <c r="Z204" t="s" s="37">
        <v>96</v>
      </c>
      <c r="AA204" s="64"/>
      <c r="AB204" s="65"/>
      <c r="AC204" s="65"/>
      <c r="AD204" s="65"/>
      <c r="AE204" s="65"/>
      <c r="AF204" s="65"/>
    </row>
    <row r="205" ht="21.25" customHeight="1">
      <c r="A205" s="29"/>
      <c r="B205" t="s" s="66">
        <f>_xlfn.IFERROR(VLOOKUP($A205,'The List'!$B1:$AS730,3,FALSE)," ")</f>
        <v>885</v>
      </c>
      <c r="C205" t="s" s="70">
        <f>_xlfn.IFERROR(VLOOKUP($A205,'The List'!$B1:$AS730,4,FALSE)," ")</f>
        <v>885</v>
      </c>
      <c r="D205" t="s" s="42">
        <f>_xlfn.IFERROR(VLOOKUP($A205,'The List'!$B1:$AS730,5,FALSE)," ")</f>
        <v>885</v>
      </c>
      <c r="E205" t="s" s="42">
        <f>_xlfn.IFERROR(VLOOKUP($A205,'The List'!$B1:$AS730,6,FALSE)," ")</f>
        <v>885</v>
      </c>
      <c r="F205" t="s" s="60">
        <f>_xlfn.IFERROR(VLOOKUP($A205,'The List'!$B1:$AS730,8,FALSE)," ")</f>
        <v>885</v>
      </c>
      <c r="G205" t="s" s="60">
        <f>_xlfn.IFERROR(VLOOKUP($A205,'The List'!$B1:$AS730,10,FALSE)," ")</f>
        <v>885</v>
      </c>
      <c r="H205" s="46"/>
      <c r="I205" t="s" s="61">
        <f>_xlfn.IFERROR(VLOOKUP($A205,'The List'!$B1:$AS730,16,FALSE)," ")</f>
        <v>885</v>
      </c>
      <c r="J205" t="s" s="61">
        <f>_xlfn.IFERROR(VLOOKUP($A205,'The List'!$B1:$AS730,17,FALSE)," ")</f>
        <v>885</v>
      </c>
      <c r="K205" t="s" s="61">
        <f>_xlfn.IFERROR(VLOOKUP($A205,'The List'!$B1:$AS730,18,FALSE)," ")</f>
        <v>885</v>
      </c>
      <c r="L205" t="s" s="61">
        <f>_xlfn.IFERROR(VLOOKUP($A205,'The List'!$B1:$AS730,19,FALSE)," ")</f>
        <v>885</v>
      </c>
      <c r="M205" t="s" s="61">
        <f>_xlfn.IFERROR(VLOOKUP($A205,'The List'!$B1:$AS730,20,FALSE)," ")</f>
        <v>885</v>
      </c>
      <c r="N205" t="s" s="61">
        <f>_xlfn.IFERROR(VLOOKUP($A205,'The List'!$B1:$AS730,21,FALSE)," ")</f>
        <v>885</v>
      </c>
      <c r="O205" t="s" s="61">
        <f>_xlfn.IFERROR(VLOOKUP($A205,'The List'!$B1:$AS730,22,FALSE)," ")</f>
        <v>885</v>
      </c>
      <c r="P205" t="s" s="61">
        <f>_xlfn.IFERROR(VLOOKUP($A205,'The List'!$B1:$AS730,23,FALSE)," ")</f>
        <v>885</v>
      </c>
      <c r="Q205" t="s" s="61">
        <f>_xlfn.IFERROR(VLOOKUP($A205,'The List'!$B1:$AS730,24,FALSE)," ")</f>
        <v>885</v>
      </c>
      <c r="R205" t="s" s="61">
        <f>_xlfn.IFERROR(VLOOKUP($A205,'The List'!$B1:$AS730,25,FALSE)," ")</f>
        <v>885</v>
      </c>
      <c r="S205" t="s" s="61">
        <f>_xlfn.IFERROR(VLOOKUP($A205,'The List'!$B1:$AS730,26,FALSE)," ")</f>
        <v>885</v>
      </c>
      <c r="T205" t="s" s="61">
        <f>_xlfn.IFERROR(VLOOKUP($A205,'The List'!$B1:$AS730,27,FALSE)," ")</f>
        <v>885</v>
      </c>
      <c r="U205" t="s" s="61">
        <f>_xlfn.IFERROR(VLOOKUP($A205,'The List'!$B1:$AS730,28,FALSE)," ")</f>
        <v>885</v>
      </c>
      <c r="V205" t="s" s="61">
        <f>_xlfn.IFERROR(VLOOKUP($A205,'The List'!$B1:$AS730,29,FALSE)," ")</f>
        <v>885</v>
      </c>
      <c r="W205" t="s" s="61">
        <f>_xlfn.IFERROR(VLOOKUP($A205,'The List'!$B1:$AS730,30,FALSE)," ")</f>
        <v>885</v>
      </c>
      <c r="X205" t="s" s="61">
        <f>_xlfn.IFERROR(VLOOKUP($A205,'The List'!$B1:$AS730,31,FALSE)," ")</f>
        <v>885</v>
      </c>
      <c r="Y205" t="s" s="61">
        <f>_xlfn.IFERROR(VLOOKUP($A205,'The List'!$B1:$AS730,32,FALSE)," ")</f>
        <v>885</v>
      </c>
      <c r="Z205" t="s" s="61">
        <f>_xlfn.IFERROR(VLOOKUP($A205,'The List'!$B1:$AS730,33,FALSE)," ")</f>
        <v>885</v>
      </c>
      <c r="AA205" s="64"/>
      <c r="AB205" s="69"/>
      <c r="AC205" s="69"/>
      <c r="AD205" s="69"/>
      <c r="AE205" s="69"/>
      <c r="AF205" s="69"/>
    </row>
    <row r="206" ht="21.25" customHeight="1">
      <c r="A206" s="29"/>
      <c r="B206" t="s" s="66">
        <f>_xlfn.IFERROR(VLOOKUP($A206,'The List'!$B1:$AS730,3,FALSE)," ")</f>
        <v>885</v>
      </c>
      <c r="C206" t="s" s="70">
        <f>_xlfn.IFERROR(VLOOKUP($A206,'The List'!$B1:$AS730,4,FALSE)," ")</f>
        <v>885</v>
      </c>
      <c r="D206" t="s" s="42">
        <f>_xlfn.IFERROR(VLOOKUP($A206,'The List'!$B1:$AS730,5,FALSE)," ")</f>
        <v>885</v>
      </c>
      <c r="E206" t="s" s="42">
        <f>_xlfn.IFERROR(VLOOKUP($A206,'The List'!$B1:$AS730,6,FALSE)," ")</f>
        <v>885</v>
      </c>
      <c r="F206" t="s" s="60">
        <f>_xlfn.IFERROR(VLOOKUP($A206,'The List'!$B1:$AS730,8,FALSE)," ")</f>
        <v>885</v>
      </c>
      <c r="G206" t="s" s="60">
        <f>_xlfn.IFERROR(VLOOKUP($A206,'The List'!$B1:$AS730,10,FALSE)," ")</f>
        <v>885</v>
      </c>
      <c r="H206" s="46"/>
      <c r="I206" t="s" s="61">
        <f>_xlfn.IFERROR(VLOOKUP($A206,'The List'!$B1:$AS730,16,FALSE)," ")</f>
        <v>885</v>
      </c>
      <c r="J206" t="s" s="61">
        <f>_xlfn.IFERROR(VLOOKUP($A206,'The List'!$B1:$AS730,17,FALSE)," ")</f>
        <v>885</v>
      </c>
      <c r="K206" t="s" s="61">
        <f>_xlfn.IFERROR(VLOOKUP($A206,'The List'!$B1:$AS730,18,FALSE)," ")</f>
        <v>885</v>
      </c>
      <c r="L206" t="s" s="61">
        <f>_xlfn.IFERROR(VLOOKUP($A206,'The List'!$B1:$AS730,19,FALSE)," ")</f>
        <v>885</v>
      </c>
      <c r="M206" t="s" s="61">
        <f>_xlfn.IFERROR(VLOOKUP($A206,'The List'!$B1:$AS730,20,FALSE)," ")</f>
        <v>885</v>
      </c>
      <c r="N206" t="s" s="61">
        <f>_xlfn.IFERROR(VLOOKUP($A206,'The List'!$B1:$AS730,21,FALSE)," ")</f>
        <v>885</v>
      </c>
      <c r="O206" t="s" s="61">
        <f>_xlfn.IFERROR(VLOOKUP($A206,'The List'!$B1:$AS730,22,FALSE)," ")</f>
        <v>885</v>
      </c>
      <c r="P206" t="s" s="61">
        <f>_xlfn.IFERROR(VLOOKUP($A206,'The List'!$B1:$AS730,23,FALSE)," ")</f>
        <v>885</v>
      </c>
      <c r="Q206" t="s" s="61">
        <f>_xlfn.IFERROR(VLOOKUP($A206,'The List'!$B1:$AS730,24,FALSE)," ")</f>
        <v>885</v>
      </c>
      <c r="R206" t="s" s="61">
        <f>_xlfn.IFERROR(VLOOKUP($A206,'The List'!$B1:$AS730,25,FALSE)," ")</f>
        <v>885</v>
      </c>
      <c r="S206" t="s" s="61">
        <f>_xlfn.IFERROR(VLOOKUP($A206,'The List'!$B1:$AS730,26,FALSE)," ")</f>
        <v>885</v>
      </c>
      <c r="T206" t="s" s="61">
        <f>_xlfn.IFERROR(VLOOKUP($A206,'The List'!$B1:$AS730,27,FALSE)," ")</f>
        <v>885</v>
      </c>
      <c r="U206" t="s" s="61">
        <f>_xlfn.IFERROR(VLOOKUP($A206,'The List'!$B1:$AS730,28,FALSE)," ")</f>
        <v>885</v>
      </c>
      <c r="V206" t="s" s="61">
        <f>_xlfn.IFERROR(VLOOKUP($A206,'The List'!$B1:$AS730,29,FALSE)," ")</f>
        <v>885</v>
      </c>
      <c r="W206" t="s" s="61">
        <f>_xlfn.IFERROR(VLOOKUP($A206,'The List'!$B1:$AS730,30,FALSE)," ")</f>
        <v>885</v>
      </c>
      <c r="X206" t="s" s="61">
        <f>_xlfn.IFERROR(VLOOKUP($A206,'The List'!$B1:$AS730,31,FALSE)," ")</f>
        <v>885</v>
      </c>
      <c r="Y206" t="s" s="61">
        <f>_xlfn.IFERROR(VLOOKUP($A206,'The List'!$B1:$AS730,32,FALSE)," ")</f>
        <v>885</v>
      </c>
      <c r="Z206" t="s" s="61">
        <f>_xlfn.IFERROR(VLOOKUP($A206,'The List'!$B1:$AS730,33,FALSE)," ")</f>
        <v>885</v>
      </c>
      <c r="AA206" s="64"/>
      <c r="AB206" s="69"/>
      <c r="AC206" s="69"/>
      <c r="AD206" s="69"/>
      <c r="AE206" s="69"/>
      <c r="AF206" s="69"/>
    </row>
    <row r="207" ht="21.25" customHeight="1">
      <c r="A207" s="29"/>
      <c r="B207" t="s" s="66">
        <f>_xlfn.IFERROR(VLOOKUP($A207,'The List'!$B1:$AS730,3,FALSE)," ")</f>
        <v>885</v>
      </c>
      <c r="C207" t="s" s="70">
        <f>_xlfn.IFERROR(VLOOKUP($A207,'The List'!$B1:$AS730,4,FALSE)," ")</f>
        <v>885</v>
      </c>
      <c r="D207" t="s" s="42">
        <f>_xlfn.IFERROR(VLOOKUP($A207,'The List'!$B1:$AS730,5,FALSE)," ")</f>
        <v>885</v>
      </c>
      <c r="E207" t="s" s="42">
        <f>_xlfn.IFERROR(VLOOKUP($A207,'The List'!$B1:$AS730,6,FALSE)," ")</f>
        <v>885</v>
      </c>
      <c r="F207" t="s" s="60">
        <f>_xlfn.IFERROR(VLOOKUP($A207,'The List'!$B1:$AS730,8,FALSE)," ")</f>
        <v>885</v>
      </c>
      <c r="G207" t="s" s="60">
        <f>_xlfn.IFERROR(VLOOKUP($A207,'The List'!$B1:$AS730,10,FALSE)," ")</f>
        <v>885</v>
      </c>
      <c r="H207" s="46"/>
      <c r="I207" t="s" s="61">
        <f>_xlfn.IFERROR(VLOOKUP($A207,'The List'!$B1:$AS730,16,FALSE)," ")</f>
        <v>885</v>
      </c>
      <c r="J207" t="s" s="61">
        <f>_xlfn.IFERROR(VLOOKUP($A207,'The List'!$B1:$AS730,17,FALSE)," ")</f>
        <v>885</v>
      </c>
      <c r="K207" t="s" s="61">
        <f>_xlfn.IFERROR(VLOOKUP($A207,'The List'!$B1:$AS730,18,FALSE)," ")</f>
        <v>885</v>
      </c>
      <c r="L207" t="s" s="61">
        <f>_xlfn.IFERROR(VLOOKUP($A207,'The List'!$B1:$AS730,19,FALSE)," ")</f>
        <v>885</v>
      </c>
      <c r="M207" t="s" s="61">
        <f>_xlfn.IFERROR(VLOOKUP($A207,'The List'!$B1:$AS730,20,FALSE)," ")</f>
        <v>885</v>
      </c>
      <c r="N207" t="s" s="61">
        <f>_xlfn.IFERROR(VLOOKUP($A207,'The List'!$B1:$AS730,21,FALSE)," ")</f>
        <v>885</v>
      </c>
      <c r="O207" t="s" s="61">
        <f>_xlfn.IFERROR(VLOOKUP($A207,'The List'!$B1:$AS730,22,FALSE)," ")</f>
        <v>885</v>
      </c>
      <c r="P207" t="s" s="61">
        <f>_xlfn.IFERROR(VLOOKUP($A207,'The List'!$B1:$AS730,23,FALSE)," ")</f>
        <v>885</v>
      </c>
      <c r="Q207" t="s" s="61">
        <f>_xlfn.IFERROR(VLOOKUP($A207,'The List'!$B1:$AS730,24,FALSE)," ")</f>
        <v>885</v>
      </c>
      <c r="R207" t="s" s="61">
        <f>_xlfn.IFERROR(VLOOKUP($A207,'The List'!$B1:$AS730,25,FALSE)," ")</f>
        <v>885</v>
      </c>
      <c r="S207" t="s" s="61">
        <f>_xlfn.IFERROR(VLOOKUP($A207,'The List'!$B1:$AS730,26,FALSE)," ")</f>
        <v>885</v>
      </c>
      <c r="T207" t="s" s="61">
        <f>_xlfn.IFERROR(VLOOKUP($A207,'The List'!$B1:$AS730,27,FALSE)," ")</f>
        <v>885</v>
      </c>
      <c r="U207" t="s" s="61">
        <f>_xlfn.IFERROR(VLOOKUP($A207,'The List'!$B1:$AS730,28,FALSE)," ")</f>
        <v>885</v>
      </c>
      <c r="V207" t="s" s="61">
        <f>_xlfn.IFERROR(VLOOKUP($A207,'The List'!$B1:$AS730,29,FALSE)," ")</f>
        <v>885</v>
      </c>
      <c r="W207" t="s" s="61">
        <f>_xlfn.IFERROR(VLOOKUP($A207,'The List'!$B1:$AS730,30,FALSE)," ")</f>
        <v>885</v>
      </c>
      <c r="X207" t="s" s="61">
        <f>_xlfn.IFERROR(VLOOKUP($A207,'The List'!$B1:$AS730,31,FALSE)," ")</f>
        <v>885</v>
      </c>
      <c r="Y207" t="s" s="61">
        <f>_xlfn.IFERROR(VLOOKUP($A207,'The List'!$B1:$AS730,32,FALSE)," ")</f>
        <v>885</v>
      </c>
      <c r="Z207" t="s" s="61">
        <f>_xlfn.IFERROR(VLOOKUP($A207,'The List'!$B1:$AS730,33,FALSE)," ")</f>
        <v>885</v>
      </c>
      <c r="AA207" s="64"/>
      <c r="AB207" s="69"/>
      <c r="AC207" s="69"/>
      <c r="AD207" s="69"/>
      <c r="AE207" s="69"/>
      <c r="AF207" s="69"/>
    </row>
    <row r="208" ht="21.25" customHeight="1">
      <c r="A208" s="29"/>
      <c r="B208" t="s" s="66">
        <f>_xlfn.IFERROR(VLOOKUP($A208,'The List'!$B1:$AS730,3,FALSE)," ")</f>
        <v>885</v>
      </c>
      <c r="C208" t="s" s="70">
        <f>_xlfn.IFERROR(VLOOKUP($A208,'The List'!$B1:$AS730,4,FALSE)," ")</f>
        <v>885</v>
      </c>
      <c r="D208" t="s" s="42">
        <f>_xlfn.IFERROR(VLOOKUP($A208,'The List'!$B1:$AS730,5,FALSE)," ")</f>
        <v>885</v>
      </c>
      <c r="E208" t="s" s="42">
        <f>_xlfn.IFERROR(VLOOKUP($A208,'The List'!$B1:$AS730,6,FALSE)," ")</f>
        <v>885</v>
      </c>
      <c r="F208" t="s" s="60">
        <f>_xlfn.IFERROR(VLOOKUP($A208,'The List'!$B1:$AS730,8,FALSE)," ")</f>
        <v>885</v>
      </c>
      <c r="G208" t="s" s="60">
        <f>_xlfn.IFERROR(VLOOKUP($A208,'The List'!$B1:$AS730,10,FALSE)," ")</f>
        <v>885</v>
      </c>
      <c r="H208" s="46"/>
      <c r="I208" t="s" s="61">
        <f>_xlfn.IFERROR(VLOOKUP($A208,'The List'!$B1:$AS730,16,FALSE)," ")</f>
        <v>885</v>
      </c>
      <c r="J208" t="s" s="61">
        <f>_xlfn.IFERROR(VLOOKUP($A208,'The List'!$B1:$AS730,17,FALSE)," ")</f>
        <v>885</v>
      </c>
      <c r="K208" t="s" s="61">
        <f>_xlfn.IFERROR(VLOOKUP($A208,'The List'!$B1:$AS730,18,FALSE)," ")</f>
        <v>885</v>
      </c>
      <c r="L208" t="s" s="61">
        <f>_xlfn.IFERROR(VLOOKUP($A208,'The List'!$B1:$AS730,19,FALSE)," ")</f>
        <v>885</v>
      </c>
      <c r="M208" t="s" s="61">
        <f>_xlfn.IFERROR(VLOOKUP($A208,'The List'!$B1:$AS730,20,FALSE)," ")</f>
        <v>885</v>
      </c>
      <c r="N208" t="s" s="61">
        <f>_xlfn.IFERROR(VLOOKUP($A208,'The List'!$B1:$AS730,21,FALSE)," ")</f>
        <v>885</v>
      </c>
      <c r="O208" t="s" s="61">
        <f>_xlfn.IFERROR(VLOOKUP($A208,'The List'!$B1:$AS730,22,FALSE)," ")</f>
        <v>885</v>
      </c>
      <c r="P208" t="s" s="61">
        <f>_xlfn.IFERROR(VLOOKUP($A208,'The List'!$B1:$AS730,23,FALSE)," ")</f>
        <v>885</v>
      </c>
      <c r="Q208" t="s" s="61">
        <f>_xlfn.IFERROR(VLOOKUP($A208,'The List'!$B1:$AS730,24,FALSE)," ")</f>
        <v>885</v>
      </c>
      <c r="R208" t="s" s="61">
        <f>_xlfn.IFERROR(VLOOKUP($A208,'The List'!$B1:$AS730,25,FALSE)," ")</f>
        <v>885</v>
      </c>
      <c r="S208" t="s" s="61">
        <f>_xlfn.IFERROR(VLOOKUP($A208,'The List'!$B1:$AS730,26,FALSE)," ")</f>
        <v>885</v>
      </c>
      <c r="T208" t="s" s="61">
        <f>_xlfn.IFERROR(VLOOKUP($A208,'The List'!$B1:$AS730,27,FALSE)," ")</f>
        <v>885</v>
      </c>
      <c r="U208" t="s" s="61">
        <f>_xlfn.IFERROR(VLOOKUP($A208,'The List'!$B1:$AS730,28,FALSE)," ")</f>
        <v>885</v>
      </c>
      <c r="V208" t="s" s="61">
        <f>_xlfn.IFERROR(VLOOKUP($A208,'The List'!$B1:$AS730,29,FALSE)," ")</f>
        <v>885</v>
      </c>
      <c r="W208" t="s" s="61">
        <f>_xlfn.IFERROR(VLOOKUP($A208,'The List'!$B1:$AS730,30,FALSE)," ")</f>
        <v>885</v>
      </c>
      <c r="X208" t="s" s="61">
        <f>_xlfn.IFERROR(VLOOKUP($A208,'The List'!$B1:$AS730,31,FALSE)," ")</f>
        <v>885</v>
      </c>
      <c r="Y208" t="s" s="61">
        <f>_xlfn.IFERROR(VLOOKUP($A208,'The List'!$B1:$AS730,32,FALSE)," ")</f>
        <v>885</v>
      </c>
      <c r="Z208" t="s" s="61">
        <f>_xlfn.IFERROR(VLOOKUP($A208,'The List'!$B1:$AS730,33,FALSE)," ")</f>
        <v>885</v>
      </c>
      <c r="AA208" s="64"/>
      <c r="AB208" s="69"/>
      <c r="AC208" s="69"/>
      <c r="AD208" s="69"/>
      <c r="AE208" s="69"/>
      <c r="AF208" s="69"/>
    </row>
    <row r="209" ht="21.25" customHeight="1">
      <c r="A209" s="29"/>
      <c r="B209" t="s" s="71">
        <f>_xlfn.IFERROR(VLOOKUP($A209,'The List'!$B1:$AS730,3,FALSE)," ")</f>
        <v>885</v>
      </c>
      <c r="C209" t="s" s="73">
        <f>_xlfn.IFERROR(VLOOKUP($A209,'The List'!$B1:$AS730,4,FALSE)," ")</f>
        <v>885</v>
      </c>
      <c r="D209" t="s" s="42">
        <f>_xlfn.IFERROR(VLOOKUP($A209,'The List'!$B1:$AS730,5,FALSE)," ")</f>
        <v>885</v>
      </c>
      <c r="E209" t="s" s="42">
        <f>_xlfn.IFERROR(VLOOKUP($A209,'The List'!$B1:$AS730,6,FALSE)," ")</f>
        <v>885</v>
      </c>
      <c r="F209" t="s" s="60">
        <f>_xlfn.IFERROR(VLOOKUP($A209,'The List'!$B1:$AS730,8,FALSE)," ")</f>
        <v>885</v>
      </c>
      <c r="G209" t="s" s="60">
        <f>_xlfn.IFERROR(VLOOKUP($A209,'The List'!$B1:$AS730,10,FALSE)," ")</f>
        <v>885</v>
      </c>
      <c r="H209" s="46"/>
      <c r="I209" t="s" s="61">
        <f>_xlfn.IFERROR(VLOOKUP($A209,'The List'!$B1:$AS730,16,FALSE)," ")</f>
        <v>885</v>
      </c>
      <c r="J209" t="s" s="61">
        <f>_xlfn.IFERROR(VLOOKUP($A209,'The List'!$B1:$AS730,17,FALSE)," ")</f>
        <v>885</v>
      </c>
      <c r="K209" t="s" s="61">
        <f>_xlfn.IFERROR(VLOOKUP($A209,'The List'!$B1:$AS730,18,FALSE)," ")</f>
        <v>885</v>
      </c>
      <c r="L209" t="s" s="61">
        <f>_xlfn.IFERROR(VLOOKUP($A209,'The List'!$B1:$AS730,19,FALSE)," ")</f>
        <v>885</v>
      </c>
      <c r="M209" t="s" s="61">
        <f>_xlfn.IFERROR(VLOOKUP($A209,'The List'!$B1:$AS730,20,FALSE)," ")</f>
        <v>885</v>
      </c>
      <c r="N209" t="s" s="61">
        <f>_xlfn.IFERROR(VLOOKUP($A209,'The List'!$B1:$AS730,21,FALSE)," ")</f>
        <v>885</v>
      </c>
      <c r="O209" t="s" s="61">
        <f>_xlfn.IFERROR(VLOOKUP($A209,'The List'!$B1:$AS730,22,FALSE)," ")</f>
        <v>885</v>
      </c>
      <c r="P209" t="s" s="61">
        <f>_xlfn.IFERROR(VLOOKUP($A209,'The List'!$B1:$AS730,23,FALSE)," ")</f>
        <v>885</v>
      </c>
      <c r="Q209" t="s" s="61">
        <f>_xlfn.IFERROR(VLOOKUP($A209,'The List'!$B1:$AS730,24,FALSE)," ")</f>
        <v>885</v>
      </c>
      <c r="R209" t="s" s="61">
        <f>_xlfn.IFERROR(VLOOKUP($A209,'The List'!$B1:$AS730,25,FALSE)," ")</f>
        <v>885</v>
      </c>
      <c r="S209" t="s" s="61">
        <f>_xlfn.IFERROR(VLOOKUP($A209,'The List'!$B1:$AS730,26,FALSE)," ")</f>
        <v>885</v>
      </c>
      <c r="T209" t="s" s="61">
        <f>_xlfn.IFERROR(VLOOKUP($A209,'The List'!$B1:$AS730,27,FALSE)," ")</f>
        <v>885</v>
      </c>
      <c r="U209" t="s" s="61">
        <f>_xlfn.IFERROR(VLOOKUP($A209,'The List'!$B1:$AS730,28,FALSE)," ")</f>
        <v>885</v>
      </c>
      <c r="V209" t="s" s="61">
        <f>_xlfn.IFERROR(VLOOKUP($A209,'The List'!$B1:$AS730,29,FALSE)," ")</f>
        <v>885</v>
      </c>
      <c r="W209" t="s" s="61">
        <f>_xlfn.IFERROR(VLOOKUP($A209,'The List'!$B1:$AS730,30,FALSE)," ")</f>
        <v>885</v>
      </c>
      <c r="X209" t="s" s="61">
        <f>_xlfn.IFERROR(VLOOKUP($A209,'The List'!$B1:$AS730,31,FALSE)," ")</f>
        <v>885</v>
      </c>
      <c r="Y209" t="s" s="61">
        <f>_xlfn.IFERROR(VLOOKUP($A209,'The List'!$B1:$AS730,32,FALSE)," ")</f>
        <v>885</v>
      </c>
      <c r="Z209" t="s" s="61">
        <f>_xlfn.IFERROR(VLOOKUP($A209,'The List'!$B1:$AS730,33,FALSE)," ")</f>
        <v>885</v>
      </c>
      <c r="AA209" s="64"/>
      <c r="AB209" s="69"/>
      <c r="AC209" s="69"/>
      <c r="AD209" s="69"/>
      <c r="AE209" s="69"/>
      <c r="AF209" s="69"/>
    </row>
    <row r="210" ht="21.25" customHeight="1">
      <c r="A210" s="29"/>
      <c r="B210" t="s" s="71">
        <f>_xlfn.IFERROR(VLOOKUP($A210,'The List'!$B1:$AS730,3,FALSE)," ")</f>
        <v>885</v>
      </c>
      <c r="C210" t="s" s="73">
        <f>_xlfn.IFERROR(VLOOKUP($A210,'The List'!$B1:$AS730,4,FALSE)," ")</f>
        <v>885</v>
      </c>
      <c r="D210" t="s" s="42">
        <f>_xlfn.IFERROR(VLOOKUP($A210,'The List'!$B1:$AS730,5,FALSE)," ")</f>
        <v>885</v>
      </c>
      <c r="E210" t="s" s="42">
        <f>_xlfn.IFERROR(VLOOKUP($A210,'The List'!$B1:$AS730,6,FALSE)," ")</f>
        <v>885</v>
      </c>
      <c r="F210" t="s" s="60">
        <f>_xlfn.IFERROR(VLOOKUP($A210,'The List'!$B1:$AS730,8,FALSE)," ")</f>
        <v>885</v>
      </c>
      <c r="G210" t="s" s="60">
        <f>_xlfn.IFERROR(VLOOKUP($A210,'The List'!$B1:$AS730,10,FALSE)," ")</f>
        <v>885</v>
      </c>
      <c r="H210" s="46"/>
      <c r="I210" t="s" s="61">
        <f>_xlfn.IFERROR(VLOOKUP($A210,'The List'!$B1:$AS730,16,FALSE)," ")</f>
        <v>885</v>
      </c>
      <c r="J210" t="s" s="61">
        <f>_xlfn.IFERROR(VLOOKUP($A210,'The List'!$B1:$AS730,17,FALSE)," ")</f>
        <v>885</v>
      </c>
      <c r="K210" t="s" s="61">
        <f>_xlfn.IFERROR(VLOOKUP($A210,'The List'!$B1:$AS730,18,FALSE)," ")</f>
        <v>885</v>
      </c>
      <c r="L210" t="s" s="61">
        <f>_xlfn.IFERROR(VLOOKUP($A210,'The List'!$B1:$AS730,19,FALSE)," ")</f>
        <v>885</v>
      </c>
      <c r="M210" t="s" s="61">
        <f>_xlfn.IFERROR(VLOOKUP($A210,'The List'!$B1:$AS730,20,FALSE)," ")</f>
        <v>885</v>
      </c>
      <c r="N210" t="s" s="61">
        <f>_xlfn.IFERROR(VLOOKUP($A210,'The List'!$B1:$AS730,21,FALSE)," ")</f>
        <v>885</v>
      </c>
      <c r="O210" t="s" s="61">
        <f>_xlfn.IFERROR(VLOOKUP($A210,'The List'!$B1:$AS730,22,FALSE)," ")</f>
        <v>885</v>
      </c>
      <c r="P210" t="s" s="61">
        <f>_xlfn.IFERROR(VLOOKUP($A210,'The List'!$B1:$AS730,23,FALSE)," ")</f>
        <v>885</v>
      </c>
      <c r="Q210" t="s" s="61">
        <f>_xlfn.IFERROR(VLOOKUP($A210,'The List'!$B1:$AS730,24,FALSE)," ")</f>
        <v>885</v>
      </c>
      <c r="R210" t="s" s="61">
        <f>_xlfn.IFERROR(VLOOKUP($A210,'The List'!$B1:$AS730,25,FALSE)," ")</f>
        <v>885</v>
      </c>
      <c r="S210" t="s" s="61">
        <f>_xlfn.IFERROR(VLOOKUP($A210,'The List'!$B1:$AS730,26,FALSE)," ")</f>
        <v>885</v>
      </c>
      <c r="T210" t="s" s="61">
        <f>_xlfn.IFERROR(VLOOKUP($A210,'The List'!$B1:$AS730,27,FALSE)," ")</f>
        <v>885</v>
      </c>
      <c r="U210" t="s" s="61">
        <f>_xlfn.IFERROR(VLOOKUP($A210,'The List'!$B1:$AS730,28,FALSE)," ")</f>
        <v>885</v>
      </c>
      <c r="V210" t="s" s="61">
        <f>_xlfn.IFERROR(VLOOKUP($A210,'The List'!$B1:$AS730,29,FALSE)," ")</f>
        <v>885</v>
      </c>
      <c r="W210" t="s" s="61">
        <f>_xlfn.IFERROR(VLOOKUP($A210,'The List'!$B1:$AS730,30,FALSE)," ")</f>
        <v>885</v>
      </c>
      <c r="X210" t="s" s="61">
        <f>_xlfn.IFERROR(VLOOKUP($A210,'The List'!$B1:$AS730,31,FALSE)," ")</f>
        <v>885</v>
      </c>
      <c r="Y210" t="s" s="61">
        <f>_xlfn.IFERROR(VLOOKUP($A210,'The List'!$B1:$AS730,32,FALSE)," ")</f>
        <v>885</v>
      </c>
      <c r="Z210" t="s" s="61">
        <f>_xlfn.IFERROR(VLOOKUP($A210,'The List'!$B1:$AS730,33,FALSE)," ")</f>
        <v>885</v>
      </c>
      <c r="AA210" s="64"/>
      <c r="AB210" s="69"/>
      <c r="AC210" s="69"/>
      <c r="AD210" s="69"/>
      <c r="AE210" s="69"/>
      <c r="AF210" s="69"/>
    </row>
    <row r="211" ht="21.25" customHeight="1">
      <c r="A211" s="29"/>
      <c r="B211" t="s" s="71">
        <f>_xlfn.IFERROR(VLOOKUP($A211,'The List'!$B1:$AS730,3,FALSE)," ")</f>
        <v>885</v>
      </c>
      <c r="C211" t="s" s="73">
        <f>_xlfn.IFERROR(VLOOKUP($A211,'The List'!$B1:$AS730,4,FALSE)," ")</f>
        <v>885</v>
      </c>
      <c r="D211" t="s" s="42">
        <f>_xlfn.IFERROR(VLOOKUP($A211,'The List'!$B1:$AS730,5,FALSE)," ")</f>
        <v>885</v>
      </c>
      <c r="E211" t="s" s="42">
        <f>_xlfn.IFERROR(VLOOKUP($A211,'The List'!$B1:$AS730,6,FALSE)," ")</f>
        <v>885</v>
      </c>
      <c r="F211" t="s" s="60">
        <f>_xlfn.IFERROR(VLOOKUP($A211,'The List'!$B1:$AS730,8,FALSE)," ")</f>
        <v>885</v>
      </c>
      <c r="G211" t="s" s="60">
        <f>_xlfn.IFERROR(VLOOKUP($A211,'The List'!$B1:$AS730,10,FALSE)," ")</f>
        <v>885</v>
      </c>
      <c r="H211" s="46"/>
      <c r="I211" t="s" s="61">
        <f>_xlfn.IFERROR(VLOOKUP($A211,'The List'!$B1:$AS730,16,FALSE)," ")</f>
        <v>885</v>
      </c>
      <c r="J211" t="s" s="61">
        <f>_xlfn.IFERROR(VLOOKUP($A211,'The List'!$B1:$AS730,17,FALSE)," ")</f>
        <v>885</v>
      </c>
      <c r="K211" t="s" s="61">
        <f>_xlfn.IFERROR(VLOOKUP($A211,'The List'!$B1:$AS730,18,FALSE)," ")</f>
        <v>885</v>
      </c>
      <c r="L211" t="s" s="61">
        <f>_xlfn.IFERROR(VLOOKUP($A211,'The List'!$B1:$AS730,19,FALSE)," ")</f>
        <v>885</v>
      </c>
      <c r="M211" t="s" s="61">
        <f>_xlfn.IFERROR(VLOOKUP($A211,'The List'!$B1:$AS730,20,FALSE)," ")</f>
        <v>885</v>
      </c>
      <c r="N211" t="s" s="61">
        <f>_xlfn.IFERROR(VLOOKUP($A211,'The List'!$B1:$AS730,21,FALSE)," ")</f>
        <v>885</v>
      </c>
      <c r="O211" t="s" s="61">
        <f>_xlfn.IFERROR(VLOOKUP($A211,'The List'!$B1:$AS730,22,FALSE)," ")</f>
        <v>885</v>
      </c>
      <c r="P211" t="s" s="61">
        <f>_xlfn.IFERROR(VLOOKUP($A211,'The List'!$B1:$AS730,23,FALSE)," ")</f>
        <v>885</v>
      </c>
      <c r="Q211" t="s" s="61">
        <f>_xlfn.IFERROR(VLOOKUP($A211,'The List'!$B1:$AS730,24,FALSE)," ")</f>
        <v>885</v>
      </c>
      <c r="R211" t="s" s="61">
        <f>_xlfn.IFERROR(VLOOKUP($A211,'The List'!$B1:$AS730,25,FALSE)," ")</f>
        <v>885</v>
      </c>
      <c r="S211" t="s" s="61">
        <f>_xlfn.IFERROR(VLOOKUP($A211,'The List'!$B1:$AS730,26,FALSE)," ")</f>
        <v>885</v>
      </c>
      <c r="T211" t="s" s="61">
        <f>_xlfn.IFERROR(VLOOKUP($A211,'The List'!$B1:$AS730,27,FALSE)," ")</f>
        <v>885</v>
      </c>
      <c r="U211" t="s" s="61">
        <f>_xlfn.IFERROR(VLOOKUP($A211,'The List'!$B1:$AS730,28,FALSE)," ")</f>
        <v>885</v>
      </c>
      <c r="V211" t="s" s="61">
        <f>_xlfn.IFERROR(VLOOKUP($A211,'The List'!$B1:$AS730,29,FALSE)," ")</f>
        <v>885</v>
      </c>
      <c r="W211" t="s" s="61">
        <f>_xlfn.IFERROR(VLOOKUP($A211,'The List'!$B1:$AS730,30,FALSE)," ")</f>
        <v>885</v>
      </c>
      <c r="X211" t="s" s="61">
        <f>_xlfn.IFERROR(VLOOKUP($A211,'The List'!$B1:$AS730,31,FALSE)," ")</f>
        <v>885</v>
      </c>
      <c r="Y211" t="s" s="61">
        <f>_xlfn.IFERROR(VLOOKUP($A211,'The List'!$B1:$AS730,32,FALSE)," ")</f>
        <v>885</v>
      </c>
      <c r="Z211" t="s" s="61">
        <f>_xlfn.IFERROR(VLOOKUP($A211,'The List'!$B1:$AS730,33,FALSE)," ")</f>
        <v>885</v>
      </c>
      <c r="AA211" s="64"/>
      <c r="AB211" s="69"/>
      <c r="AC211" s="69"/>
      <c r="AD211" s="69"/>
      <c r="AE211" s="69"/>
      <c r="AF211" s="69"/>
    </row>
    <row r="212" ht="21.25" customHeight="1">
      <c r="A212" s="29"/>
      <c r="B212" t="s" s="71">
        <f>_xlfn.IFERROR(VLOOKUP($A212,'The List'!$B1:$AS730,3,FALSE)," ")</f>
        <v>885</v>
      </c>
      <c r="C212" t="s" s="73">
        <f>_xlfn.IFERROR(VLOOKUP($A212,'The List'!$B1:$AS730,4,FALSE)," ")</f>
        <v>885</v>
      </c>
      <c r="D212" t="s" s="42">
        <f>_xlfn.IFERROR(VLOOKUP($A212,'The List'!$B1:$AS730,5,FALSE)," ")</f>
        <v>885</v>
      </c>
      <c r="E212" t="s" s="42">
        <f>_xlfn.IFERROR(VLOOKUP($A212,'The List'!$B1:$AS730,6,FALSE)," ")</f>
        <v>885</v>
      </c>
      <c r="F212" t="s" s="60">
        <f>_xlfn.IFERROR(VLOOKUP($A212,'The List'!$B1:$AS730,8,FALSE)," ")</f>
        <v>885</v>
      </c>
      <c r="G212" t="s" s="60">
        <f>_xlfn.IFERROR(VLOOKUP($A212,'The List'!$B1:$AS730,10,FALSE)," ")</f>
        <v>885</v>
      </c>
      <c r="H212" s="46"/>
      <c r="I212" t="s" s="61">
        <f>_xlfn.IFERROR(VLOOKUP($A212,'The List'!$B1:$AS730,16,FALSE)," ")</f>
        <v>885</v>
      </c>
      <c r="J212" t="s" s="61">
        <f>_xlfn.IFERROR(VLOOKUP($A212,'The List'!$B1:$AS730,17,FALSE)," ")</f>
        <v>885</v>
      </c>
      <c r="K212" t="s" s="61">
        <f>_xlfn.IFERROR(VLOOKUP($A212,'The List'!$B1:$AS730,18,FALSE)," ")</f>
        <v>885</v>
      </c>
      <c r="L212" t="s" s="61">
        <f>_xlfn.IFERROR(VLOOKUP($A212,'The List'!$B1:$AS730,19,FALSE)," ")</f>
        <v>885</v>
      </c>
      <c r="M212" t="s" s="61">
        <f>_xlfn.IFERROR(VLOOKUP($A212,'The List'!$B1:$AS730,20,FALSE)," ")</f>
        <v>885</v>
      </c>
      <c r="N212" t="s" s="61">
        <f>_xlfn.IFERROR(VLOOKUP($A212,'The List'!$B1:$AS730,21,FALSE)," ")</f>
        <v>885</v>
      </c>
      <c r="O212" t="s" s="61">
        <f>_xlfn.IFERROR(VLOOKUP($A212,'The List'!$B1:$AS730,22,FALSE)," ")</f>
        <v>885</v>
      </c>
      <c r="P212" t="s" s="61">
        <f>_xlfn.IFERROR(VLOOKUP($A212,'The List'!$B1:$AS730,23,FALSE)," ")</f>
        <v>885</v>
      </c>
      <c r="Q212" t="s" s="61">
        <f>_xlfn.IFERROR(VLOOKUP($A212,'The List'!$B1:$AS730,24,FALSE)," ")</f>
        <v>885</v>
      </c>
      <c r="R212" t="s" s="61">
        <f>_xlfn.IFERROR(VLOOKUP($A212,'The List'!$B1:$AS730,25,FALSE)," ")</f>
        <v>885</v>
      </c>
      <c r="S212" t="s" s="61">
        <f>_xlfn.IFERROR(VLOOKUP($A212,'The List'!$B1:$AS730,26,FALSE)," ")</f>
        <v>885</v>
      </c>
      <c r="T212" t="s" s="61">
        <f>_xlfn.IFERROR(VLOOKUP($A212,'The List'!$B1:$AS730,27,FALSE)," ")</f>
        <v>885</v>
      </c>
      <c r="U212" t="s" s="61">
        <f>_xlfn.IFERROR(VLOOKUP($A212,'The List'!$B1:$AS730,28,FALSE)," ")</f>
        <v>885</v>
      </c>
      <c r="V212" t="s" s="61">
        <f>_xlfn.IFERROR(VLOOKUP($A212,'The List'!$B1:$AS730,29,FALSE)," ")</f>
        <v>885</v>
      </c>
      <c r="W212" t="s" s="61">
        <f>_xlfn.IFERROR(VLOOKUP($A212,'The List'!$B1:$AS730,30,FALSE)," ")</f>
        <v>885</v>
      </c>
      <c r="X212" t="s" s="61">
        <f>_xlfn.IFERROR(VLOOKUP($A212,'The List'!$B1:$AS730,31,FALSE)," ")</f>
        <v>885</v>
      </c>
      <c r="Y212" t="s" s="61">
        <f>_xlfn.IFERROR(VLOOKUP($A212,'The List'!$B1:$AS730,32,FALSE)," ")</f>
        <v>885</v>
      </c>
      <c r="Z212" t="s" s="61">
        <f>_xlfn.IFERROR(VLOOKUP($A212,'The List'!$B1:$AS730,33,FALSE)," ")</f>
        <v>885</v>
      </c>
      <c r="AA212" s="64"/>
      <c r="AB212" s="69"/>
      <c r="AC212" s="69"/>
      <c r="AD212" s="69"/>
      <c r="AE212" s="69"/>
      <c r="AF212" s="69"/>
    </row>
    <row r="213" ht="21.25" customHeight="1">
      <c r="A213" s="29"/>
      <c r="B213" t="s" s="74">
        <f>_xlfn.IFERROR(VLOOKUP($A213,'The List'!$B1:$AS730,3,FALSE)," ")</f>
        <v>885</v>
      </c>
      <c r="C213" t="s" s="76">
        <f>_xlfn.IFERROR(VLOOKUP($A213,'The List'!$B1:$AS730,4,FALSE)," ")</f>
        <v>885</v>
      </c>
      <c r="D213" t="s" s="42">
        <f>_xlfn.IFERROR(VLOOKUP($A213,'The List'!$B1:$AS730,5,FALSE)," ")</f>
        <v>885</v>
      </c>
      <c r="E213" t="s" s="42">
        <f>_xlfn.IFERROR(VLOOKUP($A213,'The List'!$B1:$AS730,6,FALSE)," ")</f>
        <v>885</v>
      </c>
      <c r="F213" t="s" s="60">
        <f>_xlfn.IFERROR(VLOOKUP($A213,'The List'!$B1:$AS730,8,FALSE)," ")</f>
        <v>885</v>
      </c>
      <c r="G213" t="s" s="60">
        <f>_xlfn.IFERROR(VLOOKUP($A213,'The List'!$B1:$AS730,10,FALSE)," ")</f>
        <v>885</v>
      </c>
      <c r="H213" s="46"/>
      <c r="I213" t="s" s="61">
        <f>_xlfn.IFERROR(VLOOKUP($A213,'The List'!$B1:$AS730,16,FALSE)," ")</f>
        <v>885</v>
      </c>
      <c r="J213" t="s" s="61">
        <f>_xlfn.IFERROR(VLOOKUP($A213,'The List'!$B1:$AS730,17,FALSE)," ")</f>
        <v>885</v>
      </c>
      <c r="K213" t="s" s="61">
        <f>_xlfn.IFERROR(VLOOKUP($A213,'The List'!$B1:$AS730,18,FALSE)," ")</f>
        <v>885</v>
      </c>
      <c r="L213" t="s" s="61">
        <f>_xlfn.IFERROR(VLOOKUP($A213,'The List'!$B1:$AS730,19,FALSE)," ")</f>
        <v>885</v>
      </c>
      <c r="M213" t="s" s="61">
        <f>_xlfn.IFERROR(VLOOKUP($A213,'The List'!$B1:$AS730,20,FALSE)," ")</f>
        <v>885</v>
      </c>
      <c r="N213" t="s" s="61">
        <f>_xlfn.IFERROR(VLOOKUP($A213,'The List'!$B1:$AS730,21,FALSE)," ")</f>
        <v>885</v>
      </c>
      <c r="O213" t="s" s="61">
        <f>_xlfn.IFERROR(VLOOKUP($A213,'The List'!$B1:$AS730,22,FALSE)," ")</f>
        <v>885</v>
      </c>
      <c r="P213" t="s" s="61">
        <f>_xlfn.IFERROR(VLOOKUP($A213,'The List'!$B1:$AS730,23,FALSE)," ")</f>
        <v>885</v>
      </c>
      <c r="Q213" t="s" s="61">
        <f>_xlfn.IFERROR(VLOOKUP($A213,'The List'!$B1:$AS730,24,FALSE)," ")</f>
        <v>885</v>
      </c>
      <c r="R213" t="s" s="61">
        <f>_xlfn.IFERROR(VLOOKUP($A213,'The List'!$B1:$AS730,25,FALSE)," ")</f>
        <v>885</v>
      </c>
      <c r="S213" t="s" s="61">
        <f>_xlfn.IFERROR(VLOOKUP($A213,'The List'!$B1:$AS730,26,FALSE)," ")</f>
        <v>885</v>
      </c>
      <c r="T213" t="s" s="61">
        <f>_xlfn.IFERROR(VLOOKUP($A213,'The List'!$B1:$AS730,27,FALSE)," ")</f>
        <v>885</v>
      </c>
      <c r="U213" t="s" s="61">
        <f>_xlfn.IFERROR(VLOOKUP($A213,'The List'!$B1:$AS730,28,FALSE)," ")</f>
        <v>885</v>
      </c>
      <c r="V213" t="s" s="61">
        <f>_xlfn.IFERROR(VLOOKUP($A213,'The List'!$B1:$AS730,29,FALSE)," ")</f>
        <v>885</v>
      </c>
      <c r="W213" t="s" s="61">
        <f>_xlfn.IFERROR(VLOOKUP($A213,'The List'!$B1:$AS730,30,FALSE)," ")</f>
        <v>885</v>
      </c>
      <c r="X213" t="s" s="61">
        <f>_xlfn.IFERROR(VLOOKUP($A213,'The List'!$B1:$AS730,31,FALSE)," ")</f>
        <v>885</v>
      </c>
      <c r="Y213" t="s" s="61">
        <f>_xlfn.IFERROR(VLOOKUP($A213,'The List'!$B1:$AS730,32,FALSE)," ")</f>
        <v>885</v>
      </c>
      <c r="Z213" t="s" s="61">
        <f>_xlfn.IFERROR(VLOOKUP($A213,'The List'!$B1:$AS730,33,FALSE)," ")</f>
        <v>885</v>
      </c>
      <c r="AA213" s="64"/>
      <c r="AB213" s="69"/>
      <c r="AC213" s="69"/>
      <c r="AD213" s="69"/>
      <c r="AE213" s="69"/>
      <c r="AF213" s="69"/>
    </row>
    <row r="214" ht="21.25" customHeight="1">
      <c r="A214" s="29"/>
      <c r="B214" t="s" s="74">
        <f>_xlfn.IFERROR(VLOOKUP($A214,'The List'!$B1:$AS730,3,FALSE)," ")</f>
        <v>885</v>
      </c>
      <c r="C214" t="s" s="76">
        <f>_xlfn.IFERROR(VLOOKUP($A214,'The List'!$B1:$AS730,4,FALSE)," ")</f>
        <v>885</v>
      </c>
      <c r="D214" t="s" s="42">
        <f>_xlfn.IFERROR(VLOOKUP($A214,'The List'!$B1:$AS730,5,FALSE)," ")</f>
        <v>885</v>
      </c>
      <c r="E214" t="s" s="42">
        <f>_xlfn.IFERROR(VLOOKUP($A214,'The List'!$B1:$AS730,6,FALSE)," ")</f>
        <v>885</v>
      </c>
      <c r="F214" t="s" s="60">
        <f>_xlfn.IFERROR(VLOOKUP($A214,'The List'!$B1:$AS730,8,FALSE)," ")</f>
        <v>885</v>
      </c>
      <c r="G214" t="s" s="60">
        <f>_xlfn.IFERROR(VLOOKUP($A214,'The List'!$B1:$AS730,10,FALSE)," ")</f>
        <v>885</v>
      </c>
      <c r="H214" s="46"/>
      <c r="I214" t="s" s="61">
        <f>_xlfn.IFERROR(VLOOKUP($A214,'The List'!$B1:$AS730,16,FALSE)," ")</f>
        <v>885</v>
      </c>
      <c r="J214" t="s" s="61">
        <f>_xlfn.IFERROR(VLOOKUP($A214,'The List'!$B1:$AS730,17,FALSE)," ")</f>
        <v>885</v>
      </c>
      <c r="K214" t="s" s="61">
        <f>_xlfn.IFERROR(VLOOKUP($A214,'The List'!$B1:$AS730,18,FALSE)," ")</f>
        <v>885</v>
      </c>
      <c r="L214" t="s" s="61">
        <f>_xlfn.IFERROR(VLOOKUP($A214,'The List'!$B1:$AS730,19,FALSE)," ")</f>
        <v>885</v>
      </c>
      <c r="M214" t="s" s="61">
        <f>_xlfn.IFERROR(VLOOKUP($A214,'The List'!$B1:$AS730,20,FALSE)," ")</f>
        <v>885</v>
      </c>
      <c r="N214" t="s" s="61">
        <f>_xlfn.IFERROR(VLOOKUP($A214,'The List'!$B1:$AS730,21,FALSE)," ")</f>
        <v>885</v>
      </c>
      <c r="O214" t="s" s="61">
        <f>_xlfn.IFERROR(VLOOKUP($A214,'The List'!$B1:$AS730,22,FALSE)," ")</f>
        <v>885</v>
      </c>
      <c r="P214" t="s" s="61">
        <f>_xlfn.IFERROR(VLOOKUP($A214,'The List'!$B1:$AS730,23,FALSE)," ")</f>
        <v>885</v>
      </c>
      <c r="Q214" t="s" s="61">
        <f>_xlfn.IFERROR(VLOOKUP($A214,'The List'!$B1:$AS730,24,FALSE)," ")</f>
        <v>885</v>
      </c>
      <c r="R214" t="s" s="61">
        <f>_xlfn.IFERROR(VLOOKUP($A214,'The List'!$B1:$AS730,25,FALSE)," ")</f>
        <v>885</v>
      </c>
      <c r="S214" t="s" s="61">
        <f>_xlfn.IFERROR(VLOOKUP($A214,'The List'!$B1:$AS730,26,FALSE)," ")</f>
        <v>885</v>
      </c>
      <c r="T214" t="s" s="61">
        <f>_xlfn.IFERROR(VLOOKUP($A214,'The List'!$B1:$AS730,27,FALSE)," ")</f>
        <v>885</v>
      </c>
      <c r="U214" t="s" s="61">
        <f>_xlfn.IFERROR(VLOOKUP($A214,'The List'!$B1:$AS730,28,FALSE)," ")</f>
        <v>885</v>
      </c>
      <c r="V214" t="s" s="61">
        <f>_xlfn.IFERROR(VLOOKUP($A214,'The List'!$B1:$AS730,29,FALSE)," ")</f>
        <v>885</v>
      </c>
      <c r="W214" t="s" s="61">
        <f>_xlfn.IFERROR(VLOOKUP($A214,'The List'!$B1:$AS730,30,FALSE)," ")</f>
        <v>885</v>
      </c>
      <c r="X214" t="s" s="61">
        <f>_xlfn.IFERROR(VLOOKUP($A214,'The List'!$B1:$AS730,31,FALSE)," ")</f>
        <v>885</v>
      </c>
      <c r="Y214" t="s" s="61">
        <f>_xlfn.IFERROR(VLOOKUP($A214,'The List'!$B1:$AS730,32,FALSE)," ")</f>
        <v>885</v>
      </c>
      <c r="Z214" t="s" s="61">
        <f>_xlfn.IFERROR(VLOOKUP($A214,'The List'!$B1:$AS730,33,FALSE)," ")</f>
        <v>885</v>
      </c>
      <c r="AA214" s="64"/>
      <c r="AB214" s="69"/>
      <c r="AC214" s="69"/>
      <c r="AD214" s="69"/>
      <c r="AE214" s="69"/>
      <c r="AF214" s="69"/>
    </row>
    <row r="215" ht="21.25" customHeight="1">
      <c r="A215" s="29"/>
      <c r="B215" t="s" s="74">
        <f>_xlfn.IFERROR(VLOOKUP($A215,'The List'!$B1:$AS730,3,FALSE)," ")</f>
        <v>885</v>
      </c>
      <c r="C215" t="s" s="76">
        <f>_xlfn.IFERROR(VLOOKUP($A215,'The List'!$B1:$AS730,4,FALSE)," ")</f>
        <v>885</v>
      </c>
      <c r="D215" t="s" s="42">
        <f>_xlfn.IFERROR(VLOOKUP($A215,'The List'!$B1:$AS730,5,FALSE)," ")</f>
        <v>885</v>
      </c>
      <c r="E215" t="s" s="42">
        <f>_xlfn.IFERROR(VLOOKUP($A215,'The List'!$B1:$AS730,6,FALSE)," ")</f>
        <v>885</v>
      </c>
      <c r="F215" t="s" s="60">
        <f>_xlfn.IFERROR(VLOOKUP($A215,'The List'!$B1:$AS730,8,FALSE)," ")</f>
        <v>885</v>
      </c>
      <c r="G215" t="s" s="60">
        <f>_xlfn.IFERROR(VLOOKUP($A215,'The List'!$B1:$AS730,10,FALSE)," ")</f>
        <v>885</v>
      </c>
      <c r="H215" s="46"/>
      <c r="I215" t="s" s="61">
        <f>_xlfn.IFERROR(VLOOKUP($A215,'The List'!$B1:$AS730,16,FALSE)," ")</f>
        <v>885</v>
      </c>
      <c r="J215" t="s" s="61">
        <f>_xlfn.IFERROR(VLOOKUP($A215,'The List'!$B1:$AS730,17,FALSE)," ")</f>
        <v>885</v>
      </c>
      <c r="K215" t="s" s="61">
        <f>_xlfn.IFERROR(VLOOKUP($A215,'The List'!$B1:$AS730,18,FALSE)," ")</f>
        <v>885</v>
      </c>
      <c r="L215" t="s" s="61">
        <f>_xlfn.IFERROR(VLOOKUP($A215,'The List'!$B1:$AS730,19,FALSE)," ")</f>
        <v>885</v>
      </c>
      <c r="M215" t="s" s="61">
        <f>_xlfn.IFERROR(VLOOKUP($A215,'The List'!$B1:$AS730,20,FALSE)," ")</f>
        <v>885</v>
      </c>
      <c r="N215" t="s" s="61">
        <f>_xlfn.IFERROR(VLOOKUP($A215,'The List'!$B1:$AS730,21,FALSE)," ")</f>
        <v>885</v>
      </c>
      <c r="O215" t="s" s="61">
        <f>_xlfn.IFERROR(VLOOKUP($A215,'The List'!$B1:$AS730,22,FALSE)," ")</f>
        <v>885</v>
      </c>
      <c r="P215" t="s" s="61">
        <f>_xlfn.IFERROR(VLOOKUP($A215,'The List'!$B1:$AS730,23,FALSE)," ")</f>
        <v>885</v>
      </c>
      <c r="Q215" t="s" s="61">
        <f>_xlfn.IFERROR(VLOOKUP($A215,'The List'!$B1:$AS730,24,FALSE)," ")</f>
        <v>885</v>
      </c>
      <c r="R215" t="s" s="61">
        <f>_xlfn.IFERROR(VLOOKUP($A215,'The List'!$B1:$AS730,25,FALSE)," ")</f>
        <v>885</v>
      </c>
      <c r="S215" t="s" s="61">
        <f>_xlfn.IFERROR(VLOOKUP($A215,'The List'!$B1:$AS730,26,FALSE)," ")</f>
        <v>885</v>
      </c>
      <c r="T215" t="s" s="61">
        <f>_xlfn.IFERROR(VLOOKUP($A215,'The List'!$B1:$AS730,27,FALSE)," ")</f>
        <v>885</v>
      </c>
      <c r="U215" t="s" s="61">
        <f>_xlfn.IFERROR(VLOOKUP($A215,'The List'!$B1:$AS730,28,FALSE)," ")</f>
        <v>885</v>
      </c>
      <c r="V215" t="s" s="61">
        <f>_xlfn.IFERROR(VLOOKUP($A215,'The List'!$B1:$AS730,29,FALSE)," ")</f>
        <v>885</v>
      </c>
      <c r="W215" t="s" s="61">
        <f>_xlfn.IFERROR(VLOOKUP($A215,'The List'!$B1:$AS730,30,FALSE)," ")</f>
        <v>885</v>
      </c>
      <c r="X215" t="s" s="61">
        <f>_xlfn.IFERROR(VLOOKUP($A215,'The List'!$B1:$AS730,31,FALSE)," ")</f>
        <v>885</v>
      </c>
      <c r="Y215" t="s" s="61">
        <f>_xlfn.IFERROR(VLOOKUP($A215,'The List'!$B1:$AS730,32,FALSE)," ")</f>
        <v>885</v>
      </c>
      <c r="Z215" t="s" s="61">
        <f>_xlfn.IFERROR(VLOOKUP($A215,'The List'!$B1:$AS730,33,FALSE)," ")</f>
        <v>885</v>
      </c>
      <c r="AA215" s="64"/>
      <c r="AB215" s="69"/>
      <c r="AC215" s="69"/>
      <c r="AD215" s="69"/>
      <c r="AE215" s="69"/>
      <c r="AF215" s="69"/>
    </row>
    <row r="216" ht="21.25" customHeight="1">
      <c r="A216" s="29"/>
      <c r="B216" t="s" s="74">
        <f>_xlfn.IFERROR(VLOOKUP($A216,'The List'!$B1:$AS730,3,FALSE)," ")</f>
        <v>885</v>
      </c>
      <c r="C216" t="s" s="76">
        <f>_xlfn.IFERROR(VLOOKUP($A216,'The List'!$B1:$AS730,4,FALSE)," ")</f>
        <v>885</v>
      </c>
      <c r="D216" t="s" s="42">
        <f>_xlfn.IFERROR(VLOOKUP($A216,'The List'!$B1:$AS730,5,FALSE)," ")</f>
        <v>885</v>
      </c>
      <c r="E216" t="s" s="42">
        <f>_xlfn.IFERROR(VLOOKUP($A216,'The List'!$B1:$AS730,6,FALSE)," ")</f>
        <v>885</v>
      </c>
      <c r="F216" t="s" s="60">
        <f>_xlfn.IFERROR(VLOOKUP($A216,'The List'!$B1:$AS730,8,FALSE)," ")</f>
        <v>885</v>
      </c>
      <c r="G216" t="s" s="60">
        <f>_xlfn.IFERROR(VLOOKUP($A216,'The List'!$B1:$AS730,10,FALSE)," ")</f>
        <v>885</v>
      </c>
      <c r="H216" s="46"/>
      <c r="I216" t="s" s="61">
        <f>_xlfn.IFERROR(VLOOKUP($A216,'The List'!$B1:$AS730,16,FALSE)," ")</f>
        <v>885</v>
      </c>
      <c r="J216" t="s" s="61">
        <f>_xlfn.IFERROR(VLOOKUP($A216,'The List'!$B1:$AS730,17,FALSE)," ")</f>
        <v>885</v>
      </c>
      <c r="K216" t="s" s="61">
        <f>_xlfn.IFERROR(VLOOKUP($A216,'The List'!$B1:$AS730,18,FALSE)," ")</f>
        <v>885</v>
      </c>
      <c r="L216" t="s" s="61">
        <f>_xlfn.IFERROR(VLOOKUP($A216,'The List'!$B1:$AS730,19,FALSE)," ")</f>
        <v>885</v>
      </c>
      <c r="M216" t="s" s="61">
        <f>_xlfn.IFERROR(VLOOKUP($A216,'The List'!$B1:$AS730,20,FALSE)," ")</f>
        <v>885</v>
      </c>
      <c r="N216" t="s" s="61">
        <f>_xlfn.IFERROR(VLOOKUP($A216,'The List'!$B1:$AS730,21,FALSE)," ")</f>
        <v>885</v>
      </c>
      <c r="O216" t="s" s="61">
        <f>_xlfn.IFERROR(VLOOKUP($A216,'The List'!$B1:$AS730,22,FALSE)," ")</f>
        <v>885</v>
      </c>
      <c r="P216" t="s" s="61">
        <f>_xlfn.IFERROR(VLOOKUP($A216,'The List'!$B1:$AS730,23,FALSE)," ")</f>
        <v>885</v>
      </c>
      <c r="Q216" t="s" s="61">
        <f>_xlfn.IFERROR(VLOOKUP($A216,'The List'!$B1:$AS730,24,FALSE)," ")</f>
        <v>885</v>
      </c>
      <c r="R216" t="s" s="61">
        <f>_xlfn.IFERROR(VLOOKUP($A216,'The List'!$B1:$AS730,25,FALSE)," ")</f>
        <v>885</v>
      </c>
      <c r="S216" t="s" s="61">
        <f>_xlfn.IFERROR(VLOOKUP($A216,'The List'!$B1:$AS730,26,FALSE)," ")</f>
        <v>885</v>
      </c>
      <c r="T216" t="s" s="61">
        <f>_xlfn.IFERROR(VLOOKUP($A216,'The List'!$B1:$AS730,27,FALSE)," ")</f>
        <v>885</v>
      </c>
      <c r="U216" t="s" s="61">
        <f>_xlfn.IFERROR(VLOOKUP($A216,'The List'!$B1:$AS730,28,FALSE)," ")</f>
        <v>885</v>
      </c>
      <c r="V216" t="s" s="61">
        <f>_xlfn.IFERROR(VLOOKUP($A216,'The List'!$B1:$AS730,29,FALSE)," ")</f>
        <v>885</v>
      </c>
      <c r="W216" t="s" s="61">
        <f>_xlfn.IFERROR(VLOOKUP($A216,'The List'!$B1:$AS730,30,FALSE)," ")</f>
        <v>885</v>
      </c>
      <c r="X216" t="s" s="61">
        <f>_xlfn.IFERROR(VLOOKUP($A216,'The List'!$B1:$AS730,31,FALSE)," ")</f>
        <v>885</v>
      </c>
      <c r="Y216" t="s" s="61">
        <f>_xlfn.IFERROR(VLOOKUP($A216,'The List'!$B1:$AS730,32,FALSE)," ")</f>
        <v>885</v>
      </c>
      <c r="Z216" t="s" s="61">
        <f>_xlfn.IFERROR(VLOOKUP($A216,'The List'!$B1:$AS730,33,FALSE)," ")</f>
        <v>885</v>
      </c>
      <c r="AA216" s="64"/>
      <c r="AB216" s="69"/>
      <c r="AC216" s="69"/>
      <c r="AD216" s="69"/>
      <c r="AE216" s="69"/>
      <c r="AF216" s="69"/>
    </row>
    <row r="217" ht="21.25" customHeight="1">
      <c r="A217" s="29"/>
      <c r="B217" t="s" s="77">
        <f>_xlfn.IFERROR(VLOOKUP($A217,'The List'!$B1:$AS730,3,FALSE)," ")</f>
        <v>885</v>
      </c>
      <c r="C217" t="s" s="79">
        <f>_xlfn.IFERROR(VLOOKUP($A217,'The List'!$B1:$AS730,4,FALSE)," ")</f>
        <v>885</v>
      </c>
      <c r="D217" t="s" s="42">
        <f>_xlfn.IFERROR(VLOOKUP($A217,'The List'!$B1:$AS730,5,FALSE)," ")</f>
        <v>885</v>
      </c>
      <c r="E217" t="s" s="42">
        <f>_xlfn.IFERROR(VLOOKUP($A217,'The List'!$B1:$AS730,6,FALSE)," ")</f>
        <v>885</v>
      </c>
      <c r="F217" t="s" s="60">
        <f>_xlfn.IFERROR(VLOOKUP($A217,'The List'!$B1:$AS730,8,FALSE)," ")</f>
        <v>885</v>
      </c>
      <c r="G217" t="s" s="60">
        <f>_xlfn.IFERROR(VLOOKUP($A217,'The List'!$B1:$AS730,10,FALSE)," ")</f>
        <v>885</v>
      </c>
      <c r="H217" s="46"/>
      <c r="I217" t="s" s="61">
        <f>_xlfn.IFERROR(VLOOKUP($A217,'The List'!$B1:$AS730,16,FALSE)," ")</f>
        <v>885</v>
      </c>
      <c r="J217" t="s" s="61">
        <f>_xlfn.IFERROR(VLOOKUP($A217,'The List'!$B1:$AS730,17,FALSE)," ")</f>
        <v>885</v>
      </c>
      <c r="K217" t="s" s="61">
        <f>_xlfn.IFERROR(VLOOKUP($A217,'The List'!$B1:$AS730,18,FALSE)," ")</f>
        <v>885</v>
      </c>
      <c r="L217" t="s" s="61">
        <f>_xlfn.IFERROR(VLOOKUP($A217,'The List'!$B1:$AS730,19,FALSE)," ")</f>
        <v>885</v>
      </c>
      <c r="M217" t="s" s="61">
        <f>_xlfn.IFERROR(VLOOKUP($A217,'The List'!$B1:$AS730,20,FALSE)," ")</f>
        <v>885</v>
      </c>
      <c r="N217" t="s" s="61">
        <f>_xlfn.IFERROR(VLOOKUP($A217,'The List'!$B1:$AS730,21,FALSE)," ")</f>
        <v>885</v>
      </c>
      <c r="O217" t="s" s="61">
        <f>_xlfn.IFERROR(VLOOKUP($A217,'The List'!$B1:$AS730,22,FALSE)," ")</f>
        <v>885</v>
      </c>
      <c r="P217" t="s" s="61">
        <f>_xlfn.IFERROR(VLOOKUP($A217,'The List'!$B1:$AS730,23,FALSE)," ")</f>
        <v>885</v>
      </c>
      <c r="Q217" t="s" s="61">
        <f>_xlfn.IFERROR(VLOOKUP($A217,'The List'!$B1:$AS730,24,FALSE)," ")</f>
        <v>885</v>
      </c>
      <c r="R217" t="s" s="61">
        <f>_xlfn.IFERROR(VLOOKUP($A217,'The List'!$B1:$AS730,25,FALSE)," ")</f>
        <v>885</v>
      </c>
      <c r="S217" t="s" s="61">
        <f>_xlfn.IFERROR(VLOOKUP($A217,'The List'!$B1:$AS730,26,FALSE)," ")</f>
        <v>885</v>
      </c>
      <c r="T217" t="s" s="61">
        <f>_xlfn.IFERROR(VLOOKUP($A217,'The List'!$B1:$AS730,27,FALSE)," ")</f>
        <v>885</v>
      </c>
      <c r="U217" t="s" s="61">
        <f>_xlfn.IFERROR(VLOOKUP($A217,'The List'!$B1:$AS730,28,FALSE)," ")</f>
        <v>885</v>
      </c>
      <c r="V217" t="s" s="61">
        <f>_xlfn.IFERROR(VLOOKUP($A217,'The List'!$B1:$AS730,29,FALSE)," ")</f>
        <v>885</v>
      </c>
      <c r="W217" t="s" s="61">
        <f>_xlfn.IFERROR(VLOOKUP($A217,'The List'!$B1:$AS730,30,FALSE)," ")</f>
        <v>885</v>
      </c>
      <c r="X217" t="s" s="61">
        <f>_xlfn.IFERROR(VLOOKUP($A217,'The List'!$B1:$AS730,31,FALSE)," ")</f>
        <v>885</v>
      </c>
      <c r="Y217" t="s" s="61">
        <f>_xlfn.IFERROR(VLOOKUP($A217,'The List'!$B1:$AS730,32,FALSE)," ")</f>
        <v>885</v>
      </c>
      <c r="Z217" t="s" s="61">
        <f>_xlfn.IFERROR(VLOOKUP($A217,'The List'!$B1:$AS730,33,FALSE)," ")</f>
        <v>885</v>
      </c>
      <c r="AA217" s="64"/>
      <c r="AB217" s="69"/>
      <c r="AC217" s="69"/>
      <c r="AD217" s="69"/>
      <c r="AE217" s="69"/>
      <c r="AF217" s="69"/>
    </row>
    <row r="218" ht="21.25" customHeight="1">
      <c r="A218" s="29"/>
      <c r="B218" t="s" s="77">
        <f>_xlfn.IFERROR(VLOOKUP($A218,'The List'!$B1:$AS730,3,FALSE)," ")</f>
        <v>885</v>
      </c>
      <c r="C218" t="s" s="79">
        <f>_xlfn.IFERROR(VLOOKUP($A218,'The List'!$B1:$AS730,4,FALSE)," ")</f>
        <v>885</v>
      </c>
      <c r="D218" t="s" s="42">
        <f>_xlfn.IFERROR(VLOOKUP($A218,'The List'!$B1:$AS730,5,FALSE)," ")</f>
        <v>885</v>
      </c>
      <c r="E218" t="s" s="42">
        <f>_xlfn.IFERROR(VLOOKUP($A218,'The List'!$B1:$AS730,6,FALSE)," ")</f>
        <v>885</v>
      </c>
      <c r="F218" t="s" s="60">
        <f>_xlfn.IFERROR(VLOOKUP($A218,'The List'!$B1:$AS730,8,FALSE)," ")</f>
        <v>885</v>
      </c>
      <c r="G218" t="s" s="60">
        <f>_xlfn.IFERROR(VLOOKUP($A218,'The List'!$B1:$AS730,10,FALSE)," ")</f>
        <v>885</v>
      </c>
      <c r="H218" s="46"/>
      <c r="I218" t="s" s="61">
        <f>_xlfn.IFERROR(VLOOKUP($A218,'The List'!$B1:$AS730,16,FALSE)," ")</f>
        <v>885</v>
      </c>
      <c r="J218" t="s" s="61">
        <f>_xlfn.IFERROR(VLOOKUP($A218,'The List'!$B1:$AS730,17,FALSE)," ")</f>
        <v>885</v>
      </c>
      <c r="K218" t="s" s="61">
        <f>_xlfn.IFERROR(VLOOKUP($A218,'The List'!$B1:$AS730,18,FALSE)," ")</f>
        <v>885</v>
      </c>
      <c r="L218" t="s" s="61">
        <f>_xlfn.IFERROR(VLOOKUP($A218,'The List'!$B1:$AS730,19,FALSE)," ")</f>
        <v>885</v>
      </c>
      <c r="M218" t="s" s="61">
        <f>_xlfn.IFERROR(VLOOKUP($A218,'The List'!$B1:$AS730,20,FALSE)," ")</f>
        <v>885</v>
      </c>
      <c r="N218" t="s" s="61">
        <f>_xlfn.IFERROR(VLOOKUP($A218,'The List'!$B1:$AS730,21,FALSE)," ")</f>
        <v>885</v>
      </c>
      <c r="O218" t="s" s="61">
        <f>_xlfn.IFERROR(VLOOKUP($A218,'The List'!$B1:$AS730,22,FALSE)," ")</f>
        <v>885</v>
      </c>
      <c r="P218" t="s" s="61">
        <f>_xlfn.IFERROR(VLOOKUP($A218,'The List'!$B1:$AS730,23,FALSE)," ")</f>
        <v>885</v>
      </c>
      <c r="Q218" t="s" s="61">
        <f>_xlfn.IFERROR(VLOOKUP($A218,'The List'!$B1:$AS730,24,FALSE)," ")</f>
        <v>885</v>
      </c>
      <c r="R218" t="s" s="61">
        <f>_xlfn.IFERROR(VLOOKUP($A218,'The List'!$B1:$AS730,25,FALSE)," ")</f>
        <v>885</v>
      </c>
      <c r="S218" t="s" s="61">
        <f>_xlfn.IFERROR(VLOOKUP($A218,'The List'!$B1:$AS730,26,FALSE)," ")</f>
        <v>885</v>
      </c>
      <c r="T218" t="s" s="61">
        <f>_xlfn.IFERROR(VLOOKUP($A218,'The List'!$B1:$AS730,27,FALSE)," ")</f>
        <v>885</v>
      </c>
      <c r="U218" t="s" s="61">
        <f>_xlfn.IFERROR(VLOOKUP($A218,'The List'!$B1:$AS730,28,FALSE)," ")</f>
        <v>885</v>
      </c>
      <c r="V218" t="s" s="61">
        <f>_xlfn.IFERROR(VLOOKUP($A218,'The List'!$B1:$AS730,29,FALSE)," ")</f>
        <v>885</v>
      </c>
      <c r="W218" t="s" s="61">
        <f>_xlfn.IFERROR(VLOOKUP($A218,'The List'!$B1:$AS730,30,FALSE)," ")</f>
        <v>885</v>
      </c>
      <c r="X218" t="s" s="61">
        <f>_xlfn.IFERROR(VLOOKUP($A218,'The List'!$B1:$AS730,31,FALSE)," ")</f>
        <v>885</v>
      </c>
      <c r="Y218" t="s" s="61">
        <f>_xlfn.IFERROR(VLOOKUP($A218,'The List'!$B1:$AS730,32,FALSE)," ")</f>
        <v>885</v>
      </c>
      <c r="Z218" t="s" s="61">
        <f>_xlfn.IFERROR(VLOOKUP($A218,'The List'!$B1:$AS730,33,FALSE)," ")</f>
        <v>885</v>
      </c>
      <c r="AA218" s="64"/>
      <c r="AB218" s="69"/>
      <c r="AC218" s="69"/>
      <c r="AD218" s="69"/>
      <c r="AE218" s="69"/>
      <c r="AF218" s="69"/>
    </row>
    <row r="219" ht="21.25" customHeight="1">
      <c r="A219" s="29"/>
      <c r="B219" t="s" s="77">
        <f>_xlfn.IFERROR(VLOOKUP($A219,'The List'!$B1:$AS730,3,FALSE)," ")</f>
        <v>885</v>
      </c>
      <c r="C219" t="s" s="79">
        <f>_xlfn.IFERROR(VLOOKUP($A219,'The List'!$B1:$AS730,4,FALSE)," ")</f>
        <v>885</v>
      </c>
      <c r="D219" t="s" s="42">
        <f>_xlfn.IFERROR(VLOOKUP($A219,'The List'!$B1:$AS730,5,FALSE)," ")</f>
        <v>885</v>
      </c>
      <c r="E219" t="s" s="42">
        <f>_xlfn.IFERROR(VLOOKUP($A219,'The List'!$B1:$AS730,6,FALSE)," ")</f>
        <v>885</v>
      </c>
      <c r="F219" t="s" s="60">
        <f>_xlfn.IFERROR(VLOOKUP($A219,'The List'!$B1:$AS730,8,FALSE)," ")</f>
        <v>885</v>
      </c>
      <c r="G219" t="s" s="60">
        <f>_xlfn.IFERROR(VLOOKUP($A219,'The List'!$B1:$AS730,10,FALSE)," ")</f>
        <v>885</v>
      </c>
      <c r="H219" s="46"/>
      <c r="I219" t="s" s="61">
        <f>_xlfn.IFERROR(VLOOKUP($A219,'The List'!$B1:$AS730,16,FALSE)," ")</f>
        <v>885</v>
      </c>
      <c r="J219" t="s" s="61">
        <f>_xlfn.IFERROR(VLOOKUP($A219,'The List'!$B1:$AS730,17,FALSE)," ")</f>
        <v>885</v>
      </c>
      <c r="K219" t="s" s="61">
        <f>_xlfn.IFERROR(VLOOKUP($A219,'The List'!$B1:$AS730,18,FALSE)," ")</f>
        <v>885</v>
      </c>
      <c r="L219" t="s" s="61">
        <f>_xlfn.IFERROR(VLOOKUP($A219,'The List'!$B1:$AS730,19,FALSE)," ")</f>
        <v>885</v>
      </c>
      <c r="M219" t="s" s="61">
        <f>_xlfn.IFERROR(VLOOKUP($A219,'The List'!$B1:$AS730,20,FALSE)," ")</f>
        <v>885</v>
      </c>
      <c r="N219" t="s" s="61">
        <f>_xlfn.IFERROR(VLOOKUP($A219,'The List'!$B1:$AS730,21,FALSE)," ")</f>
        <v>885</v>
      </c>
      <c r="O219" t="s" s="61">
        <f>_xlfn.IFERROR(VLOOKUP($A219,'The List'!$B1:$AS730,22,FALSE)," ")</f>
        <v>885</v>
      </c>
      <c r="P219" t="s" s="61">
        <f>_xlfn.IFERROR(VLOOKUP($A219,'The List'!$B1:$AS730,23,FALSE)," ")</f>
        <v>885</v>
      </c>
      <c r="Q219" t="s" s="61">
        <f>_xlfn.IFERROR(VLOOKUP($A219,'The List'!$B1:$AS730,24,FALSE)," ")</f>
        <v>885</v>
      </c>
      <c r="R219" t="s" s="61">
        <f>_xlfn.IFERROR(VLOOKUP($A219,'The List'!$B1:$AS730,25,FALSE)," ")</f>
        <v>885</v>
      </c>
      <c r="S219" t="s" s="61">
        <f>_xlfn.IFERROR(VLOOKUP($A219,'The List'!$B1:$AS730,26,FALSE)," ")</f>
        <v>885</v>
      </c>
      <c r="T219" t="s" s="61">
        <f>_xlfn.IFERROR(VLOOKUP($A219,'The List'!$B1:$AS730,27,FALSE)," ")</f>
        <v>885</v>
      </c>
      <c r="U219" t="s" s="61">
        <f>_xlfn.IFERROR(VLOOKUP($A219,'The List'!$B1:$AS730,28,FALSE)," ")</f>
        <v>885</v>
      </c>
      <c r="V219" t="s" s="61">
        <f>_xlfn.IFERROR(VLOOKUP($A219,'The List'!$B1:$AS730,29,FALSE)," ")</f>
        <v>885</v>
      </c>
      <c r="W219" t="s" s="61">
        <f>_xlfn.IFERROR(VLOOKUP($A219,'The List'!$B1:$AS730,30,FALSE)," ")</f>
        <v>885</v>
      </c>
      <c r="X219" t="s" s="61">
        <f>_xlfn.IFERROR(VLOOKUP($A219,'The List'!$B1:$AS730,31,FALSE)," ")</f>
        <v>885</v>
      </c>
      <c r="Y219" t="s" s="61">
        <f>_xlfn.IFERROR(VLOOKUP($A219,'The List'!$B1:$AS730,32,FALSE)," ")</f>
        <v>885</v>
      </c>
      <c r="Z219" t="s" s="61">
        <f>_xlfn.IFERROR(VLOOKUP($A219,'The List'!$B1:$AS730,33,FALSE)," ")</f>
        <v>885</v>
      </c>
      <c r="AA219" s="64"/>
      <c r="AB219" s="69"/>
      <c r="AC219" s="69"/>
      <c r="AD219" s="69"/>
      <c r="AE219" s="69"/>
      <c r="AF219" s="69"/>
    </row>
    <row r="220" ht="21.25" customHeight="1">
      <c r="A220" s="29"/>
      <c r="B220" t="s" s="77">
        <f>_xlfn.IFERROR(VLOOKUP($A220,'The List'!$B1:$AS730,3,FALSE)," ")</f>
        <v>885</v>
      </c>
      <c r="C220" t="s" s="79">
        <f>_xlfn.IFERROR(VLOOKUP($A220,'The List'!$B1:$AS730,4,FALSE)," ")</f>
        <v>885</v>
      </c>
      <c r="D220" t="s" s="42">
        <f>_xlfn.IFERROR(VLOOKUP($A220,'The List'!$B1:$AS730,5,FALSE)," ")</f>
        <v>885</v>
      </c>
      <c r="E220" t="s" s="42">
        <f>_xlfn.IFERROR(VLOOKUP($A220,'The List'!$B1:$AS730,6,FALSE)," ")</f>
        <v>885</v>
      </c>
      <c r="F220" t="s" s="60">
        <f>_xlfn.IFERROR(VLOOKUP($A220,'The List'!$B1:$AS730,8,FALSE)," ")</f>
        <v>885</v>
      </c>
      <c r="G220" t="s" s="60">
        <f>_xlfn.IFERROR(VLOOKUP($A220,'The List'!$B1:$AS730,10,FALSE)," ")</f>
        <v>885</v>
      </c>
      <c r="H220" s="46"/>
      <c r="I220" t="s" s="61">
        <f>_xlfn.IFERROR(VLOOKUP($A220,'The List'!$B1:$AS730,16,FALSE)," ")</f>
        <v>885</v>
      </c>
      <c r="J220" t="s" s="61">
        <f>_xlfn.IFERROR(VLOOKUP($A220,'The List'!$B1:$AS730,17,FALSE)," ")</f>
        <v>885</v>
      </c>
      <c r="K220" t="s" s="61">
        <f>_xlfn.IFERROR(VLOOKUP($A220,'The List'!$B1:$AS730,18,FALSE)," ")</f>
        <v>885</v>
      </c>
      <c r="L220" t="s" s="61">
        <f>_xlfn.IFERROR(VLOOKUP($A220,'The List'!$B1:$AS730,19,FALSE)," ")</f>
        <v>885</v>
      </c>
      <c r="M220" t="s" s="61">
        <f>_xlfn.IFERROR(VLOOKUP($A220,'The List'!$B1:$AS730,20,FALSE)," ")</f>
        <v>885</v>
      </c>
      <c r="N220" t="s" s="61">
        <f>_xlfn.IFERROR(VLOOKUP($A220,'The List'!$B1:$AS730,21,FALSE)," ")</f>
        <v>885</v>
      </c>
      <c r="O220" t="s" s="61">
        <f>_xlfn.IFERROR(VLOOKUP($A220,'The List'!$B1:$AS730,22,FALSE)," ")</f>
        <v>885</v>
      </c>
      <c r="P220" t="s" s="61">
        <f>_xlfn.IFERROR(VLOOKUP($A220,'The List'!$B1:$AS730,23,FALSE)," ")</f>
        <v>885</v>
      </c>
      <c r="Q220" t="s" s="61">
        <f>_xlfn.IFERROR(VLOOKUP($A220,'The List'!$B1:$AS730,24,FALSE)," ")</f>
        <v>885</v>
      </c>
      <c r="R220" t="s" s="61">
        <f>_xlfn.IFERROR(VLOOKUP($A220,'The List'!$B1:$AS730,25,FALSE)," ")</f>
        <v>885</v>
      </c>
      <c r="S220" t="s" s="61">
        <f>_xlfn.IFERROR(VLOOKUP($A220,'The List'!$B1:$AS730,26,FALSE)," ")</f>
        <v>885</v>
      </c>
      <c r="T220" t="s" s="61">
        <f>_xlfn.IFERROR(VLOOKUP($A220,'The List'!$B1:$AS730,27,FALSE)," ")</f>
        <v>885</v>
      </c>
      <c r="U220" t="s" s="61">
        <f>_xlfn.IFERROR(VLOOKUP($A220,'The List'!$B1:$AS730,28,FALSE)," ")</f>
        <v>885</v>
      </c>
      <c r="V220" t="s" s="61">
        <f>_xlfn.IFERROR(VLOOKUP($A220,'The List'!$B1:$AS730,29,FALSE)," ")</f>
        <v>885</v>
      </c>
      <c r="W220" t="s" s="61">
        <f>_xlfn.IFERROR(VLOOKUP($A220,'The List'!$B1:$AS730,30,FALSE)," ")</f>
        <v>885</v>
      </c>
      <c r="X220" t="s" s="61">
        <f>_xlfn.IFERROR(VLOOKUP($A220,'The List'!$B1:$AS730,31,FALSE)," ")</f>
        <v>885</v>
      </c>
      <c r="Y220" t="s" s="61">
        <f>_xlfn.IFERROR(VLOOKUP($A220,'The List'!$B1:$AS730,32,FALSE)," ")</f>
        <v>885</v>
      </c>
      <c r="Z220" t="s" s="61">
        <f>_xlfn.IFERROR(VLOOKUP($A220,'The List'!$B1:$AS730,33,FALSE)," ")</f>
        <v>885</v>
      </c>
      <c r="AA220" s="64"/>
      <c r="AB220" s="69"/>
      <c r="AC220" s="69"/>
      <c r="AD220" s="69"/>
      <c r="AE220" s="69"/>
      <c r="AF220" s="69"/>
    </row>
    <row r="221" ht="21.25" customHeight="1">
      <c r="A221" s="29"/>
      <c r="B221" t="s" s="77">
        <f>_xlfn.IFERROR(VLOOKUP($A221,'The List'!$B1:$AS730,3,FALSE)," ")</f>
        <v>885</v>
      </c>
      <c r="C221" t="s" s="79">
        <f>_xlfn.IFERROR(VLOOKUP($A221,'The List'!$B1:$AS730,4,FALSE)," ")</f>
        <v>885</v>
      </c>
      <c r="D221" t="s" s="42">
        <f>_xlfn.IFERROR(VLOOKUP($A221,'The List'!$B1:$AS730,5,FALSE)," ")</f>
        <v>885</v>
      </c>
      <c r="E221" t="s" s="42">
        <f>_xlfn.IFERROR(VLOOKUP($A221,'The List'!$B1:$AS730,6,FALSE)," ")</f>
        <v>885</v>
      </c>
      <c r="F221" t="s" s="60">
        <f>_xlfn.IFERROR(VLOOKUP($A221,'The List'!$B1:$AS730,8,FALSE)," ")</f>
        <v>885</v>
      </c>
      <c r="G221" t="s" s="60">
        <f>_xlfn.IFERROR(VLOOKUP($A221,'The List'!$B1:$AS730,10,FALSE)," ")</f>
        <v>885</v>
      </c>
      <c r="H221" s="46"/>
      <c r="I221" t="s" s="61">
        <f>_xlfn.IFERROR(VLOOKUP($A221,'The List'!$B1:$AS730,16,FALSE)," ")</f>
        <v>885</v>
      </c>
      <c r="J221" t="s" s="61">
        <f>_xlfn.IFERROR(VLOOKUP($A221,'The List'!$B1:$AS730,17,FALSE)," ")</f>
        <v>885</v>
      </c>
      <c r="K221" t="s" s="61">
        <f>_xlfn.IFERROR(VLOOKUP($A221,'The List'!$B1:$AS730,18,FALSE)," ")</f>
        <v>885</v>
      </c>
      <c r="L221" t="s" s="61">
        <f>_xlfn.IFERROR(VLOOKUP($A221,'The List'!$B1:$AS730,19,FALSE)," ")</f>
        <v>885</v>
      </c>
      <c r="M221" t="s" s="61">
        <f>_xlfn.IFERROR(VLOOKUP($A221,'The List'!$B1:$AS730,20,FALSE)," ")</f>
        <v>885</v>
      </c>
      <c r="N221" t="s" s="61">
        <f>_xlfn.IFERROR(VLOOKUP($A221,'The List'!$B1:$AS730,21,FALSE)," ")</f>
        <v>885</v>
      </c>
      <c r="O221" t="s" s="61">
        <f>_xlfn.IFERROR(VLOOKUP($A221,'The List'!$B1:$AS730,22,FALSE)," ")</f>
        <v>885</v>
      </c>
      <c r="P221" t="s" s="61">
        <f>_xlfn.IFERROR(VLOOKUP($A221,'The List'!$B1:$AS730,23,FALSE)," ")</f>
        <v>885</v>
      </c>
      <c r="Q221" t="s" s="61">
        <f>_xlfn.IFERROR(VLOOKUP($A221,'The List'!$B1:$AS730,24,FALSE)," ")</f>
        <v>885</v>
      </c>
      <c r="R221" t="s" s="61">
        <f>_xlfn.IFERROR(VLOOKUP($A221,'The List'!$B1:$AS730,25,FALSE)," ")</f>
        <v>885</v>
      </c>
      <c r="S221" t="s" s="61">
        <f>_xlfn.IFERROR(VLOOKUP($A221,'The List'!$B1:$AS730,26,FALSE)," ")</f>
        <v>885</v>
      </c>
      <c r="T221" t="s" s="61">
        <f>_xlfn.IFERROR(VLOOKUP($A221,'The List'!$B1:$AS730,27,FALSE)," ")</f>
        <v>885</v>
      </c>
      <c r="U221" t="s" s="61">
        <f>_xlfn.IFERROR(VLOOKUP($A221,'The List'!$B1:$AS730,28,FALSE)," ")</f>
        <v>885</v>
      </c>
      <c r="V221" t="s" s="61">
        <f>_xlfn.IFERROR(VLOOKUP($A221,'The List'!$B1:$AS730,29,FALSE)," ")</f>
        <v>885</v>
      </c>
      <c r="W221" t="s" s="61">
        <f>_xlfn.IFERROR(VLOOKUP($A221,'The List'!$B1:$AS730,30,FALSE)," ")</f>
        <v>885</v>
      </c>
      <c r="X221" t="s" s="61">
        <f>_xlfn.IFERROR(VLOOKUP($A221,'The List'!$B1:$AS730,31,FALSE)," ")</f>
        <v>885</v>
      </c>
      <c r="Y221" t="s" s="61">
        <f>_xlfn.IFERROR(VLOOKUP($A221,'The List'!$B1:$AS730,32,FALSE)," ")</f>
        <v>885</v>
      </c>
      <c r="Z221" t="s" s="61">
        <f>_xlfn.IFERROR(VLOOKUP($A221,'The List'!$B1:$AS730,33,FALSE)," ")</f>
        <v>885</v>
      </c>
      <c r="AA221" s="64"/>
      <c r="AB221" s="69"/>
      <c r="AC221" s="69"/>
      <c r="AD221" s="69"/>
      <c r="AE221" s="69"/>
      <c r="AF221" s="69"/>
    </row>
    <row r="222" ht="21.25" customHeight="1">
      <c r="A222" s="29"/>
      <c r="B222" t="s" s="77">
        <f>_xlfn.IFERROR(VLOOKUP($A222,'The List'!$B1:$AS730,3,FALSE)," ")</f>
        <v>885</v>
      </c>
      <c r="C222" t="s" s="79">
        <f>_xlfn.IFERROR(VLOOKUP($A222,'The List'!$B1:$AS730,4,FALSE)," ")</f>
        <v>885</v>
      </c>
      <c r="D222" t="s" s="42">
        <f>_xlfn.IFERROR(VLOOKUP($A222,'The List'!$B1:$AS730,5,FALSE)," ")</f>
        <v>885</v>
      </c>
      <c r="E222" t="s" s="42">
        <f>_xlfn.IFERROR(VLOOKUP($A222,'The List'!$B1:$AS730,6,FALSE)," ")</f>
        <v>885</v>
      </c>
      <c r="F222" t="s" s="60">
        <f>_xlfn.IFERROR(VLOOKUP($A222,'The List'!$B1:$AS730,8,FALSE)," ")</f>
        <v>885</v>
      </c>
      <c r="G222" t="s" s="60">
        <f>_xlfn.IFERROR(VLOOKUP($A222,'The List'!$B1:$AS730,10,FALSE)," ")</f>
        <v>885</v>
      </c>
      <c r="H222" s="46"/>
      <c r="I222" t="s" s="61">
        <f>_xlfn.IFERROR(VLOOKUP($A222,'The List'!$B1:$AS730,16,FALSE)," ")</f>
        <v>885</v>
      </c>
      <c r="J222" t="s" s="61">
        <f>_xlfn.IFERROR(VLOOKUP($A222,'The List'!$B1:$AS730,17,FALSE)," ")</f>
        <v>885</v>
      </c>
      <c r="K222" t="s" s="61">
        <f>_xlfn.IFERROR(VLOOKUP($A222,'The List'!$B1:$AS730,18,FALSE)," ")</f>
        <v>885</v>
      </c>
      <c r="L222" t="s" s="61">
        <f>_xlfn.IFERROR(VLOOKUP($A222,'The List'!$B1:$AS730,19,FALSE)," ")</f>
        <v>885</v>
      </c>
      <c r="M222" t="s" s="61">
        <f>_xlfn.IFERROR(VLOOKUP($A222,'The List'!$B1:$AS730,20,FALSE)," ")</f>
        <v>885</v>
      </c>
      <c r="N222" t="s" s="61">
        <f>_xlfn.IFERROR(VLOOKUP($A222,'The List'!$B1:$AS730,21,FALSE)," ")</f>
        <v>885</v>
      </c>
      <c r="O222" t="s" s="61">
        <f>_xlfn.IFERROR(VLOOKUP($A222,'The List'!$B1:$AS730,22,FALSE)," ")</f>
        <v>885</v>
      </c>
      <c r="P222" t="s" s="61">
        <f>_xlfn.IFERROR(VLOOKUP($A222,'The List'!$B1:$AS730,23,FALSE)," ")</f>
        <v>885</v>
      </c>
      <c r="Q222" t="s" s="61">
        <f>_xlfn.IFERROR(VLOOKUP($A222,'The List'!$B1:$AS730,24,FALSE)," ")</f>
        <v>885</v>
      </c>
      <c r="R222" t="s" s="61">
        <f>_xlfn.IFERROR(VLOOKUP($A222,'The List'!$B1:$AS730,25,FALSE)," ")</f>
        <v>885</v>
      </c>
      <c r="S222" t="s" s="61">
        <f>_xlfn.IFERROR(VLOOKUP($A222,'The List'!$B1:$AS730,26,FALSE)," ")</f>
        <v>885</v>
      </c>
      <c r="T222" t="s" s="61">
        <f>_xlfn.IFERROR(VLOOKUP($A222,'The List'!$B1:$AS730,27,FALSE)," ")</f>
        <v>885</v>
      </c>
      <c r="U222" t="s" s="61">
        <f>_xlfn.IFERROR(VLOOKUP($A222,'The List'!$B1:$AS730,28,FALSE)," ")</f>
        <v>885</v>
      </c>
      <c r="V222" t="s" s="61">
        <f>_xlfn.IFERROR(VLOOKUP($A222,'The List'!$B1:$AS730,29,FALSE)," ")</f>
        <v>885</v>
      </c>
      <c r="W222" t="s" s="61">
        <f>_xlfn.IFERROR(VLOOKUP($A222,'The List'!$B1:$AS730,30,FALSE)," ")</f>
        <v>885</v>
      </c>
      <c r="X222" t="s" s="61">
        <f>_xlfn.IFERROR(VLOOKUP($A222,'The List'!$B1:$AS730,31,FALSE)," ")</f>
        <v>885</v>
      </c>
      <c r="Y222" t="s" s="61">
        <f>_xlfn.IFERROR(VLOOKUP($A222,'The List'!$B1:$AS730,32,FALSE)," ")</f>
        <v>885</v>
      </c>
      <c r="Z222" t="s" s="61">
        <f>_xlfn.IFERROR(VLOOKUP($A222,'The List'!$B1:$AS730,33,FALSE)," ")</f>
        <v>885</v>
      </c>
      <c r="AA222" s="64"/>
      <c r="AB222" s="69"/>
      <c r="AC222" s="69"/>
      <c r="AD222" s="69"/>
      <c r="AE222" s="69"/>
      <c r="AF222" s="69"/>
    </row>
    <row r="223" ht="21.25" customHeight="1">
      <c r="A223" s="29"/>
      <c r="B223" t="s" s="77">
        <f>_xlfn.IFERROR(VLOOKUP($A223,'The List'!$B1:$AS730,3,FALSE)," ")</f>
        <v>885</v>
      </c>
      <c r="C223" t="s" s="79">
        <f>_xlfn.IFERROR(VLOOKUP($A223,'The List'!$B1:$AS730,4,FALSE)," ")</f>
        <v>885</v>
      </c>
      <c r="D223" t="s" s="42">
        <f>_xlfn.IFERROR(VLOOKUP($A223,'The List'!$B1:$AS730,5,FALSE)," ")</f>
        <v>885</v>
      </c>
      <c r="E223" t="s" s="42">
        <f>_xlfn.IFERROR(VLOOKUP($A223,'The List'!$B1:$AS730,6,FALSE)," ")</f>
        <v>885</v>
      </c>
      <c r="F223" t="s" s="60">
        <f>_xlfn.IFERROR(VLOOKUP($A223,'The List'!$B1:$AS730,8,FALSE)," ")</f>
        <v>885</v>
      </c>
      <c r="G223" t="s" s="60">
        <f>_xlfn.IFERROR(VLOOKUP($A223,'The List'!$B1:$AS730,10,FALSE)," ")</f>
        <v>885</v>
      </c>
      <c r="H223" s="46"/>
      <c r="I223" t="s" s="61">
        <f>_xlfn.IFERROR(VLOOKUP($A223,'The List'!$B1:$AS730,16,FALSE)," ")</f>
        <v>885</v>
      </c>
      <c r="J223" t="s" s="61">
        <f>_xlfn.IFERROR(VLOOKUP($A223,'The List'!$B1:$AS730,17,FALSE)," ")</f>
        <v>885</v>
      </c>
      <c r="K223" t="s" s="61">
        <f>_xlfn.IFERROR(VLOOKUP($A223,'The List'!$B1:$AS730,18,FALSE)," ")</f>
        <v>885</v>
      </c>
      <c r="L223" t="s" s="61">
        <f>_xlfn.IFERROR(VLOOKUP($A223,'The List'!$B1:$AS730,19,FALSE)," ")</f>
        <v>885</v>
      </c>
      <c r="M223" t="s" s="61">
        <f>_xlfn.IFERROR(VLOOKUP($A223,'The List'!$B1:$AS730,20,FALSE)," ")</f>
        <v>885</v>
      </c>
      <c r="N223" t="s" s="61">
        <f>_xlfn.IFERROR(VLOOKUP($A223,'The List'!$B1:$AS730,21,FALSE)," ")</f>
        <v>885</v>
      </c>
      <c r="O223" t="s" s="61">
        <f>_xlfn.IFERROR(VLOOKUP($A223,'The List'!$B1:$AS730,22,FALSE)," ")</f>
        <v>885</v>
      </c>
      <c r="P223" t="s" s="61">
        <f>_xlfn.IFERROR(VLOOKUP($A223,'The List'!$B1:$AS730,23,FALSE)," ")</f>
        <v>885</v>
      </c>
      <c r="Q223" t="s" s="61">
        <f>_xlfn.IFERROR(VLOOKUP($A223,'The List'!$B1:$AS730,24,FALSE)," ")</f>
        <v>885</v>
      </c>
      <c r="R223" t="s" s="61">
        <f>_xlfn.IFERROR(VLOOKUP($A223,'The List'!$B1:$AS730,25,FALSE)," ")</f>
        <v>885</v>
      </c>
      <c r="S223" t="s" s="61">
        <f>_xlfn.IFERROR(VLOOKUP($A223,'The List'!$B1:$AS730,26,FALSE)," ")</f>
        <v>885</v>
      </c>
      <c r="T223" t="s" s="61">
        <f>_xlfn.IFERROR(VLOOKUP($A223,'The List'!$B1:$AS730,27,FALSE)," ")</f>
        <v>885</v>
      </c>
      <c r="U223" t="s" s="61">
        <f>_xlfn.IFERROR(VLOOKUP($A223,'The List'!$B1:$AS730,28,FALSE)," ")</f>
        <v>885</v>
      </c>
      <c r="V223" t="s" s="61">
        <f>_xlfn.IFERROR(VLOOKUP($A223,'The List'!$B1:$AS730,29,FALSE)," ")</f>
        <v>885</v>
      </c>
      <c r="W223" t="s" s="61">
        <f>_xlfn.IFERROR(VLOOKUP($A223,'The List'!$B1:$AS730,30,FALSE)," ")</f>
        <v>885</v>
      </c>
      <c r="X223" t="s" s="61">
        <f>_xlfn.IFERROR(VLOOKUP($A223,'The List'!$B1:$AS730,31,FALSE)," ")</f>
        <v>885</v>
      </c>
      <c r="Y223" t="s" s="61">
        <f>_xlfn.IFERROR(VLOOKUP($A223,'The List'!$B1:$AS730,32,FALSE)," ")</f>
        <v>885</v>
      </c>
      <c r="Z223" t="s" s="61">
        <f>_xlfn.IFERROR(VLOOKUP($A223,'The List'!$B1:$AS730,33,FALSE)," ")</f>
        <v>885</v>
      </c>
      <c r="AA223" s="64"/>
      <c r="AB223" s="69"/>
      <c r="AC223" s="69"/>
      <c r="AD223" s="69"/>
      <c r="AE223" s="69"/>
      <c r="AF223" s="69"/>
    </row>
    <row r="224" ht="21.25" customHeight="1">
      <c r="A224" s="81"/>
      <c r="B224" t="s" s="82">
        <f>_xlfn.IFERROR(VLOOKUP($A224,'The List'!$B1:$AS730,3,FALSE)," ")</f>
        <v>885</v>
      </c>
      <c r="C224" t="s" s="83">
        <f>_xlfn.IFERROR(VLOOKUP($A224,'The List'!$B1:$AS730,4,FALSE)," ")</f>
        <v>885</v>
      </c>
      <c r="D224" t="s" s="84">
        <f>_xlfn.IFERROR(VLOOKUP($A224,'The List'!$B1:$AS730,5,FALSE)," ")</f>
        <v>885</v>
      </c>
      <c r="E224" t="s" s="84">
        <f>_xlfn.IFERROR(VLOOKUP($A224,'The List'!$B1:$AS730,6,FALSE)," ")</f>
        <v>885</v>
      </c>
      <c r="F224" t="s" s="85">
        <f>_xlfn.IFERROR(VLOOKUP($A224,'The List'!$B1:$AS730,8,FALSE)," ")</f>
        <v>885</v>
      </c>
      <c r="G224" t="s" s="85">
        <f>_xlfn.IFERROR(VLOOKUP($A224,'The List'!$B1:$AS730,10,FALSE)," ")</f>
        <v>885</v>
      </c>
      <c r="H224" s="86"/>
      <c r="I224" t="s" s="87">
        <f>_xlfn.IFERROR(VLOOKUP($A224,'The List'!$B1:$AS730,16,FALSE)," ")</f>
        <v>885</v>
      </c>
      <c r="J224" t="s" s="87">
        <f>_xlfn.IFERROR(VLOOKUP($A224,'The List'!$B1:$AS730,17,FALSE)," ")</f>
        <v>885</v>
      </c>
      <c r="K224" t="s" s="87">
        <f>_xlfn.IFERROR(VLOOKUP($A224,'The List'!$B1:$AS730,18,FALSE)," ")</f>
        <v>885</v>
      </c>
      <c r="L224" t="s" s="87">
        <f>_xlfn.IFERROR(VLOOKUP($A224,'The List'!$B1:$AS730,19,FALSE)," ")</f>
        <v>885</v>
      </c>
      <c r="M224" t="s" s="87">
        <f>_xlfn.IFERROR(VLOOKUP($A224,'The List'!$B1:$AS730,20,FALSE)," ")</f>
        <v>885</v>
      </c>
      <c r="N224" t="s" s="87">
        <f>_xlfn.IFERROR(VLOOKUP($A224,'The List'!$B1:$AS730,21,FALSE)," ")</f>
        <v>885</v>
      </c>
      <c r="O224" t="s" s="87">
        <f>_xlfn.IFERROR(VLOOKUP($A224,'The List'!$B1:$AS730,22,FALSE)," ")</f>
        <v>885</v>
      </c>
      <c r="P224" t="s" s="87">
        <f>_xlfn.IFERROR(VLOOKUP($A224,'The List'!$B1:$AS730,23,FALSE)," ")</f>
        <v>885</v>
      </c>
      <c r="Q224" t="s" s="87">
        <f>_xlfn.IFERROR(VLOOKUP($A224,'The List'!$B1:$AS730,24,FALSE)," ")</f>
        <v>885</v>
      </c>
      <c r="R224" t="s" s="87">
        <f>_xlfn.IFERROR(VLOOKUP($A224,'The List'!$B1:$AS730,25,FALSE)," ")</f>
        <v>885</v>
      </c>
      <c r="S224" t="s" s="87">
        <f>_xlfn.IFERROR(VLOOKUP($A224,'The List'!$B1:$AS730,26,FALSE)," ")</f>
        <v>885</v>
      </c>
      <c r="T224" t="s" s="87">
        <f>_xlfn.IFERROR(VLOOKUP($A224,'The List'!$B1:$AS730,27,FALSE)," ")</f>
        <v>885</v>
      </c>
      <c r="U224" t="s" s="87">
        <f>_xlfn.IFERROR(VLOOKUP($A224,'The List'!$B1:$AS730,28,FALSE)," ")</f>
        <v>885</v>
      </c>
      <c r="V224" t="s" s="87">
        <f>_xlfn.IFERROR(VLOOKUP($A224,'The List'!$B1:$AS730,29,FALSE)," ")</f>
        <v>885</v>
      </c>
      <c r="W224" t="s" s="87">
        <f>_xlfn.IFERROR(VLOOKUP($A224,'The List'!$B1:$AS730,30,FALSE)," ")</f>
        <v>885</v>
      </c>
      <c r="X224" t="s" s="87">
        <f>_xlfn.IFERROR(VLOOKUP($A224,'The List'!$B1:$AS730,31,FALSE)," ")</f>
        <v>885</v>
      </c>
      <c r="Y224" t="s" s="87">
        <f>_xlfn.IFERROR(VLOOKUP($A224,'The List'!$B1:$AS730,32,FALSE)," ")</f>
        <v>885</v>
      </c>
      <c r="Z224" t="s" s="87">
        <f>_xlfn.IFERROR(VLOOKUP($A224,'The List'!$B1:$AS730,33,FALSE)," ")</f>
        <v>885</v>
      </c>
      <c r="AA224" s="64"/>
      <c r="AB224" s="69"/>
      <c r="AC224" s="69"/>
      <c r="AD224" s="69"/>
      <c r="AE224" s="69"/>
      <c r="AF224" s="69"/>
    </row>
    <row r="225" ht="21.25" customHeight="1">
      <c r="A225" s="88"/>
      <c r="B225" s="89"/>
      <c r="C225" s="90"/>
      <c r="D225" s="91"/>
      <c r="E225" t="s" s="127">
        <f>_xlfn.IFERROR(AVERAGE(E205:E224)," ")</f>
        <v>885</v>
      </c>
      <c r="F225" s="93">
        <f>SUM(F205:F224)</f>
        <v>0</v>
      </c>
      <c r="G225" s="93">
        <f>SUM(G205:G224)</f>
        <v>0</v>
      </c>
      <c r="H225" s="94"/>
      <c r="I225" s="95">
        <f>SUM(I205:I224)</f>
        <v>0</v>
      </c>
      <c r="J225" s="94">
        <f>AVERAGE(J205:J224)</f>
      </c>
      <c r="K225" s="95">
        <f>SUM(K205:K224)</f>
        <v>0</v>
      </c>
      <c r="L225" s="95">
        <f>SUM(L205:L224)</f>
        <v>0</v>
      </c>
      <c r="M225" s="95">
        <f>SUM(M205:M224)</f>
        <v>0</v>
      </c>
      <c r="N225" s="95">
        <f>SUM(N205:N224)</f>
        <v>0</v>
      </c>
      <c r="O225" s="95">
        <f>SUM(O205:O224)</f>
        <v>0</v>
      </c>
      <c r="P225" s="95">
        <f>SUM(P205:P224)</f>
        <v>0</v>
      </c>
      <c r="Q225" s="95">
        <f>SUM(Q205:Q224)</f>
        <v>0</v>
      </c>
      <c r="R225" s="95">
        <f>SUM(R205:R224)</f>
        <v>0</v>
      </c>
      <c r="S225" s="95">
        <f>SUM(S205:S224)</f>
        <v>0</v>
      </c>
      <c r="T225" s="95">
        <f>SUM(T205:T224)</f>
        <v>0</v>
      </c>
      <c r="U225" s="95">
        <f>SUM(U205:U224)</f>
        <v>0</v>
      </c>
      <c r="V225" s="95">
        <f>SUM(V205:V224)</f>
        <v>0</v>
      </c>
      <c r="W225" s="95">
        <f>SUM(W205:W224)</f>
        <v>0</v>
      </c>
      <c r="X225" s="95">
        <f>SUM(X205:X224)</f>
        <v>0</v>
      </c>
      <c r="Y225" s="95">
        <f>SUM(Y205:Y224)</f>
        <v>0</v>
      </c>
      <c r="Z225" s="96">
        <f>_xlfn.IFERROR(X225/(X225+Y225),0)</f>
        <v>0</v>
      </c>
      <c r="AA225" s="64"/>
      <c r="AB225" s="97"/>
      <c r="AC225" s="97"/>
      <c r="AD225" s="97"/>
      <c r="AE225" s="97"/>
      <c r="AF225" s="97"/>
    </row>
    <row r="226" ht="21.25" customHeight="1">
      <c r="A226" s="98"/>
      <c r="B226" s="99"/>
      <c r="C226" s="100"/>
      <c r="D226" s="11"/>
      <c r="E226" s="11"/>
      <c r="F226" s="101"/>
      <c r="G226" s="102"/>
      <c r="H226" s="103"/>
      <c r="I226" s="10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9"/>
      <c r="AC226" s="69"/>
      <c r="AD226" s="69"/>
      <c r="AE226" s="69"/>
      <c r="AF226" s="69"/>
    </row>
    <row r="227" ht="21.25" customHeight="1">
      <c r="A227" t="s" s="31">
        <v>66</v>
      </c>
      <c r="B227" t="s" s="105">
        <v>68</v>
      </c>
      <c r="C227" s="19"/>
      <c r="D227" t="s" s="105">
        <v>69</v>
      </c>
      <c r="E227" t="s" s="105">
        <v>70</v>
      </c>
      <c r="F227" t="s" s="106">
        <v>72</v>
      </c>
      <c r="G227" t="s" s="106">
        <v>74</v>
      </c>
      <c r="H227" s="107"/>
      <c r="I227" t="s" s="108">
        <v>79</v>
      </c>
      <c r="J227" t="s" s="108">
        <v>97</v>
      </c>
      <c r="K227" t="s" s="108">
        <v>98</v>
      </c>
      <c r="L227" t="s" s="108">
        <v>99</v>
      </c>
      <c r="M227" t="s" s="108">
        <v>100</v>
      </c>
      <c r="N227" t="s" s="108">
        <v>101</v>
      </c>
      <c r="O227" t="s" s="108">
        <v>102</v>
      </c>
      <c r="P227" t="s" s="108">
        <v>103</v>
      </c>
      <c r="Q227" t="s" s="108">
        <v>104</v>
      </c>
      <c r="R227" s="64"/>
      <c r="S227" s="64"/>
      <c r="T227" s="64"/>
      <c r="U227" t="s" s="105">
        <v>901</v>
      </c>
      <c r="V227" s="107"/>
      <c r="W227" s="107"/>
      <c r="X227" t="s" s="105">
        <v>902</v>
      </c>
      <c r="Y227" s="107"/>
      <c r="Z227" s="107"/>
      <c r="AA227" s="64"/>
      <c r="AB227" s="64"/>
      <c r="AC227" s="64"/>
      <c r="AD227" s="64"/>
      <c r="AE227" s="64"/>
      <c r="AF227" s="64"/>
    </row>
    <row r="228" ht="21.25" customHeight="1">
      <c r="A228" s="128"/>
      <c r="B228" t="s" s="110">
        <f>_xlfn.IFERROR(VLOOKUP($A228,'The List'!$B1:$AS730,3,FALSE)," ")</f>
        <v>885</v>
      </c>
      <c r="C228" t="s" s="129">
        <f>_xlfn.IFERROR(VLOOKUP($A228,'The List'!$B1:$AS730,4,FALSE)," ")</f>
        <v>885</v>
      </c>
      <c r="D228" t="s" s="112">
        <f>_xlfn.IFERROR(VLOOKUP($A228,'The List'!$B1:$AS730,5,FALSE)," ")</f>
        <v>885</v>
      </c>
      <c r="E228" t="s" s="112">
        <f>_xlfn.IFERROR(VLOOKUP($A228,'The List'!$B1:$AS730,6,FALSE)," ")</f>
        <v>885</v>
      </c>
      <c r="F228" t="s" s="130">
        <f>_xlfn.IFERROR(VLOOKUP($A228,'The List'!$B1:$AS730,8,FALSE)," ")</f>
        <v>885</v>
      </c>
      <c r="G228" t="s" s="130">
        <f>_xlfn.IFERROR(VLOOKUP($A228,'The List'!$B1:$AS730,10,FALSE)," ")</f>
        <v>885</v>
      </c>
      <c r="H228" s="115"/>
      <c r="I228" t="s" s="131">
        <f>_xlfn.IFERROR(VLOOKUP($A228,'The List'!$B1:$AS730,35,FALSE)," ")</f>
        <v>885</v>
      </c>
      <c r="J228" t="s" s="131">
        <f>_xlfn.IFERROR(VLOOKUP($A228,'The List'!$B1:$AS730,36,FALSE)," ")</f>
        <v>885</v>
      </c>
      <c r="K228" t="s" s="131">
        <f>_xlfn.IFERROR(VLOOKUP($A228,'The List'!$B1:$AS730,37,FALSE)," ")</f>
        <v>885</v>
      </c>
      <c r="L228" t="s" s="131">
        <f>_xlfn.IFERROR(VLOOKUP($A228,'The List'!$B1:$AS730,38,FALSE)," ")</f>
        <v>885</v>
      </c>
      <c r="M228" t="s" s="131">
        <f>_xlfn.IFERROR(VLOOKUP($A228,'The List'!$B1:$AS730,39,FALSE)," ")</f>
        <v>885</v>
      </c>
      <c r="N228" t="s" s="131">
        <f>_xlfn.IFERROR(VLOOKUP($A228,'The List'!$B1:$AS730,40,FALSE)," ")</f>
        <v>885</v>
      </c>
      <c r="O228" t="s" s="131">
        <f>_xlfn.IFERROR(VLOOKUP($A228,'The List'!$B1:$AS730,41,FALSE)," ")</f>
        <v>885</v>
      </c>
      <c r="P228" t="s" s="131">
        <f>_xlfn.IFERROR(VLOOKUP($A228,'The List'!$B1:$AS730,42,FALSE)," ")</f>
        <v>885</v>
      </c>
      <c r="Q228" t="s" s="131">
        <f>_xlfn.IFERROR(VLOOKUP($A228,'The List'!$B1:$AS730,43,FALSE)," ")</f>
        <v>885</v>
      </c>
      <c r="R228" s="64"/>
      <c r="S228" s="64"/>
      <c r="T228" t="s" s="119">
        <f>A204</f>
        <v>910</v>
      </c>
      <c r="U228" s="120">
        <f>F225+F231</f>
        <v>0</v>
      </c>
      <c r="V228" s="19"/>
      <c r="W228" s="19"/>
      <c r="X228" s="120">
        <f>G231+G225</f>
        <v>0</v>
      </c>
      <c r="Y228" s="19"/>
      <c r="Z228" s="19"/>
      <c r="AA228" s="64"/>
      <c r="AB228" s="64"/>
      <c r="AC228" s="64"/>
      <c r="AD228" s="64"/>
      <c r="AE228" s="64"/>
      <c r="AF228" s="64"/>
    </row>
    <row r="229" ht="21.25" customHeight="1">
      <c r="A229" s="29"/>
      <c r="B229" t="s" s="121">
        <f>_xlfn.IFERROR(VLOOKUP($A229,'The List'!$B1:$AS730,3,FALSE)," ")</f>
        <v>885</v>
      </c>
      <c r="C229" t="s" s="122">
        <f>_xlfn.IFERROR(VLOOKUP($A229,'The List'!$B1:$AS730,4,FALSE)," ")</f>
        <v>885</v>
      </c>
      <c r="D229" t="s" s="42">
        <f>_xlfn.IFERROR(VLOOKUP($A229,'The List'!$B1:$AS730,5,FALSE)," ")</f>
        <v>885</v>
      </c>
      <c r="E229" t="s" s="42">
        <f>_xlfn.IFERROR(VLOOKUP($A229,'The List'!$B1:$AS730,6,FALSE)," ")</f>
        <v>885</v>
      </c>
      <c r="F229" t="s" s="60">
        <f>_xlfn.IFERROR(VLOOKUP($A229,'The List'!$B1:$AS730,8,FALSE)," ")</f>
        <v>885</v>
      </c>
      <c r="G229" t="s" s="60">
        <f>_xlfn.IFERROR(VLOOKUP($A229,'The List'!$B1:$AS730,10,FALSE)," ")</f>
        <v>885</v>
      </c>
      <c r="H229" s="46"/>
      <c r="I229" t="s" s="61">
        <f>_xlfn.IFERROR(VLOOKUP($A229,'The List'!$B1:$AS730,35,FALSE)," ")</f>
        <v>885</v>
      </c>
      <c r="J229" t="s" s="61">
        <f>_xlfn.IFERROR(VLOOKUP($A229,'The List'!$B1:$AS730,36,FALSE)," ")</f>
        <v>885</v>
      </c>
      <c r="K229" t="s" s="61">
        <f>_xlfn.IFERROR(VLOOKUP($A229,'The List'!$B1:$AS730,37,FALSE)," ")</f>
        <v>885</v>
      </c>
      <c r="L229" t="s" s="61">
        <f>_xlfn.IFERROR(VLOOKUP($A229,'The List'!$B1:$AS730,38,FALSE)," ")</f>
        <v>885</v>
      </c>
      <c r="M229" t="s" s="61">
        <f>_xlfn.IFERROR(VLOOKUP($A229,'The List'!$B1:$AS730,39,FALSE)," ")</f>
        <v>885</v>
      </c>
      <c r="N229" t="s" s="61">
        <f>_xlfn.IFERROR(VLOOKUP($A229,'The List'!$B1:$AS730,40,FALSE)," ")</f>
        <v>885</v>
      </c>
      <c r="O229" t="s" s="61">
        <f>_xlfn.IFERROR(VLOOKUP($A229,'The List'!$B1:$AS730,41,FALSE)," ")</f>
        <v>885</v>
      </c>
      <c r="P229" t="s" s="61">
        <f>_xlfn.IFERROR(VLOOKUP($A229,'The List'!$B1:$AS730,42,FALSE)," ")</f>
        <v>885</v>
      </c>
      <c r="Q229" t="s" s="61">
        <f>_xlfn.IFERROR(VLOOKUP($A229,'The List'!$B1:$AS730,43,FALSE)," ")</f>
        <v>885</v>
      </c>
      <c r="R229" s="64"/>
      <c r="S229" s="64"/>
      <c r="T229" s="64"/>
      <c r="U229" s="19"/>
      <c r="V229" s="19"/>
      <c r="W229" s="19"/>
      <c r="X229" s="19"/>
      <c r="Y229" s="19"/>
      <c r="Z229" s="19"/>
      <c r="AA229" s="64"/>
      <c r="AB229" s="64"/>
      <c r="AC229" s="64"/>
      <c r="AD229" s="64"/>
      <c r="AE229" s="64"/>
      <c r="AF229" s="64"/>
    </row>
    <row r="230" ht="21.25" customHeight="1">
      <c r="A230" s="81"/>
      <c r="B230" t="s" s="123">
        <f>_xlfn.IFERROR(VLOOKUP($A230,'The List'!$B1:$AS730,3,FALSE)," ")</f>
        <v>885</v>
      </c>
      <c r="C230" t="s" s="124">
        <f>_xlfn.IFERROR(VLOOKUP($A230,'The List'!$B1:$AS730,4,FALSE)," ")</f>
        <v>885</v>
      </c>
      <c r="D230" t="s" s="84">
        <f>_xlfn.IFERROR(VLOOKUP($A230,'The List'!$B1:$AS730,5,FALSE)," ")</f>
        <v>885</v>
      </c>
      <c r="E230" t="s" s="84">
        <f>_xlfn.IFERROR(VLOOKUP($A230,'The List'!$B1:$AS730,6,FALSE)," ")</f>
        <v>885</v>
      </c>
      <c r="F230" t="s" s="85">
        <f>_xlfn.IFERROR(VLOOKUP($A230,'The List'!$B1:$AS730,8,FALSE)," ")</f>
        <v>885</v>
      </c>
      <c r="G230" t="s" s="85">
        <f>_xlfn.IFERROR(VLOOKUP($A230,'The List'!$B1:$AS730,10,FALSE)," ")</f>
        <v>885</v>
      </c>
      <c r="H230" s="86"/>
      <c r="I230" t="s" s="87">
        <f>_xlfn.IFERROR(VLOOKUP($A230,'The List'!$B1:$AS730,35,FALSE)," ")</f>
        <v>885</v>
      </c>
      <c r="J230" t="s" s="87">
        <f>_xlfn.IFERROR(VLOOKUP($A230,'The List'!$B1:$AS730,36,FALSE)," ")</f>
        <v>885</v>
      </c>
      <c r="K230" t="s" s="87">
        <f>_xlfn.IFERROR(VLOOKUP($A230,'The List'!$B1:$AS730,37,FALSE)," ")</f>
        <v>885</v>
      </c>
      <c r="L230" t="s" s="87">
        <f>_xlfn.IFERROR(VLOOKUP($A230,'The List'!$B1:$AS730,38,FALSE)," ")</f>
        <v>885</v>
      </c>
      <c r="M230" t="s" s="87">
        <f>_xlfn.IFERROR(VLOOKUP($A230,'The List'!$B1:$AS730,39,FALSE)," ")</f>
        <v>885</v>
      </c>
      <c r="N230" t="s" s="87">
        <f>_xlfn.IFERROR(VLOOKUP($A230,'The List'!$B1:$AS730,40,FALSE)," ")</f>
        <v>885</v>
      </c>
      <c r="O230" t="s" s="87">
        <f>_xlfn.IFERROR(VLOOKUP($A230,'The List'!$B1:$AS730,41,FALSE)," ")</f>
        <v>885</v>
      </c>
      <c r="P230" t="s" s="87">
        <f>_xlfn.IFERROR(VLOOKUP($A230,'The List'!$B1:$AS730,42,FALSE)," ")</f>
        <v>885</v>
      </c>
      <c r="Q230" t="s" s="87">
        <f>_xlfn.IFERROR(VLOOKUP($A230,'The List'!$B1:$AS730,43,FALSE)," ")</f>
        <v>885</v>
      </c>
      <c r="R230" s="64"/>
      <c r="S230" s="64"/>
      <c r="T230" s="64"/>
      <c r="U230" s="19"/>
      <c r="V230" s="19"/>
      <c r="W230" s="19"/>
      <c r="X230" s="19"/>
      <c r="Y230" s="19"/>
      <c r="Z230" s="19"/>
      <c r="AA230" s="64"/>
      <c r="AB230" s="64"/>
      <c r="AC230" s="64"/>
      <c r="AD230" s="64"/>
      <c r="AE230" s="64"/>
      <c r="AF230" s="64"/>
    </row>
    <row r="231" ht="21.25" customHeight="1">
      <c r="A231" s="88"/>
      <c r="B231" s="89"/>
      <c r="C231" s="90"/>
      <c r="D231" s="91"/>
      <c r="E231" t="s" s="127">
        <f>_xlfn.IFERROR(AVERAGE(E228:E230)," ")</f>
        <v>885</v>
      </c>
      <c r="F231" s="93">
        <f>SUM(F228:F230)</f>
        <v>0</v>
      </c>
      <c r="G231" s="93">
        <f>SUM(G228:G230)</f>
        <v>0</v>
      </c>
      <c r="H231" s="94"/>
      <c r="I231" s="95">
        <f>SUM(I228:I230)</f>
        <v>0</v>
      </c>
      <c r="J231" s="94">
        <f>SUM(J228:J230)</f>
        <v>0</v>
      </c>
      <c r="K231" s="95">
        <f>SUM(K228:K230)</f>
        <v>0</v>
      </c>
      <c r="L231" s="95">
        <f>SUM(L228:L230)</f>
        <v>0</v>
      </c>
      <c r="M231" s="95">
        <f>SUM(M228:M230)</f>
        <v>0</v>
      </c>
      <c r="N231" s="95">
        <f>SUM(N228:N230)</f>
        <v>0</v>
      </c>
      <c r="O231" s="95">
        <f>SUM(O228:O230)</f>
        <v>0</v>
      </c>
      <c r="P231" s="125">
        <f>1-(O231/(N231+O231))</f>
      </c>
      <c r="Q231" s="126">
        <f>O231/I231</f>
      </c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</row>
    <row r="232" ht="70.85" customHeight="1">
      <c r="A232" s="98"/>
      <c r="B232" s="99"/>
      <c r="C232" s="100"/>
      <c r="D232" s="11"/>
      <c r="E232" s="11"/>
      <c r="F232" s="101"/>
      <c r="G232" s="102"/>
      <c r="H232" s="103"/>
      <c r="I232" s="10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9"/>
      <c r="AB232" s="69"/>
      <c r="AC232" s="69"/>
      <c r="AD232" s="69"/>
      <c r="AE232" s="69"/>
      <c r="AF232" s="69"/>
    </row>
    <row r="233" ht="21.25" customHeight="1">
      <c r="A233" t="s" s="32">
        <v>893</v>
      </c>
      <c r="B233" t="s" s="33">
        <v>68</v>
      </c>
      <c r="C233" s="25"/>
      <c r="D233" t="s" s="33">
        <v>69</v>
      </c>
      <c r="E233" t="s" s="33">
        <v>70</v>
      </c>
      <c r="F233" t="s" s="34">
        <v>72</v>
      </c>
      <c r="G233" t="s" s="34">
        <v>74</v>
      </c>
      <c r="H233" s="35"/>
      <c r="I233" t="s" s="37">
        <v>79</v>
      </c>
      <c r="J233" t="s" s="37">
        <v>80</v>
      </c>
      <c r="K233" t="s" s="37">
        <v>81</v>
      </c>
      <c r="L233" t="s" s="37">
        <v>82</v>
      </c>
      <c r="M233" t="s" s="37">
        <v>83</v>
      </c>
      <c r="N233" t="s" s="37">
        <v>84</v>
      </c>
      <c r="O233" t="s" s="37">
        <v>85</v>
      </c>
      <c r="P233" t="s" s="37">
        <v>86</v>
      </c>
      <c r="Q233" t="s" s="37">
        <v>87</v>
      </c>
      <c r="R233" t="s" s="37">
        <v>88</v>
      </c>
      <c r="S233" t="s" s="37">
        <v>89</v>
      </c>
      <c r="T233" t="s" s="37">
        <v>90</v>
      </c>
      <c r="U233" t="s" s="37">
        <v>91</v>
      </c>
      <c r="V233" t="s" s="37">
        <v>92</v>
      </c>
      <c r="W233" t="s" s="37">
        <v>93</v>
      </c>
      <c r="X233" t="s" s="37">
        <v>94</v>
      </c>
      <c r="Y233" t="s" s="37">
        <v>95</v>
      </c>
      <c r="Z233" t="s" s="37">
        <v>96</v>
      </c>
      <c r="AA233" s="64"/>
      <c r="AB233" s="65"/>
      <c r="AC233" s="65"/>
      <c r="AD233" s="65"/>
      <c r="AE233" s="65"/>
      <c r="AF233" s="65"/>
    </row>
    <row r="234" ht="21.25" customHeight="1">
      <c r="A234" s="29"/>
      <c r="B234" t="s" s="66">
        <f>_xlfn.IFERROR(VLOOKUP($A234,'The List'!$B1:$AS730,3,FALSE)," ")</f>
        <v>885</v>
      </c>
      <c r="C234" t="s" s="70">
        <f>_xlfn.IFERROR(VLOOKUP($A234,'The List'!$B1:$AS730,4,FALSE)," ")</f>
        <v>885</v>
      </c>
      <c r="D234" t="s" s="42">
        <f>_xlfn.IFERROR(VLOOKUP($A234,'The List'!$B1:$AS730,5,FALSE)," ")</f>
        <v>885</v>
      </c>
      <c r="E234" t="s" s="42">
        <f>_xlfn.IFERROR(VLOOKUP($A234,'The List'!$B1:$AS730,6,FALSE)," ")</f>
        <v>885</v>
      </c>
      <c r="F234" t="s" s="60">
        <f>_xlfn.IFERROR(VLOOKUP($A234,'The List'!$B1:$AS730,8,FALSE)," ")</f>
        <v>885</v>
      </c>
      <c r="G234" t="s" s="60">
        <f>_xlfn.IFERROR(VLOOKUP($A234,'The List'!$B1:$AS730,10,FALSE)," ")</f>
        <v>885</v>
      </c>
      <c r="H234" s="46"/>
      <c r="I234" t="s" s="61">
        <f>_xlfn.IFERROR(VLOOKUP($A234,'The List'!$B1:$AS730,16,FALSE)," ")</f>
        <v>885</v>
      </c>
      <c r="J234" t="s" s="61">
        <f>_xlfn.IFERROR(VLOOKUP($A234,'The List'!$B1:$AS730,17,FALSE)," ")</f>
        <v>885</v>
      </c>
      <c r="K234" t="s" s="61">
        <f>_xlfn.IFERROR(VLOOKUP($A234,'The List'!$B1:$AS730,18,FALSE)," ")</f>
        <v>885</v>
      </c>
      <c r="L234" t="s" s="61">
        <f>_xlfn.IFERROR(VLOOKUP($A234,'The List'!$B1:$AS730,19,FALSE)," ")</f>
        <v>885</v>
      </c>
      <c r="M234" t="s" s="61">
        <f>_xlfn.IFERROR(VLOOKUP($A234,'The List'!$B1:$AS730,20,FALSE)," ")</f>
        <v>885</v>
      </c>
      <c r="N234" t="s" s="61">
        <f>_xlfn.IFERROR(VLOOKUP($A234,'The List'!$B1:$AS730,21,FALSE)," ")</f>
        <v>885</v>
      </c>
      <c r="O234" t="s" s="61">
        <f>_xlfn.IFERROR(VLOOKUP($A234,'The List'!$B1:$AS730,22,FALSE)," ")</f>
        <v>885</v>
      </c>
      <c r="P234" t="s" s="61">
        <f>_xlfn.IFERROR(VLOOKUP($A234,'The List'!$B1:$AS730,23,FALSE)," ")</f>
        <v>885</v>
      </c>
      <c r="Q234" t="s" s="61">
        <f>_xlfn.IFERROR(VLOOKUP($A234,'The List'!$B1:$AS730,24,FALSE)," ")</f>
        <v>885</v>
      </c>
      <c r="R234" t="s" s="61">
        <f>_xlfn.IFERROR(VLOOKUP($A234,'The List'!$B1:$AS730,25,FALSE)," ")</f>
        <v>885</v>
      </c>
      <c r="S234" t="s" s="61">
        <f>_xlfn.IFERROR(VLOOKUP($A234,'The List'!$B1:$AS730,26,FALSE)," ")</f>
        <v>885</v>
      </c>
      <c r="T234" t="s" s="61">
        <f>_xlfn.IFERROR(VLOOKUP($A234,'The List'!$B1:$AS730,27,FALSE)," ")</f>
        <v>885</v>
      </c>
      <c r="U234" t="s" s="61">
        <f>_xlfn.IFERROR(VLOOKUP($A234,'The List'!$B1:$AS730,28,FALSE)," ")</f>
        <v>885</v>
      </c>
      <c r="V234" t="s" s="61">
        <f>_xlfn.IFERROR(VLOOKUP($A234,'The List'!$B1:$AS730,29,FALSE)," ")</f>
        <v>885</v>
      </c>
      <c r="W234" t="s" s="61">
        <f>_xlfn.IFERROR(VLOOKUP($A234,'The List'!$B1:$AS730,30,FALSE)," ")</f>
        <v>885</v>
      </c>
      <c r="X234" t="s" s="61">
        <f>_xlfn.IFERROR(VLOOKUP($A234,'The List'!$B1:$AS730,31,FALSE)," ")</f>
        <v>885</v>
      </c>
      <c r="Y234" t="s" s="61">
        <f>_xlfn.IFERROR(VLOOKUP($A234,'The List'!$B1:$AS730,32,FALSE)," ")</f>
        <v>885</v>
      </c>
      <c r="Z234" t="s" s="61">
        <f>_xlfn.IFERROR(VLOOKUP($A234,'The List'!$B1:$AS730,33,FALSE)," ")</f>
        <v>885</v>
      </c>
      <c r="AA234" s="64"/>
      <c r="AB234" s="69"/>
      <c r="AC234" s="69"/>
      <c r="AD234" s="69"/>
      <c r="AE234" s="69"/>
      <c r="AF234" s="69"/>
    </row>
    <row r="235" ht="21.25" customHeight="1">
      <c r="A235" s="29"/>
      <c r="B235" t="s" s="66">
        <f>_xlfn.IFERROR(VLOOKUP($A235,'The List'!$B1:$AS730,3,FALSE)," ")</f>
        <v>885</v>
      </c>
      <c r="C235" t="s" s="70">
        <f>_xlfn.IFERROR(VLOOKUP($A235,'The List'!$B1:$AS730,4,FALSE)," ")</f>
        <v>885</v>
      </c>
      <c r="D235" t="s" s="42">
        <f>_xlfn.IFERROR(VLOOKUP($A235,'The List'!$B1:$AS730,5,FALSE)," ")</f>
        <v>885</v>
      </c>
      <c r="E235" t="s" s="42">
        <f>_xlfn.IFERROR(VLOOKUP($A235,'The List'!$B1:$AS730,6,FALSE)," ")</f>
        <v>885</v>
      </c>
      <c r="F235" t="s" s="60">
        <f>_xlfn.IFERROR(VLOOKUP($A235,'The List'!$B1:$AS730,8,FALSE)," ")</f>
        <v>885</v>
      </c>
      <c r="G235" t="s" s="60">
        <f>_xlfn.IFERROR(VLOOKUP($A235,'The List'!$B1:$AS730,10,FALSE)," ")</f>
        <v>885</v>
      </c>
      <c r="H235" s="46"/>
      <c r="I235" t="s" s="61">
        <f>_xlfn.IFERROR(VLOOKUP($A235,'The List'!$B1:$AS730,16,FALSE)," ")</f>
        <v>885</v>
      </c>
      <c r="J235" t="s" s="61">
        <f>_xlfn.IFERROR(VLOOKUP($A235,'The List'!$B1:$AS730,17,FALSE)," ")</f>
        <v>885</v>
      </c>
      <c r="K235" t="s" s="61">
        <f>_xlfn.IFERROR(VLOOKUP($A235,'The List'!$B1:$AS730,18,FALSE)," ")</f>
        <v>885</v>
      </c>
      <c r="L235" t="s" s="61">
        <f>_xlfn.IFERROR(VLOOKUP($A235,'The List'!$B1:$AS730,19,FALSE)," ")</f>
        <v>885</v>
      </c>
      <c r="M235" t="s" s="61">
        <f>_xlfn.IFERROR(VLOOKUP($A235,'The List'!$B1:$AS730,20,FALSE)," ")</f>
        <v>885</v>
      </c>
      <c r="N235" t="s" s="61">
        <f>_xlfn.IFERROR(VLOOKUP($A235,'The List'!$B1:$AS730,21,FALSE)," ")</f>
        <v>885</v>
      </c>
      <c r="O235" t="s" s="61">
        <f>_xlfn.IFERROR(VLOOKUP($A235,'The List'!$B1:$AS730,22,FALSE)," ")</f>
        <v>885</v>
      </c>
      <c r="P235" t="s" s="61">
        <f>_xlfn.IFERROR(VLOOKUP($A235,'The List'!$B1:$AS730,23,FALSE)," ")</f>
        <v>885</v>
      </c>
      <c r="Q235" t="s" s="61">
        <f>_xlfn.IFERROR(VLOOKUP($A235,'The List'!$B1:$AS730,24,FALSE)," ")</f>
        <v>885</v>
      </c>
      <c r="R235" t="s" s="61">
        <f>_xlfn.IFERROR(VLOOKUP($A235,'The List'!$B1:$AS730,25,FALSE)," ")</f>
        <v>885</v>
      </c>
      <c r="S235" t="s" s="61">
        <f>_xlfn.IFERROR(VLOOKUP($A235,'The List'!$B1:$AS730,26,FALSE)," ")</f>
        <v>885</v>
      </c>
      <c r="T235" t="s" s="61">
        <f>_xlfn.IFERROR(VLOOKUP($A235,'The List'!$B1:$AS730,27,FALSE)," ")</f>
        <v>885</v>
      </c>
      <c r="U235" t="s" s="61">
        <f>_xlfn.IFERROR(VLOOKUP($A235,'The List'!$B1:$AS730,28,FALSE)," ")</f>
        <v>885</v>
      </c>
      <c r="V235" t="s" s="61">
        <f>_xlfn.IFERROR(VLOOKUP($A235,'The List'!$B1:$AS730,29,FALSE)," ")</f>
        <v>885</v>
      </c>
      <c r="W235" t="s" s="61">
        <f>_xlfn.IFERROR(VLOOKUP($A235,'The List'!$B1:$AS730,30,FALSE)," ")</f>
        <v>885</v>
      </c>
      <c r="X235" t="s" s="61">
        <f>_xlfn.IFERROR(VLOOKUP($A235,'The List'!$B1:$AS730,31,FALSE)," ")</f>
        <v>885</v>
      </c>
      <c r="Y235" t="s" s="61">
        <f>_xlfn.IFERROR(VLOOKUP($A235,'The List'!$B1:$AS730,32,FALSE)," ")</f>
        <v>885</v>
      </c>
      <c r="Z235" t="s" s="61">
        <f>_xlfn.IFERROR(VLOOKUP($A235,'The List'!$B1:$AS730,33,FALSE)," ")</f>
        <v>885</v>
      </c>
      <c r="AA235" s="64"/>
      <c r="AB235" s="69"/>
      <c r="AC235" s="69"/>
      <c r="AD235" s="69"/>
      <c r="AE235" s="69"/>
      <c r="AF235" s="69"/>
    </row>
    <row r="236" ht="21.25" customHeight="1">
      <c r="A236" s="29"/>
      <c r="B236" t="s" s="66">
        <f>_xlfn.IFERROR(VLOOKUP($A236,'The List'!$B1:$AS730,3,FALSE)," ")</f>
        <v>885</v>
      </c>
      <c r="C236" t="s" s="70">
        <f>_xlfn.IFERROR(VLOOKUP($A236,'The List'!$B1:$AS730,4,FALSE)," ")</f>
        <v>885</v>
      </c>
      <c r="D236" t="s" s="42">
        <f>_xlfn.IFERROR(VLOOKUP($A236,'The List'!$B1:$AS730,5,FALSE)," ")</f>
        <v>885</v>
      </c>
      <c r="E236" t="s" s="42">
        <f>_xlfn.IFERROR(VLOOKUP($A236,'The List'!$B1:$AS730,6,FALSE)," ")</f>
        <v>885</v>
      </c>
      <c r="F236" t="s" s="60">
        <f>_xlfn.IFERROR(VLOOKUP($A236,'The List'!$B1:$AS730,8,FALSE)," ")</f>
        <v>885</v>
      </c>
      <c r="G236" t="s" s="60">
        <f>_xlfn.IFERROR(VLOOKUP($A236,'The List'!$B1:$AS730,10,FALSE)," ")</f>
        <v>885</v>
      </c>
      <c r="H236" s="46"/>
      <c r="I236" t="s" s="61">
        <f>_xlfn.IFERROR(VLOOKUP($A236,'The List'!$B1:$AS730,16,FALSE)," ")</f>
        <v>885</v>
      </c>
      <c r="J236" t="s" s="61">
        <f>_xlfn.IFERROR(VLOOKUP($A236,'The List'!$B1:$AS730,17,FALSE)," ")</f>
        <v>885</v>
      </c>
      <c r="K236" t="s" s="61">
        <f>_xlfn.IFERROR(VLOOKUP($A236,'The List'!$B1:$AS730,18,FALSE)," ")</f>
        <v>885</v>
      </c>
      <c r="L236" t="s" s="61">
        <f>_xlfn.IFERROR(VLOOKUP($A236,'The List'!$B1:$AS730,19,FALSE)," ")</f>
        <v>885</v>
      </c>
      <c r="M236" t="s" s="61">
        <f>_xlfn.IFERROR(VLOOKUP($A236,'The List'!$B1:$AS730,20,FALSE)," ")</f>
        <v>885</v>
      </c>
      <c r="N236" t="s" s="61">
        <f>_xlfn.IFERROR(VLOOKUP($A236,'The List'!$B1:$AS730,21,FALSE)," ")</f>
        <v>885</v>
      </c>
      <c r="O236" t="s" s="61">
        <f>_xlfn.IFERROR(VLOOKUP($A236,'The List'!$B1:$AS730,22,FALSE)," ")</f>
        <v>885</v>
      </c>
      <c r="P236" t="s" s="61">
        <f>_xlfn.IFERROR(VLOOKUP($A236,'The List'!$B1:$AS730,23,FALSE)," ")</f>
        <v>885</v>
      </c>
      <c r="Q236" t="s" s="61">
        <f>_xlfn.IFERROR(VLOOKUP($A236,'The List'!$B1:$AS730,24,FALSE)," ")</f>
        <v>885</v>
      </c>
      <c r="R236" t="s" s="61">
        <f>_xlfn.IFERROR(VLOOKUP($A236,'The List'!$B1:$AS730,25,FALSE)," ")</f>
        <v>885</v>
      </c>
      <c r="S236" t="s" s="61">
        <f>_xlfn.IFERROR(VLOOKUP($A236,'The List'!$B1:$AS730,26,FALSE)," ")</f>
        <v>885</v>
      </c>
      <c r="T236" t="s" s="61">
        <f>_xlfn.IFERROR(VLOOKUP($A236,'The List'!$B1:$AS730,27,FALSE)," ")</f>
        <v>885</v>
      </c>
      <c r="U236" t="s" s="61">
        <f>_xlfn.IFERROR(VLOOKUP($A236,'The List'!$B1:$AS730,28,FALSE)," ")</f>
        <v>885</v>
      </c>
      <c r="V236" t="s" s="61">
        <f>_xlfn.IFERROR(VLOOKUP($A236,'The List'!$B1:$AS730,29,FALSE)," ")</f>
        <v>885</v>
      </c>
      <c r="W236" t="s" s="61">
        <f>_xlfn.IFERROR(VLOOKUP($A236,'The List'!$B1:$AS730,30,FALSE)," ")</f>
        <v>885</v>
      </c>
      <c r="X236" t="s" s="61">
        <f>_xlfn.IFERROR(VLOOKUP($A236,'The List'!$B1:$AS730,31,FALSE)," ")</f>
        <v>885</v>
      </c>
      <c r="Y236" t="s" s="61">
        <f>_xlfn.IFERROR(VLOOKUP($A236,'The List'!$B1:$AS730,32,FALSE)," ")</f>
        <v>885</v>
      </c>
      <c r="Z236" t="s" s="61">
        <f>_xlfn.IFERROR(VLOOKUP($A236,'The List'!$B1:$AS730,33,FALSE)," ")</f>
        <v>885</v>
      </c>
      <c r="AA236" s="64"/>
      <c r="AB236" s="69"/>
      <c r="AC236" s="69"/>
      <c r="AD236" s="69"/>
      <c r="AE236" s="69"/>
      <c r="AF236" s="69"/>
    </row>
    <row r="237" ht="21.25" customHeight="1">
      <c r="A237" s="29"/>
      <c r="B237" t="s" s="66">
        <f>_xlfn.IFERROR(VLOOKUP($A237,'The List'!$B1:$AS730,3,FALSE)," ")</f>
        <v>885</v>
      </c>
      <c r="C237" t="s" s="70">
        <f>_xlfn.IFERROR(VLOOKUP($A237,'The List'!$B1:$AS730,4,FALSE)," ")</f>
        <v>885</v>
      </c>
      <c r="D237" t="s" s="42">
        <f>_xlfn.IFERROR(VLOOKUP($A237,'The List'!$B1:$AS730,5,FALSE)," ")</f>
        <v>885</v>
      </c>
      <c r="E237" t="s" s="42">
        <f>_xlfn.IFERROR(VLOOKUP($A237,'The List'!$B1:$AS730,6,FALSE)," ")</f>
        <v>885</v>
      </c>
      <c r="F237" t="s" s="60">
        <f>_xlfn.IFERROR(VLOOKUP($A237,'The List'!$B1:$AS730,8,FALSE)," ")</f>
        <v>885</v>
      </c>
      <c r="G237" t="s" s="60">
        <f>_xlfn.IFERROR(VLOOKUP($A237,'The List'!$B1:$AS730,10,FALSE)," ")</f>
        <v>885</v>
      </c>
      <c r="H237" s="46"/>
      <c r="I237" t="s" s="61">
        <f>_xlfn.IFERROR(VLOOKUP($A237,'The List'!$B1:$AS730,16,FALSE)," ")</f>
        <v>885</v>
      </c>
      <c r="J237" t="s" s="61">
        <f>_xlfn.IFERROR(VLOOKUP($A237,'The List'!$B1:$AS730,17,FALSE)," ")</f>
        <v>885</v>
      </c>
      <c r="K237" t="s" s="61">
        <f>_xlfn.IFERROR(VLOOKUP($A237,'The List'!$B1:$AS730,18,FALSE)," ")</f>
        <v>885</v>
      </c>
      <c r="L237" t="s" s="61">
        <f>_xlfn.IFERROR(VLOOKUP($A237,'The List'!$B1:$AS730,19,FALSE)," ")</f>
        <v>885</v>
      </c>
      <c r="M237" t="s" s="61">
        <f>_xlfn.IFERROR(VLOOKUP($A237,'The List'!$B1:$AS730,20,FALSE)," ")</f>
        <v>885</v>
      </c>
      <c r="N237" t="s" s="61">
        <f>_xlfn.IFERROR(VLOOKUP($A237,'The List'!$B1:$AS730,21,FALSE)," ")</f>
        <v>885</v>
      </c>
      <c r="O237" t="s" s="61">
        <f>_xlfn.IFERROR(VLOOKUP($A237,'The List'!$B1:$AS730,22,FALSE)," ")</f>
        <v>885</v>
      </c>
      <c r="P237" t="s" s="61">
        <f>_xlfn.IFERROR(VLOOKUP($A237,'The List'!$B1:$AS730,23,FALSE)," ")</f>
        <v>885</v>
      </c>
      <c r="Q237" t="s" s="61">
        <f>_xlfn.IFERROR(VLOOKUP($A237,'The List'!$B1:$AS730,24,FALSE)," ")</f>
        <v>885</v>
      </c>
      <c r="R237" t="s" s="61">
        <f>_xlfn.IFERROR(VLOOKUP($A237,'The List'!$B1:$AS730,25,FALSE)," ")</f>
        <v>885</v>
      </c>
      <c r="S237" t="s" s="61">
        <f>_xlfn.IFERROR(VLOOKUP($A237,'The List'!$B1:$AS730,26,FALSE)," ")</f>
        <v>885</v>
      </c>
      <c r="T237" t="s" s="61">
        <f>_xlfn.IFERROR(VLOOKUP($A237,'The List'!$B1:$AS730,27,FALSE)," ")</f>
        <v>885</v>
      </c>
      <c r="U237" t="s" s="61">
        <f>_xlfn.IFERROR(VLOOKUP($A237,'The List'!$B1:$AS730,28,FALSE)," ")</f>
        <v>885</v>
      </c>
      <c r="V237" t="s" s="61">
        <f>_xlfn.IFERROR(VLOOKUP($A237,'The List'!$B1:$AS730,29,FALSE)," ")</f>
        <v>885</v>
      </c>
      <c r="W237" t="s" s="61">
        <f>_xlfn.IFERROR(VLOOKUP($A237,'The List'!$B1:$AS730,30,FALSE)," ")</f>
        <v>885</v>
      </c>
      <c r="X237" t="s" s="61">
        <f>_xlfn.IFERROR(VLOOKUP($A237,'The List'!$B1:$AS730,31,FALSE)," ")</f>
        <v>885</v>
      </c>
      <c r="Y237" t="s" s="61">
        <f>_xlfn.IFERROR(VLOOKUP($A237,'The List'!$B1:$AS730,32,FALSE)," ")</f>
        <v>885</v>
      </c>
      <c r="Z237" t="s" s="61">
        <f>_xlfn.IFERROR(VLOOKUP($A237,'The List'!$B1:$AS730,33,FALSE)," ")</f>
        <v>885</v>
      </c>
      <c r="AA237" s="64"/>
      <c r="AB237" s="69"/>
      <c r="AC237" s="69"/>
      <c r="AD237" s="69"/>
      <c r="AE237" s="69"/>
      <c r="AF237" s="69"/>
    </row>
    <row r="238" ht="21.25" customHeight="1">
      <c r="A238" s="29"/>
      <c r="B238" t="s" s="71">
        <f>_xlfn.IFERROR(VLOOKUP($A238,'The List'!$B1:$AS730,3,FALSE)," ")</f>
        <v>885</v>
      </c>
      <c r="C238" t="s" s="73">
        <f>_xlfn.IFERROR(VLOOKUP($A238,'The List'!$B1:$AS730,4,FALSE)," ")</f>
        <v>885</v>
      </c>
      <c r="D238" t="s" s="42">
        <f>_xlfn.IFERROR(VLOOKUP($A238,'The List'!$B1:$AS730,5,FALSE)," ")</f>
        <v>885</v>
      </c>
      <c r="E238" t="s" s="42">
        <f>_xlfn.IFERROR(VLOOKUP($A238,'The List'!$B1:$AS730,6,FALSE)," ")</f>
        <v>885</v>
      </c>
      <c r="F238" t="s" s="60">
        <f>_xlfn.IFERROR(VLOOKUP($A238,'The List'!$B1:$AS730,8,FALSE)," ")</f>
        <v>885</v>
      </c>
      <c r="G238" t="s" s="60">
        <f>_xlfn.IFERROR(VLOOKUP($A238,'The List'!$B1:$AS730,10,FALSE)," ")</f>
        <v>885</v>
      </c>
      <c r="H238" s="46"/>
      <c r="I238" t="s" s="61">
        <f>_xlfn.IFERROR(VLOOKUP($A238,'The List'!$B1:$AS730,16,FALSE)," ")</f>
        <v>885</v>
      </c>
      <c r="J238" t="s" s="61">
        <f>_xlfn.IFERROR(VLOOKUP($A238,'The List'!$B1:$AS730,17,FALSE)," ")</f>
        <v>885</v>
      </c>
      <c r="K238" t="s" s="61">
        <f>_xlfn.IFERROR(VLOOKUP($A238,'The List'!$B1:$AS730,18,FALSE)," ")</f>
        <v>885</v>
      </c>
      <c r="L238" t="s" s="61">
        <f>_xlfn.IFERROR(VLOOKUP($A238,'The List'!$B1:$AS730,19,FALSE)," ")</f>
        <v>885</v>
      </c>
      <c r="M238" t="s" s="61">
        <f>_xlfn.IFERROR(VLOOKUP($A238,'The List'!$B1:$AS730,20,FALSE)," ")</f>
        <v>885</v>
      </c>
      <c r="N238" t="s" s="61">
        <f>_xlfn.IFERROR(VLOOKUP($A238,'The List'!$B1:$AS730,21,FALSE)," ")</f>
        <v>885</v>
      </c>
      <c r="O238" t="s" s="61">
        <f>_xlfn.IFERROR(VLOOKUP($A238,'The List'!$B1:$AS730,22,FALSE)," ")</f>
        <v>885</v>
      </c>
      <c r="P238" t="s" s="61">
        <f>_xlfn.IFERROR(VLOOKUP($A238,'The List'!$B1:$AS730,23,FALSE)," ")</f>
        <v>885</v>
      </c>
      <c r="Q238" t="s" s="61">
        <f>_xlfn.IFERROR(VLOOKUP($A238,'The List'!$B1:$AS730,24,FALSE)," ")</f>
        <v>885</v>
      </c>
      <c r="R238" t="s" s="61">
        <f>_xlfn.IFERROR(VLOOKUP($A238,'The List'!$B1:$AS730,25,FALSE)," ")</f>
        <v>885</v>
      </c>
      <c r="S238" t="s" s="61">
        <f>_xlfn.IFERROR(VLOOKUP($A238,'The List'!$B1:$AS730,26,FALSE)," ")</f>
        <v>885</v>
      </c>
      <c r="T238" t="s" s="61">
        <f>_xlfn.IFERROR(VLOOKUP($A238,'The List'!$B1:$AS730,27,FALSE)," ")</f>
        <v>885</v>
      </c>
      <c r="U238" t="s" s="61">
        <f>_xlfn.IFERROR(VLOOKUP($A238,'The List'!$B1:$AS730,28,FALSE)," ")</f>
        <v>885</v>
      </c>
      <c r="V238" t="s" s="61">
        <f>_xlfn.IFERROR(VLOOKUP($A238,'The List'!$B1:$AS730,29,FALSE)," ")</f>
        <v>885</v>
      </c>
      <c r="W238" t="s" s="61">
        <f>_xlfn.IFERROR(VLOOKUP($A238,'The List'!$B1:$AS730,30,FALSE)," ")</f>
        <v>885</v>
      </c>
      <c r="X238" t="s" s="61">
        <f>_xlfn.IFERROR(VLOOKUP($A238,'The List'!$B1:$AS730,31,FALSE)," ")</f>
        <v>885</v>
      </c>
      <c r="Y238" t="s" s="61">
        <f>_xlfn.IFERROR(VLOOKUP($A238,'The List'!$B1:$AS730,32,FALSE)," ")</f>
        <v>885</v>
      </c>
      <c r="Z238" t="s" s="61">
        <f>_xlfn.IFERROR(VLOOKUP($A238,'The List'!$B1:$AS730,33,FALSE)," ")</f>
        <v>885</v>
      </c>
      <c r="AA238" s="64"/>
      <c r="AB238" s="69"/>
      <c r="AC238" s="69"/>
      <c r="AD238" s="69"/>
      <c r="AE238" s="69"/>
      <c r="AF238" s="69"/>
    </row>
    <row r="239" ht="21.25" customHeight="1">
      <c r="A239" s="29"/>
      <c r="B239" t="s" s="71">
        <f>_xlfn.IFERROR(VLOOKUP($A239,'The List'!$B1:$AS730,3,FALSE)," ")</f>
        <v>885</v>
      </c>
      <c r="C239" t="s" s="73">
        <f>_xlfn.IFERROR(VLOOKUP($A239,'The List'!$B1:$AS730,4,FALSE)," ")</f>
        <v>885</v>
      </c>
      <c r="D239" t="s" s="42">
        <f>_xlfn.IFERROR(VLOOKUP($A239,'The List'!$B1:$AS730,5,FALSE)," ")</f>
        <v>885</v>
      </c>
      <c r="E239" t="s" s="42">
        <f>_xlfn.IFERROR(VLOOKUP($A239,'The List'!$B1:$AS730,6,FALSE)," ")</f>
        <v>885</v>
      </c>
      <c r="F239" t="s" s="60">
        <f>_xlfn.IFERROR(VLOOKUP($A239,'The List'!$B1:$AS730,8,FALSE)," ")</f>
        <v>885</v>
      </c>
      <c r="G239" t="s" s="60">
        <f>_xlfn.IFERROR(VLOOKUP($A239,'The List'!$B1:$AS730,10,FALSE)," ")</f>
        <v>885</v>
      </c>
      <c r="H239" s="46"/>
      <c r="I239" t="s" s="61">
        <f>_xlfn.IFERROR(VLOOKUP($A239,'The List'!$B1:$AS730,16,FALSE)," ")</f>
        <v>885</v>
      </c>
      <c r="J239" t="s" s="61">
        <f>_xlfn.IFERROR(VLOOKUP($A239,'The List'!$B1:$AS730,17,FALSE)," ")</f>
        <v>885</v>
      </c>
      <c r="K239" t="s" s="61">
        <f>_xlfn.IFERROR(VLOOKUP($A239,'The List'!$B1:$AS730,18,FALSE)," ")</f>
        <v>885</v>
      </c>
      <c r="L239" t="s" s="61">
        <f>_xlfn.IFERROR(VLOOKUP($A239,'The List'!$B1:$AS730,19,FALSE)," ")</f>
        <v>885</v>
      </c>
      <c r="M239" t="s" s="61">
        <f>_xlfn.IFERROR(VLOOKUP($A239,'The List'!$B1:$AS730,20,FALSE)," ")</f>
        <v>885</v>
      </c>
      <c r="N239" t="s" s="61">
        <f>_xlfn.IFERROR(VLOOKUP($A239,'The List'!$B1:$AS730,21,FALSE)," ")</f>
        <v>885</v>
      </c>
      <c r="O239" t="s" s="61">
        <f>_xlfn.IFERROR(VLOOKUP($A239,'The List'!$B1:$AS730,22,FALSE)," ")</f>
        <v>885</v>
      </c>
      <c r="P239" t="s" s="61">
        <f>_xlfn.IFERROR(VLOOKUP($A239,'The List'!$B1:$AS730,23,FALSE)," ")</f>
        <v>885</v>
      </c>
      <c r="Q239" t="s" s="61">
        <f>_xlfn.IFERROR(VLOOKUP($A239,'The List'!$B1:$AS730,24,FALSE)," ")</f>
        <v>885</v>
      </c>
      <c r="R239" t="s" s="61">
        <f>_xlfn.IFERROR(VLOOKUP($A239,'The List'!$B1:$AS730,25,FALSE)," ")</f>
        <v>885</v>
      </c>
      <c r="S239" t="s" s="61">
        <f>_xlfn.IFERROR(VLOOKUP($A239,'The List'!$B1:$AS730,26,FALSE)," ")</f>
        <v>885</v>
      </c>
      <c r="T239" t="s" s="61">
        <f>_xlfn.IFERROR(VLOOKUP($A239,'The List'!$B1:$AS730,27,FALSE)," ")</f>
        <v>885</v>
      </c>
      <c r="U239" t="s" s="61">
        <f>_xlfn.IFERROR(VLOOKUP($A239,'The List'!$B1:$AS730,28,FALSE)," ")</f>
        <v>885</v>
      </c>
      <c r="V239" t="s" s="61">
        <f>_xlfn.IFERROR(VLOOKUP($A239,'The List'!$B1:$AS730,29,FALSE)," ")</f>
        <v>885</v>
      </c>
      <c r="W239" t="s" s="61">
        <f>_xlfn.IFERROR(VLOOKUP($A239,'The List'!$B1:$AS730,30,FALSE)," ")</f>
        <v>885</v>
      </c>
      <c r="X239" t="s" s="61">
        <f>_xlfn.IFERROR(VLOOKUP($A239,'The List'!$B1:$AS730,31,FALSE)," ")</f>
        <v>885</v>
      </c>
      <c r="Y239" t="s" s="61">
        <f>_xlfn.IFERROR(VLOOKUP($A239,'The List'!$B1:$AS730,32,FALSE)," ")</f>
        <v>885</v>
      </c>
      <c r="Z239" t="s" s="61">
        <f>_xlfn.IFERROR(VLOOKUP($A239,'The List'!$B1:$AS730,33,FALSE)," ")</f>
        <v>885</v>
      </c>
      <c r="AA239" s="64"/>
      <c r="AB239" s="69"/>
      <c r="AC239" s="69"/>
      <c r="AD239" s="69"/>
      <c r="AE239" s="69"/>
      <c r="AF239" s="69"/>
    </row>
    <row r="240" ht="21.25" customHeight="1">
      <c r="A240" s="29"/>
      <c r="B240" t="s" s="71">
        <f>_xlfn.IFERROR(VLOOKUP($A240,'The List'!$B1:$AS730,3,FALSE)," ")</f>
        <v>885</v>
      </c>
      <c r="C240" t="s" s="73">
        <f>_xlfn.IFERROR(VLOOKUP($A240,'The List'!$B1:$AS730,4,FALSE)," ")</f>
        <v>885</v>
      </c>
      <c r="D240" t="s" s="42">
        <f>_xlfn.IFERROR(VLOOKUP($A240,'The List'!$B1:$AS730,5,FALSE)," ")</f>
        <v>885</v>
      </c>
      <c r="E240" t="s" s="42">
        <f>_xlfn.IFERROR(VLOOKUP($A240,'The List'!$B1:$AS730,6,FALSE)," ")</f>
        <v>885</v>
      </c>
      <c r="F240" t="s" s="60">
        <f>_xlfn.IFERROR(VLOOKUP($A240,'The List'!$B1:$AS730,8,FALSE)," ")</f>
        <v>885</v>
      </c>
      <c r="G240" t="s" s="60">
        <f>_xlfn.IFERROR(VLOOKUP($A240,'The List'!$B1:$AS730,10,FALSE)," ")</f>
        <v>885</v>
      </c>
      <c r="H240" s="46"/>
      <c r="I240" t="s" s="61">
        <f>_xlfn.IFERROR(VLOOKUP($A240,'The List'!$B1:$AS730,16,FALSE)," ")</f>
        <v>885</v>
      </c>
      <c r="J240" t="s" s="61">
        <f>_xlfn.IFERROR(VLOOKUP($A240,'The List'!$B1:$AS730,17,FALSE)," ")</f>
        <v>885</v>
      </c>
      <c r="K240" t="s" s="61">
        <f>_xlfn.IFERROR(VLOOKUP($A240,'The List'!$B1:$AS730,18,FALSE)," ")</f>
        <v>885</v>
      </c>
      <c r="L240" t="s" s="61">
        <f>_xlfn.IFERROR(VLOOKUP($A240,'The List'!$B1:$AS730,19,FALSE)," ")</f>
        <v>885</v>
      </c>
      <c r="M240" t="s" s="61">
        <f>_xlfn.IFERROR(VLOOKUP($A240,'The List'!$B1:$AS730,20,FALSE)," ")</f>
        <v>885</v>
      </c>
      <c r="N240" t="s" s="61">
        <f>_xlfn.IFERROR(VLOOKUP($A240,'The List'!$B1:$AS730,21,FALSE)," ")</f>
        <v>885</v>
      </c>
      <c r="O240" t="s" s="61">
        <f>_xlfn.IFERROR(VLOOKUP($A240,'The List'!$B1:$AS730,22,FALSE)," ")</f>
        <v>885</v>
      </c>
      <c r="P240" t="s" s="61">
        <f>_xlfn.IFERROR(VLOOKUP($A240,'The List'!$B1:$AS730,23,FALSE)," ")</f>
        <v>885</v>
      </c>
      <c r="Q240" t="s" s="61">
        <f>_xlfn.IFERROR(VLOOKUP($A240,'The List'!$B1:$AS730,24,FALSE)," ")</f>
        <v>885</v>
      </c>
      <c r="R240" t="s" s="61">
        <f>_xlfn.IFERROR(VLOOKUP($A240,'The List'!$B1:$AS730,25,FALSE)," ")</f>
        <v>885</v>
      </c>
      <c r="S240" t="s" s="61">
        <f>_xlfn.IFERROR(VLOOKUP($A240,'The List'!$B1:$AS730,26,FALSE)," ")</f>
        <v>885</v>
      </c>
      <c r="T240" t="s" s="61">
        <f>_xlfn.IFERROR(VLOOKUP($A240,'The List'!$B1:$AS730,27,FALSE)," ")</f>
        <v>885</v>
      </c>
      <c r="U240" t="s" s="61">
        <f>_xlfn.IFERROR(VLOOKUP($A240,'The List'!$B1:$AS730,28,FALSE)," ")</f>
        <v>885</v>
      </c>
      <c r="V240" t="s" s="61">
        <f>_xlfn.IFERROR(VLOOKUP($A240,'The List'!$B1:$AS730,29,FALSE)," ")</f>
        <v>885</v>
      </c>
      <c r="W240" t="s" s="61">
        <f>_xlfn.IFERROR(VLOOKUP($A240,'The List'!$B1:$AS730,30,FALSE)," ")</f>
        <v>885</v>
      </c>
      <c r="X240" t="s" s="61">
        <f>_xlfn.IFERROR(VLOOKUP($A240,'The List'!$B1:$AS730,31,FALSE)," ")</f>
        <v>885</v>
      </c>
      <c r="Y240" t="s" s="61">
        <f>_xlfn.IFERROR(VLOOKUP($A240,'The List'!$B1:$AS730,32,FALSE)," ")</f>
        <v>885</v>
      </c>
      <c r="Z240" t="s" s="61">
        <f>_xlfn.IFERROR(VLOOKUP($A240,'The List'!$B1:$AS730,33,FALSE)," ")</f>
        <v>885</v>
      </c>
      <c r="AA240" s="64"/>
      <c r="AB240" s="69"/>
      <c r="AC240" s="69"/>
      <c r="AD240" s="69"/>
      <c r="AE240" s="69"/>
      <c r="AF240" s="69"/>
    </row>
    <row r="241" ht="21.25" customHeight="1">
      <c r="A241" s="29"/>
      <c r="B241" t="s" s="71">
        <f>_xlfn.IFERROR(VLOOKUP($A241,'The List'!$B1:$AS730,3,FALSE)," ")</f>
        <v>885</v>
      </c>
      <c r="C241" t="s" s="73">
        <f>_xlfn.IFERROR(VLOOKUP($A241,'The List'!$B1:$AS730,4,FALSE)," ")</f>
        <v>885</v>
      </c>
      <c r="D241" t="s" s="42">
        <f>_xlfn.IFERROR(VLOOKUP($A241,'The List'!$B1:$AS730,5,FALSE)," ")</f>
        <v>885</v>
      </c>
      <c r="E241" t="s" s="42">
        <f>_xlfn.IFERROR(VLOOKUP($A241,'The List'!$B1:$AS730,6,FALSE)," ")</f>
        <v>885</v>
      </c>
      <c r="F241" t="s" s="60">
        <f>_xlfn.IFERROR(VLOOKUP($A241,'The List'!$B1:$AS730,8,FALSE)," ")</f>
        <v>885</v>
      </c>
      <c r="G241" t="s" s="60">
        <f>_xlfn.IFERROR(VLOOKUP($A241,'The List'!$B1:$AS730,10,FALSE)," ")</f>
        <v>885</v>
      </c>
      <c r="H241" s="46"/>
      <c r="I241" t="s" s="61">
        <f>_xlfn.IFERROR(VLOOKUP($A241,'The List'!$B1:$AS730,16,FALSE)," ")</f>
        <v>885</v>
      </c>
      <c r="J241" t="s" s="61">
        <f>_xlfn.IFERROR(VLOOKUP($A241,'The List'!$B1:$AS730,17,FALSE)," ")</f>
        <v>885</v>
      </c>
      <c r="K241" t="s" s="61">
        <f>_xlfn.IFERROR(VLOOKUP($A241,'The List'!$B1:$AS730,18,FALSE)," ")</f>
        <v>885</v>
      </c>
      <c r="L241" t="s" s="61">
        <f>_xlfn.IFERROR(VLOOKUP($A241,'The List'!$B1:$AS730,19,FALSE)," ")</f>
        <v>885</v>
      </c>
      <c r="M241" t="s" s="61">
        <f>_xlfn.IFERROR(VLOOKUP($A241,'The List'!$B1:$AS730,20,FALSE)," ")</f>
        <v>885</v>
      </c>
      <c r="N241" t="s" s="61">
        <f>_xlfn.IFERROR(VLOOKUP($A241,'The List'!$B1:$AS730,21,FALSE)," ")</f>
        <v>885</v>
      </c>
      <c r="O241" t="s" s="61">
        <f>_xlfn.IFERROR(VLOOKUP($A241,'The List'!$B1:$AS730,22,FALSE)," ")</f>
        <v>885</v>
      </c>
      <c r="P241" t="s" s="61">
        <f>_xlfn.IFERROR(VLOOKUP($A241,'The List'!$B1:$AS730,23,FALSE)," ")</f>
        <v>885</v>
      </c>
      <c r="Q241" t="s" s="61">
        <f>_xlfn.IFERROR(VLOOKUP($A241,'The List'!$B1:$AS730,24,FALSE)," ")</f>
        <v>885</v>
      </c>
      <c r="R241" t="s" s="61">
        <f>_xlfn.IFERROR(VLOOKUP($A241,'The List'!$B1:$AS730,25,FALSE)," ")</f>
        <v>885</v>
      </c>
      <c r="S241" t="s" s="61">
        <f>_xlfn.IFERROR(VLOOKUP($A241,'The List'!$B1:$AS730,26,FALSE)," ")</f>
        <v>885</v>
      </c>
      <c r="T241" t="s" s="61">
        <f>_xlfn.IFERROR(VLOOKUP($A241,'The List'!$B1:$AS730,27,FALSE)," ")</f>
        <v>885</v>
      </c>
      <c r="U241" t="s" s="61">
        <f>_xlfn.IFERROR(VLOOKUP($A241,'The List'!$B1:$AS730,28,FALSE)," ")</f>
        <v>885</v>
      </c>
      <c r="V241" t="s" s="61">
        <f>_xlfn.IFERROR(VLOOKUP($A241,'The List'!$B1:$AS730,29,FALSE)," ")</f>
        <v>885</v>
      </c>
      <c r="W241" t="s" s="61">
        <f>_xlfn.IFERROR(VLOOKUP($A241,'The List'!$B1:$AS730,30,FALSE)," ")</f>
        <v>885</v>
      </c>
      <c r="X241" t="s" s="61">
        <f>_xlfn.IFERROR(VLOOKUP($A241,'The List'!$B1:$AS730,31,FALSE)," ")</f>
        <v>885</v>
      </c>
      <c r="Y241" t="s" s="61">
        <f>_xlfn.IFERROR(VLOOKUP($A241,'The List'!$B1:$AS730,32,FALSE)," ")</f>
        <v>885</v>
      </c>
      <c r="Z241" t="s" s="61">
        <f>_xlfn.IFERROR(VLOOKUP($A241,'The List'!$B1:$AS730,33,FALSE)," ")</f>
        <v>885</v>
      </c>
      <c r="AA241" s="64"/>
      <c r="AB241" s="69"/>
      <c r="AC241" s="69"/>
      <c r="AD241" s="69"/>
      <c r="AE241" s="69"/>
      <c r="AF241" s="69"/>
    </row>
    <row r="242" ht="21.25" customHeight="1">
      <c r="A242" s="29"/>
      <c r="B242" t="s" s="74">
        <f>_xlfn.IFERROR(VLOOKUP($A242,'The List'!$B1:$AS730,3,FALSE)," ")</f>
        <v>885</v>
      </c>
      <c r="C242" t="s" s="76">
        <f>_xlfn.IFERROR(VLOOKUP($A242,'The List'!$B1:$AS730,4,FALSE)," ")</f>
        <v>885</v>
      </c>
      <c r="D242" t="s" s="42">
        <f>_xlfn.IFERROR(VLOOKUP($A242,'The List'!$B1:$AS730,5,FALSE)," ")</f>
        <v>885</v>
      </c>
      <c r="E242" t="s" s="42">
        <f>_xlfn.IFERROR(VLOOKUP($A242,'The List'!$B1:$AS730,6,FALSE)," ")</f>
        <v>885</v>
      </c>
      <c r="F242" t="s" s="60">
        <f>_xlfn.IFERROR(VLOOKUP($A242,'The List'!$B1:$AS730,8,FALSE)," ")</f>
        <v>885</v>
      </c>
      <c r="G242" t="s" s="60">
        <f>_xlfn.IFERROR(VLOOKUP($A242,'The List'!$B1:$AS730,10,FALSE)," ")</f>
        <v>885</v>
      </c>
      <c r="H242" s="46"/>
      <c r="I242" t="s" s="61">
        <f>_xlfn.IFERROR(VLOOKUP($A242,'The List'!$B1:$AS730,16,FALSE)," ")</f>
        <v>885</v>
      </c>
      <c r="J242" t="s" s="61">
        <f>_xlfn.IFERROR(VLOOKUP($A242,'The List'!$B1:$AS730,17,FALSE)," ")</f>
        <v>885</v>
      </c>
      <c r="K242" t="s" s="61">
        <f>_xlfn.IFERROR(VLOOKUP($A242,'The List'!$B1:$AS730,18,FALSE)," ")</f>
        <v>885</v>
      </c>
      <c r="L242" t="s" s="61">
        <f>_xlfn.IFERROR(VLOOKUP($A242,'The List'!$B1:$AS730,19,FALSE)," ")</f>
        <v>885</v>
      </c>
      <c r="M242" t="s" s="61">
        <f>_xlfn.IFERROR(VLOOKUP($A242,'The List'!$B1:$AS730,20,FALSE)," ")</f>
        <v>885</v>
      </c>
      <c r="N242" t="s" s="61">
        <f>_xlfn.IFERROR(VLOOKUP($A242,'The List'!$B1:$AS730,21,FALSE)," ")</f>
        <v>885</v>
      </c>
      <c r="O242" t="s" s="61">
        <f>_xlfn.IFERROR(VLOOKUP($A242,'The List'!$B1:$AS730,22,FALSE)," ")</f>
        <v>885</v>
      </c>
      <c r="P242" t="s" s="61">
        <f>_xlfn.IFERROR(VLOOKUP($A242,'The List'!$B1:$AS730,23,FALSE)," ")</f>
        <v>885</v>
      </c>
      <c r="Q242" t="s" s="61">
        <f>_xlfn.IFERROR(VLOOKUP($A242,'The List'!$B1:$AS730,24,FALSE)," ")</f>
        <v>885</v>
      </c>
      <c r="R242" t="s" s="61">
        <f>_xlfn.IFERROR(VLOOKUP($A242,'The List'!$B1:$AS730,25,FALSE)," ")</f>
        <v>885</v>
      </c>
      <c r="S242" t="s" s="61">
        <f>_xlfn.IFERROR(VLOOKUP($A242,'The List'!$B1:$AS730,26,FALSE)," ")</f>
        <v>885</v>
      </c>
      <c r="T242" t="s" s="61">
        <f>_xlfn.IFERROR(VLOOKUP($A242,'The List'!$B1:$AS730,27,FALSE)," ")</f>
        <v>885</v>
      </c>
      <c r="U242" t="s" s="61">
        <f>_xlfn.IFERROR(VLOOKUP($A242,'The List'!$B1:$AS730,28,FALSE)," ")</f>
        <v>885</v>
      </c>
      <c r="V242" t="s" s="61">
        <f>_xlfn.IFERROR(VLOOKUP($A242,'The List'!$B1:$AS730,29,FALSE)," ")</f>
        <v>885</v>
      </c>
      <c r="W242" t="s" s="61">
        <f>_xlfn.IFERROR(VLOOKUP($A242,'The List'!$B1:$AS730,30,FALSE)," ")</f>
        <v>885</v>
      </c>
      <c r="X242" t="s" s="61">
        <f>_xlfn.IFERROR(VLOOKUP($A242,'The List'!$B1:$AS730,31,FALSE)," ")</f>
        <v>885</v>
      </c>
      <c r="Y242" t="s" s="61">
        <f>_xlfn.IFERROR(VLOOKUP($A242,'The List'!$B1:$AS730,32,FALSE)," ")</f>
        <v>885</v>
      </c>
      <c r="Z242" t="s" s="61">
        <f>_xlfn.IFERROR(VLOOKUP($A242,'The List'!$B1:$AS730,33,FALSE)," ")</f>
        <v>885</v>
      </c>
      <c r="AA242" s="64"/>
      <c r="AB242" s="69"/>
      <c r="AC242" s="69"/>
      <c r="AD242" s="69"/>
      <c r="AE242" s="69"/>
      <c r="AF242" s="69"/>
    </row>
    <row r="243" ht="21.25" customHeight="1">
      <c r="A243" s="29"/>
      <c r="B243" t="s" s="74">
        <f>_xlfn.IFERROR(VLOOKUP($A243,'The List'!$B1:$AS730,3,FALSE)," ")</f>
        <v>885</v>
      </c>
      <c r="C243" t="s" s="76">
        <f>_xlfn.IFERROR(VLOOKUP($A243,'The List'!$B1:$AS730,4,FALSE)," ")</f>
        <v>885</v>
      </c>
      <c r="D243" t="s" s="42">
        <f>_xlfn.IFERROR(VLOOKUP($A243,'The List'!$B1:$AS730,5,FALSE)," ")</f>
        <v>885</v>
      </c>
      <c r="E243" t="s" s="42">
        <f>_xlfn.IFERROR(VLOOKUP($A243,'The List'!$B1:$AS730,6,FALSE)," ")</f>
        <v>885</v>
      </c>
      <c r="F243" t="s" s="60">
        <f>_xlfn.IFERROR(VLOOKUP($A243,'The List'!$B1:$AS730,8,FALSE)," ")</f>
        <v>885</v>
      </c>
      <c r="G243" t="s" s="60">
        <f>_xlfn.IFERROR(VLOOKUP($A243,'The List'!$B1:$AS730,10,FALSE)," ")</f>
        <v>885</v>
      </c>
      <c r="H243" s="46"/>
      <c r="I243" t="s" s="61">
        <f>_xlfn.IFERROR(VLOOKUP($A243,'The List'!$B1:$AS730,16,FALSE)," ")</f>
        <v>885</v>
      </c>
      <c r="J243" t="s" s="61">
        <f>_xlfn.IFERROR(VLOOKUP($A243,'The List'!$B1:$AS730,17,FALSE)," ")</f>
        <v>885</v>
      </c>
      <c r="K243" t="s" s="61">
        <f>_xlfn.IFERROR(VLOOKUP($A243,'The List'!$B1:$AS730,18,FALSE)," ")</f>
        <v>885</v>
      </c>
      <c r="L243" t="s" s="61">
        <f>_xlfn.IFERROR(VLOOKUP($A243,'The List'!$B1:$AS730,19,FALSE)," ")</f>
        <v>885</v>
      </c>
      <c r="M243" t="s" s="61">
        <f>_xlfn.IFERROR(VLOOKUP($A243,'The List'!$B1:$AS730,20,FALSE)," ")</f>
        <v>885</v>
      </c>
      <c r="N243" t="s" s="61">
        <f>_xlfn.IFERROR(VLOOKUP($A243,'The List'!$B1:$AS730,21,FALSE)," ")</f>
        <v>885</v>
      </c>
      <c r="O243" t="s" s="61">
        <f>_xlfn.IFERROR(VLOOKUP($A243,'The List'!$B1:$AS730,22,FALSE)," ")</f>
        <v>885</v>
      </c>
      <c r="P243" t="s" s="61">
        <f>_xlfn.IFERROR(VLOOKUP($A243,'The List'!$B1:$AS730,23,FALSE)," ")</f>
        <v>885</v>
      </c>
      <c r="Q243" t="s" s="61">
        <f>_xlfn.IFERROR(VLOOKUP($A243,'The List'!$B1:$AS730,24,FALSE)," ")</f>
        <v>885</v>
      </c>
      <c r="R243" t="s" s="61">
        <f>_xlfn.IFERROR(VLOOKUP($A243,'The List'!$B1:$AS730,25,FALSE)," ")</f>
        <v>885</v>
      </c>
      <c r="S243" t="s" s="61">
        <f>_xlfn.IFERROR(VLOOKUP($A243,'The List'!$B1:$AS730,26,FALSE)," ")</f>
        <v>885</v>
      </c>
      <c r="T243" t="s" s="61">
        <f>_xlfn.IFERROR(VLOOKUP($A243,'The List'!$B1:$AS730,27,FALSE)," ")</f>
        <v>885</v>
      </c>
      <c r="U243" t="s" s="61">
        <f>_xlfn.IFERROR(VLOOKUP($A243,'The List'!$B1:$AS730,28,FALSE)," ")</f>
        <v>885</v>
      </c>
      <c r="V243" t="s" s="61">
        <f>_xlfn.IFERROR(VLOOKUP($A243,'The List'!$B1:$AS730,29,FALSE)," ")</f>
        <v>885</v>
      </c>
      <c r="W243" t="s" s="61">
        <f>_xlfn.IFERROR(VLOOKUP($A243,'The List'!$B1:$AS730,30,FALSE)," ")</f>
        <v>885</v>
      </c>
      <c r="X243" t="s" s="61">
        <f>_xlfn.IFERROR(VLOOKUP($A243,'The List'!$B1:$AS730,31,FALSE)," ")</f>
        <v>885</v>
      </c>
      <c r="Y243" t="s" s="61">
        <f>_xlfn.IFERROR(VLOOKUP($A243,'The List'!$B1:$AS730,32,FALSE)," ")</f>
        <v>885</v>
      </c>
      <c r="Z243" t="s" s="61">
        <f>_xlfn.IFERROR(VLOOKUP($A243,'The List'!$B1:$AS730,33,FALSE)," ")</f>
        <v>885</v>
      </c>
      <c r="AA243" s="64"/>
      <c r="AB243" s="69"/>
      <c r="AC243" s="69"/>
      <c r="AD243" s="69"/>
      <c r="AE243" s="69"/>
      <c r="AF243" s="69"/>
    </row>
    <row r="244" ht="21.25" customHeight="1">
      <c r="A244" s="29"/>
      <c r="B244" t="s" s="74">
        <f>_xlfn.IFERROR(VLOOKUP($A244,'The List'!$B1:$AS730,3,FALSE)," ")</f>
        <v>885</v>
      </c>
      <c r="C244" t="s" s="76">
        <f>_xlfn.IFERROR(VLOOKUP($A244,'The List'!$B1:$AS730,4,FALSE)," ")</f>
        <v>885</v>
      </c>
      <c r="D244" t="s" s="42">
        <f>_xlfn.IFERROR(VLOOKUP($A244,'The List'!$B1:$AS730,5,FALSE)," ")</f>
        <v>885</v>
      </c>
      <c r="E244" t="s" s="42">
        <f>_xlfn.IFERROR(VLOOKUP($A244,'The List'!$B1:$AS730,6,FALSE)," ")</f>
        <v>885</v>
      </c>
      <c r="F244" t="s" s="60">
        <f>_xlfn.IFERROR(VLOOKUP($A244,'The List'!$B1:$AS730,8,FALSE)," ")</f>
        <v>885</v>
      </c>
      <c r="G244" t="s" s="60">
        <f>_xlfn.IFERROR(VLOOKUP($A244,'The List'!$B1:$AS730,10,FALSE)," ")</f>
        <v>885</v>
      </c>
      <c r="H244" s="46"/>
      <c r="I244" t="s" s="61">
        <f>_xlfn.IFERROR(VLOOKUP($A244,'The List'!$B1:$AS730,16,FALSE)," ")</f>
        <v>885</v>
      </c>
      <c r="J244" t="s" s="61">
        <f>_xlfn.IFERROR(VLOOKUP($A244,'The List'!$B1:$AS730,17,FALSE)," ")</f>
        <v>885</v>
      </c>
      <c r="K244" t="s" s="61">
        <f>_xlfn.IFERROR(VLOOKUP($A244,'The List'!$B1:$AS730,18,FALSE)," ")</f>
        <v>885</v>
      </c>
      <c r="L244" t="s" s="61">
        <f>_xlfn.IFERROR(VLOOKUP($A244,'The List'!$B1:$AS730,19,FALSE)," ")</f>
        <v>885</v>
      </c>
      <c r="M244" t="s" s="61">
        <f>_xlfn.IFERROR(VLOOKUP($A244,'The List'!$B1:$AS730,20,FALSE)," ")</f>
        <v>885</v>
      </c>
      <c r="N244" t="s" s="61">
        <f>_xlfn.IFERROR(VLOOKUP($A244,'The List'!$B1:$AS730,21,FALSE)," ")</f>
        <v>885</v>
      </c>
      <c r="O244" t="s" s="61">
        <f>_xlfn.IFERROR(VLOOKUP($A244,'The List'!$B1:$AS730,22,FALSE)," ")</f>
        <v>885</v>
      </c>
      <c r="P244" t="s" s="61">
        <f>_xlfn.IFERROR(VLOOKUP($A244,'The List'!$B1:$AS730,23,FALSE)," ")</f>
        <v>885</v>
      </c>
      <c r="Q244" t="s" s="61">
        <f>_xlfn.IFERROR(VLOOKUP($A244,'The List'!$B1:$AS730,24,FALSE)," ")</f>
        <v>885</v>
      </c>
      <c r="R244" t="s" s="61">
        <f>_xlfn.IFERROR(VLOOKUP($A244,'The List'!$B1:$AS730,25,FALSE)," ")</f>
        <v>885</v>
      </c>
      <c r="S244" t="s" s="61">
        <f>_xlfn.IFERROR(VLOOKUP($A244,'The List'!$B1:$AS730,26,FALSE)," ")</f>
        <v>885</v>
      </c>
      <c r="T244" t="s" s="61">
        <f>_xlfn.IFERROR(VLOOKUP($A244,'The List'!$B1:$AS730,27,FALSE)," ")</f>
        <v>885</v>
      </c>
      <c r="U244" t="s" s="61">
        <f>_xlfn.IFERROR(VLOOKUP($A244,'The List'!$B1:$AS730,28,FALSE)," ")</f>
        <v>885</v>
      </c>
      <c r="V244" t="s" s="61">
        <f>_xlfn.IFERROR(VLOOKUP($A244,'The List'!$B1:$AS730,29,FALSE)," ")</f>
        <v>885</v>
      </c>
      <c r="W244" t="s" s="61">
        <f>_xlfn.IFERROR(VLOOKUP($A244,'The List'!$B1:$AS730,30,FALSE)," ")</f>
        <v>885</v>
      </c>
      <c r="X244" t="s" s="61">
        <f>_xlfn.IFERROR(VLOOKUP($A244,'The List'!$B1:$AS730,31,FALSE)," ")</f>
        <v>885</v>
      </c>
      <c r="Y244" t="s" s="61">
        <f>_xlfn.IFERROR(VLOOKUP($A244,'The List'!$B1:$AS730,32,FALSE)," ")</f>
        <v>885</v>
      </c>
      <c r="Z244" t="s" s="61">
        <f>_xlfn.IFERROR(VLOOKUP($A244,'The List'!$B1:$AS730,33,FALSE)," ")</f>
        <v>885</v>
      </c>
      <c r="AA244" s="64"/>
      <c r="AB244" s="69"/>
      <c r="AC244" s="69"/>
      <c r="AD244" s="69"/>
      <c r="AE244" s="69"/>
      <c r="AF244" s="69"/>
    </row>
    <row r="245" ht="21.25" customHeight="1">
      <c r="A245" s="29"/>
      <c r="B245" t="s" s="74">
        <f>_xlfn.IFERROR(VLOOKUP($A245,'The List'!$B1:$AS730,3,FALSE)," ")</f>
        <v>885</v>
      </c>
      <c r="C245" t="s" s="76">
        <f>_xlfn.IFERROR(VLOOKUP($A245,'The List'!$B1:$AS730,4,FALSE)," ")</f>
        <v>885</v>
      </c>
      <c r="D245" t="s" s="42">
        <f>_xlfn.IFERROR(VLOOKUP($A245,'The List'!$B1:$AS730,5,FALSE)," ")</f>
        <v>885</v>
      </c>
      <c r="E245" t="s" s="42">
        <f>_xlfn.IFERROR(VLOOKUP($A245,'The List'!$B1:$AS730,6,FALSE)," ")</f>
        <v>885</v>
      </c>
      <c r="F245" t="s" s="60">
        <f>_xlfn.IFERROR(VLOOKUP($A245,'The List'!$B1:$AS730,8,FALSE)," ")</f>
        <v>885</v>
      </c>
      <c r="G245" t="s" s="60">
        <f>_xlfn.IFERROR(VLOOKUP($A245,'The List'!$B1:$AS730,10,FALSE)," ")</f>
        <v>885</v>
      </c>
      <c r="H245" s="46"/>
      <c r="I245" t="s" s="61">
        <f>_xlfn.IFERROR(VLOOKUP($A245,'The List'!$B1:$AS730,16,FALSE)," ")</f>
        <v>885</v>
      </c>
      <c r="J245" t="s" s="61">
        <f>_xlfn.IFERROR(VLOOKUP($A245,'The List'!$B1:$AS730,17,FALSE)," ")</f>
        <v>885</v>
      </c>
      <c r="K245" t="s" s="61">
        <f>_xlfn.IFERROR(VLOOKUP($A245,'The List'!$B1:$AS730,18,FALSE)," ")</f>
        <v>885</v>
      </c>
      <c r="L245" t="s" s="61">
        <f>_xlfn.IFERROR(VLOOKUP($A245,'The List'!$B1:$AS730,19,FALSE)," ")</f>
        <v>885</v>
      </c>
      <c r="M245" t="s" s="61">
        <f>_xlfn.IFERROR(VLOOKUP($A245,'The List'!$B1:$AS730,20,FALSE)," ")</f>
        <v>885</v>
      </c>
      <c r="N245" t="s" s="61">
        <f>_xlfn.IFERROR(VLOOKUP($A245,'The List'!$B1:$AS730,21,FALSE)," ")</f>
        <v>885</v>
      </c>
      <c r="O245" t="s" s="61">
        <f>_xlfn.IFERROR(VLOOKUP($A245,'The List'!$B1:$AS730,22,FALSE)," ")</f>
        <v>885</v>
      </c>
      <c r="P245" t="s" s="61">
        <f>_xlfn.IFERROR(VLOOKUP($A245,'The List'!$B1:$AS730,23,FALSE)," ")</f>
        <v>885</v>
      </c>
      <c r="Q245" t="s" s="61">
        <f>_xlfn.IFERROR(VLOOKUP($A245,'The List'!$B1:$AS730,24,FALSE)," ")</f>
        <v>885</v>
      </c>
      <c r="R245" t="s" s="61">
        <f>_xlfn.IFERROR(VLOOKUP($A245,'The List'!$B1:$AS730,25,FALSE)," ")</f>
        <v>885</v>
      </c>
      <c r="S245" t="s" s="61">
        <f>_xlfn.IFERROR(VLOOKUP($A245,'The List'!$B1:$AS730,26,FALSE)," ")</f>
        <v>885</v>
      </c>
      <c r="T245" t="s" s="61">
        <f>_xlfn.IFERROR(VLOOKUP($A245,'The List'!$B1:$AS730,27,FALSE)," ")</f>
        <v>885</v>
      </c>
      <c r="U245" t="s" s="61">
        <f>_xlfn.IFERROR(VLOOKUP($A245,'The List'!$B1:$AS730,28,FALSE)," ")</f>
        <v>885</v>
      </c>
      <c r="V245" t="s" s="61">
        <f>_xlfn.IFERROR(VLOOKUP($A245,'The List'!$B1:$AS730,29,FALSE)," ")</f>
        <v>885</v>
      </c>
      <c r="W245" t="s" s="61">
        <f>_xlfn.IFERROR(VLOOKUP($A245,'The List'!$B1:$AS730,30,FALSE)," ")</f>
        <v>885</v>
      </c>
      <c r="X245" t="s" s="61">
        <f>_xlfn.IFERROR(VLOOKUP($A245,'The List'!$B1:$AS730,31,FALSE)," ")</f>
        <v>885</v>
      </c>
      <c r="Y245" t="s" s="61">
        <f>_xlfn.IFERROR(VLOOKUP($A245,'The List'!$B1:$AS730,32,FALSE)," ")</f>
        <v>885</v>
      </c>
      <c r="Z245" t="s" s="61">
        <f>_xlfn.IFERROR(VLOOKUP($A245,'The List'!$B1:$AS730,33,FALSE)," ")</f>
        <v>885</v>
      </c>
      <c r="AA245" s="64"/>
      <c r="AB245" s="69"/>
      <c r="AC245" s="69"/>
      <c r="AD245" s="69"/>
      <c r="AE245" s="69"/>
      <c r="AF245" s="69"/>
    </row>
    <row r="246" ht="21.25" customHeight="1">
      <c r="A246" s="29"/>
      <c r="B246" t="s" s="77">
        <f>_xlfn.IFERROR(VLOOKUP($A246,'The List'!$B1:$AS730,3,FALSE)," ")</f>
        <v>885</v>
      </c>
      <c r="C246" t="s" s="79">
        <f>_xlfn.IFERROR(VLOOKUP($A246,'The List'!$B1:$AS730,4,FALSE)," ")</f>
        <v>885</v>
      </c>
      <c r="D246" t="s" s="42">
        <f>_xlfn.IFERROR(VLOOKUP($A246,'The List'!$B1:$AS730,5,FALSE)," ")</f>
        <v>885</v>
      </c>
      <c r="E246" t="s" s="42">
        <f>_xlfn.IFERROR(VLOOKUP($A246,'The List'!$B1:$AS730,6,FALSE)," ")</f>
        <v>885</v>
      </c>
      <c r="F246" t="s" s="60">
        <f>_xlfn.IFERROR(VLOOKUP($A246,'The List'!$B1:$AS730,8,FALSE)," ")</f>
        <v>885</v>
      </c>
      <c r="G246" t="s" s="60">
        <f>_xlfn.IFERROR(VLOOKUP($A246,'The List'!$B1:$AS730,10,FALSE)," ")</f>
        <v>885</v>
      </c>
      <c r="H246" s="46"/>
      <c r="I246" t="s" s="61">
        <f>_xlfn.IFERROR(VLOOKUP($A246,'The List'!$B1:$AS730,16,FALSE)," ")</f>
        <v>885</v>
      </c>
      <c r="J246" t="s" s="61">
        <f>_xlfn.IFERROR(VLOOKUP($A246,'The List'!$B1:$AS730,17,FALSE)," ")</f>
        <v>885</v>
      </c>
      <c r="K246" t="s" s="61">
        <f>_xlfn.IFERROR(VLOOKUP($A246,'The List'!$B1:$AS730,18,FALSE)," ")</f>
        <v>885</v>
      </c>
      <c r="L246" t="s" s="61">
        <f>_xlfn.IFERROR(VLOOKUP($A246,'The List'!$B1:$AS730,19,FALSE)," ")</f>
        <v>885</v>
      </c>
      <c r="M246" t="s" s="61">
        <f>_xlfn.IFERROR(VLOOKUP($A246,'The List'!$B1:$AS730,20,FALSE)," ")</f>
        <v>885</v>
      </c>
      <c r="N246" t="s" s="61">
        <f>_xlfn.IFERROR(VLOOKUP($A246,'The List'!$B1:$AS730,21,FALSE)," ")</f>
        <v>885</v>
      </c>
      <c r="O246" t="s" s="61">
        <f>_xlfn.IFERROR(VLOOKUP($A246,'The List'!$B1:$AS730,22,FALSE)," ")</f>
        <v>885</v>
      </c>
      <c r="P246" t="s" s="61">
        <f>_xlfn.IFERROR(VLOOKUP($A246,'The List'!$B1:$AS730,23,FALSE)," ")</f>
        <v>885</v>
      </c>
      <c r="Q246" t="s" s="61">
        <f>_xlfn.IFERROR(VLOOKUP($A246,'The List'!$B1:$AS730,24,FALSE)," ")</f>
        <v>885</v>
      </c>
      <c r="R246" t="s" s="61">
        <f>_xlfn.IFERROR(VLOOKUP($A246,'The List'!$B1:$AS730,25,FALSE)," ")</f>
        <v>885</v>
      </c>
      <c r="S246" t="s" s="61">
        <f>_xlfn.IFERROR(VLOOKUP($A246,'The List'!$B1:$AS730,26,FALSE)," ")</f>
        <v>885</v>
      </c>
      <c r="T246" t="s" s="61">
        <f>_xlfn.IFERROR(VLOOKUP($A246,'The List'!$B1:$AS730,27,FALSE)," ")</f>
        <v>885</v>
      </c>
      <c r="U246" t="s" s="61">
        <f>_xlfn.IFERROR(VLOOKUP($A246,'The List'!$B1:$AS730,28,FALSE)," ")</f>
        <v>885</v>
      </c>
      <c r="V246" t="s" s="61">
        <f>_xlfn.IFERROR(VLOOKUP($A246,'The List'!$B1:$AS730,29,FALSE)," ")</f>
        <v>885</v>
      </c>
      <c r="W246" t="s" s="61">
        <f>_xlfn.IFERROR(VLOOKUP($A246,'The List'!$B1:$AS730,30,FALSE)," ")</f>
        <v>885</v>
      </c>
      <c r="X246" t="s" s="61">
        <f>_xlfn.IFERROR(VLOOKUP($A246,'The List'!$B1:$AS730,31,FALSE)," ")</f>
        <v>885</v>
      </c>
      <c r="Y246" t="s" s="61">
        <f>_xlfn.IFERROR(VLOOKUP($A246,'The List'!$B1:$AS730,32,FALSE)," ")</f>
        <v>885</v>
      </c>
      <c r="Z246" t="s" s="61">
        <f>_xlfn.IFERROR(VLOOKUP($A246,'The List'!$B1:$AS730,33,FALSE)," ")</f>
        <v>885</v>
      </c>
      <c r="AA246" s="64"/>
      <c r="AB246" s="69"/>
      <c r="AC246" s="69"/>
      <c r="AD246" s="69"/>
      <c r="AE246" s="69"/>
      <c r="AF246" s="69"/>
    </row>
    <row r="247" ht="21.25" customHeight="1">
      <c r="A247" s="29"/>
      <c r="B247" t="s" s="77">
        <f>_xlfn.IFERROR(VLOOKUP($A247,'The List'!$B1:$AS730,3,FALSE)," ")</f>
        <v>885</v>
      </c>
      <c r="C247" t="s" s="79">
        <f>_xlfn.IFERROR(VLOOKUP($A247,'The List'!$B1:$AS730,4,FALSE)," ")</f>
        <v>885</v>
      </c>
      <c r="D247" t="s" s="42">
        <f>_xlfn.IFERROR(VLOOKUP($A247,'The List'!$B1:$AS730,5,FALSE)," ")</f>
        <v>885</v>
      </c>
      <c r="E247" t="s" s="42">
        <f>_xlfn.IFERROR(VLOOKUP($A247,'The List'!$B1:$AS730,6,FALSE)," ")</f>
        <v>885</v>
      </c>
      <c r="F247" t="s" s="60">
        <f>_xlfn.IFERROR(VLOOKUP($A247,'The List'!$B1:$AS730,8,FALSE)," ")</f>
        <v>885</v>
      </c>
      <c r="G247" t="s" s="60">
        <f>_xlfn.IFERROR(VLOOKUP($A247,'The List'!$B1:$AS730,10,FALSE)," ")</f>
        <v>885</v>
      </c>
      <c r="H247" s="46"/>
      <c r="I247" t="s" s="61">
        <f>_xlfn.IFERROR(VLOOKUP($A247,'The List'!$B1:$AS730,16,FALSE)," ")</f>
        <v>885</v>
      </c>
      <c r="J247" t="s" s="61">
        <f>_xlfn.IFERROR(VLOOKUP($A247,'The List'!$B1:$AS730,17,FALSE)," ")</f>
        <v>885</v>
      </c>
      <c r="K247" t="s" s="61">
        <f>_xlfn.IFERROR(VLOOKUP($A247,'The List'!$B1:$AS730,18,FALSE)," ")</f>
        <v>885</v>
      </c>
      <c r="L247" t="s" s="61">
        <f>_xlfn.IFERROR(VLOOKUP($A247,'The List'!$B1:$AS730,19,FALSE)," ")</f>
        <v>885</v>
      </c>
      <c r="M247" t="s" s="61">
        <f>_xlfn.IFERROR(VLOOKUP($A247,'The List'!$B1:$AS730,20,FALSE)," ")</f>
        <v>885</v>
      </c>
      <c r="N247" t="s" s="61">
        <f>_xlfn.IFERROR(VLOOKUP($A247,'The List'!$B1:$AS730,21,FALSE)," ")</f>
        <v>885</v>
      </c>
      <c r="O247" t="s" s="61">
        <f>_xlfn.IFERROR(VLOOKUP($A247,'The List'!$B1:$AS730,22,FALSE)," ")</f>
        <v>885</v>
      </c>
      <c r="P247" t="s" s="61">
        <f>_xlfn.IFERROR(VLOOKUP($A247,'The List'!$B1:$AS730,23,FALSE)," ")</f>
        <v>885</v>
      </c>
      <c r="Q247" t="s" s="61">
        <f>_xlfn.IFERROR(VLOOKUP($A247,'The List'!$B1:$AS730,24,FALSE)," ")</f>
        <v>885</v>
      </c>
      <c r="R247" t="s" s="61">
        <f>_xlfn.IFERROR(VLOOKUP($A247,'The List'!$B1:$AS730,25,FALSE)," ")</f>
        <v>885</v>
      </c>
      <c r="S247" t="s" s="61">
        <f>_xlfn.IFERROR(VLOOKUP($A247,'The List'!$B1:$AS730,26,FALSE)," ")</f>
        <v>885</v>
      </c>
      <c r="T247" t="s" s="61">
        <f>_xlfn.IFERROR(VLOOKUP($A247,'The List'!$B1:$AS730,27,FALSE)," ")</f>
        <v>885</v>
      </c>
      <c r="U247" t="s" s="61">
        <f>_xlfn.IFERROR(VLOOKUP($A247,'The List'!$B1:$AS730,28,FALSE)," ")</f>
        <v>885</v>
      </c>
      <c r="V247" t="s" s="61">
        <f>_xlfn.IFERROR(VLOOKUP($A247,'The List'!$B1:$AS730,29,FALSE)," ")</f>
        <v>885</v>
      </c>
      <c r="W247" t="s" s="61">
        <f>_xlfn.IFERROR(VLOOKUP($A247,'The List'!$B1:$AS730,30,FALSE)," ")</f>
        <v>885</v>
      </c>
      <c r="X247" t="s" s="61">
        <f>_xlfn.IFERROR(VLOOKUP($A247,'The List'!$B1:$AS730,31,FALSE)," ")</f>
        <v>885</v>
      </c>
      <c r="Y247" t="s" s="61">
        <f>_xlfn.IFERROR(VLOOKUP($A247,'The List'!$B1:$AS730,32,FALSE)," ")</f>
        <v>885</v>
      </c>
      <c r="Z247" t="s" s="61">
        <f>_xlfn.IFERROR(VLOOKUP($A247,'The List'!$B1:$AS730,33,FALSE)," ")</f>
        <v>885</v>
      </c>
      <c r="AA247" s="64"/>
      <c r="AB247" s="69"/>
      <c r="AC247" s="69"/>
      <c r="AD247" s="69"/>
      <c r="AE247" s="69"/>
      <c r="AF247" s="69"/>
    </row>
    <row r="248" ht="21.25" customHeight="1">
      <c r="A248" s="29"/>
      <c r="B248" t="s" s="77">
        <f>_xlfn.IFERROR(VLOOKUP($A248,'The List'!$B1:$AS730,3,FALSE)," ")</f>
        <v>885</v>
      </c>
      <c r="C248" t="s" s="79">
        <f>_xlfn.IFERROR(VLOOKUP($A248,'The List'!$B1:$AS730,4,FALSE)," ")</f>
        <v>885</v>
      </c>
      <c r="D248" t="s" s="42">
        <f>_xlfn.IFERROR(VLOOKUP($A248,'The List'!$B1:$AS730,5,FALSE)," ")</f>
        <v>885</v>
      </c>
      <c r="E248" t="s" s="42">
        <f>_xlfn.IFERROR(VLOOKUP($A248,'The List'!$B1:$AS730,6,FALSE)," ")</f>
        <v>885</v>
      </c>
      <c r="F248" t="s" s="60">
        <f>_xlfn.IFERROR(VLOOKUP($A248,'The List'!$B1:$AS730,8,FALSE)," ")</f>
        <v>885</v>
      </c>
      <c r="G248" t="s" s="60">
        <f>_xlfn.IFERROR(VLOOKUP($A248,'The List'!$B1:$AS730,10,FALSE)," ")</f>
        <v>885</v>
      </c>
      <c r="H248" s="46"/>
      <c r="I248" t="s" s="61">
        <f>_xlfn.IFERROR(VLOOKUP($A248,'The List'!$B1:$AS730,16,FALSE)," ")</f>
        <v>885</v>
      </c>
      <c r="J248" t="s" s="61">
        <f>_xlfn.IFERROR(VLOOKUP($A248,'The List'!$B1:$AS730,17,FALSE)," ")</f>
        <v>885</v>
      </c>
      <c r="K248" t="s" s="61">
        <f>_xlfn.IFERROR(VLOOKUP($A248,'The List'!$B1:$AS730,18,FALSE)," ")</f>
        <v>885</v>
      </c>
      <c r="L248" t="s" s="61">
        <f>_xlfn.IFERROR(VLOOKUP($A248,'The List'!$B1:$AS730,19,FALSE)," ")</f>
        <v>885</v>
      </c>
      <c r="M248" t="s" s="61">
        <f>_xlfn.IFERROR(VLOOKUP($A248,'The List'!$B1:$AS730,20,FALSE)," ")</f>
        <v>885</v>
      </c>
      <c r="N248" t="s" s="61">
        <f>_xlfn.IFERROR(VLOOKUP($A248,'The List'!$B1:$AS730,21,FALSE)," ")</f>
        <v>885</v>
      </c>
      <c r="O248" t="s" s="61">
        <f>_xlfn.IFERROR(VLOOKUP($A248,'The List'!$B1:$AS730,22,FALSE)," ")</f>
        <v>885</v>
      </c>
      <c r="P248" t="s" s="61">
        <f>_xlfn.IFERROR(VLOOKUP($A248,'The List'!$B1:$AS730,23,FALSE)," ")</f>
        <v>885</v>
      </c>
      <c r="Q248" t="s" s="61">
        <f>_xlfn.IFERROR(VLOOKUP($A248,'The List'!$B1:$AS730,24,FALSE)," ")</f>
        <v>885</v>
      </c>
      <c r="R248" t="s" s="61">
        <f>_xlfn.IFERROR(VLOOKUP($A248,'The List'!$B1:$AS730,25,FALSE)," ")</f>
        <v>885</v>
      </c>
      <c r="S248" t="s" s="61">
        <f>_xlfn.IFERROR(VLOOKUP($A248,'The List'!$B1:$AS730,26,FALSE)," ")</f>
        <v>885</v>
      </c>
      <c r="T248" t="s" s="61">
        <f>_xlfn.IFERROR(VLOOKUP($A248,'The List'!$B1:$AS730,27,FALSE)," ")</f>
        <v>885</v>
      </c>
      <c r="U248" t="s" s="61">
        <f>_xlfn.IFERROR(VLOOKUP($A248,'The List'!$B1:$AS730,28,FALSE)," ")</f>
        <v>885</v>
      </c>
      <c r="V248" t="s" s="61">
        <f>_xlfn.IFERROR(VLOOKUP($A248,'The List'!$B1:$AS730,29,FALSE)," ")</f>
        <v>885</v>
      </c>
      <c r="W248" t="s" s="61">
        <f>_xlfn.IFERROR(VLOOKUP($A248,'The List'!$B1:$AS730,30,FALSE)," ")</f>
        <v>885</v>
      </c>
      <c r="X248" t="s" s="61">
        <f>_xlfn.IFERROR(VLOOKUP($A248,'The List'!$B1:$AS730,31,FALSE)," ")</f>
        <v>885</v>
      </c>
      <c r="Y248" t="s" s="61">
        <f>_xlfn.IFERROR(VLOOKUP($A248,'The List'!$B1:$AS730,32,FALSE)," ")</f>
        <v>885</v>
      </c>
      <c r="Z248" t="s" s="61">
        <f>_xlfn.IFERROR(VLOOKUP($A248,'The List'!$B1:$AS730,33,FALSE)," ")</f>
        <v>885</v>
      </c>
      <c r="AA248" s="64"/>
      <c r="AB248" s="69"/>
      <c r="AC248" s="69"/>
      <c r="AD248" s="69"/>
      <c r="AE248" s="69"/>
      <c r="AF248" s="69"/>
    </row>
    <row r="249" ht="21.25" customHeight="1">
      <c r="A249" s="29"/>
      <c r="B249" t="s" s="77">
        <f>_xlfn.IFERROR(VLOOKUP($A249,'The List'!$B1:$AS730,3,FALSE)," ")</f>
        <v>885</v>
      </c>
      <c r="C249" t="s" s="79">
        <f>_xlfn.IFERROR(VLOOKUP($A249,'The List'!$B1:$AS730,4,FALSE)," ")</f>
        <v>885</v>
      </c>
      <c r="D249" t="s" s="42">
        <f>_xlfn.IFERROR(VLOOKUP($A249,'The List'!$B1:$AS730,5,FALSE)," ")</f>
        <v>885</v>
      </c>
      <c r="E249" t="s" s="42">
        <f>_xlfn.IFERROR(VLOOKUP($A249,'The List'!$B1:$AS730,6,FALSE)," ")</f>
        <v>885</v>
      </c>
      <c r="F249" t="s" s="60">
        <f>_xlfn.IFERROR(VLOOKUP($A249,'The List'!$B1:$AS730,8,FALSE)," ")</f>
        <v>885</v>
      </c>
      <c r="G249" t="s" s="60">
        <f>_xlfn.IFERROR(VLOOKUP($A249,'The List'!$B1:$AS730,10,FALSE)," ")</f>
        <v>885</v>
      </c>
      <c r="H249" s="46"/>
      <c r="I249" t="s" s="61">
        <f>_xlfn.IFERROR(VLOOKUP($A249,'The List'!$B1:$AS730,16,FALSE)," ")</f>
        <v>885</v>
      </c>
      <c r="J249" t="s" s="61">
        <f>_xlfn.IFERROR(VLOOKUP($A249,'The List'!$B1:$AS730,17,FALSE)," ")</f>
        <v>885</v>
      </c>
      <c r="K249" t="s" s="61">
        <f>_xlfn.IFERROR(VLOOKUP($A249,'The List'!$B1:$AS730,18,FALSE)," ")</f>
        <v>885</v>
      </c>
      <c r="L249" t="s" s="61">
        <f>_xlfn.IFERROR(VLOOKUP($A249,'The List'!$B1:$AS730,19,FALSE)," ")</f>
        <v>885</v>
      </c>
      <c r="M249" t="s" s="61">
        <f>_xlfn.IFERROR(VLOOKUP($A249,'The List'!$B1:$AS730,20,FALSE)," ")</f>
        <v>885</v>
      </c>
      <c r="N249" t="s" s="61">
        <f>_xlfn.IFERROR(VLOOKUP($A249,'The List'!$B1:$AS730,21,FALSE)," ")</f>
        <v>885</v>
      </c>
      <c r="O249" t="s" s="61">
        <f>_xlfn.IFERROR(VLOOKUP($A249,'The List'!$B1:$AS730,22,FALSE)," ")</f>
        <v>885</v>
      </c>
      <c r="P249" t="s" s="61">
        <f>_xlfn.IFERROR(VLOOKUP($A249,'The List'!$B1:$AS730,23,FALSE)," ")</f>
        <v>885</v>
      </c>
      <c r="Q249" t="s" s="61">
        <f>_xlfn.IFERROR(VLOOKUP($A249,'The List'!$B1:$AS730,24,FALSE)," ")</f>
        <v>885</v>
      </c>
      <c r="R249" t="s" s="61">
        <f>_xlfn.IFERROR(VLOOKUP($A249,'The List'!$B1:$AS730,25,FALSE)," ")</f>
        <v>885</v>
      </c>
      <c r="S249" t="s" s="61">
        <f>_xlfn.IFERROR(VLOOKUP($A249,'The List'!$B1:$AS730,26,FALSE)," ")</f>
        <v>885</v>
      </c>
      <c r="T249" t="s" s="61">
        <f>_xlfn.IFERROR(VLOOKUP($A249,'The List'!$B1:$AS730,27,FALSE)," ")</f>
        <v>885</v>
      </c>
      <c r="U249" t="s" s="61">
        <f>_xlfn.IFERROR(VLOOKUP($A249,'The List'!$B1:$AS730,28,FALSE)," ")</f>
        <v>885</v>
      </c>
      <c r="V249" t="s" s="61">
        <f>_xlfn.IFERROR(VLOOKUP($A249,'The List'!$B1:$AS730,29,FALSE)," ")</f>
        <v>885</v>
      </c>
      <c r="W249" t="s" s="61">
        <f>_xlfn.IFERROR(VLOOKUP($A249,'The List'!$B1:$AS730,30,FALSE)," ")</f>
        <v>885</v>
      </c>
      <c r="X249" t="s" s="61">
        <f>_xlfn.IFERROR(VLOOKUP($A249,'The List'!$B1:$AS730,31,FALSE)," ")</f>
        <v>885</v>
      </c>
      <c r="Y249" t="s" s="61">
        <f>_xlfn.IFERROR(VLOOKUP($A249,'The List'!$B1:$AS730,32,FALSE)," ")</f>
        <v>885</v>
      </c>
      <c r="Z249" t="s" s="61">
        <f>_xlfn.IFERROR(VLOOKUP($A249,'The List'!$B1:$AS730,33,FALSE)," ")</f>
        <v>885</v>
      </c>
      <c r="AA249" s="64"/>
      <c r="AB249" s="69"/>
      <c r="AC249" s="69"/>
      <c r="AD249" s="69"/>
      <c r="AE249" s="69"/>
      <c r="AF249" s="69"/>
    </row>
    <row r="250" ht="21.25" customHeight="1">
      <c r="A250" s="29"/>
      <c r="B250" t="s" s="77">
        <f>_xlfn.IFERROR(VLOOKUP($A250,'The List'!$B1:$AS730,3,FALSE)," ")</f>
        <v>885</v>
      </c>
      <c r="C250" t="s" s="79">
        <f>_xlfn.IFERROR(VLOOKUP($A250,'The List'!$B1:$AS730,4,FALSE)," ")</f>
        <v>885</v>
      </c>
      <c r="D250" t="s" s="42">
        <f>_xlfn.IFERROR(VLOOKUP($A250,'The List'!$B1:$AS730,5,FALSE)," ")</f>
        <v>885</v>
      </c>
      <c r="E250" t="s" s="42">
        <f>_xlfn.IFERROR(VLOOKUP($A250,'The List'!$B1:$AS730,6,FALSE)," ")</f>
        <v>885</v>
      </c>
      <c r="F250" t="s" s="60">
        <f>_xlfn.IFERROR(VLOOKUP($A250,'The List'!$B1:$AS730,8,FALSE)," ")</f>
        <v>885</v>
      </c>
      <c r="G250" t="s" s="60">
        <f>_xlfn.IFERROR(VLOOKUP($A250,'The List'!$B1:$AS730,10,FALSE)," ")</f>
        <v>885</v>
      </c>
      <c r="H250" s="46"/>
      <c r="I250" t="s" s="61">
        <f>_xlfn.IFERROR(VLOOKUP($A250,'The List'!$B1:$AS730,16,FALSE)," ")</f>
        <v>885</v>
      </c>
      <c r="J250" t="s" s="61">
        <f>_xlfn.IFERROR(VLOOKUP($A250,'The List'!$B1:$AS730,17,FALSE)," ")</f>
        <v>885</v>
      </c>
      <c r="K250" t="s" s="61">
        <f>_xlfn.IFERROR(VLOOKUP($A250,'The List'!$B1:$AS730,18,FALSE)," ")</f>
        <v>885</v>
      </c>
      <c r="L250" t="s" s="61">
        <f>_xlfn.IFERROR(VLOOKUP($A250,'The List'!$B1:$AS730,19,FALSE)," ")</f>
        <v>885</v>
      </c>
      <c r="M250" t="s" s="61">
        <f>_xlfn.IFERROR(VLOOKUP($A250,'The List'!$B1:$AS730,20,FALSE)," ")</f>
        <v>885</v>
      </c>
      <c r="N250" t="s" s="61">
        <f>_xlfn.IFERROR(VLOOKUP($A250,'The List'!$B1:$AS730,21,FALSE)," ")</f>
        <v>885</v>
      </c>
      <c r="O250" t="s" s="61">
        <f>_xlfn.IFERROR(VLOOKUP($A250,'The List'!$B1:$AS730,22,FALSE)," ")</f>
        <v>885</v>
      </c>
      <c r="P250" t="s" s="61">
        <f>_xlfn.IFERROR(VLOOKUP($A250,'The List'!$B1:$AS730,23,FALSE)," ")</f>
        <v>885</v>
      </c>
      <c r="Q250" t="s" s="61">
        <f>_xlfn.IFERROR(VLOOKUP($A250,'The List'!$B1:$AS730,24,FALSE)," ")</f>
        <v>885</v>
      </c>
      <c r="R250" t="s" s="61">
        <f>_xlfn.IFERROR(VLOOKUP($A250,'The List'!$B1:$AS730,25,FALSE)," ")</f>
        <v>885</v>
      </c>
      <c r="S250" t="s" s="61">
        <f>_xlfn.IFERROR(VLOOKUP($A250,'The List'!$B1:$AS730,26,FALSE)," ")</f>
        <v>885</v>
      </c>
      <c r="T250" t="s" s="61">
        <f>_xlfn.IFERROR(VLOOKUP($A250,'The List'!$B1:$AS730,27,FALSE)," ")</f>
        <v>885</v>
      </c>
      <c r="U250" t="s" s="61">
        <f>_xlfn.IFERROR(VLOOKUP($A250,'The List'!$B1:$AS730,28,FALSE)," ")</f>
        <v>885</v>
      </c>
      <c r="V250" t="s" s="61">
        <f>_xlfn.IFERROR(VLOOKUP($A250,'The List'!$B1:$AS730,29,FALSE)," ")</f>
        <v>885</v>
      </c>
      <c r="W250" t="s" s="61">
        <f>_xlfn.IFERROR(VLOOKUP($A250,'The List'!$B1:$AS730,30,FALSE)," ")</f>
        <v>885</v>
      </c>
      <c r="X250" t="s" s="61">
        <f>_xlfn.IFERROR(VLOOKUP($A250,'The List'!$B1:$AS730,31,FALSE)," ")</f>
        <v>885</v>
      </c>
      <c r="Y250" t="s" s="61">
        <f>_xlfn.IFERROR(VLOOKUP($A250,'The List'!$B1:$AS730,32,FALSE)," ")</f>
        <v>885</v>
      </c>
      <c r="Z250" t="s" s="61">
        <f>_xlfn.IFERROR(VLOOKUP($A250,'The List'!$B1:$AS730,33,FALSE)," ")</f>
        <v>885</v>
      </c>
      <c r="AA250" s="64"/>
      <c r="AB250" s="69"/>
      <c r="AC250" s="69"/>
      <c r="AD250" s="69"/>
      <c r="AE250" s="69"/>
      <c r="AF250" s="69"/>
    </row>
    <row r="251" ht="21.25" customHeight="1">
      <c r="A251" s="29"/>
      <c r="B251" t="s" s="77">
        <f>_xlfn.IFERROR(VLOOKUP($A251,'The List'!$B1:$AS730,3,FALSE)," ")</f>
        <v>885</v>
      </c>
      <c r="C251" t="s" s="79">
        <f>_xlfn.IFERROR(VLOOKUP($A251,'The List'!$B1:$AS730,4,FALSE)," ")</f>
        <v>885</v>
      </c>
      <c r="D251" t="s" s="42">
        <f>_xlfn.IFERROR(VLOOKUP($A251,'The List'!$B1:$AS730,5,FALSE)," ")</f>
        <v>885</v>
      </c>
      <c r="E251" t="s" s="42">
        <f>_xlfn.IFERROR(VLOOKUP($A251,'The List'!$B1:$AS730,6,FALSE)," ")</f>
        <v>885</v>
      </c>
      <c r="F251" t="s" s="60">
        <f>_xlfn.IFERROR(VLOOKUP($A251,'The List'!$B1:$AS730,8,FALSE)," ")</f>
        <v>885</v>
      </c>
      <c r="G251" t="s" s="60">
        <f>_xlfn.IFERROR(VLOOKUP($A251,'The List'!$B1:$AS730,10,FALSE)," ")</f>
        <v>885</v>
      </c>
      <c r="H251" s="46"/>
      <c r="I251" t="s" s="61">
        <f>_xlfn.IFERROR(VLOOKUP($A251,'The List'!$B1:$AS730,16,FALSE)," ")</f>
        <v>885</v>
      </c>
      <c r="J251" t="s" s="61">
        <f>_xlfn.IFERROR(VLOOKUP($A251,'The List'!$B1:$AS730,17,FALSE)," ")</f>
        <v>885</v>
      </c>
      <c r="K251" t="s" s="61">
        <f>_xlfn.IFERROR(VLOOKUP($A251,'The List'!$B1:$AS730,18,FALSE)," ")</f>
        <v>885</v>
      </c>
      <c r="L251" t="s" s="61">
        <f>_xlfn.IFERROR(VLOOKUP($A251,'The List'!$B1:$AS730,19,FALSE)," ")</f>
        <v>885</v>
      </c>
      <c r="M251" t="s" s="61">
        <f>_xlfn.IFERROR(VLOOKUP($A251,'The List'!$B1:$AS730,20,FALSE)," ")</f>
        <v>885</v>
      </c>
      <c r="N251" t="s" s="61">
        <f>_xlfn.IFERROR(VLOOKUP($A251,'The List'!$B1:$AS730,21,FALSE)," ")</f>
        <v>885</v>
      </c>
      <c r="O251" t="s" s="61">
        <f>_xlfn.IFERROR(VLOOKUP($A251,'The List'!$B1:$AS730,22,FALSE)," ")</f>
        <v>885</v>
      </c>
      <c r="P251" t="s" s="61">
        <f>_xlfn.IFERROR(VLOOKUP($A251,'The List'!$B1:$AS730,23,FALSE)," ")</f>
        <v>885</v>
      </c>
      <c r="Q251" t="s" s="61">
        <f>_xlfn.IFERROR(VLOOKUP($A251,'The List'!$B1:$AS730,24,FALSE)," ")</f>
        <v>885</v>
      </c>
      <c r="R251" t="s" s="61">
        <f>_xlfn.IFERROR(VLOOKUP($A251,'The List'!$B1:$AS730,25,FALSE)," ")</f>
        <v>885</v>
      </c>
      <c r="S251" t="s" s="61">
        <f>_xlfn.IFERROR(VLOOKUP($A251,'The List'!$B1:$AS730,26,FALSE)," ")</f>
        <v>885</v>
      </c>
      <c r="T251" t="s" s="61">
        <f>_xlfn.IFERROR(VLOOKUP($A251,'The List'!$B1:$AS730,27,FALSE)," ")</f>
        <v>885</v>
      </c>
      <c r="U251" t="s" s="61">
        <f>_xlfn.IFERROR(VLOOKUP($A251,'The List'!$B1:$AS730,28,FALSE)," ")</f>
        <v>885</v>
      </c>
      <c r="V251" t="s" s="61">
        <f>_xlfn.IFERROR(VLOOKUP($A251,'The List'!$B1:$AS730,29,FALSE)," ")</f>
        <v>885</v>
      </c>
      <c r="W251" t="s" s="61">
        <f>_xlfn.IFERROR(VLOOKUP($A251,'The List'!$B1:$AS730,30,FALSE)," ")</f>
        <v>885</v>
      </c>
      <c r="X251" t="s" s="61">
        <f>_xlfn.IFERROR(VLOOKUP($A251,'The List'!$B1:$AS730,31,FALSE)," ")</f>
        <v>885</v>
      </c>
      <c r="Y251" t="s" s="61">
        <f>_xlfn.IFERROR(VLOOKUP($A251,'The List'!$B1:$AS730,32,FALSE)," ")</f>
        <v>885</v>
      </c>
      <c r="Z251" t="s" s="61">
        <f>_xlfn.IFERROR(VLOOKUP($A251,'The List'!$B1:$AS730,33,FALSE)," ")</f>
        <v>885</v>
      </c>
      <c r="AA251" s="64"/>
      <c r="AB251" s="69"/>
      <c r="AC251" s="69"/>
      <c r="AD251" s="69"/>
      <c r="AE251" s="69"/>
      <c r="AF251" s="69"/>
    </row>
    <row r="252" ht="21.25" customHeight="1">
      <c r="A252" s="29"/>
      <c r="B252" t="s" s="77">
        <f>_xlfn.IFERROR(VLOOKUP($A252,'The List'!$B1:$AS730,3,FALSE)," ")</f>
        <v>885</v>
      </c>
      <c r="C252" t="s" s="79">
        <f>_xlfn.IFERROR(VLOOKUP($A252,'The List'!$B1:$AS730,4,FALSE)," ")</f>
        <v>885</v>
      </c>
      <c r="D252" t="s" s="42">
        <f>_xlfn.IFERROR(VLOOKUP($A252,'The List'!$B1:$AS730,5,FALSE)," ")</f>
        <v>885</v>
      </c>
      <c r="E252" t="s" s="42">
        <f>_xlfn.IFERROR(VLOOKUP($A252,'The List'!$B1:$AS730,6,FALSE)," ")</f>
        <v>885</v>
      </c>
      <c r="F252" t="s" s="60">
        <f>_xlfn.IFERROR(VLOOKUP($A252,'The List'!$B1:$AS730,8,FALSE)," ")</f>
        <v>885</v>
      </c>
      <c r="G252" t="s" s="60">
        <f>_xlfn.IFERROR(VLOOKUP($A252,'The List'!$B1:$AS730,10,FALSE)," ")</f>
        <v>885</v>
      </c>
      <c r="H252" s="46"/>
      <c r="I252" t="s" s="61">
        <f>_xlfn.IFERROR(VLOOKUP($A252,'The List'!$B1:$AS730,16,FALSE)," ")</f>
        <v>885</v>
      </c>
      <c r="J252" t="s" s="61">
        <f>_xlfn.IFERROR(VLOOKUP($A252,'The List'!$B1:$AS730,17,FALSE)," ")</f>
        <v>885</v>
      </c>
      <c r="K252" t="s" s="61">
        <f>_xlfn.IFERROR(VLOOKUP($A252,'The List'!$B1:$AS730,18,FALSE)," ")</f>
        <v>885</v>
      </c>
      <c r="L252" t="s" s="61">
        <f>_xlfn.IFERROR(VLOOKUP($A252,'The List'!$B1:$AS730,19,FALSE)," ")</f>
        <v>885</v>
      </c>
      <c r="M252" t="s" s="61">
        <f>_xlfn.IFERROR(VLOOKUP($A252,'The List'!$B1:$AS730,20,FALSE)," ")</f>
        <v>885</v>
      </c>
      <c r="N252" t="s" s="61">
        <f>_xlfn.IFERROR(VLOOKUP($A252,'The List'!$B1:$AS730,21,FALSE)," ")</f>
        <v>885</v>
      </c>
      <c r="O252" t="s" s="61">
        <f>_xlfn.IFERROR(VLOOKUP($A252,'The List'!$B1:$AS730,22,FALSE)," ")</f>
        <v>885</v>
      </c>
      <c r="P252" t="s" s="61">
        <f>_xlfn.IFERROR(VLOOKUP($A252,'The List'!$B1:$AS730,23,FALSE)," ")</f>
        <v>885</v>
      </c>
      <c r="Q252" t="s" s="61">
        <f>_xlfn.IFERROR(VLOOKUP($A252,'The List'!$B1:$AS730,24,FALSE)," ")</f>
        <v>885</v>
      </c>
      <c r="R252" t="s" s="61">
        <f>_xlfn.IFERROR(VLOOKUP($A252,'The List'!$B1:$AS730,25,FALSE)," ")</f>
        <v>885</v>
      </c>
      <c r="S252" t="s" s="61">
        <f>_xlfn.IFERROR(VLOOKUP($A252,'The List'!$B1:$AS730,26,FALSE)," ")</f>
        <v>885</v>
      </c>
      <c r="T252" t="s" s="61">
        <f>_xlfn.IFERROR(VLOOKUP($A252,'The List'!$B1:$AS730,27,FALSE)," ")</f>
        <v>885</v>
      </c>
      <c r="U252" t="s" s="61">
        <f>_xlfn.IFERROR(VLOOKUP($A252,'The List'!$B1:$AS730,28,FALSE)," ")</f>
        <v>885</v>
      </c>
      <c r="V252" t="s" s="61">
        <f>_xlfn.IFERROR(VLOOKUP($A252,'The List'!$B1:$AS730,29,FALSE)," ")</f>
        <v>885</v>
      </c>
      <c r="W252" t="s" s="61">
        <f>_xlfn.IFERROR(VLOOKUP($A252,'The List'!$B1:$AS730,30,FALSE)," ")</f>
        <v>885</v>
      </c>
      <c r="X252" t="s" s="61">
        <f>_xlfn.IFERROR(VLOOKUP($A252,'The List'!$B1:$AS730,31,FALSE)," ")</f>
        <v>885</v>
      </c>
      <c r="Y252" t="s" s="61">
        <f>_xlfn.IFERROR(VLOOKUP($A252,'The List'!$B1:$AS730,32,FALSE)," ")</f>
        <v>885</v>
      </c>
      <c r="Z252" t="s" s="61">
        <f>_xlfn.IFERROR(VLOOKUP($A252,'The List'!$B1:$AS730,33,FALSE)," ")</f>
        <v>885</v>
      </c>
      <c r="AA252" s="64"/>
      <c r="AB252" s="69"/>
      <c r="AC252" s="69"/>
      <c r="AD252" s="69"/>
      <c r="AE252" s="69"/>
      <c r="AF252" s="69"/>
    </row>
    <row r="253" ht="21.25" customHeight="1">
      <c r="A253" s="81"/>
      <c r="B253" t="s" s="82">
        <f>_xlfn.IFERROR(VLOOKUP($A253,'The List'!$B1:$AS730,3,FALSE)," ")</f>
        <v>885</v>
      </c>
      <c r="C253" t="s" s="83">
        <f>_xlfn.IFERROR(VLOOKUP($A253,'The List'!$B1:$AS730,4,FALSE)," ")</f>
        <v>885</v>
      </c>
      <c r="D253" t="s" s="84">
        <f>_xlfn.IFERROR(VLOOKUP($A253,'The List'!$B1:$AS730,5,FALSE)," ")</f>
        <v>885</v>
      </c>
      <c r="E253" t="s" s="84">
        <f>_xlfn.IFERROR(VLOOKUP($A253,'The List'!$B1:$AS730,6,FALSE)," ")</f>
        <v>885</v>
      </c>
      <c r="F253" t="s" s="85">
        <f>_xlfn.IFERROR(VLOOKUP($A253,'The List'!$B1:$AS730,8,FALSE)," ")</f>
        <v>885</v>
      </c>
      <c r="G253" t="s" s="85">
        <f>_xlfn.IFERROR(VLOOKUP($A253,'The List'!$B1:$AS730,10,FALSE)," ")</f>
        <v>885</v>
      </c>
      <c r="H253" s="86"/>
      <c r="I253" t="s" s="87">
        <f>_xlfn.IFERROR(VLOOKUP($A253,'The List'!$B1:$AS730,16,FALSE)," ")</f>
        <v>885</v>
      </c>
      <c r="J253" t="s" s="87">
        <f>_xlfn.IFERROR(VLOOKUP($A253,'The List'!$B1:$AS730,17,FALSE)," ")</f>
        <v>885</v>
      </c>
      <c r="K253" t="s" s="87">
        <f>_xlfn.IFERROR(VLOOKUP($A253,'The List'!$B1:$AS730,18,FALSE)," ")</f>
        <v>885</v>
      </c>
      <c r="L253" t="s" s="87">
        <f>_xlfn.IFERROR(VLOOKUP($A253,'The List'!$B1:$AS730,19,FALSE)," ")</f>
        <v>885</v>
      </c>
      <c r="M253" t="s" s="87">
        <f>_xlfn.IFERROR(VLOOKUP($A253,'The List'!$B1:$AS730,20,FALSE)," ")</f>
        <v>885</v>
      </c>
      <c r="N253" t="s" s="87">
        <f>_xlfn.IFERROR(VLOOKUP($A253,'The List'!$B1:$AS730,21,FALSE)," ")</f>
        <v>885</v>
      </c>
      <c r="O253" t="s" s="87">
        <f>_xlfn.IFERROR(VLOOKUP($A253,'The List'!$B1:$AS730,22,FALSE)," ")</f>
        <v>885</v>
      </c>
      <c r="P253" t="s" s="87">
        <f>_xlfn.IFERROR(VLOOKUP($A253,'The List'!$B1:$AS730,23,FALSE)," ")</f>
        <v>885</v>
      </c>
      <c r="Q253" t="s" s="87">
        <f>_xlfn.IFERROR(VLOOKUP($A253,'The List'!$B1:$AS730,24,FALSE)," ")</f>
        <v>885</v>
      </c>
      <c r="R253" t="s" s="87">
        <f>_xlfn.IFERROR(VLOOKUP($A253,'The List'!$B1:$AS730,25,FALSE)," ")</f>
        <v>885</v>
      </c>
      <c r="S253" t="s" s="87">
        <f>_xlfn.IFERROR(VLOOKUP($A253,'The List'!$B1:$AS730,26,FALSE)," ")</f>
        <v>885</v>
      </c>
      <c r="T253" t="s" s="87">
        <f>_xlfn.IFERROR(VLOOKUP($A253,'The List'!$B1:$AS730,27,FALSE)," ")</f>
        <v>885</v>
      </c>
      <c r="U253" t="s" s="87">
        <f>_xlfn.IFERROR(VLOOKUP($A253,'The List'!$B1:$AS730,28,FALSE)," ")</f>
        <v>885</v>
      </c>
      <c r="V253" t="s" s="87">
        <f>_xlfn.IFERROR(VLOOKUP($A253,'The List'!$B1:$AS730,29,FALSE)," ")</f>
        <v>885</v>
      </c>
      <c r="W253" t="s" s="87">
        <f>_xlfn.IFERROR(VLOOKUP($A253,'The List'!$B1:$AS730,30,FALSE)," ")</f>
        <v>885</v>
      </c>
      <c r="X253" t="s" s="87">
        <f>_xlfn.IFERROR(VLOOKUP($A253,'The List'!$B1:$AS730,31,FALSE)," ")</f>
        <v>885</v>
      </c>
      <c r="Y253" t="s" s="87">
        <f>_xlfn.IFERROR(VLOOKUP($A253,'The List'!$B1:$AS730,32,FALSE)," ")</f>
        <v>885</v>
      </c>
      <c r="Z253" t="s" s="87">
        <f>_xlfn.IFERROR(VLOOKUP($A253,'The List'!$B1:$AS730,33,FALSE)," ")</f>
        <v>885</v>
      </c>
      <c r="AA253" s="64"/>
      <c r="AB253" s="69"/>
      <c r="AC253" s="69"/>
      <c r="AD253" s="69"/>
      <c r="AE253" s="69"/>
      <c r="AF253" s="69"/>
    </row>
    <row r="254" ht="21.25" customHeight="1">
      <c r="A254" s="88"/>
      <c r="B254" s="89"/>
      <c r="C254" s="90"/>
      <c r="D254" s="91"/>
      <c r="E254" t="s" s="127">
        <f>_xlfn.IFERROR(AVERAGE(E234:E253)," ")</f>
        <v>885</v>
      </c>
      <c r="F254" s="93">
        <f>SUM(F234:F253)</f>
        <v>0</v>
      </c>
      <c r="G254" s="93">
        <f>SUM(G234:G253)</f>
        <v>0</v>
      </c>
      <c r="H254" s="94"/>
      <c r="I254" s="95">
        <f>SUM(I234:I253)</f>
        <v>0</v>
      </c>
      <c r="J254" s="94">
        <f>AVERAGE(J234:J253)</f>
      </c>
      <c r="K254" s="95">
        <f>SUM(K234:K253)</f>
        <v>0</v>
      </c>
      <c r="L254" s="95">
        <f>SUM(L234:L253)</f>
        <v>0</v>
      </c>
      <c r="M254" s="95">
        <f>SUM(M234:M253)</f>
        <v>0</v>
      </c>
      <c r="N254" s="95">
        <f>SUM(N234:N253)</f>
        <v>0</v>
      </c>
      <c r="O254" s="95">
        <f>SUM(O234:O253)</f>
        <v>0</v>
      </c>
      <c r="P254" s="95">
        <f>SUM(P234:P253)</f>
        <v>0</v>
      </c>
      <c r="Q254" s="95">
        <f>SUM(Q234:Q253)</f>
        <v>0</v>
      </c>
      <c r="R254" s="95">
        <f>SUM(R234:R253)</f>
        <v>0</v>
      </c>
      <c r="S254" s="95">
        <f>SUM(S234:S253)</f>
        <v>0</v>
      </c>
      <c r="T254" s="95">
        <f>SUM(T234:T253)</f>
        <v>0</v>
      </c>
      <c r="U254" s="95">
        <f>SUM(U234:U253)</f>
        <v>0</v>
      </c>
      <c r="V254" s="95">
        <f>SUM(V234:V253)</f>
        <v>0</v>
      </c>
      <c r="W254" s="95">
        <f>SUM(W234:W253)</f>
        <v>0</v>
      </c>
      <c r="X254" s="95">
        <f>SUM(X234:X253)</f>
        <v>0</v>
      </c>
      <c r="Y254" s="95">
        <f>SUM(Y234:Y253)</f>
        <v>0</v>
      </c>
      <c r="Z254" s="96">
        <f>_xlfn.IFERROR(X254/(X254+Y254),0)</f>
        <v>0</v>
      </c>
      <c r="AA254" s="64"/>
      <c r="AB254" s="97"/>
      <c r="AC254" s="97"/>
      <c r="AD254" s="97"/>
      <c r="AE254" s="97"/>
      <c r="AF254" s="97"/>
    </row>
    <row r="255" ht="21.25" customHeight="1">
      <c r="A255" s="98"/>
      <c r="B255" s="99"/>
      <c r="C255" s="100"/>
      <c r="D255" s="11"/>
      <c r="E255" s="11"/>
      <c r="F255" s="101"/>
      <c r="G255" s="102"/>
      <c r="H255" s="103"/>
      <c r="I255" s="10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9"/>
      <c r="AC255" s="69"/>
      <c r="AD255" s="69"/>
      <c r="AE255" s="69"/>
      <c r="AF255" s="69"/>
    </row>
    <row r="256" ht="21.25" customHeight="1">
      <c r="A256" t="s" s="31">
        <v>66</v>
      </c>
      <c r="B256" t="s" s="105">
        <v>68</v>
      </c>
      <c r="C256" s="19"/>
      <c r="D256" t="s" s="105">
        <v>69</v>
      </c>
      <c r="E256" t="s" s="105">
        <v>70</v>
      </c>
      <c r="F256" t="s" s="106">
        <v>72</v>
      </c>
      <c r="G256" t="s" s="106">
        <v>74</v>
      </c>
      <c r="H256" s="107"/>
      <c r="I256" t="s" s="108">
        <v>79</v>
      </c>
      <c r="J256" t="s" s="108">
        <v>97</v>
      </c>
      <c r="K256" t="s" s="108">
        <v>98</v>
      </c>
      <c r="L256" t="s" s="108">
        <v>99</v>
      </c>
      <c r="M256" t="s" s="108">
        <v>100</v>
      </c>
      <c r="N256" t="s" s="108">
        <v>101</v>
      </c>
      <c r="O256" t="s" s="108">
        <v>102</v>
      </c>
      <c r="P256" t="s" s="108">
        <v>103</v>
      </c>
      <c r="Q256" t="s" s="108">
        <v>104</v>
      </c>
      <c r="R256" s="64"/>
      <c r="S256" s="64"/>
      <c r="T256" s="64"/>
      <c r="U256" t="s" s="105">
        <v>901</v>
      </c>
      <c r="V256" s="107"/>
      <c r="W256" s="107"/>
      <c r="X256" t="s" s="105">
        <v>902</v>
      </c>
      <c r="Y256" s="107"/>
      <c r="Z256" s="107"/>
      <c r="AA256" s="64"/>
      <c r="AB256" s="64"/>
      <c r="AC256" s="64"/>
      <c r="AD256" s="64"/>
      <c r="AE256" s="64"/>
      <c r="AF256" s="64"/>
    </row>
    <row r="257" ht="21.25" customHeight="1">
      <c r="A257" s="128"/>
      <c r="B257" t="s" s="110">
        <f>_xlfn.IFERROR(VLOOKUP($A257,'The List'!$B1:$AS730,3,FALSE)," ")</f>
        <v>885</v>
      </c>
      <c r="C257" t="s" s="129">
        <f>_xlfn.IFERROR(VLOOKUP($A257,'The List'!$B1:$AS730,4,FALSE)," ")</f>
        <v>885</v>
      </c>
      <c r="D257" t="s" s="112">
        <f>_xlfn.IFERROR(VLOOKUP($A257,'The List'!$B1:$AS730,5,FALSE)," ")</f>
        <v>885</v>
      </c>
      <c r="E257" t="s" s="112">
        <f>_xlfn.IFERROR(VLOOKUP($A257,'The List'!$B1:$AS730,6,FALSE)," ")</f>
        <v>885</v>
      </c>
      <c r="F257" t="s" s="130">
        <f>_xlfn.IFERROR(VLOOKUP($A257,'The List'!$B1:$AS730,8,FALSE)," ")</f>
        <v>885</v>
      </c>
      <c r="G257" t="s" s="130">
        <f>_xlfn.IFERROR(VLOOKUP($A257,'The List'!$B1:$AS730,10,FALSE)," ")</f>
        <v>885</v>
      </c>
      <c r="H257" s="115"/>
      <c r="I257" t="s" s="131">
        <f>_xlfn.IFERROR(VLOOKUP($A257,'The List'!$B1:$AS730,35,FALSE)," ")</f>
        <v>885</v>
      </c>
      <c r="J257" t="s" s="131">
        <f>_xlfn.IFERROR(VLOOKUP($A257,'The List'!$B1:$AS730,36,FALSE)," ")</f>
        <v>885</v>
      </c>
      <c r="K257" t="s" s="131">
        <f>_xlfn.IFERROR(VLOOKUP($A257,'The List'!$B1:$AS730,37,FALSE)," ")</f>
        <v>885</v>
      </c>
      <c r="L257" t="s" s="131">
        <f>_xlfn.IFERROR(VLOOKUP($A257,'The List'!$B1:$AS730,38,FALSE)," ")</f>
        <v>885</v>
      </c>
      <c r="M257" t="s" s="131">
        <f>_xlfn.IFERROR(VLOOKUP($A257,'The List'!$B1:$AS730,39,FALSE)," ")</f>
        <v>885</v>
      </c>
      <c r="N257" t="s" s="131">
        <f>_xlfn.IFERROR(VLOOKUP($A257,'The List'!$B1:$AS730,40,FALSE)," ")</f>
        <v>885</v>
      </c>
      <c r="O257" t="s" s="131">
        <f>_xlfn.IFERROR(VLOOKUP($A257,'The List'!$B1:$AS730,41,FALSE)," ")</f>
        <v>885</v>
      </c>
      <c r="P257" t="s" s="131">
        <f>_xlfn.IFERROR(VLOOKUP($A257,'The List'!$B1:$AS730,42,FALSE)," ")</f>
        <v>885</v>
      </c>
      <c r="Q257" t="s" s="131">
        <f>_xlfn.IFERROR(VLOOKUP($A257,'The List'!$B1:$AS730,43,FALSE)," ")</f>
        <v>885</v>
      </c>
      <c r="R257" s="64"/>
      <c r="S257" s="64"/>
      <c r="T257" t="s" s="119">
        <f>A233</f>
        <v>911</v>
      </c>
      <c r="U257" s="120">
        <f>F254+F260</f>
        <v>0</v>
      </c>
      <c r="V257" s="19"/>
      <c r="W257" s="19"/>
      <c r="X257" s="120">
        <f>G260+G254</f>
        <v>0</v>
      </c>
      <c r="Y257" s="19"/>
      <c r="Z257" s="19"/>
      <c r="AA257" s="64"/>
      <c r="AB257" s="64"/>
      <c r="AC257" s="64"/>
      <c r="AD257" s="64"/>
      <c r="AE257" s="64"/>
      <c r="AF257" s="64"/>
    </row>
    <row r="258" ht="21.25" customHeight="1">
      <c r="A258" s="29"/>
      <c r="B258" t="s" s="121">
        <f>_xlfn.IFERROR(VLOOKUP($A258,'The List'!$B1:$AS730,3,FALSE)," ")</f>
        <v>885</v>
      </c>
      <c r="C258" t="s" s="122">
        <f>_xlfn.IFERROR(VLOOKUP($A258,'The List'!$B1:$AS730,4,FALSE)," ")</f>
        <v>885</v>
      </c>
      <c r="D258" t="s" s="42">
        <f>_xlfn.IFERROR(VLOOKUP($A258,'The List'!$B1:$AS730,5,FALSE)," ")</f>
        <v>885</v>
      </c>
      <c r="E258" t="s" s="42">
        <f>_xlfn.IFERROR(VLOOKUP($A258,'The List'!$B1:$AS730,6,FALSE)," ")</f>
        <v>885</v>
      </c>
      <c r="F258" t="s" s="60">
        <f>_xlfn.IFERROR(VLOOKUP($A258,'The List'!$B1:$AS730,8,FALSE)," ")</f>
        <v>885</v>
      </c>
      <c r="G258" t="s" s="60">
        <f>_xlfn.IFERROR(VLOOKUP($A258,'The List'!$B1:$AS730,10,FALSE)," ")</f>
        <v>885</v>
      </c>
      <c r="H258" s="46"/>
      <c r="I258" t="s" s="61">
        <f>_xlfn.IFERROR(VLOOKUP($A258,'The List'!$B1:$AS730,35,FALSE)," ")</f>
        <v>885</v>
      </c>
      <c r="J258" t="s" s="61">
        <f>_xlfn.IFERROR(VLOOKUP($A258,'The List'!$B1:$AS730,36,FALSE)," ")</f>
        <v>885</v>
      </c>
      <c r="K258" t="s" s="61">
        <f>_xlfn.IFERROR(VLOOKUP($A258,'The List'!$B1:$AS730,37,FALSE)," ")</f>
        <v>885</v>
      </c>
      <c r="L258" t="s" s="61">
        <f>_xlfn.IFERROR(VLOOKUP($A258,'The List'!$B1:$AS730,38,FALSE)," ")</f>
        <v>885</v>
      </c>
      <c r="M258" t="s" s="61">
        <f>_xlfn.IFERROR(VLOOKUP($A258,'The List'!$B1:$AS730,39,FALSE)," ")</f>
        <v>885</v>
      </c>
      <c r="N258" t="s" s="61">
        <f>_xlfn.IFERROR(VLOOKUP($A258,'The List'!$B1:$AS730,40,FALSE)," ")</f>
        <v>885</v>
      </c>
      <c r="O258" t="s" s="61">
        <f>_xlfn.IFERROR(VLOOKUP($A258,'The List'!$B1:$AS730,41,FALSE)," ")</f>
        <v>885</v>
      </c>
      <c r="P258" t="s" s="61">
        <f>_xlfn.IFERROR(VLOOKUP($A258,'The List'!$B1:$AS730,42,FALSE)," ")</f>
        <v>885</v>
      </c>
      <c r="Q258" t="s" s="61">
        <f>_xlfn.IFERROR(VLOOKUP($A258,'The List'!$B1:$AS730,43,FALSE)," ")</f>
        <v>885</v>
      </c>
      <c r="R258" s="64"/>
      <c r="S258" s="64"/>
      <c r="T258" s="64"/>
      <c r="U258" s="19"/>
      <c r="V258" s="19"/>
      <c r="W258" s="19"/>
      <c r="X258" s="19"/>
      <c r="Y258" s="19"/>
      <c r="Z258" s="19"/>
      <c r="AA258" s="64"/>
      <c r="AB258" s="64"/>
      <c r="AC258" s="64"/>
      <c r="AD258" s="64"/>
      <c r="AE258" s="64"/>
      <c r="AF258" s="64"/>
    </row>
    <row r="259" ht="21.25" customHeight="1">
      <c r="A259" s="81"/>
      <c r="B259" t="s" s="123">
        <f>_xlfn.IFERROR(VLOOKUP($A259,'The List'!$B1:$AS730,3,FALSE)," ")</f>
        <v>885</v>
      </c>
      <c r="C259" t="s" s="124">
        <f>_xlfn.IFERROR(VLOOKUP($A259,'The List'!$B1:$AS730,4,FALSE)," ")</f>
        <v>885</v>
      </c>
      <c r="D259" t="s" s="84">
        <f>_xlfn.IFERROR(VLOOKUP($A259,'The List'!$B1:$AS730,5,FALSE)," ")</f>
        <v>885</v>
      </c>
      <c r="E259" t="s" s="84">
        <f>_xlfn.IFERROR(VLOOKUP($A259,'The List'!$B1:$AS730,6,FALSE)," ")</f>
        <v>885</v>
      </c>
      <c r="F259" t="s" s="85">
        <f>_xlfn.IFERROR(VLOOKUP($A259,'The List'!$B1:$AS730,8,FALSE)," ")</f>
        <v>885</v>
      </c>
      <c r="G259" t="s" s="85">
        <f>_xlfn.IFERROR(VLOOKUP($A259,'The List'!$B1:$AS730,10,FALSE)," ")</f>
        <v>885</v>
      </c>
      <c r="H259" s="86"/>
      <c r="I259" t="s" s="87">
        <f>_xlfn.IFERROR(VLOOKUP($A259,'The List'!$B1:$AS730,35,FALSE)," ")</f>
        <v>885</v>
      </c>
      <c r="J259" t="s" s="87">
        <f>_xlfn.IFERROR(VLOOKUP($A259,'The List'!$B1:$AS730,36,FALSE)," ")</f>
        <v>885</v>
      </c>
      <c r="K259" t="s" s="87">
        <f>_xlfn.IFERROR(VLOOKUP($A259,'The List'!$B1:$AS730,37,FALSE)," ")</f>
        <v>885</v>
      </c>
      <c r="L259" t="s" s="87">
        <f>_xlfn.IFERROR(VLOOKUP($A259,'The List'!$B1:$AS730,38,FALSE)," ")</f>
        <v>885</v>
      </c>
      <c r="M259" t="s" s="87">
        <f>_xlfn.IFERROR(VLOOKUP($A259,'The List'!$B1:$AS730,39,FALSE)," ")</f>
        <v>885</v>
      </c>
      <c r="N259" t="s" s="87">
        <f>_xlfn.IFERROR(VLOOKUP($A259,'The List'!$B1:$AS730,40,FALSE)," ")</f>
        <v>885</v>
      </c>
      <c r="O259" t="s" s="87">
        <f>_xlfn.IFERROR(VLOOKUP($A259,'The List'!$B1:$AS730,41,FALSE)," ")</f>
        <v>885</v>
      </c>
      <c r="P259" t="s" s="87">
        <f>_xlfn.IFERROR(VLOOKUP($A259,'The List'!$B1:$AS730,42,FALSE)," ")</f>
        <v>885</v>
      </c>
      <c r="Q259" t="s" s="87">
        <f>_xlfn.IFERROR(VLOOKUP($A259,'The List'!$B1:$AS730,43,FALSE)," ")</f>
        <v>885</v>
      </c>
      <c r="R259" s="64"/>
      <c r="S259" s="64"/>
      <c r="T259" s="64"/>
      <c r="U259" s="19"/>
      <c r="V259" s="19"/>
      <c r="W259" s="19"/>
      <c r="X259" s="19"/>
      <c r="Y259" s="19"/>
      <c r="Z259" s="19"/>
      <c r="AA259" s="64"/>
      <c r="AB259" s="64"/>
      <c r="AC259" s="64"/>
      <c r="AD259" s="64"/>
      <c r="AE259" s="64"/>
      <c r="AF259" s="64"/>
    </row>
    <row r="260" ht="21.25" customHeight="1">
      <c r="A260" s="88"/>
      <c r="B260" s="89"/>
      <c r="C260" s="90"/>
      <c r="D260" s="91"/>
      <c r="E260" t="s" s="127">
        <f>_xlfn.IFERROR(AVERAGE(E257:E259)," ")</f>
        <v>885</v>
      </c>
      <c r="F260" s="93">
        <f>SUM(F257:F259)</f>
        <v>0</v>
      </c>
      <c r="G260" s="93">
        <f>SUM(G257:G259)</f>
        <v>0</v>
      </c>
      <c r="H260" s="94"/>
      <c r="I260" s="95">
        <f>SUM(I257:I259)</f>
        <v>0</v>
      </c>
      <c r="J260" s="94">
        <f>SUM(J257:J259)</f>
        <v>0</v>
      </c>
      <c r="K260" s="95">
        <f>SUM(K257:K259)</f>
        <v>0</v>
      </c>
      <c r="L260" s="95">
        <f>SUM(L257:L259)</f>
        <v>0</v>
      </c>
      <c r="M260" s="95">
        <f>SUM(M257:M259)</f>
        <v>0</v>
      </c>
      <c r="N260" s="95">
        <f>SUM(N257:N259)</f>
        <v>0</v>
      </c>
      <c r="O260" s="95">
        <f>SUM(O257:O259)</f>
        <v>0</v>
      </c>
      <c r="P260" s="125">
        <f>1-(O260/(N260+O260))</f>
      </c>
      <c r="Q260" s="126">
        <f>O260/I260</f>
      </c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</row>
    <row r="261" ht="70.85" customHeight="1">
      <c r="A261" s="98"/>
      <c r="B261" s="99"/>
      <c r="C261" s="100"/>
      <c r="D261" s="11"/>
      <c r="E261" s="11"/>
      <c r="F261" s="101"/>
      <c r="G261" s="102"/>
      <c r="H261" s="103"/>
      <c r="I261" s="10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9"/>
      <c r="AB261" s="69"/>
      <c r="AC261" s="69"/>
      <c r="AD261" s="69"/>
      <c r="AE261" s="69"/>
      <c r="AF261" s="69"/>
    </row>
    <row r="262" ht="21.25" customHeight="1">
      <c r="A262" t="s" s="32">
        <v>894</v>
      </c>
      <c r="B262" t="s" s="33">
        <v>68</v>
      </c>
      <c r="C262" s="25"/>
      <c r="D262" t="s" s="33">
        <v>69</v>
      </c>
      <c r="E262" t="s" s="33">
        <v>70</v>
      </c>
      <c r="F262" t="s" s="34">
        <v>72</v>
      </c>
      <c r="G262" t="s" s="34">
        <v>74</v>
      </c>
      <c r="H262" s="35"/>
      <c r="I262" t="s" s="37">
        <v>79</v>
      </c>
      <c r="J262" t="s" s="37">
        <v>80</v>
      </c>
      <c r="K262" t="s" s="37">
        <v>81</v>
      </c>
      <c r="L262" t="s" s="37">
        <v>82</v>
      </c>
      <c r="M262" t="s" s="37">
        <v>83</v>
      </c>
      <c r="N262" t="s" s="37">
        <v>84</v>
      </c>
      <c r="O262" t="s" s="37">
        <v>85</v>
      </c>
      <c r="P262" t="s" s="37">
        <v>86</v>
      </c>
      <c r="Q262" t="s" s="37">
        <v>87</v>
      </c>
      <c r="R262" t="s" s="37">
        <v>88</v>
      </c>
      <c r="S262" t="s" s="37">
        <v>89</v>
      </c>
      <c r="T262" t="s" s="37">
        <v>90</v>
      </c>
      <c r="U262" t="s" s="37">
        <v>91</v>
      </c>
      <c r="V262" t="s" s="37">
        <v>92</v>
      </c>
      <c r="W262" t="s" s="37">
        <v>93</v>
      </c>
      <c r="X262" t="s" s="37">
        <v>94</v>
      </c>
      <c r="Y262" t="s" s="37">
        <v>95</v>
      </c>
      <c r="Z262" t="s" s="37">
        <v>96</v>
      </c>
      <c r="AA262" s="64"/>
      <c r="AB262" s="65"/>
      <c r="AC262" s="65"/>
      <c r="AD262" s="65"/>
      <c r="AE262" s="65"/>
      <c r="AF262" s="65"/>
    </row>
    <row r="263" ht="21.25" customHeight="1">
      <c r="A263" s="29"/>
      <c r="B263" t="s" s="66">
        <f>_xlfn.IFERROR(VLOOKUP($A263,'The List'!$B1:$AS730,3,FALSE)," ")</f>
        <v>885</v>
      </c>
      <c r="C263" t="s" s="70">
        <f>_xlfn.IFERROR(VLOOKUP($A263,'The List'!$B1:$AS730,4,FALSE)," ")</f>
        <v>885</v>
      </c>
      <c r="D263" t="s" s="42">
        <f>_xlfn.IFERROR(VLOOKUP($A263,'The List'!$B1:$AS730,5,FALSE)," ")</f>
        <v>885</v>
      </c>
      <c r="E263" t="s" s="42">
        <f>_xlfn.IFERROR(VLOOKUP($A263,'The List'!$B1:$AS730,6,FALSE)," ")</f>
        <v>885</v>
      </c>
      <c r="F263" t="s" s="60">
        <f>_xlfn.IFERROR(VLOOKUP($A263,'The List'!$B1:$AS730,8,FALSE)," ")</f>
        <v>885</v>
      </c>
      <c r="G263" t="s" s="60">
        <f>_xlfn.IFERROR(VLOOKUP($A263,'The List'!$B1:$AS730,10,FALSE)," ")</f>
        <v>885</v>
      </c>
      <c r="H263" s="46"/>
      <c r="I263" t="s" s="61">
        <f>_xlfn.IFERROR(VLOOKUP($A263,'The List'!$B1:$AS730,16,FALSE)," ")</f>
        <v>885</v>
      </c>
      <c r="J263" t="s" s="61">
        <f>_xlfn.IFERROR(VLOOKUP($A263,'The List'!$B1:$AS730,17,FALSE)," ")</f>
        <v>885</v>
      </c>
      <c r="K263" t="s" s="61">
        <f>_xlfn.IFERROR(VLOOKUP($A263,'The List'!$B1:$AS730,18,FALSE)," ")</f>
        <v>885</v>
      </c>
      <c r="L263" t="s" s="61">
        <f>_xlfn.IFERROR(VLOOKUP($A263,'The List'!$B1:$AS730,19,FALSE)," ")</f>
        <v>885</v>
      </c>
      <c r="M263" t="s" s="61">
        <f>_xlfn.IFERROR(VLOOKUP($A263,'The List'!$B1:$AS730,20,FALSE)," ")</f>
        <v>885</v>
      </c>
      <c r="N263" t="s" s="61">
        <f>_xlfn.IFERROR(VLOOKUP($A263,'The List'!$B1:$AS730,21,FALSE)," ")</f>
        <v>885</v>
      </c>
      <c r="O263" t="s" s="61">
        <f>_xlfn.IFERROR(VLOOKUP($A263,'The List'!$B1:$AS730,22,FALSE)," ")</f>
        <v>885</v>
      </c>
      <c r="P263" t="s" s="61">
        <f>_xlfn.IFERROR(VLOOKUP($A263,'The List'!$B1:$AS730,23,FALSE)," ")</f>
        <v>885</v>
      </c>
      <c r="Q263" t="s" s="61">
        <f>_xlfn.IFERROR(VLOOKUP($A263,'The List'!$B1:$AS730,24,FALSE)," ")</f>
        <v>885</v>
      </c>
      <c r="R263" t="s" s="61">
        <f>_xlfn.IFERROR(VLOOKUP($A263,'The List'!$B1:$AS730,25,FALSE)," ")</f>
        <v>885</v>
      </c>
      <c r="S263" t="s" s="61">
        <f>_xlfn.IFERROR(VLOOKUP($A263,'The List'!$B1:$AS730,26,FALSE)," ")</f>
        <v>885</v>
      </c>
      <c r="T263" t="s" s="61">
        <f>_xlfn.IFERROR(VLOOKUP($A263,'The List'!$B1:$AS730,27,FALSE)," ")</f>
        <v>885</v>
      </c>
      <c r="U263" t="s" s="61">
        <f>_xlfn.IFERROR(VLOOKUP($A263,'The List'!$B1:$AS730,28,FALSE)," ")</f>
        <v>885</v>
      </c>
      <c r="V263" t="s" s="61">
        <f>_xlfn.IFERROR(VLOOKUP($A263,'The List'!$B1:$AS730,29,FALSE)," ")</f>
        <v>885</v>
      </c>
      <c r="W263" t="s" s="61">
        <f>_xlfn.IFERROR(VLOOKUP($A263,'The List'!$B1:$AS730,30,FALSE)," ")</f>
        <v>885</v>
      </c>
      <c r="X263" t="s" s="61">
        <f>_xlfn.IFERROR(VLOOKUP($A263,'The List'!$B1:$AS730,31,FALSE)," ")</f>
        <v>885</v>
      </c>
      <c r="Y263" t="s" s="61">
        <f>_xlfn.IFERROR(VLOOKUP($A263,'The List'!$B1:$AS730,32,FALSE)," ")</f>
        <v>885</v>
      </c>
      <c r="Z263" t="s" s="61">
        <f>_xlfn.IFERROR(VLOOKUP($A263,'The List'!$B1:$AS730,33,FALSE)," ")</f>
        <v>885</v>
      </c>
      <c r="AA263" s="64"/>
      <c r="AB263" s="69"/>
      <c r="AC263" s="69"/>
      <c r="AD263" s="69"/>
      <c r="AE263" s="69"/>
      <c r="AF263" s="69"/>
    </row>
    <row r="264" ht="21.25" customHeight="1">
      <c r="A264" s="29"/>
      <c r="B264" t="s" s="66">
        <f>_xlfn.IFERROR(VLOOKUP($A264,'The List'!$B1:$AS730,3,FALSE)," ")</f>
        <v>885</v>
      </c>
      <c r="C264" t="s" s="70">
        <f>_xlfn.IFERROR(VLOOKUP($A264,'The List'!$B1:$AS730,4,FALSE)," ")</f>
        <v>885</v>
      </c>
      <c r="D264" t="s" s="42">
        <f>_xlfn.IFERROR(VLOOKUP($A264,'The List'!$B1:$AS730,5,FALSE)," ")</f>
        <v>885</v>
      </c>
      <c r="E264" t="s" s="42">
        <f>_xlfn.IFERROR(VLOOKUP($A264,'The List'!$B1:$AS730,6,FALSE)," ")</f>
        <v>885</v>
      </c>
      <c r="F264" t="s" s="60">
        <f>_xlfn.IFERROR(VLOOKUP($A264,'The List'!$B1:$AS730,8,FALSE)," ")</f>
        <v>885</v>
      </c>
      <c r="G264" t="s" s="60">
        <f>_xlfn.IFERROR(VLOOKUP($A264,'The List'!$B1:$AS730,10,FALSE)," ")</f>
        <v>885</v>
      </c>
      <c r="H264" s="46"/>
      <c r="I264" t="s" s="61">
        <f>_xlfn.IFERROR(VLOOKUP($A264,'The List'!$B1:$AS730,16,FALSE)," ")</f>
        <v>885</v>
      </c>
      <c r="J264" t="s" s="61">
        <f>_xlfn.IFERROR(VLOOKUP($A264,'The List'!$B1:$AS730,17,FALSE)," ")</f>
        <v>885</v>
      </c>
      <c r="K264" t="s" s="61">
        <f>_xlfn.IFERROR(VLOOKUP($A264,'The List'!$B1:$AS730,18,FALSE)," ")</f>
        <v>885</v>
      </c>
      <c r="L264" t="s" s="61">
        <f>_xlfn.IFERROR(VLOOKUP($A264,'The List'!$B1:$AS730,19,FALSE)," ")</f>
        <v>885</v>
      </c>
      <c r="M264" t="s" s="61">
        <f>_xlfn.IFERROR(VLOOKUP($A264,'The List'!$B1:$AS730,20,FALSE)," ")</f>
        <v>885</v>
      </c>
      <c r="N264" t="s" s="61">
        <f>_xlfn.IFERROR(VLOOKUP($A264,'The List'!$B1:$AS730,21,FALSE)," ")</f>
        <v>885</v>
      </c>
      <c r="O264" t="s" s="61">
        <f>_xlfn.IFERROR(VLOOKUP($A264,'The List'!$B1:$AS730,22,FALSE)," ")</f>
        <v>885</v>
      </c>
      <c r="P264" t="s" s="61">
        <f>_xlfn.IFERROR(VLOOKUP($A264,'The List'!$B1:$AS730,23,FALSE)," ")</f>
        <v>885</v>
      </c>
      <c r="Q264" t="s" s="61">
        <f>_xlfn.IFERROR(VLOOKUP($A264,'The List'!$B1:$AS730,24,FALSE)," ")</f>
        <v>885</v>
      </c>
      <c r="R264" t="s" s="61">
        <f>_xlfn.IFERROR(VLOOKUP($A264,'The List'!$B1:$AS730,25,FALSE)," ")</f>
        <v>885</v>
      </c>
      <c r="S264" t="s" s="61">
        <f>_xlfn.IFERROR(VLOOKUP($A264,'The List'!$B1:$AS730,26,FALSE)," ")</f>
        <v>885</v>
      </c>
      <c r="T264" t="s" s="61">
        <f>_xlfn.IFERROR(VLOOKUP($A264,'The List'!$B1:$AS730,27,FALSE)," ")</f>
        <v>885</v>
      </c>
      <c r="U264" t="s" s="61">
        <f>_xlfn.IFERROR(VLOOKUP($A264,'The List'!$B1:$AS730,28,FALSE)," ")</f>
        <v>885</v>
      </c>
      <c r="V264" t="s" s="61">
        <f>_xlfn.IFERROR(VLOOKUP($A264,'The List'!$B1:$AS730,29,FALSE)," ")</f>
        <v>885</v>
      </c>
      <c r="W264" t="s" s="61">
        <f>_xlfn.IFERROR(VLOOKUP($A264,'The List'!$B1:$AS730,30,FALSE)," ")</f>
        <v>885</v>
      </c>
      <c r="X264" t="s" s="61">
        <f>_xlfn.IFERROR(VLOOKUP($A264,'The List'!$B1:$AS730,31,FALSE)," ")</f>
        <v>885</v>
      </c>
      <c r="Y264" t="s" s="61">
        <f>_xlfn.IFERROR(VLOOKUP($A264,'The List'!$B1:$AS730,32,FALSE)," ")</f>
        <v>885</v>
      </c>
      <c r="Z264" t="s" s="61">
        <f>_xlfn.IFERROR(VLOOKUP($A264,'The List'!$B1:$AS730,33,FALSE)," ")</f>
        <v>885</v>
      </c>
      <c r="AA264" s="64"/>
      <c r="AB264" s="69"/>
      <c r="AC264" s="69"/>
      <c r="AD264" s="69"/>
      <c r="AE264" s="69"/>
      <c r="AF264" s="69"/>
    </row>
    <row r="265" ht="21.25" customHeight="1">
      <c r="A265" s="29"/>
      <c r="B265" t="s" s="66">
        <f>_xlfn.IFERROR(VLOOKUP($A265,'The List'!$B1:$AS730,3,FALSE)," ")</f>
        <v>885</v>
      </c>
      <c r="C265" t="s" s="70">
        <f>_xlfn.IFERROR(VLOOKUP($A265,'The List'!$B1:$AS730,4,FALSE)," ")</f>
        <v>885</v>
      </c>
      <c r="D265" t="s" s="42">
        <f>_xlfn.IFERROR(VLOOKUP($A265,'The List'!$B1:$AS730,5,FALSE)," ")</f>
        <v>885</v>
      </c>
      <c r="E265" t="s" s="42">
        <f>_xlfn.IFERROR(VLOOKUP($A265,'The List'!$B1:$AS730,6,FALSE)," ")</f>
        <v>885</v>
      </c>
      <c r="F265" t="s" s="60">
        <f>_xlfn.IFERROR(VLOOKUP($A265,'The List'!$B1:$AS730,8,FALSE)," ")</f>
        <v>885</v>
      </c>
      <c r="G265" t="s" s="60">
        <f>_xlfn.IFERROR(VLOOKUP($A265,'The List'!$B1:$AS730,10,FALSE)," ")</f>
        <v>885</v>
      </c>
      <c r="H265" s="46"/>
      <c r="I265" t="s" s="61">
        <f>_xlfn.IFERROR(VLOOKUP($A265,'The List'!$B1:$AS730,16,FALSE)," ")</f>
        <v>885</v>
      </c>
      <c r="J265" t="s" s="61">
        <f>_xlfn.IFERROR(VLOOKUP($A265,'The List'!$B1:$AS730,17,FALSE)," ")</f>
        <v>885</v>
      </c>
      <c r="K265" t="s" s="61">
        <f>_xlfn.IFERROR(VLOOKUP($A265,'The List'!$B1:$AS730,18,FALSE)," ")</f>
        <v>885</v>
      </c>
      <c r="L265" t="s" s="61">
        <f>_xlfn.IFERROR(VLOOKUP($A265,'The List'!$B1:$AS730,19,FALSE)," ")</f>
        <v>885</v>
      </c>
      <c r="M265" t="s" s="61">
        <f>_xlfn.IFERROR(VLOOKUP($A265,'The List'!$B1:$AS730,20,FALSE)," ")</f>
        <v>885</v>
      </c>
      <c r="N265" t="s" s="61">
        <f>_xlfn.IFERROR(VLOOKUP($A265,'The List'!$B1:$AS730,21,FALSE)," ")</f>
        <v>885</v>
      </c>
      <c r="O265" t="s" s="61">
        <f>_xlfn.IFERROR(VLOOKUP($A265,'The List'!$B1:$AS730,22,FALSE)," ")</f>
        <v>885</v>
      </c>
      <c r="P265" t="s" s="61">
        <f>_xlfn.IFERROR(VLOOKUP($A265,'The List'!$B1:$AS730,23,FALSE)," ")</f>
        <v>885</v>
      </c>
      <c r="Q265" t="s" s="61">
        <f>_xlfn.IFERROR(VLOOKUP($A265,'The List'!$B1:$AS730,24,FALSE)," ")</f>
        <v>885</v>
      </c>
      <c r="R265" t="s" s="61">
        <f>_xlfn.IFERROR(VLOOKUP($A265,'The List'!$B1:$AS730,25,FALSE)," ")</f>
        <v>885</v>
      </c>
      <c r="S265" t="s" s="61">
        <f>_xlfn.IFERROR(VLOOKUP($A265,'The List'!$B1:$AS730,26,FALSE)," ")</f>
        <v>885</v>
      </c>
      <c r="T265" t="s" s="61">
        <f>_xlfn.IFERROR(VLOOKUP($A265,'The List'!$B1:$AS730,27,FALSE)," ")</f>
        <v>885</v>
      </c>
      <c r="U265" t="s" s="61">
        <f>_xlfn.IFERROR(VLOOKUP($A265,'The List'!$B1:$AS730,28,FALSE)," ")</f>
        <v>885</v>
      </c>
      <c r="V265" t="s" s="61">
        <f>_xlfn.IFERROR(VLOOKUP($A265,'The List'!$B1:$AS730,29,FALSE)," ")</f>
        <v>885</v>
      </c>
      <c r="W265" t="s" s="61">
        <f>_xlfn.IFERROR(VLOOKUP($A265,'The List'!$B1:$AS730,30,FALSE)," ")</f>
        <v>885</v>
      </c>
      <c r="X265" t="s" s="61">
        <f>_xlfn.IFERROR(VLOOKUP($A265,'The List'!$B1:$AS730,31,FALSE)," ")</f>
        <v>885</v>
      </c>
      <c r="Y265" t="s" s="61">
        <f>_xlfn.IFERROR(VLOOKUP($A265,'The List'!$B1:$AS730,32,FALSE)," ")</f>
        <v>885</v>
      </c>
      <c r="Z265" t="s" s="61">
        <f>_xlfn.IFERROR(VLOOKUP($A265,'The List'!$B1:$AS730,33,FALSE)," ")</f>
        <v>885</v>
      </c>
      <c r="AA265" s="64"/>
      <c r="AB265" s="69"/>
      <c r="AC265" s="69"/>
      <c r="AD265" s="69"/>
      <c r="AE265" s="69"/>
      <c r="AF265" s="69"/>
    </row>
    <row r="266" ht="21.25" customHeight="1">
      <c r="A266" s="29"/>
      <c r="B266" t="s" s="66">
        <f>_xlfn.IFERROR(VLOOKUP($A266,'The List'!$B1:$AS730,3,FALSE)," ")</f>
        <v>885</v>
      </c>
      <c r="C266" t="s" s="70">
        <f>_xlfn.IFERROR(VLOOKUP($A266,'The List'!$B1:$AS730,4,FALSE)," ")</f>
        <v>885</v>
      </c>
      <c r="D266" t="s" s="42">
        <f>_xlfn.IFERROR(VLOOKUP($A266,'The List'!$B1:$AS730,5,FALSE)," ")</f>
        <v>885</v>
      </c>
      <c r="E266" t="s" s="42">
        <f>_xlfn.IFERROR(VLOOKUP($A266,'The List'!$B1:$AS730,6,FALSE)," ")</f>
        <v>885</v>
      </c>
      <c r="F266" t="s" s="60">
        <f>_xlfn.IFERROR(VLOOKUP($A266,'The List'!$B1:$AS730,8,FALSE)," ")</f>
        <v>885</v>
      </c>
      <c r="G266" t="s" s="60">
        <f>_xlfn.IFERROR(VLOOKUP($A266,'The List'!$B1:$AS730,10,FALSE)," ")</f>
        <v>885</v>
      </c>
      <c r="H266" s="46"/>
      <c r="I266" t="s" s="61">
        <f>_xlfn.IFERROR(VLOOKUP($A266,'The List'!$B1:$AS730,16,FALSE)," ")</f>
        <v>885</v>
      </c>
      <c r="J266" t="s" s="61">
        <f>_xlfn.IFERROR(VLOOKUP($A266,'The List'!$B1:$AS730,17,FALSE)," ")</f>
        <v>885</v>
      </c>
      <c r="K266" t="s" s="61">
        <f>_xlfn.IFERROR(VLOOKUP($A266,'The List'!$B1:$AS730,18,FALSE)," ")</f>
        <v>885</v>
      </c>
      <c r="L266" t="s" s="61">
        <f>_xlfn.IFERROR(VLOOKUP($A266,'The List'!$B1:$AS730,19,FALSE)," ")</f>
        <v>885</v>
      </c>
      <c r="M266" t="s" s="61">
        <f>_xlfn.IFERROR(VLOOKUP($A266,'The List'!$B1:$AS730,20,FALSE)," ")</f>
        <v>885</v>
      </c>
      <c r="N266" t="s" s="61">
        <f>_xlfn.IFERROR(VLOOKUP($A266,'The List'!$B1:$AS730,21,FALSE)," ")</f>
        <v>885</v>
      </c>
      <c r="O266" t="s" s="61">
        <f>_xlfn.IFERROR(VLOOKUP($A266,'The List'!$B1:$AS730,22,FALSE)," ")</f>
        <v>885</v>
      </c>
      <c r="P266" t="s" s="61">
        <f>_xlfn.IFERROR(VLOOKUP($A266,'The List'!$B1:$AS730,23,FALSE)," ")</f>
        <v>885</v>
      </c>
      <c r="Q266" t="s" s="61">
        <f>_xlfn.IFERROR(VLOOKUP($A266,'The List'!$B1:$AS730,24,FALSE)," ")</f>
        <v>885</v>
      </c>
      <c r="R266" t="s" s="61">
        <f>_xlfn.IFERROR(VLOOKUP($A266,'The List'!$B1:$AS730,25,FALSE)," ")</f>
        <v>885</v>
      </c>
      <c r="S266" t="s" s="61">
        <f>_xlfn.IFERROR(VLOOKUP($A266,'The List'!$B1:$AS730,26,FALSE)," ")</f>
        <v>885</v>
      </c>
      <c r="T266" t="s" s="61">
        <f>_xlfn.IFERROR(VLOOKUP($A266,'The List'!$B1:$AS730,27,FALSE)," ")</f>
        <v>885</v>
      </c>
      <c r="U266" t="s" s="61">
        <f>_xlfn.IFERROR(VLOOKUP($A266,'The List'!$B1:$AS730,28,FALSE)," ")</f>
        <v>885</v>
      </c>
      <c r="V266" t="s" s="61">
        <f>_xlfn.IFERROR(VLOOKUP($A266,'The List'!$B1:$AS730,29,FALSE)," ")</f>
        <v>885</v>
      </c>
      <c r="W266" t="s" s="61">
        <f>_xlfn.IFERROR(VLOOKUP($A266,'The List'!$B1:$AS730,30,FALSE)," ")</f>
        <v>885</v>
      </c>
      <c r="X266" t="s" s="61">
        <f>_xlfn.IFERROR(VLOOKUP($A266,'The List'!$B1:$AS730,31,FALSE)," ")</f>
        <v>885</v>
      </c>
      <c r="Y266" t="s" s="61">
        <f>_xlfn.IFERROR(VLOOKUP($A266,'The List'!$B1:$AS730,32,FALSE)," ")</f>
        <v>885</v>
      </c>
      <c r="Z266" t="s" s="61">
        <f>_xlfn.IFERROR(VLOOKUP($A266,'The List'!$B1:$AS730,33,FALSE)," ")</f>
        <v>885</v>
      </c>
      <c r="AA266" s="64"/>
      <c r="AB266" s="69"/>
      <c r="AC266" s="69"/>
      <c r="AD266" s="69"/>
      <c r="AE266" s="69"/>
      <c r="AF266" s="69"/>
    </row>
    <row r="267" ht="21.25" customHeight="1">
      <c r="A267" s="29"/>
      <c r="B267" t="s" s="71">
        <f>_xlfn.IFERROR(VLOOKUP($A267,'The List'!$B1:$AS730,3,FALSE)," ")</f>
        <v>885</v>
      </c>
      <c r="C267" t="s" s="73">
        <f>_xlfn.IFERROR(VLOOKUP($A267,'The List'!$B1:$AS730,4,FALSE)," ")</f>
        <v>885</v>
      </c>
      <c r="D267" t="s" s="42">
        <f>_xlfn.IFERROR(VLOOKUP($A267,'The List'!$B1:$AS730,5,FALSE)," ")</f>
        <v>885</v>
      </c>
      <c r="E267" t="s" s="42">
        <f>_xlfn.IFERROR(VLOOKUP($A267,'The List'!$B1:$AS730,6,FALSE)," ")</f>
        <v>885</v>
      </c>
      <c r="F267" t="s" s="60">
        <f>_xlfn.IFERROR(VLOOKUP($A267,'The List'!$B1:$AS730,8,FALSE)," ")</f>
        <v>885</v>
      </c>
      <c r="G267" t="s" s="60">
        <f>_xlfn.IFERROR(VLOOKUP($A267,'The List'!$B1:$AS730,10,FALSE)," ")</f>
        <v>885</v>
      </c>
      <c r="H267" s="46"/>
      <c r="I267" t="s" s="61">
        <f>_xlfn.IFERROR(VLOOKUP($A267,'The List'!$B1:$AS730,16,FALSE)," ")</f>
        <v>885</v>
      </c>
      <c r="J267" t="s" s="61">
        <f>_xlfn.IFERROR(VLOOKUP($A267,'The List'!$B1:$AS730,17,FALSE)," ")</f>
        <v>885</v>
      </c>
      <c r="K267" t="s" s="61">
        <f>_xlfn.IFERROR(VLOOKUP($A267,'The List'!$B1:$AS730,18,FALSE)," ")</f>
        <v>885</v>
      </c>
      <c r="L267" t="s" s="61">
        <f>_xlfn.IFERROR(VLOOKUP($A267,'The List'!$B1:$AS730,19,FALSE)," ")</f>
        <v>885</v>
      </c>
      <c r="M267" t="s" s="61">
        <f>_xlfn.IFERROR(VLOOKUP($A267,'The List'!$B1:$AS730,20,FALSE)," ")</f>
        <v>885</v>
      </c>
      <c r="N267" t="s" s="61">
        <f>_xlfn.IFERROR(VLOOKUP($A267,'The List'!$B1:$AS730,21,FALSE)," ")</f>
        <v>885</v>
      </c>
      <c r="O267" t="s" s="61">
        <f>_xlfn.IFERROR(VLOOKUP($A267,'The List'!$B1:$AS730,22,FALSE)," ")</f>
        <v>885</v>
      </c>
      <c r="P267" t="s" s="61">
        <f>_xlfn.IFERROR(VLOOKUP($A267,'The List'!$B1:$AS730,23,FALSE)," ")</f>
        <v>885</v>
      </c>
      <c r="Q267" t="s" s="61">
        <f>_xlfn.IFERROR(VLOOKUP($A267,'The List'!$B1:$AS730,24,FALSE)," ")</f>
        <v>885</v>
      </c>
      <c r="R267" t="s" s="61">
        <f>_xlfn.IFERROR(VLOOKUP($A267,'The List'!$B1:$AS730,25,FALSE)," ")</f>
        <v>885</v>
      </c>
      <c r="S267" t="s" s="61">
        <f>_xlfn.IFERROR(VLOOKUP($A267,'The List'!$B1:$AS730,26,FALSE)," ")</f>
        <v>885</v>
      </c>
      <c r="T267" t="s" s="61">
        <f>_xlfn.IFERROR(VLOOKUP($A267,'The List'!$B1:$AS730,27,FALSE)," ")</f>
        <v>885</v>
      </c>
      <c r="U267" t="s" s="61">
        <f>_xlfn.IFERROR(VLOOKUP($A267,'The List'!$B1:$AS730,28,FALSE)," ")</f>
        <v>885</v>
      </c>
      <c r="V267" t="s" s="61">
        <f>_xlfn.IFERROR(VLOOKUP($A267,'The List'!$B1:$AS730,29,FALSE)," ")</f>
        <v>885</v>
      </c>
      <c r="W267" t="s" s="61">
        <f>_xlfn.IFERROR(VLOOKUP($A267,'The List'!$B1:$AS730,30,FALSE)," ")</f>
        <v>885</v>
      </c>
      <c r="X267" t="s" s="61">
        <f>_xlfn.IFERROR(VLOOKUP($A267,'The List'!$B1:$AS730,31,FALSE)," ")</f>
        <v>885</v>
      </c>
      <c r="Y267" t="s" s="61">
        <f>_xlfn.IFERROR(VLOOKUP($A267,'The List'!$B1:$AS730,32,FALSE)," ")</f>
        <v>885</v>
      </c>
      <c r="Z267" t="s" s="61">
        <f>_xlfn.IFERROR(VLOOKUP($A267,'The List'!$B1:$AS730,33,FALSE)," ")</f>
        <v>885</v>
      </c>
      <c r="AA267" s="64"/>
      <c r="AB267" s="69"/>
      <c r="AC267" s="69"/>
      <c r="AD267" s="69"/>
      <c r="AE267" s="69"/>
      <c r="AF267" s="69"/>
    </row>
    <row r="268" ht="21.25" customHeight="1">
      <c r="A268" s="29"/>
      <c r="B268" t="s" s="71">
        <f>_xlfn.IFERROR(VLOOKUP($A268,'The List'!$B1:$AS730,3,FALSE)," ")</f>
        <v>885</v>
      </c>
      <c r="C268" t="s" s="73">
        <f>_xlfn.IFERROR(VLOOKUP($A268,'The List'!$B1:$AS730,4,FALSE)," ")</f>
        <v>885</v>
      </c>
      <c r="D268" t="s" s="42">
        <f>_xlfn.IFERROR(VLOOKUP($A268,'The List'!$B1:$AS730,5,FALSE)," ")</f>
        <v>885</v>
      </c>
      <c r="E268" t="s" s="42">
        <f>_xlfn.IFERROR(VLOOKUP($A268,'The List'!$B1:$AS730,6,FALSE)," ")</f>
        <v>885</v>
      </c>
      <c r="F268" t="s" s="60">
        <f>_xlfn.IFERROR(VLOOKUP($A268,'The List'!$B1:$AS730,8,FALSE)," ")</f>
        <v>885</v>
      </c>
      <c r="G268" t="s" s="60">
        <f>_xlfn.IFERROR(VLOOKUP($A268,'The List'!$B1:$AS730,10,FALSE)," ")</f>
        <v>885</v>
      </c>
      <c r="H268" s="46"/>
      <c r="I268" t="s" s="61">
        <f>_xlfn.IFERROR(VLOOKUP($A268,'The List'!$B1:$AS730,16,FALSE)," ")</f>
        <v>885</v>
      </c>
      <c r="J268" t="s" s="61">
        <f>_xlfn.IFERROR(VLOOKUP($A268,'The List'!$B1:$AS730,17,FALSE)," ")</f>
        <v>885</v>
      </c>
      <c r="K268" t="s" s="61">
        <f>_xlfn.IFERROR(VLOOKUP($A268,'The List'!$B1:$AS730,18,FALSE)," ")</f>
        <v>885</v>
      </c>
      <c r="L268" t="s" s="61">
        <f>_xlfn.IFERROR(VLOOKUP($A268,'The List'!$B1:$AS730,19,FALSE)," ")</f>
        <v>885</v>
      </c>
      <c r="M268" t="s" s="61">
        <f>_xlfn.IFERROR(VLOOKUP($A268,'The List'!$B1:$AS730,20,FALSE)," ")</f>
        <v>885</v>
      </c>
      <c r="N268" t="s" s="61">
        <f>_xlfn.IFERROR(VLOOKUP($A268,'The List'!$B1:$AS730,21,FALSE)," ")</f>
        <v>885</v>
      </c>
      <c r="O268" t="s" s="61">
        <f>_xlfn.IFERROR(VLOOKUP($A268,'The List'!$B1:$AS730,22,FALSE)," ")</f>
        <v>885</v>
      </c>
      <c r="P268" t="s" s="61">
        <f>_xlfn.IFERROR(VLOOKUP($A268,'The List'!$B1:$AS730,23,FALSE)," ")</f>
        <v>885</v>
      </c>
      <c r="Q268" t="s" s="61">
        <f>_xlfn.IFERROR(VLOOKUP($A268,'The List'!$B1:$AS730,24,FALSE)," ")</f>
        <v>885</v>
      </c>
      <c r="R268" t="s" s="61">
        <f>_xlfn.IFERROR(VLOOKUP($A268,'The List'!$B1:$AS730,25,FALSE)," ")</f>
        <v>885</v>
      </c>
      <c r="S268" t="s" s="61">
        <f>_xlfn.IFERROR(VLOOKUP($A268,'The List'!$B1:$AS730,26,FALSE)," ")</f>
        <v>885</v>
      </c>
      <c r="T268" t="s" s="61">
        <f>_xlfn.IFERROR(VLOOKUP($A268,'The List'!$B1:$AS730,27,FALSE)," ")</f>
        <v>885</v>
      </c>
      <c r="U268" t="s" s="61">
        <f>_xlfn.IFERROR(VLOOKUP($A268,'The List'!$B1:$AS730,28,FALSE)," ")</f>
        <v>885</v>
      </c>
      <c r="V268" t="s" s="61">
        <f>_xlfn.IFERROR(VLOOKUP($A268,'The List'!$B1:$AS730,29,FALSE)," ")</f>
        <v>885</v>
      </c>
      <c r="W268" t="s" s="61">
        <f>_xlfn.IFERROR(VLOOKUP($A268,'The List'!$B1:$AS730,30,FALSE)," ")</f>
        <v>885</v>
      </c>
      <c r="X268" t="s" s="61">
        <f>_xlfn.IFERROR(VLOOKUP($A268,'The List'!$B1:$AS730,31,FALSE)," ")</f>
        <v>885</v>
      </c>
      <c r="Y268" t="s" s="61">
        <f>_xlfn.IFERROR(VLOOKUP($A268,'The List'!$B1:$AS730,32,FALSE)," ")</f>
        <v>885</v>
      </c>
      <c r="Z268" t="s" s="61">
        <f>_xlfn.IFERROR(VLOOKUP($A268,'The List'!$B1:$AS730,33,FALSE)," ")</f>
        <v>885</v>
      </c>
      <c r="AA268" s="64"/>
      <c r="AB268" s="69"/>
      <c r="AC268" s="69"/>
      <c r="AD268" s="69"/>
      <c r="AE268" s="69"/>
      <c r="AF268" s="69"/>
    </row>
    <row r="269" ht="21.25" customHeight="1">
      <c r="A269" s="29"/>
      <c r="B269" t="s" s="71">
        <f>_xlfn.IFERROR(VLOOKUP($A269,'The List'!$B1:$AS730,3,FALSE)," ")</f>
        <v>885</v>
      </c>
      <c r="C269" t="s" s="73">
        <f>_xlfn.IFERROR(VLOOKUP($A269,'The List'!$B1:$AS730,4,FALSE)," ")</f>
        <v>885</v>
      </c>
      <c r="D269" t="s" s="42">
        <f>_xlfn.IFERROR(VLOOKUP($A269,'The List'!$B1:$AS730,5,FALSE)," ")</f>
        <v>885</v>
      </c>
      <c r="E269" t="s" s="42">
        <f>_xlfn.IFERROR(VLOOKUP($A269,'The List'!$B1:$AS730,6,FALSE)," ")</f>
        <v>885</v>
      </c>
      <c r="F269" t="s" s="60">
        <f>_xlfn.IFERROR(VLOOKUP($A269,'The List'!$B1:$AS730,8,FALSE)," ")</f>
        <v>885</v>
      </c>
      <c r="G269" t="s" s="60">
        <f>_xlfn.IFERROR(VLOOKUP($A269,'The List'!$B1:$AS730,10,FALSE)," ")</f>
        <v>885</v>
      </c>
      <c r="H269" s="46"/>
      <c r="I269" t="s" s="61">
        <f>_xlfn.IFERROR(VLOOKUP($A269,'The List'!$B1:$AS730,16,FALSE)," ")</f>
        <v>885</v>
      </c>
      <c r="J269" t="s" s="61">
        <f>_xlfn.IFERROR(VLOOKUP($A269,'The List'!$B1:$AS730,17,FALSE)," ")</f>
        <v>885</v>
      </c>
      <c r="K269" t="s" s="61">
        <f>_xlfn.IFERROR(VLOOKUP($A269,'The List'!$B1:$AS730,18,FALSE)," ")</f>
        <v>885</v>
      </c>
      <c r="L269" t="s" s="61">
        <f>_xlfn.IFERROR(VLOOKUP($A269,'The List'!$B1:$AS730,19,FALSE)," ")</f>
        <v>885</v>
      </c>
      <c r="M269" t="s" s="61">
        <f>_xlfn.IFERROR(VLOOKUP($A269,'The List'!$B1:$AS730,20,FALSE)," ")</f>
        <v>885</v>
      </c>
      <c r="N269" t="s" s="61">
        <f>_xlfn.IFERROR(VLOOKUP($A269,'The List'!$B1:$AS730,21,FALSE)," ")</f>
        <v>885</v>
      </c>
      <c r="O269" t="s" s="61">
        <f>_xlfn.IFERROR(VLOOKUP($A269,'The List'!$B1:$AS730,22,FALSE)," ")</f>
        <v>885</v>
      </c>
      <c r="P269" t="s" s="61">
        <f>_xlfn.IFERROR(VLOOKUP($A269,'The List'!$B1:$AS730,23,FALSE)," ")</f>
        <v>885</v>
      </c>
      <c r="Q269" t="s" s="61">
        <f>_xlfn.IFERROR(VLOOKUP($A269,'The List'!$B1:$AS730,24,FALSE)," ")</f>
        <v>885</v>
      </c>
      <c r="R269" t="s" s="61">
        <f>_xlfn.IFERROR(VLOOKUP($A269,'The List'!$B1:$AS730,25,FALSE)," ")</f>
        <v>885</v>
      </c>
      <c r="S269" t="s" s="61">
        <f>_xlfn.IFERROR(VLOOKUP($A269,'The List'!$B1:$AS730,26,FALSE)," ")</f>
        <v>885</v>
      </c>
      <c r="T269" t="s" s="61">
        <f>_xlfn.IFERROR(VLOOKUP($A269,'The List'!$B1:$AS730,27,FALSE)," ")</f>
        <v>885</v>
      </c>
      <c r="U269" t="s" s="61">
        <f>_xlfn.IFERROR(VLOOKUP($A269,'The List'!$B1:$AS730,28,FALSE)," ")</f>
        <v>885</v>
      </c>
      <c r="V269" t="s" s="61">
        <f>_xlfn.IFERROR(VLOOKUP($A269,'The List'!$B1:$AS730,29,FALSE)," ")</f>
        <v>885</v>
      </c>
      <c r="W269" t="s" s="61">
        <f>_xlfn.IFERROR(VLOOKUP($A269,'The List'!$B1:$AS730,30,FALSE)," ")</f>
        <v>885</v>
      </c>
      <c r="X269" t="s" s="61">
        <f>_xlfn.IFERROR(VLOOKUP($A269,'The List'!$B1:$AS730,31,FALSE)," ")</f>
        <v>885</v>
      </c>
      <c r="Y269" t="s" s="61">
        <f>_xlfn.IFERROR(VLOOKUP($A269,'The List'!$B1:$AS730,32,FALSE)," ")</f>
        <v>885</v>
      </c>
      <c r="Z269" t="s" s="61">
        <f>_xlfn.IFERROR(VLOOKUP($A269,'The List'!$B1:$AS730,33,FALSE)," ")</f>
        <v>885</v>
      </c>
      <c r="AA269" s="64"/>
      <c r="AB269" s="69"/>
      <c r="AC269" s="69"/>
      <c r="AD269" s="69"/>
      <c r="AE269" s="69"/>
      <c r="AF269" s="69"/>
    </row>
    <row r="270" ht="21.25" customHeight="1">
      <c r="A270" s="29"/>
      <c r="B270" t="s" s="71">
        <f>_xlfn.IFERROR(VLOOKUP($A270,'The List'!$B1:$AS730,3,FALSE)," ")</f>
        <v>885</v>
      </c>
      <c r="C270" t="s" s="73">
        <f>_xlfn.IFERROR(VLOOKUP($A270,'The List'!$B1:$AS730,4,FALSE)," ")</f>
        <v>885</v>
      </c>
      <c r="D270" t="s" s="42">
        <f>_xlfn.IFERROR(VLOOKUP($A270,'The List'!$B1:$AS730,5,FALSE)," ")</f>
        <v>885</v>
      </c>
      <c r="E270" t="s" s="42">
        <f>_xlfn.IFERROR(VLOOKUP($A270,'The List'!$B1:$AS730,6,FALSE)," ")</f>
        <v>885</v>
      </c>
      <c r="F270" t="s" s="60">
        <f>_xlfn.IFERROR(VLOOKUP($A270,'The List'!$B1:$AS730,8,FALSE)," ")</f>
        <v>885</v>
      </c>
      <c r="G270" t="s" s="60">
        <f>_xlfn.IFERROR(VLOOKUP($A270,'The List'!$B1:$AS730,10,FALSE)," ")</f>
        <v>885</v>
      </c>
      <c r="H270" s="46"/>
      <c r="I270" t="s" s="61">
        <f>_xlfn.IFERROR(VLOOKUP($A270,'The List'!$B1:$AS730,16,FALSE)," ")</f>
        <v>885</v>
      </c>
      <c r="J270" t="s" s="61">
        <f>_xlfn.IFERROR(VLOOKUP($A270,'The List'!$B1:$AS730,17,FALSE)," ")</f>
        <v>885</v>
      </c>
      <c r="K270" t="s" s="61">
        <f>_xlfn.IFERROR(VLOOKUP($A270,'The List'!$B1:$AS730,18,FALSE)," ")</f>
        <v>885</v>
      </c>
      <c r="L270" t="s" s="61">
        <f>_xlfn.IFERROR(VLOOKUP($A270,'The List'!$B1:$AS730,19,FALSE)," ")</f>
        <v>885</v>
      </c>
      <c r="M270" t="s" s="61">
        <f>_xlfn.IFERROR(VLOOKUP($A270,'The List'!$B1:$AS730,20,FALSE)," ")</f>
        <v>885</v>
      </c>
      <c r="N270" t="s" s="61">
        <f>_xlfn.IFERROR(VLOOKUP($A270,'The List'!$B1:$AS730,21,FALSE)," ")</f>
        <v>885</v>
      </c>
      <c r="O270" t="s" s="61">
        <f>_xlfn.IFERROR(VLOOKUP($A270,'The List'!$B1:$AS730,22,FALSE)," ")</f>
        <v>885</v>
      </c>
      <c r="P270" t="s" s="61">
        <f>_xlfn.IFERROR(VLOOKUP($A270,'The List'!$B1:$AS730,23,FALSE)," ")</f>
        <v>885</v>
      </c>
      <c r="Q270" t="s" s="61">
        <f>_xlfn.IFERROR(VLOOKUP($A270,'The List'!$B1:$AS730,24,FALSE)," ")</f>
        <v>885</v>
      </c>
      <c r="R270" t="s" s="61">
        <f>_xlfn.IFERROR(VLOOKUP($A270,'The List'!$B1:$AS730,25,FALSE)," ")</f>
        <v>885</v>
      </c>
      <c r="S270" t="s" s="61">
        <f>_xlfn.IFERROR(VLOOKUP($A270,'The List'!$B1:$AS730,26,FALSE)," ")</f>
        <v>885</v>
      </c>
      <c r="T270" t="s" s="61">
        <f>_xlfn.IFERROR(VLOOKUP($A270,'The List'!$B1:$AS730,27,FALSE)," ")</f>
        <v>885</v>
      </c>
      <c r="U270" t="s" s="61">
        <f>_xlfn.IFERROR(VLOOKUP($A270,'The List'!$B1:$AS730,28,FALSE)," ")</f>
        <v>885</v>
      </c>
      <c r="V270" t="s" s="61">
        <f>_xlfn.IFERROR(VLOOKUP($A270,'The List'!$B1:$AS730,29,FALSE)," ")</f>
        <v>885</v>
      </c>
      <c r="W270" t="s" s="61">
        <f>_xlfn.IFERROR(VLOOKUP($A270,'The List'!$B1:$AS730,30,FALSE)," ")</f>
        <v>885</v>
      </c>
      <c r="X270" t="s" s="61">
        <f>_xlfn.IFERROR(VLOOKUP($A270,'The List'!$B1:$AS730,31,FALSE)," ")</f>
        <v>885</v>
      </c>
      <c r="Y270" t="s" s="61">
        <f>_xlfn.IFERROR(VLOOKUP($A270,'The List'!$B1:$AS730,32,FALSE)," ")</f>
        <v>885</v>
      </c>
      <c r="Z270" t="s" s="61">
        <f>_xlfn.IFERROR(VLOOKUP($A270,'The List'!$B1:$AS730,33,FALSE)," ")</f>
        <v>885</v>
      </c>
      <c r="AA270" s="64"/>
      <c r="AB270" s="69"/>
      <c r="AC270" s="69"/>
      <c r="AD270" s="69"/>
      <c r="AE270" s="69"/>
      <c r="AF270" s="69"/>
    </row>
    <row r="271" ht="21.25" customHeight="1">
      <c r="A271" s="29"/>
      <c r="B271" t="s" s="74">
        <f>_xlfn.IFERROR(VLOOKUP($A271,'The List'!$B1:$AS730,3,FALSE)," ")</f>
        <v>885</v>
      </c>
      <c r="C271" t="s" s="76">
        <f>_xlfn.IFERROR(VLOOKUP($A271,'The List'!$B1:$AS730,4,FALSE)," ")</f>
        <v>885</v>
      </c>
      <c r="D271" t="s" s="42">
        <f>_xlfn.IFERROR(VLOOKUP($A271,'The List'!$B1:$AS730,5,FALSE)," ")</f>
        <v>885</v>
      </c>
      <c r="E271" t="s" s="42">
        <f>_xlfn.IFERROR(VLOOKUP($A271,'The List'!$B1:$AS730,6,FALSE)," ")</f>
        <v>885</v>
      </c>
      <c r="F271" t="s" s="60">
        <f>_xlfn.IFERROR(VLOOKUP($A271,'The List'!$B1:$AS730,8,FALSE)," ")</f>
        <v>885</v>
      </c>
      <c r="G271" t="s" s="60">
        <f>_xlfn.IFERROR(VLOOKUP($A271,'The List'!$B1:$AS730,10,FALSE)," ")</f>
        <v>885</v>
      </c>
      <c r="H271" s="46"/>
      <c r="I271" t="s" s="61">
        <f>_xlfn.IFERROR(VLOOKUP($A271,'The List'!$B1:$AS730,16,FALSE)," ")</f>
        <v>885</v>
      </c>
      <c r="J271" t="s" s="61">
        <f>_xlfn.IFERROR(VLOOKUP($A271,'The List'!$B1:$AS730,17,FALSE)," ")</f>
        <v>885</v>
      </c>
      <c r="K271" t="s" s="61">
        <f>_xlfn.IFERROR(VLOOKUP($A271,'The List'!$B1:$AS730,18,FALSE)," ")</f>
        <v>885</v>
      </c>
      <c r="L271" t="s" s="61">
        <f>_xlfn.IFERROR(VLOOKUP($A271,'The List'!$B1:$AS730,19,FALSE)," ")</f>
        <v>885</v>
      </c>
      <c r="M271" t="s" s="61">
        <f>_xlfn.IFERROR(VLOOKUP($A271,'The List'!$B1:$AS730,20,FALSE)," ")</f>
        <v>885</v>
      </c>
      <c r="N271" t="s" s="61">
        <f>_xlfn.IFERROR(VLOOKUP($A271,'The List'!$B1:$AS730,21,FALSE)," ")</f>
        <v>885</v>
      </c>
      <c r="O271" t="s" s="61">
        <f>_xlfn.IFERROR(VLOOKUP($A271,'The List'!$B1:$AS730,22,FALSE)," ")</f>
        <v>885</v>
      </c>
      <c r="P271" t="s" s="61">
        <f>_xlfn.IFERROR(VLOOKUP($A271,'The List'!$B1:$AS730,23,FALSE)," ")</f>
        <v>885</v>
      </c>
      <c r="Q271" t="s" s="61">
        <f>_xlfn.IFERROR(VLOOKUP($A271,'The List'!$B1:$AS730,24,FALSE)," ")</f>
        <v>885</v>
      </c>
      <c r="R271" t="s" s="61">
        <f>_xlfn.IFERROR(VLOOKUP($A271,'The List'!$B1:$AS730,25,FALSE)," ")</f>
        <v>885</v>
      </c>
      <c r="S271" t="s" s="61">
        <f>_xlfn.IFERROR(VLOOKUP($A271,'The List'!$B1:$AS730,26,FALSE)," ")</f>
        <v>885</v>
      </c>
      <c r="T271" t="s" s="61">
        <f>_xlfn.IFERROR(VLOOKUP($A271,'The List'!$B1:$AS730,27,FALSE)," ")</f>
        <v>885</v>
      </c>
      <c r="U271" t="s" s="61">
        <f>_xlfn.IFERROR(VLOOKUP($A271,'The List'!$B1:$AS730,28,FALSE)," ")</f>
        <v>885</v>
      </c>
      <c r="V271" t="s" s="61">
        <f>_xlfn.IFERROR(VLOOKUP($A271,'The List'!$B1:$AS730,29,FALSE)," ")</f>
        <v>885</v>
      </c>
      <c r="W271" t="s" s="61">
        <f>_xlfn.IFERROR(VLOOKUP($A271,'The List'!$B1:$AS730,30,FALSE)," ")</f>
        <v>885</v>
      </c>
      <c r="X271" t="s" s="61">
        <f>_xlfn.IFERROR(VLOOKUP($A271,'The List'!$B1:$AS730,31,FALSE)," ")</f>
        <v>885</v>
      </c>
      <c r="Y271" t="s" s="61">
        <f>_xlfn.IFERROR(VLOOKUP($A271,'The List'!$B1:$AS730,32,FALSE)," ")</f>
        <v>885</v>
      </c>
      <c r="Z271" t="s" s="61">
        <f>_xlfn.IFERROR(VLOOKUP($A271,'The List'!$B1:$AS730,33,FALSE)," ")</f>
        <v>885</v>
      </c>
      <c r="AA271" s="64"/>
      <c r="AB271" s="69"/>
      <c r="AC271" s="69"/>
      <c r="AD271" s="69"/>
      <c r="AE271" s="69"/>
      <c r="AF271" s="69"/>
    </row>
    <row r="272" ht="21.25" customHeight="1">
      <c r="A272" s="29"/>
      <c r="B272" t="s" s="74">
        <f>_xlfn.IFERROR(VLOOKUP($A272,'The List'!$B1:$AS730,3,FALSE)," ")</f>
        <v>885</v>
      </c>
      <c r="C272" t="s" s="76">
        <f>_xlfn.IFERROR(VLOOKUP($A272,'The List'!$B1:$AS730,4,FALSE)," ")</f>
        <v>885</v>
      </c>
      <c r="D272" t="s" s="42">
        <f>_xlfn.IFERROR(VLOOKUP($A272,'The List'!$B1:$AS730,5,FALSE)," ")</f>
        <v>885</v>
      </c>
      <c r="E272" t="s" s="42">
        <f>_xlfn.IFERROR(VLOOKUP($A272,'The List'!$B1:$AS730,6,FALSE)," ")</f>
        <v>885</v>
      </c>
      <c r="F272" t="s" s="60">
        <f>_xlfn.IFERROR(VLOOKUP($A272,'The List'!$B1:$AS730,8,FALSE)," ")</f>
        <v>885</v>
      </c>
      <c r="G272" t="s" s="60">
        <f>_xlfn.IFERROR(VLOOKUP($A272,'The List'!$B1:$AS730,10,FALSE)," ")</f>
        <v>885</v>
      </c>
      <c r="H272" s="46"/>
      <c r="I272" t="s" s="61">
        <f>_xlfn.IFERROR(VLOOKUP($A272,'The List'!$B1:$AS730,16,FALSE)," ")</f>
        <v>885</v>
      </c>
      <c r="J272" t="s" s="61">
        <f>_xlfn.IFERROR(VLOOKUP($A272,'The List'!$B1:$AS730,17,FALSE)," ")</f>
        <v>885</v>
      </c>
      <c r="K272" t="s" s="61">
        <f>_xlfn.IFERROR(VLOOKUP($A272,'The List'!$B1:$AS730,18,FALSE)," ")</f>
        <v>885</v>
      </c>
      <c r="L272" t="s" s="61">
        <f>_xlfn.IFERROR(VLOOKUP($A272,'The List'!$B1:$AS730,19,FALSE)," ")</f>
        <v>885</v>
      </c>
      <c r="M272" t="s" s="61">
        <f>_xlfn.IFERROR(VLOOKUP($A272,'The List'!$B1:$AS730,20,FALSE)," ")</f>
        <v>885</v>
      </c>
      <c r="N272" t="s" s="61">
        <f>_xlfn.IFERROR(VLOOKUP($A272,'The List'!$B1:$AS730,21,FALSE)," ")</f>
        <v>885</v>
      </c>
      <c r="O272" t="s" s="61">
        <f>_xlfn.IFERROR(VLOOKUP($A272,'The List'!$B1:$AS730,22,FALSE)," ")</f>
        <v>885</v>
      </c>
      <c r="P272" t="s" s="61">
        <f>_xlfn.IFERROR(VLOOKUP($A272,'The List'!$B1:$AS730,23,FALSE)," ")</f>
        <v>885</v>
      </c>
      <c r="Q272" t="s" s="61">
        <f>_xlfn.IFERROR(VLOOKUP($A272,'The List'!$B1:$AS730,24,FALSE)," ")</f>
        <v>885</v>
      </c>
      <c r="R272" t="s" s="61">
        <f>_xlfn.IFERROR(VLOOKUP($A272,'The List'!$B1:$AS730,25,FALSE)," ")</f>
        <v>885</v>
      </c>
      <c r="S272" t="s" s="61">
        <f>_xlfn.IFERROR(VLOOKUP($A272,'The List'!$B1:$AS730,26,FALSE)," ")</f>
        <v>885</v>
      </c>
      <c r="T272" t="s" s="61">
        <f>_xlfn.IFERROR(VLOOKUP($A272,'The List'!$B1:$AS730,27,FALSE)," ")</f>
        <v>885</v>
      </c>
      <c r="U272" t="s" s="61">
        <f>_xlfn.IFERROR(VLOOKUP($A272,'The List'!$B1:$AS730,28,FALSE)," ")</f>
        <v>885</v>
      </c>
      <c r="V272" t="s" s="61">
        <f>_xlfn.IFERROR(VLOOKUP($A272,'The List'!$B1:$AS730,29,FALSE)," ")</f>
        <v>885</v>
      </c>
      <c r="W272" t="s" s="61">
        <f>_xlfn.IFERROR(VLOOKUP($A272,'The List'!$B1:$AS730,30,FALSE)," ")</f>
        <v>885</v>
      </c>
      <c r="X272" t="s" s="61">
        <f>_xlfn.IFERROR(VLOOKUP($A272,'The List'!$B1:$AS730,31,FALSE)," ")</f>
        <v>885</v>
      </c>
      <c r="Y272" t="s" s="61">
        <f>_xlfn.IFERROR(VLOOKUP($A272,'The List'!$B1:$AS730,32,FALSE)," ")</f>
        <v>885</v>
      </c>
      <c r="Z272" t="s" s="61">
        <f>_xlfn.IFERROR(VLOOKUP($A272,'The List'!$B1:$AS730,33,FALSE)," ")</f>
        <v>885</v>
      </c>
      <c r="AA272" s="64"/>
      <c r="AB272" s="69"/>
      <c r="AC272" s="69"/>
      <c r="AD272" s="69"/>
      <c r="AE272" s="69"/>
      <c r="AF272" s="69"/>
    </row>
    <row r="273" ht="21.25" customHeight="1">
      <c r="A273" s="29"/>
      <c r="B273" t="s" s="74">
        <f>_xlfn.IFERROR(VLOOKUP($A273,'The List'!$B1:$AS730,3,FALSE)," ")</f>
        <v>885</v>
      </c>
      <c r="C273" t="s" s="76">
        <f>_xlfn.IFERROR(VLOOKUP($A273,'The List'!$B1:$AS730,4,FALSE)," ")</f>
        <v>885</v>
      </c>
      <c r="D273" t="s" s="42">
        <f>_xlfn.IFERROR(VLOOKUP($A273,'The List'!$B1:$AS730,5,FALSE)," ")</f>
        <v>885</v>
      </c>
      <c r="E273" t="s" s="42">
        <f>_xlfn.IFERROR(VLOOKUP($A273,'The List'!$B1:$AS730,6,FALSE)," ")</f>
        <v>885</v>
      </c>
      <c r="F273" t="s" s="60">
        <f>_xlfn.IFERROR(VLOOKUP($A273,'The List'!$B1:$AS730,8,FALSE)," ")</f>
        <v>885</v>
      </c>
      <c r="G273" t="s" s="60">
        <f>_xlfn.IFERROR(VLOOKUP($A273,'The List'!$B1:$AS730,10,FALSE)," ")</f>
        <v>885</v>
      </c>
      <c r="H273" s="46"/>
      <c r="I273" t="s" s="61">
        <f>_xlfn.IFERROR(VLOOKUP($A273,'The List'!$B1:$AS730,16,FALSE)," ")</f>
        <v>885</v>
      </c>
      <c r="J273" t="s" s="61">
        <f>_xlfn.IFERROR(VLOOKUP($A273,'The List'!$B1:$AS730,17,FALSE)," ")</f>
        <v>885</v>
      </c>
      <c r="K273" t="s" s="61">
        <f>_xlfn.IFERROR(VLOOKUP($A273,'The List'!$B1:$AS730,18,FALSE)," ")</f>
        <v>885</v>
      </c>
      <c r="L273" t="s" s="61">
        <f>_xlfn.IFERROR(VLOOKUP($A273,'The List'!$B1:$AS730,19,FALSE)," ")</f>
        <v>885</v>
      </c>
      <c r="M273" t="s" s="61">
        <f>_xlfn.IFERROR(VLOOKUP($A273,'The List'!$B1:$AS730,20,FALSE)," ")</f>
        <v>885</v>
      </c>
      <c r="N273" t="s" s="61">
        <f>_xlfn.IFERROR(VLOOKUP($A273,'The List'!$B1:$AS730,21,FALSE)," ")</f>
        <v>885</v>
      </c>
      <c r="O273" t="s" s="61">
        <f>_xlfn.IFERROR(VLOOKUP($A273,'The List'!$B1:$AS730,22,FALSE)," ")</f>
        <v>885</v>
      </c>
      <c r="P273" t="s" s="61">
        <f>_xlfn.IFERROR(VLOOKUP($A273,'The List'!$B1:$AS730,23,FALSE)," ")</f>
        <v>885</v>
      </c>
      <c r="Q273" t="s" s="61">
        <f>_xlfn.IFERROR(VLOOKUP($A273,'The List'!$B1:$AS730,24,FALSE)," ")</f>
        <v>885</v>
      </c>
      <c r="R273" t="s" s="61">
        <f>_xlfn.IFERROR(VLOOKUP($A273,'The List'!$B1:$AS730,25,FALSE)," ")</f>
        <v>885</v>
      </c>
      <c r="S273" t="s" s="61">
        <f>_xlfn.IFERROR(VLOOKUP($A273,'The List'!$B1:$AS730,26,FALSE)," ")</f>
        <v>885</v>
      </c>
      <c r="T273" t="s" s="61">
        <f>_xlfn.IFERROR(VLOOKUP($A273,'The List'!$B1:$AS730,27,FALSE)," ")</f>
        <v>885</v>
      </c>
      <c r="U273" t="s" s="61">
        <f>_xlfn.IFERROR(VLOOKUP($A273,'The List'!$B1:$AS730,28,FALSE)," ")</f>
        <v>885</v>
      </c>
      <c r="V273" t="s" s="61">
        <f>_xlfn.IFERROR(VLOOKUP($A273,'The List'!$B1:$AS730,29,FALSE)," ")</f>
        <v>885</v>
      </c>
      <c r="W273" t="s" s="61">
        <f>_xlfn.IFERROR(VLOOKUP($A273,'The List'!$B1:$AS730,30,FALSE)," ")</f>
        <v>885</v>
      </c>
      <c r="X273" t="s" s="61">
        <f>_xlfn.IFERROR(VLOOKUP($A273,'The List'!$B1:$AS730,31,FALSE)," ")</f>
        <v>885</v>
      </c>
      <c r="Y273" t="s" s="61">
        <f>_xlfn.IFERROR(VLOOKUP($A273,'The List'!$B1:$AS730,32,FALSE)," ")</f>
        <v>885</v>
      </c>
      <c r="Z273" t="s" s="61">
        <f>_xlfn.IFERROR(VLOOKUP($A273,'The List'!$B1:$AS730,33,FALSE)," ")</f>
        <v>885</v>
      </c>
      <c r="AA273" s="64"/>
      <c r="AB273" s="69"/>
      <c r="AC273" s="69"/>
      <c r="AD273" s="69"/>
      <c r="AE273" s="69"/>
      <c r="AF273" s="69"/>
    </row>
    <row r="274" ht="21.25" customHeight="1">
      <c r="A274" s="29"/>
      <c r="B274" t="s" s="74">
        <f>_xlfn.IFERROR(VLOOKUP($A274,'The List'!$B1:$AS730,3,FALSE)," ")</f>
        <v>885</v>
      </c>
      <c r="C274" t="s" s="76">
        <f>_xlfn.IFERROR(VLOOKUP($A274,'The List'!$B1:$AS730,4,FALSE)," ")</f>
        <v>885</v>
      </c>
      <c r="D274" t="s" s="42">
        <f>_xlfn.IFERROR(VLOOKUP($A274,'The List'!$B1:$AS730,5,FALSE)," ")</f>
        <v>885</v>
      </c>
      <c r="E274" t="s" s="42">
        <f>_xlfn.IFERROR(VLOOKUP($A274,'The List'!$B1:$AS730,6,FALSE)," ")</f>
        <v>885</v>
      </c>
      <c r="F274" t="s" s="60">
        <f>_xlfn.IFERROR(VLOOKUP($A274,'The List'!$B1:$AS730,8,FALSE)," ")</f>
        <v>885</v>
      </c>
      <c r="G274" t="s" s="60">
        <f>_xlfn.IFERROR(VLOOKUP($A274,'The List'!$B1:$AS730,10,FALSE)," ")</f>
        <v>885</v>
      </c>
      <c r="H274" s="46"/>
      <c r="I274" t="s" s="61">
        <f>_xlfn.IFERROR(VLOOKUP($A274,'The List'!$B1:$AS730,16,FALSE)," ")</f>
        <v>885</v>
      </c>
      <c r="J274" t="s" s="61">
        <f>_xlfn.IFERROR(VLOOKUP($A274,'The List'!$B1:$AS730,17,FALSE)," ")</f>
        <v>885</v>
      </c>
      <c r="K274" t="s" s="61">
        <f>_xlfn.IFERROR(VLOOKUP($A274,'The List'!$B1:$AS730,18,FALSE)," ")</f>
        <v>885</v>
      </c>
      <c r="L274" t="s" s="61">
        <f>_xlfn.IFERROR(VLOOKUP($A274,'The List'!$B1:$AS730,19,FALSE)," ")</f>
        <v>885</v>
      </c>
      <c r="M274" t="s" s="61">
        <f>_xlfn.IFERROR(VLOOKUP($A274,'The List'!$B1:$AS730,20,FALSE)," ")</f>
        <v>885</v>
      </c>
      <c r="N274" t="s" s="61">
        <f>_xlfn.IFERROR(VLOOKUP($A274,'The List'!$B1:$AS730,21,FALSE)," ")</f>
        <v>885</v>
      </c>
      <c r="O274" t="s" s="61">
        <f>_xlfn.IFERROR(VLOOKUP($A274,'The List'!$B1:$AS730,22,FALSE)," ")</f>
        <v>885</v>
      </c>
      <c r="P274" t="s" s="61">
        <f>_xlfn.IFERROR(VLOOKUP($A274,'The List'!$B1:$AS730,23,FALSE)," ")</f>
        <v>885</v>
      </c>
      <c r="Q274" t="s" s="61">
        <f>_xlfn.IFERROR(VLOOKUP($A274,'The List'!$B1:$AS730,24,FALSE)," ")</f>
        <v>885</v>
      </c>
      <c r="R274" t="s" s="61">
        <f>_xlfn.IFERROR(VLOOKUP($A274,'The List'!$B1:$AS730,25,FALSE)," ")</f>
        <v>885</v>
      </c>
      <c r="S274" t="s" s="61">
        <f>_xlfn.IFERROR(VLOOKUP($A274,'The List'!$B1:$AS730,26,FALSE)," ")</f>
        <v>885</v>
      </c>
      <c r="T274" t="s" s="61">
        <f>_xlfn.IFERROR(VLOOKUP($A274,'The List'!$B1:$AS730,27,FALSE)," ")</f>
        <v>885</v>
      </c>
      <c r="U274" t="s" s="61">
        <f>_xlfn.IFERROR(VLOOKUP($A274,'The List'!$B1:$AS730,28,FALSE)," ")</f>
        <v>885</v>
      </c>
      <c r="V274" t="s" s="61">
        <f>_xlfn.IFERROR(VLOOKUP($A274,'The List'!$B1:$AS730,29,FALSE)," ")</f>
        <v>885</v>
      </c>
      <c r="W274" t="s" s="61">
        <f>_xlfn.IFERROR(VLOOKUP($A274,'The List'!$B1:$AS730,30,FALSE)," ")</f>
        <v>885</v>
      </c>
      <c r="X274" t="s" s="61">
        <f>_xlfn.IFERROR(VLOOKUP($A274,'The List'!$B1:$AS730,31,FALSE)," ")</f>
        <v>885</v>
      </c>
      <c r="Y274" t="s" s="61">
        <f>_xlfn.IFERROR(VLOOKUP($A274,'The List'!$B1:$AS730,32,FALSE)," ")</f>
        <v>885</v>
      </c>
      <c r="Z274" t="s" s="61">
        <f>_xlfn.IFERROR(VLOOKUP($A274,'The List'!$B1:$AS730,33,FALSE)," ")</f>
        <v>885</v>
      </c>
      <c r="AA274" s="64"/>
      <c r="AB274" s="69"/>
      <c r="AC274" s="69"/>
      <c r="AD274" s="69"/>
      <c r="AE274" s="69"/>
      <c r="AF274" s="69"/>
    </row>
    <row r="275" ht="21.25" customHeight="1">
      <c r="A275" s="29"/>
      <c r="B275" t="s" s="77">
        <f>_xlfn.IFERROR(VLOOKUP($A275,'The List'!$B1:$AS730,3,FALSE)," ")</f>
        <v>885</v>
      </c>
      <c r="C275" t="s" s="79">
        <f>_xlfn.IFERROR(VLOOKUP($A275,'The List'!$B1:$AS730,4,FALSE)," ")</f>
        <v>885</v>
      </c>
      <c r="D275" t="s" s="42">
        <f>_xlfn.IFERROR(VLOOKUP($A275,'The List'!$B1:$AS730,5,FALSE)," ")</f>
        <v>885</v>
      </c>
      <c r="E275" t="s" s="42">
        <f>_xlfn.IFERROR(VLOOKUP($A275,'The List'!$B1:$AS730,6,FALSE)," ")</f>
        <v>885</v>
      </c>
      <c r="F275" t="s" s="60">
        <f>_xlfn.IFERROR(VLOOKUP($A275,'The List'!$B1:$AS730,8,FALSE)," ")</f>
        <v>885</v>
      </c>
      <c r="G275" t="s" s="60">
        <f>_xlfn.IFERROR(VLOOKUP($A275,'The List'!$B1:$AS730,10,FALSE)," ")</f>
        <v>885</v>
      </c>
      <c r="H275" s="46"/>
      <c r="I275" t="s" s="61">
        <f>_xlfn.IFERROR(VLOOKUP($A275,'The List'!$B1:$AS730,16,FALSE)," ")</f>
        <v>885</v>
      </c>
      <c r="J275" t="s" s="61">
        <f>_xlfn.IFERROR(VLOOKUP($A275,'The List'!$B1:$AS730,17,FALSE)," ")</f>
        <v>885</v>
      </c>
      <c r="K275" t="s" s="61">
        <f>_xlfn.IFERROR(VLOOKUP($A275,'The List'!$B1:$AS730,18,FALSE)," ")</f>
        <v>885</v>
      </c>
      <c r="L275" t="s" s="61">
        <f>_xlfn.IFERROR(VLOOKUP($A275,'The List'!$B1:$AS730,19,FALSE)," ")</f>
        <v>885</v>
      </c>
      <c r="M275" t="s" s="61">
        <f>_xlfn.IFERROR(VLOOKUP($A275,'The List'!$B1:$AS730,20,FALSE)," ")</f>
        <v>885</v>
      </c>
      <c r="N275" t="s" s="61">
        <f>_xlfn.IFERROR(VLOOKUP($A275,'The List'!$B1:$AS730,21,FALSE)," ")</f>
        <v>885</v>
      </c>
      <c r="O275" t="s" s="61">
        <f>_xlfn.IFERROR(VLOOKUP($A275,'The List'!$B1:$AS730,22,FALSE)," ")</f>
        <v>885</v>
      </c>
      <c r="P275" t="s" s="61">
        <f>_xlfn.IFERROR(VLOOKUP($A275,'The List'!$B1:$AS730,23,FALSE)," ")</f>
        <v>885</v>
      </c>
      <c r="Q275" t="s" s="61">
        <f>_xlfn.IFERROR(VLOOKUP($A275,'The List'!$B1:$AS730,24,FALSE)," ")</f>
        <v>885</v>
      </c>
      <c r="R275" t="s" s="61">
        <f>_xlfn.IFERROR(VLOOKUP($A275,'The List'!$B1:$AS730,25,FALSE)," ")</f>
        <v>885</v>
      </c>
      <c r="S275" t="s" s="61">
        <f>_xlfn.IFERROR(VLOOKUP($A275,'The List'!$B1:$AS730,26,FALSE)," ")</f>
        <v>885</v>
      </c>
      <c r="T275" t="s" s="61">
        <f>_xlfn.IFERROR(VLOOKUP($A275,'The List'!$B1:$AS730,27,FALSE)," ")</f>
        <v>885</v>
      </c>
      <c r="U275" t="s" s="61">
        <f>_xlfn.IFERROR(VLOOKUP($A275,'The List'!$B1:$AS730,28,FALSE)," ")</f>
        <v>885</v>
      </c>
      <c r="V275" t="s" s="61">
        <f>_xlfn.IFERROR(VLOOKUP($A275,'The List'!$B1:$AS730,29,FALSE)," ")</f>
        <v>885</v>
      </c>
      <c r="W275" t="s" s="61">
        <f>_xlfn.IFERROR(VLOOKUP($A275,'The List'!$B1:$AS730,30,FALSE)," ")</f>
        <v>885</v>
      </c>
      <c r="X275" t="s" s="61">
        <f>_xlfn.IFERROR(VLOOKUP($A275,'The List'!$B1:$AS730,31,FALSE)," ")</f>
        <v>885</v>
      </c>
      <c r="Y275" t="s" s="61">
        <f>_xlfn.IFERROR(VLOOKUP($A275,'The List'!$B1:$AS730,32,FALSE)," ")</f>
        <v>885</v>
      </c>
      <c r="Z275" t="s" s="61">
        <f>_xlfn.IFERROR(VLOOKUP($A275,'The List'!$B1:$AS730,33,FALSE)," ")</f>
        <v>885</v>
      </c>
      <c r="AA275" s="64"/>
      <c r="AB275" s="69"/>
      <c r="AC275" s="69"/>
      <c r="AD275" s="69"/>
      <c r="AE275" s="69"/>
      <c r="AF275" s="69"/>
    </row>
    <row r="276" ht="21.25" customHeight="1">
      <c r="A276" s="29"/>
      <c r="B276" t="s" s="77">
        <f>_xlfn.IFERROR(VLOOKUP($A276,'The List'!$B1:$AS730,3,FALSE)," ")</f>
        <v>885</v>
      </c>
      <c r="C276" t="s" s="79">
        <f>_xlfn.IFERROR(VLOOKUP($A276,'The List'!$B1:$AS730,4,FALSE)," ")</f>
        <v>885</v>
      </c>
      <c r="D276" t="s" s="42">
        <f>_xlfn.IFERROR(VLOOKUP($A276,'The List'!$B1:$AS730,5,FALSE)," ")</f>
        <v>885</v>
      </c>
      <c r="E276" t="s" s="42">
        <f>_xlfn.IFERROR(VLOOKUP($A276,'The List'!$B1:$AS730,6,FALSE)," ")</f>
        <v>885</v>
      </c>
      <c r="F276" t="s" s="60">
        <f>_xlfn.IFERROR(VLOOKUP($A276,'The List'!$B1:$AS730,8,FALSE)," ")</f>
        <v>885</v>
      </c>
      <c r="G276" t="s" s="60">
        <f>_xlfn.IFERROR(VLOOKUP($A276,'The List'!$B1:$AS730,10,FALSE)," ")</f>
        <v>885</v>
      </c>
      <c r="H276" s="46"/>
      <c r="I276" t="s" s="61">
        <f>_xlfn.IFERROR(VLOOKUP($A276,'The List'!$B1:$AS730,16,FALSE)," ")</f>
        <v>885</v>
      </c>
      <c r="J276" t="s" s="61">
        <f>_xlfn.IFERROR(VLOOKUP($A276,'The List'!$B1:$AS730,17,FALSE)," ")</f>
        <v>885</v>
      </c>
      <c r="K276" t="s" s="61">
        <f>_xlfn.IFERROR(VLOOKUP($A276,'The List'!$B1:$AS730,18,FALSE)," ")</f>
        <v>885</v>
      </c>
      <c r="L276" t="s" s="61">
        <f>_xlfn.IFERROR(VLOOKUP($A276,'The List'!$B1:$AS730,19,FALSE)," ")</f>
        <v>885</v>
      </c>
      <c r="M276" t="s" s="61">
        <f>_xlfn.IFERROR(VLOOKUP($A276,'The List'!$B1:$AS730,20,FALSE)," ")</f>
        <v>885</v>
      </c>
      <c r="N276" t="s" s="61">
        <f>_xlfn.IFERROR(VLOOKUP($A276,'The List'!$B1:$AS730,21,FALSE)," ")</f>
        <v>885</v>
      </c>
      <c r="O276" t="s" s="61">
        <f>_xlfn.IFERROR(VLOOKUP($A276,'The List'!$B1:$AS730,22,FALSE)," ")</f>
        <v>885</v>
      </c>
      <c r="P276" t="s" s="61">
        <f>_xlfn.IFERROR(VLOOKUP($A276,'The List'!$B1:$AS730,23,FALSE)," ")</f>
        <v>885</v>
      </c>
      <c r="Q276" t="s" s="61">
        <f>_xlfn.IFERROR(VLOOKUP($A276,'The List'!$B1:$AS730,24,FALSE)," ")</f>
        <v>885</v>
      </c>
      <c r="R276" t="s" s="61">
        <f>_xlfn.IFERROR(VLOOKUP($A276,'The List'!$B1:$AS730,25,FALSE)," ")</f>
        <v>885</v>
      </c>
      <c r="S276" t="s" s="61">
        <f>_xlfn.IFERROR(VLOOKUP($A276,'The List'!$B1:$AS730,26,FALSE)," ")</f>
        <v>885</v>
      </c>
      <c r="T276" t="s" s="61">
        <f>_xlfn.IFERROR(VLOOKUP($A276,'The List'!$B1:$AS730,27,FALSE)," ")</f>
        <v>885</v>
      </c>
      <c r="U276" t="s" s="61">
        <f>_xlfn.IFERROR(VLOOKUP($A276,'The List'!$B1:$AS730,28,FALSE)," ")</f>
        <v>885</v>
      </c>
      <c r="V276" t="s" s="61">
        <f>_xlfn.IFERROR(VLOOKUP($A276,'The List'!$B1:$AS730,29,FALSE)," ")</f>
        <v>885</v>
      </c>
      <c r="W276" t="s" s="61">
        <f>_xlfn.IFERROR(VLOOKUP($A276,'The List'!$B1:$AS730,30,FALSE)," ")</f>
        <v>885</v>
      </c>
      <c r="X276" t="s" s="61">
        <f>_xlfn.IFERROR(VLOOKUP($A276,'The List'!$B1:$AS730,31,FALSE)," ")</f>
        <v>885</v>
      </c>
      <c r="Y276" t="s" s="61">
        <f>_xlfn.IFERROR(VLOOKUP($A276,'The List'!$B1:$AS730,32,FALSE)," ")</f>
        <v>885</v>
      </c>
      <c r="Z276" t="s" s="61">
        <f>_xlfn.IFERROR(VLOOKUP($A276,'The List'!$B1:$AS730,33,FALSE)," ")</f>
        <v>885</v>
      </c>
      <c r="AA276" s="64"/>
      <c r="AB276" s="69"/>
      <c r="AC276" s="69"/>
      <c r="AD276" s="69"/>
      <c r="AE276" s="69"/>
      <c r="AF276" s="69"/>
    </row>
    <row r="277" ht="21.25" customHeight="1">
      <c r="A277" s="29"/>
      <c r="B277" t="s" s="77">
        <f>_xlfn.IFERROR(VLOOKUP($A277,'The List'!$B1:$AS730,3,FALSE)," ")</f>
        <v>885</v>
      </c>
      <c r="C277" t="s" s="79">
        <f>_xlfn.IFERROR(VLOOKUP($A277,'The List'!$B1:$AS730,4,FALSE)," ")</f>
        <v>885</v>
      </c>
      <c r="D277" t="s" s="42">
        <f>_xlfn.IFERROR(VLOOKUP($A277,'The List'!$B1:$AS730,5,FALSE)," ")</f>
        <v>885</v>
      </c>
      <c r="E277" t="s" s="42">
        <f>_xlfn.IFERROR(VLOOKUP($A277,'The List'!$B1:$AS730,6,FALSE)," ")</f>
        <v>885</v>
      </c>
      <c r="F277" t="s" s="60">
        <f>_xlfn.IFERROR(VLOOKUP($A277,'The List'!$B1:$AS730,8,FALSE)," ")</f>
        <v>885</v>
      </c>
      <c r="G277" t="s" s="60">
        <f>_xlfn.IFERROR(VLOOKUP($A277,'The List'!$B1:$AS730,10,FALSE)," ")</f>
        <v>885</v>
      </c>
      <c r="H277" s="46"/>
      <c r="I277" t="s" s="61">
        <f>_xlfn.IFERROR(VLOOKUP($A277,'The List'!$B1:$AS730,16,FALSE)," ")</f>
        <v>885</v>
      </c>
      <c r="J277" t="s" s="61">
        <f>_xlfn.IFERROR(VLOOKUP($A277,'The List'!$B1:$AS730,17,FALSE)," ")</f>
        <v>885</v>
      </c>
      <c r="K277" t="s" s="61">
        <f>_xlfn.IFERROR(VLOOKUP($A277,'The List'!$B1:$AS730,18,FALSE)," ")</f>
        <v>885</v>
      </c>
      <c r="L277" t="s" s="61">
        <f>_xlfn.IFERROR(VLOOKUP($A277,'The List'!$B1:$AS730,19,FALSE)," ")</f>
        <v>885</v>
      </c>
      <c r="M277" t="s" s="61">
        <f>_xlfn.IFERROR(VLOOKUP($A277,'The List'!$B1:$AS730,20,FALSE)," ")</f>
        <v>885</v>
      </c>
      <c r="N277" t="s" s="61">
        <f>_xlfn.IFERROR(VLOOKUP($A277,'The List'!$B1:$AS730,21,FALSE)," ")</f>
        <v>885</v>
      </c>
      <c r="O277" t="s" s="61">
        <f>_xlfn.IFERROR(VLOOKUP($A277,'The List'!$B1:$AS730,22,FALSE)," ")</f>
        <v>885</v>
      </c>
      <c r="P277" t="s" s="61">
        <f>_xlfn.IFERROR(VLOOKUP($A277,'The List'!$B1:$AS730,23,FALSE)," ")</f>
        <v>885</v>
      </c>
      <c r="Q277" t="s" s="61">
        <f>_xlfn.IFERROR(VLOOKUP($A277,'The List'!$B1:$AS730,24,FALSE)," ")</f>
        <v>885</v>
      </c>
      <c r="R277" t="s" s="61">
        <f>_xlfn.IFERROR(VLOOKUP($A277,'The List'!$B1:$AS730,25,FALSE)," ")</f>
        <v>885</v>
      </c>
      <c r="S277" t="s" s="61">
        <f>_xlfn.IFERROR(VLOOKUP($A277,'The List'!$B1:$AS730,26,FALSE)," ")</f>
        <v>885</v>
      </c>
      <c r="T277" t="s" s="61">
        <f>_xlfn.IFERROR(VLOOKUP($A277,'The List'!$B1:$AS730,27,FALSE)," ")</f>
        <v>885</v>
      </c>
      <c r="U277" t="s" s="61">
        <f>_xlfn.IFERROR(VLOOKUP($A277,'The List'!$B1:$AS730,28,FALSE)," ")</f>
        <v>885</v>
      </c>
      <c r="V277" t="s" s="61">
        <f>_xlfn.IFERROR(VLOOKUP($A277,'The List'!$B1:$AS730,29,FALSE)," ")</f>
        <v>885</v>
      </c>
      <c r="W277" t="s" s="61">
        <f>_xlfn.IFERROR(VLOOKUP($A277,'The List'!$B1:$AS730,30,FALSE)," ")</f>
        <v>885</v>
      </c>
      <c r="X277" t="s" s="61">
        <f>_xlfn.IFERROR(VLOOKUP($A277,'The List'!$B1:$AS730,31,FALSE)," ")</f>
        <v>885</v>
      </c>
      <c r="Y277" t="s" s="61">
        <f>_xlfn.IFERROR(VLOOKUP($A277,'The List'!$B1:$AS730,32,FALSE)," ")</f>
        <v>885</v>
      </c>
      <c r="Z277" t="s" s="61">
        <f>_xlfn.IFERROR(VLOOKUP($A277,'The List'!$B1:$AS730,33,FALSE)," ")</f>
        <v>885</v>
      </c>
      <c r="AA277" s="64"/>
      <c r="AB277" s="69"/>
      <c r="AC277" s="69"/>
      <c r="AD277" s="69"/>
      <c r="AE277" s="69"/>
      <c r="AF277" s="69"/>
    </row>
    <row r="278" ht="21.25" customHeight="1">
      <c r="A278" s="29"/>
      <c r="B278" t="s" s="77">
        <f>_xlfn.IFERROR(VLOOKUP($A278,'The List'!$B1:$AS730,3,FALSE)," ")</f>
        <v>885</v>
      </c>
      <c r="C278" t="s" s="79">
        <f>_xlfn.IFERROR(VLOOKUP($A278,'The List'!$B1:$AS730,4,FALSE)," ")</f>
        <v>885</v>
      </c>
      <c r="D278" t="s" s="42">
        <f>_xlfn.IFERROR(VLOOKUP($A278,'The List'!$B1:$AS730,5,FALSE)," ")</f>
        <v>885</v>
      </c>
      <c r="E278" t="s" s="42">
        <f>_xlfn.IFERROR(VLOOKUP($A278,'The List'!$B1:$AS730,6,FALSE)," ")</f>
        <v>885</v>
      </c>
      <c r="F278" t="s" s="60">
        <f>_xlfn.IFERROR(VLOOKUP($A278,'The List'!$B1:$AS730,8,FALSE)," ")</f>
        <v>885</v>
      </c>
      <c r="G278" t="s" s="60">
        <f>_xlfn.IFERROR(VLOOKUP($A278,'The List'!$B1:$AS730,10,FALSE)," ")</f>
        <v>885</v>
      </c>
      <c r="H278" s="46"/>
      <c r="I278" t="s" s="61">
        <f>_xlfn.IFERROR(VLOOKUP($A278,'The List'!$B1:$AS730,16,FALSE)," ")</f>
        <v>885</v>
      </c>
      <c r="J278" t="s" s="61">
        <f>_xlfn.IFERROR(VLOOKUP($A278,'The List'!$B1:$AS730,17,FALSE)," ")</f>
        <v>885</v>
      </c>
      <c r="K278" t="s" s="61">
        <f>_xlfn.IFERROR(VLOOKUP($A278,'The List'!$B1:$AS730,18,FALSE)," ")</f>
        <v>885</v>
      </c>
      <c r="L278" t="s" s="61">
        <f>_xlfn.IFERROR(VLOOKUP($A278,'The List'!$B1:$AS730,19,FALSE)," ")</f>
        <v>885</v>
      </c>
      <c r="M278" t="s" s="61">
        <f>_xlfn.IFERROR(VLOOKUP($A278,'The List'!$B1:$AS730,20,FALSE)," ")</f>
        <v>885</v>
      </c>
      <c r="N278" t="s" s="61">
        <f>_xlfn.IFERROR(VLOOKUP($A278,'The List'!$B1:$AS730,21,FALSE)," ")</f>
        <v>885</v>
      </c>
      <c r="O278" t="s" s="61">
        <f>_xlfn.IFERROR(VLOOKUP($A278,'The List'!$B1:$AS730,22,FALSE)," ")</f>
        <v>885</v>
      </c>
      <c r="P278" t="s" s="61">
        <f>_xlfn.IFERROR(VLOOKUP($A278,'The List'!$B1:$AS730,23,FALSE)," ")</f>
        <v>885</v>
      </c>
      <c r="Q278" t="s" s="61">
        <f>_xlfn.IFERROR(VLOOKUP($A278,'The List'!$B1:$AS730,24,FALSE)," ")</f>
        <v>885</v>
      </c>
      <c r="R278" t="s" s="61">
        <f>_xlfn.IFERROR(VLOOKUP($A278,'The List'!$B1:$AS730,25,FALSE)," ")</f>
        <v>885</v>
      </c>
      <c r="S278" t="s" s="61">
        <f>_xlfn.IFERROR(VLOOKUP($A278,'The List'!$B1:$AS730,26,FALSE)," ")</f>
        <v>885</v>
      </c>
      <c r="T278" t="s" s="61">
        <f>_xlfn.IFERROR(VLOOKUP($A278,'The List'!$B1:$AS730,27,FALSE)," ")</f>
        <v>885</v>
      </c>
      <c r="U278" t="s" s="61">
        <f>_xlfn.IFERROR(VLOOKUP($A278,'The List'!$B1:$AS730,28,FALSE)," ")</f>
        <v>885</v>
      </c>
      <c r="V278" t="s" s="61">
        <f>_xlfn.IFERROR(VLOOKUP($A278,'The List'!$B1:$AS730,29,FALSE)," ")</f>
        <v>885</v>
      </c>
      <c r="W278" t="s" s="61">
        <f>_xlfn.IFERROR(VLOOKUP($A278,'The List'!$B1:$AS730,30,FALSE)," ")</f>
        <v>885</v>
      </c>
      <c r="X278" t="s" s="61">
        <f>_xlfn.IFERROR(VLOOKUP($A278,'The List'!$B1:$AS730,31,FALSE)," ")</f>
        <v>885</v>
      </c>
      <c r="Y278" t="s" s="61">
        <f>_xlfn.IFERROR(VLOOKUP($A278,'The List'!$B1:$AS730,32,FALSE)," ")</f>
        <v>885</v>
      </c>
      <c r="Z278" t="s" s="61">
        <f>_xlfn.IFERROR(VLOOKUP($A278,'The List'!$B1:$AS730,33,FALSE)," ")</f>
        <v>885</v>
      </c>
      <c r="AA278" s="64"/>
      <c r="AB278" s="69"/>
      <c r="AC278" s="69"/>
      <c r="AD278" s="69"/>
      <c r="AE278" s="69"/>
      <c r="AF278" s="69"/>
    </row>
    <row r="279" ht="21.25" customHeight="1">
      <c r="A279" s="29"/>
      <c r="B279" t="s" s="77">
        <f>_xlfn.IFERROR(VLOOKUP($A279,'The List'!$B1:$AS730,3,FALSE)," ")</f>
        <v>885</v>
      </c>
      <c r="C279" t="s" s="79">
        <f>_xlfn.IFERROR(VLOOKUP($A279,'The List'!$B1:$AS730,4,FALSE)," ")</f>
        <v>885</v>
      </c>
      <c r="D279" t="s" s="42">
        <f>_xlfn.IFERROR(VLOOKUP($A279,'The List'!$B1:$AS730,5,FALSE)," ")</f>
        <v>885</v>
      </c>
      <c r="E279" t="s" s="42">
        <f>_xlfn.IFERROR(VLOOKUP($A279,'The List'!$B1:$AS730,6,FALSE)," ")</f>
        <v>885</v>
      </c>
      <c r="F279" t="s" s="60">
        <f>_xlfn.IFERROR(VLOOKUP($A279,'The List'!$B1:$AS730,8,FALSE)," ")</f>
        <v>885</v>
      </c>
      <c r="G279" t="s" s="60">
        <f>_xlfn.IFERROR(VLOOKUP($A279,'The List'!$B1:$AS730,10,FALSE)," ")</f>
        <v>885</v>
      </c>
      <c r="H279" s="46"/>
      <c r="I279" t="s" s="61">
        <f>_xlfn.IFERROR(VLOOKUP($A279,'The List'!$B1:$AS730,16,FALSE)," ")</f>
        <v>885</v>
      </c>
      <c r="J279" t="s" s="61">
        <f>_xlfn.IFERROR(VLOOKUP($A279,'The List'!$B1:$AS730,17,FALSE)," ")</f>
        <v>885</v>
      </c>
      <c r="K279" t="s" s="61">
        <f>_xlfn.IFERROR(VLOOKUP($A279,'The List'!$B1:$AS730,18,FALSE)," ")</f>
        <v>885</v>
      </c>
      <c r="L279" t="s" s="61">
        <f>_xlfn.IFERROR(VLOOKUP($A279,'The List'!$B1:$AS730,19,FALSE)," ")</f>
        <v>885</v>
      </c>
      <c r="M279" t="s" s="61">
        <f>_xlfn.IFERROR(VLOOKUP($A279,'The List'!$B1:$AS730,20,FALSE)," ")</f>
        <v>885</v>
      </c>
      <c r="N279" t="s" s="61">
        <f>_xlfn.IFERROR(VLOOKUP($A279,'The List'!$B1:$AS730,21,FALSE)," ")</f>
        <v>885</v>
      </c>
      <c r="O279" t="s" s="61">
        <f>_xlfn.IFERROR(VLOOKUP($A279,'The List'!$B1:$AS730,22,FALSE)," ")</f>
        <v>885</v>
      </c>
      <c r="P279" t="s" s="61">
        <f>_xlfn.IFERROR(VLOOKUP($A279,'The List'!$B1:$AS730,23,FALSE)," ")</f>
        <v>885</v>
      </c>
      <c r="Q279" t="s" s="61">
        <f>_xlfn.IFERROR(VLOOKUP($A279,'The List'!$B1:$AS730,24,FALSE)," ")</f>
        <v>885</v>
      </c>
      <c r="R279" t="s" s="61">
        <f>_xlfn.IFERROR(VLOOKUP($A279,'The List'!$B1:$AS730,25,FALSE)," ")</f>
        <v>885</v>
      </c>
      <c r="S279" t="s" s="61">
        <f>_xlfn.IFERROR(VLOOKUP($A279,'The List'!$B1:$AS730,26,FALSE)," ")</f>
        <v>885</v>
      </c>
      <c r="T279" t="s" s="61">
        <f>_xlfn.IFERROR(VLOOKUP($A279,'The List'!$B1:$AS730,27,FALSE)," ")</f>
        <v>885</v>
      </c>
      <c r="U279" t="s" s="61">
        <f>_xlfn.IFERROR(VLOOKUP($A279,'The List'!$B1:$AS730,28,FALSE)," ")</f>
        <v>885</v>
      </c>
      <c r="V279" t="s" s="61">
        <f>_xlfn.IFERROR(VLOOKUP($A279,'The List'!$B1:$AS730,29,FALSE)," ")</f>
        <v>885</v>
      </c>
      <c r="W279" t="s" s="61">
        <f>_xlfn.IFERROR(VLOOKUP($A279,'The List'!$B1:$AS730,30,FALSE)," ")</f>
        <v>885</v>
      </c>
      <c r="X279" t="s" s="61">
        <f>_xlfn.IFERROR(VLOOKUP($A279,'The List'!$B1:$AS730,31,FALSE)," ")</f>
        <v>885</v>
      </c>
      <c r="Y279" t="s" s="61">
        <f>_xlfn.IFERROR(VLOOKUP($A279,'The List'!$B1:$AS730,32,FALSE)," ")</f>
        <v>885</v>
      </c>
      <c r="Z279" t="s" s="61">
        <f>_xlfn.IFERROR(VLOOKUP($A279,'The List'!$B1:$AS730,33,FALSE)," ")</f>
        <v>885</v>
      </c>
      <c r="AA279" s="64"/>
      <c r="AB279" s="69"/>
      <c r="AC279" s="69"/>
      <c r="AD279" s="69"/>
      <c r="AE279" s="69"/>
      <c r="AF279" s="69"/>
    </row>
    <row r="280" ht="21.25" customHeight="1">
      <c r="A280" s="29"/>
      <c r="B280" t="s" s="77">
        <f>_xlfn.IFERROR(VLOOKUP($A280,'The List'!$B1:$AS730,3,FALSE)," ")</f>
        <v>885</v>
      </c>
      <c r="C280" t="s" s="79">
        <f>_xlfn.IFERROR(VLOOKUP($A280,'The List'!$B1:$AS730,4,FALSE)," ")</f>
        <v>885</v>
      </c>
      <c r="D280" t="s" s="42">
        <f>_xlfn.IFERROR(VLOOKUP($A280,'The List'!$B1:$AS730,5,FALSE)," ")</f>
        <v>885</v>
      </c>
      <c r="E280" t="s" s="42">
        <f>_xlfn.IFERROR(VLOOKUP($A280,'The List'!$B1:$AS730,6,FALSE)," ")</f>
        <v>885</v>
      </c>
      <c r="F280" t="s" s="60">
        <f>_xlfn.IFERROR(VLOOKUP($A280,'The List'!$B1:$AS730,8,FALSE)," ")</f>
        <v>885</v>
      </c>
      <c r="G280" t="s" s="60">
        <f>_xlfn.IFERROR(VLOOKUP($A280,'The List'!$B1:$AS730,10,FALSE)," ")</f>
        <v>885</v>
      </c>
      <c r="H280" s="46"/>
      <c r="I280" t="s" s="61">
        <f>_xlfn.IFERROR(VLOOKUP($A280,'The List'!$B1:$AS730,16,FALSE)," ")</f>
        <v>885</v>
      </c>
      <c r="J280" t="s" s="61">
        <f>_xlfn.IFERROR(VLOOKUP($A280,'The List'!$B1:$AS730,17,FALSE)," ")</f>
        <v>885</v>
      </c>
      <c r="K280" t="s" s="61">
        <f>_xlfn.IFERROR(VLOOKUP($A280,'The List'!$B1:$AS730,18,FALSE)," ")</f>
        <v>885</v>
      </c>
      <c r="L280" t="s" s="61">
        <f>_xlfn.IFERROR(VLOOKUP($A280,'The List'!$B1:$AS730,19,FALSE)," ")</f>
        <v>885</v>
      </c>
      <c r="M280" t="s" s="61">
        <f>_xlfn.IFERROR(VLOOKUP($A280,'The List'!$B1:$AS730,20,FALSE)," ")</f>
        <v>885</v>
      </c>
      <c r="N280" t="s" s="61">
        <f>_xlfn.IFERROR(VLOOKUP($A280,'The List'!$B1:$AS730,21,FALSE)," ")</f>
        <v>885</v>
      </c>
      <c r="O280" t="s" s="61">
        <f>_xlfn.IFERROR(VLOOKUP($A280,'The List'!$B1:$AS730,22,FALSE)," ")</f>
        <v>885</v>
      </c>
      <c r="P280" t="s" s="61">
        <f>_xlfn.IFERROR(VLOOKUP($A280,'The List'!$B1:$AS730,23,FALSE)," ")</f>
        <v>885</v>
      </c>
      <c r="Q280" t="s" s="61">
        <f>_xlfn.IFERROR(VLOOKUP($A280,'The List'!$B1:$AS730,24,FALSE)," ")</f>
        <v>885</v>
      </c>
      <c r="R280" t="s" s="61">
        <f>_xlfn.IFERROR(VLOOKUP($A280,'The List'!$B1:$AS730,25,FALSE)," ")</f>
        <v>885</v>
      </c>
      <c r="S280" t="s" s="61">
        <f>_xlfn.IFERROR(VLOOKUP($A280,'The List'!$B1:$AS730,26,FALSE)," ")</f>
        <v>885</v>
      </c>
      <c r="T280" t="s" s="61">
        <f>_xlfn.IFERROR(VLOOKUP($A280,'The List'!$B1:$AS730,27,FALSE)," ")</f>
        <v>885</v>
      </c>
      <c r="U280" t="s" s="61">
        <f>_xlfn.IFERROR(VLOOKUP($A280,'The List'!$B1:$AS730,28,FALSE)," ")</f>
        <v>885</v>
      </c>
      <c r="V280" t="s" s="61">
        <f>_xlfn.IFERROR(VLOOKUP($A280,'The List'!$B1:$AS730,29,FALSE)," ")</f>
        <v>885</v>
      </c>
      <c r="W280" t="s" s="61">
        <f>_xlfn.IFERROR(VLOOKUP($A280,'The List'!$B1:$AS730,30,FALSE)," ")</f>
        <v>885</v>
      </c>
      <c r="X280" t="s" s="61">
        <f>_xlfn.IFERROR(VLOOKUP($A280,'The List'!$B1:$AS730,31,FALSE)," ")</f>
        <v>885</v>
      </c>
      <c r="Y280" t="s" s="61">
        <f>_xlfn.IFERROR(VLOOKUP($A280,'The List'!$B1:$AS730,32,FALSE)," ")</f>
        <v>885</v>
      </c>
      <c r="Z280" t="s" s="61">
        <f>_xlfn.IFERROR(VLOOKUP($A280,'The List'!$B1:$AS730,33,FALSE)," ")</f>
        <v>885</v>
      </c>
      <c r="AA280" s="64"/>
      <c r="AB280" s="69"/>
      <c r="AC280" s="69"/>
      <c r="AD280" s="69"/>
      <c r="AE280" s="69"/>
      <c r="AF280" s="69"/>
    </row>
    <row r="281" ht="21.25" customHeight="1">
      <c r="A281" s="29"/>
      <c r="B281" t="s" s="77">
        <f>_xlfn.IFERROR(VLOOKUP($A281,'The List'!$B1:$AS730,3,FALSE)," ")</f>
        <v>885</v>
      </c>
      <c r="C281" t="s" s="79">
        <f>_xlfn.IFERROR(VLOOKUP($A281,'The List'!$B1:$AS730,4,FALSE)," ")</f>
        <v>885</v>
      </c>
      <c r="D281" t="s" s="42">
        <f>_xlfn.IFERROR(VLOOKUP($A281,'The List'!$B1:$AS730,5,FALSE)," ")</f>
        <v>885</v>
      </c>
      <c r="E281" t="s" s="42">
        <f>_xlfn.IFERROR(VLOOKUP($A281,'The List'!$B1:$AS730,6,FALSE)," ")</f>
        <v>885</v>
      </c>
      <c r="F281" t="s" s="60">
        <f>_xlfn.IFERROR(VLOOKUP($A281,'The List'!$B1:$AS730,8,FALSE)," ")</f>
        <v>885</v>
      </c>
      <c r="G281" t="s" s="60">
        <f>_xlfn.IFERROR(VLOOKUP($A281,'The List'!$B1:$AS730,10,FALSE)," ")</f>
        <v>885</v>
      </c>
      <c r="H281" s="46"/>
      <c r="I281" t="s" s="61">
        <f>_xlfn.IFERROR(VLOOKUP($A281,'The List'!$B1:$AS730,16,FALSE)," ")</f>
        <v>885</v>
      </c>
      <c r="J281" t="s" s="61">
        <f>_xlfn.IFERROR(VLOOKUP($A281,'The List'!$B1:$AS730,17,FALSE)," ")</f>
        <v>885</v>
      </c>
      <c r="K281" t="s" s="61">
        <f>_xlfn.IFERROR(VLOOKUP($A281,'The List'!$B1:$AS730,18,FALSE)," ")</f>
        <v>885</v>
      </c>
      <c r="L281" t="s" s="61">
        <f>_xlfn.IFERROR(VLOOKUP($A281,'The List'!$B1:$AS730,19,FALSE)," ")</f>
        <v>885</v>
      </c>
      <c r="M281" t="s" s="61">
        <f>_xlfn.IFERROR(VLOOKUP($A281,'The List'!$B1:$AS730,20,FALSE)," ")</f>
        <v>885</v>
      </c>
      <c r="N281" t="s" s="61">
        <f>_xlfn.IFERROR(VLOOKUP($A281,'The List'!$B1:$AS730,21,FALSE)," ")</f>
        <v>885</v>
      </c>
      <c r="O281" t="s" s="61">
        <f>_xlfn.IFERROR(VLOOKUP($A281,'The List'!$B1:$AS730,22,FALSE)," ")</f>
        <v>885</v>
      </c>
      <c r="P281" t="s" s="61">
        <f>_xlfn.IFERROR(VLOOKUP($A281,'The List'!$B1:$AS730,23,FALSE)," ")</f>
        <v>885</v>
      </c>
      <c r="Q281" t="s" s="61">
        <f>_xlfn.IFERROR(VLOOKUP($A281,'The List'!$B1:$AS730,24,FALSE)," ")</f>
        <v>885</v>
      </c>
      <c r="R281" t="s" s="61">
        <f>_xlfn.IFERROR(VLOOKUP($A281,'The List'!$B1:$AS730,25,FALSE)," ")</f>
        <v>885</v>
      </c>
      <c r="S281" t="s" s="61">
        <f>_xlfn.IFERROR(VLOOKUP($A281,'The List'!$B1:$AS730,26,FALSE)," ")</f>
        <v>885</v>
      </c>
      <c r="T281" t="s" s="61">
        <f>_xlfn.IFERROR(VLOOKUP($A281,'The List'!$B1:$AS730,27,FALSE)," ")</f>
        <v>885</v>
      </c>
      <c r="U281" t="s" s="61">
        <f>_xlfn.IFERROR(VLOOKUP($A281,'The List'!$B1:$AS730,28,FALSE)," ")</f>
        <v>885</v>
      </c>
      <c r="V281" t="s" s="61">
        <f>_xlfn.IFERROR(VLOOKUP($A281,'The List'!$B1:$AS730,29,FALSE)," ")</f>
        <v>885</v>
      </c>
      <c r="W281" t="s" s="61">
        <f>_xlfn.IFERROR(VLOOKUP($A281,'The List'!$B1:$AS730,30,FALSE)," ")</f>
        <v>885</v>
      </c>
      <c r="X281" t="s" s="61">
        <f>_xlfn.IFERROR(VLOOKUP($A281,'The List'!$B1:$AS730,31,FALSE)," ")</f>
        <v>885</v>
      </c>
      <c r="Y281" t="s" s="61">
        <f>_xlfn.IFERROR(VLOOKUP($A281,'The List'!$B1:$AS730,32,FALSE)," ")</f>
        <v>885</v>
      </c>
      <c r="Z281" t="s" s="61">
        <f>_xlfn.IFERROR(VLOOKUP($A281,'The List'!$B1:$AS730,33,FALSE)," ")</f>
        <v>885</v>
      </c>
      <c r="AA281" s="64"/>
      <c r="AB281" s="69"/>
      <c r="AC281" s="69"/>
      <c r="AD281" s="69"/>
      <c r="AE281" s="69"/>
      <c r="AF281" s="69"/>
    </row>
    <row r="282" ht="21.25" customHeight="1">
      <c r="A282" s="81"/>
      <c r="B282" t="s" s="82">
        <f>_xlfn.IFERROR(VLOOKUP($A282,'The List'!$B1:$AS730,3,FALSE)," ")</f>
        <v>885</v>
      </c>
      <c r="C282" t="s" s="83">
        <f>_xlfn.IFERROR(VLOOKUP($A282,'The List'!$B1:$AS730,4,FALSE)," ")</f>
        <v>885</v>
      </c>
      <c r="D282" t="s" s="84">
        <f>_xlfn.IFERROR(VLOOKUP($A282,'The List'!$B1:$AS730,5,FALSE)," ")</f>
        <v>885</v>
      </c>
      <c r="E282" t="s" s="84">
        <f>_xlfn.IFERROR(VLOOKUP($A282,'The List'!$B1:$AS730,6,FALSE)," ")</f>
        <v>885</v>
      </c>
      <c r="F282" t="s" s="85">
        <f>_xlfn.IFERROR(VLOOKUP($A282,'The List'!$B1:$AS730,8,FALSE)," ")</f>
        <v>885</v>
      </c>
      <c r="G282" t="s" s="85">
        <f>_xlfn.IFERROR(VLOOKUP($A282,'The List'!$B1:$AS730,10,FALSE)," ")</f>
        <v>885</v>
      </c>
      <c r="H282" s="86"/>
      <c r="I282" t="s" s="87">
        <f>_xlfn.IFERROR(VLOOKUP($A282,'The List'!$B1:$AS730,16,FALSE)," ")</f>
        <v>885</v>
      </c>
      <c r="J282" t="s" s="87">
        <f>_xlfn.IFERROR(VLOOKUP($A282,'The List'!$B1:$AS730,17,FALSE)," ")</f>
        <v>885</v>
      </c>
      <c r="K282" t="s" s="87">
        <f>_xlfn.IFERROR(VLOOKUP($A282,'The List'!$B1:$AS730,18,FALSE)," ")</f>
        <v>885</v>
      </c>
      <c r="L282" t="s" s="87">
        <f>_xlfn.IFERROR(VLOOKUP($A282,'The List'!$B1:$AS730,19,FALSE)," ")</f>
        <v>885</v>
      </c>
      <c r="M282" t="s" s="87">
        <f>_xlfn.IFERROR(VLOOKUP($A282,'The List'!$B1:$AS730,20,FALSE)," ")</f>
        <v>885</v>
      </c>
      <c r="N282" t="s" s="87">
        <f>_xlfn.IFERROR(VLOOKUP($A282,'The List'!$B1:$AS730,21,FALSE)," ")</f>
        <v>885</v>
      </c>
      <c r="O282" t="s" s="87">
        <f>_xlfn.IFERROR(VLOOKUP($A282,'The List'!$B1:$AS730,22,FALSE)," ")</f>
        <v>885</v>
      </c>
      <c r="P282" t="s" s="87">
        <f>_xlfn.IFERROR(VLOOKUP($A282,'The List'!$B1:$AS730,23,FALSE)," ")</f>
        <v>885</v>
      </c>
      <c r="Q282" t="s" s="87">
        <f>_xlfn.IFERROR(VLOOKUP($A282,'The List'!$B1:$AS730,24,FALSE)," ")</f>
        <v>885</v>
      </c>
      <c r="R282" t="s" s="87">
        <f>_xlfn.IFERROR(VLOOKUP($A282,'The List'!$B1:$AS730,25,FALSE)," ")</f>
        <v>885</v>
      </c>
      <c r="S282" t="s" s="87">
        <f>_xlfn.IFERROR(VLOOKUP($A282,'The List'!$B1:$AS730,26,FALSE)," ")</f>
        <v>885</v>
      </c>
      <c r="T282" t="s" s="87">
        <f>_xlfn.IFERROR(VLOOKUP($A282,'The List'!$B1:$AS730,27,FALSE)," ")</f>
        <v>885</v>
      </c>
      <c r="U282" t="s" s="87">
        <f>_xlfn.IFERROR(VLOOKUP($A282,'The List'!$B1:$AS730,28,FALSE)," ")</f>
        <v>885</v>
      </c>
      <c r="V282" t="s" s="87">
        <f>_xlfn.IFERROR(VLOOKUP($A282,'The List'!$B1:$AS730,29,FALSE)," ")</f>
        <v>885</v>
      </c>
      <c r="W282" t="s" s="87">
        <f>_xlfn.IFERROR(VLOOKUP($A282,'The List'!$B1:$AS730,30,FALSE)," ")</f>
        <v>885</v>
      </c>
      <c r="X282" t="s" s="87">
        <f>_xlfn.IFERROR(VLOOKUP($A282,'The List'!$B1:$AS730,31,FALSE)," ")</f>
        <v>885</v>
      </c>
      <c r="Y282" t="s" s="87">
        <f>_xlfn.IFERROR(VLOOKUP($A282,'The List'!$B1:$AS730,32,FALSE)," ")</f>
        <v>885</v>
      </c>
      <c r="Z282" t="s" s="87">
        <f>_xlfn.IFERROR(VLOOKUP($A282,'The List'!$B1:$AS730,33,FALSE)," ")</f>
        <v>885</v>
      </c>
      <c r="AA282" s="64"/>
      <c r="AB282" s="69"/>
      <c r="AC282" s="69"/>
      <c r="AD282" s="69"/>
      <c r="AE282" s="69"/>
      <c r="AF282" s="69"/>
    </row>
    <row r="283" ht="21.25" customHeight="1">
      <c r="A283" s="88"/>
      <c r="B283" s="89"/>
      <c r="C283" s="90"/>
      <c r="D283" s="91"/>
      <c r="E283" t="s" s="127">
        <f>_xlfn.IFERROR(AVERAGE(E263:E282)," ")</f>
        <v>885</v>
      </c>
      <c r="F283" s="93">
        <f>SUM(F263:F282)</f>
        <v>0</v>
      </c>
      <c r="G283" s="93">
        <f>SUM(G263:G282)</f>
        <v>0</v>
      </c>
      <c r="H283" s="94"/>
      <c r="I283" s="95">
        <f>SUM(I263:I282)</f>
        <v>0</v>
      </c>
      <c r="J283" s="94">
        <f>AVERAGE(J263:J282)</f>
      </c>
      <c r="K283" s="95">
        <f>SUM(K263:K282)</f>
        <v>0</v>
      </c>
      <c r="L283" s="95">
        <f>SUM(L263:L282)</f>
        <v>0</v>
      </c>
      <c r="M283" s="95">
        <f>SUM(M263:M282)</f>
        <v>0</v>
      </c>
      <c r="N283" s="95">
        <f>SUM(N263:N282)</f>
        <v>0</v>
      </c>
      <c r="O283" s="95">
        <f>SUM(O263:O282)</f>
        <v>0</v>
      </c>
      <c r="P283" s="95">
        <f>SUM(P263:P282)</f>
        <v>0</v>
      </c>
      <c r="Q283" s="95">
        <f>SUM(Q263:Q282)</f>
        <v>0</v>
      </c>
      <c r="R283" s="95">
        <f>SUM(R263:R282)</f>
        <v>0</v>
      </c>
      <c r="S283" s="95">
        <f>SUM(S263:S282)</f>
        <v>0</v>
      </c>
      <c r="T283" s="95">
        <f>SUM(T263:T282)</f>
        <v>0</v>
      </c>
      <c r="U283" s="95">
        <f>SUM(U263:U282)</f>
        <v>0</v>
      </c>
      <c r="V283" s="95">
        <f>SUM(V263:V282)</f>
        <v>0</v>
      </c>
      <c r="W283" s="95">
        <f>SUM(W263:W282)</f>
        <v>0</v>
      </c>
      <c r="X283" s="95">
        <f>SUM(X263:X282)</f>
        <v>0</v>
      </c>
      <c r="Y283" s="95">
        <f>SUM(Y263:Y282)</f>
        <v>0</v>
      </c>
      <c r="Z283" s="96">
        <f>_xlfn.IFERROR(X283/(X283+Y283),0)</f>
        <v>0</v>
      </c>
      <c r="AA283" s="64"/>
      <c r="AB283" s="97"/>
      <c r="AC283" s="97"/>
      <c r="AD283" s="97"/>
      <c r="AE283" s="97"/>
      <c r="AF283" s="97"/>
    </row>
    <row r="284" ht="21.25" customHeight="1">
      <c r="A284" s="98"/>
      <c r="B284" s="99"/>
      <c r="C284" s="100"/>
      <c r="D284" s="11"/>
      <c r="E284" s="11"/>
      <c r="F284" s="101"/>
      <c r="G284" s="102"/>
      <c r="H284" s="103"/>
      <c r="I284" s="10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9"/>
      <c r="AC284" s="69"/>
      <c r="AD284" s="69"/>
      <c r="AE284" s="69"/>
      <c r="AF284" s="69"/>
    </row>
    <row r="285" ht="21.25" customHeight="1">
      <c r="A285" t="s" s="31">
        <v>66</v>
      </c>
      <c r="B285" t="s" s="105">
        <v>68</v>
      </c>
      <c r="C285" s="19"/>
      <c r="D285" t="s" s="105">
        <v>69</v>
      </c>
      <c r="E285" t="s" s="105">
        <v>70</v>
      </c>
      <c r="F285" t="s" s="106">
        <v>72</v>
      </c>
      <c r="G285" t="s" s="106">
        <v>74</v>
      </c>
      <c r="H285" s="107"/>
      <c r="I285" t="s" s="108">
        <v>79</v>
      </c>
      <c r="J285" t="s" s="108">
        <v>97</v>
      </c>
      <c r="K285" t="s" s="108">
        <v>98</v>
      </c>
      <c r="L285" t="s" s="108">
        <v>99</v>
      </c>
      <c r="M285" t="s" s="108">
        <v>100</v>
      </c>
      <c r="N285" t="s" s="108">
        <v>101</v>
      </c>
      <c r="O285" t="s" s="108">
        <v>102</v>
      </c>
      <c r="P285" t="s" s="108">
        <v>103</v>
      </c>
      <c r="Q285" t="s" s="108">
        <v>104</v>
      </c>
      <c r="R285" s="64"/>
      <c r="S285" s="64"/>
      <c r="T285" s="64"/>
      <c r="U285" t="s" s="105">
        <v>901</v>
      </c>
      <c r="V285" s="107"/>
      <c r="W285" s="107"/>
      <c r="X285" t="s" s="105">
        <v>902</v>
      </c>
      <c r="Y285" s="107"/>
      <c r="Z285" s="107"/>
      <c r="AA285" s="64"/>
      <c r="AB285" s="64"/>
      <c r="AC285" s="64"/>
      <c r="AD285" s="64"/>
      <c r="AE285" s="64"/>
      <c r="AF285" s="64"/>
    </row>
    <row r="286" ht="21.25" customHeight="1">
      <c r="A286" s="128"/>
      <c r="B286" t="s" s="110">
        <f>_xlfn.IFERROR(VLOOKUP($A286,'The List'!$B1:$AS730,3,FALSE)," ")</f>
        <v>885</v>
      </c>
      <c r="C286" t="s" s="129">
        <f>_xlfn.IFERROR(VLOOKUP($A286,'The List'!$B1:$AS730,4,FALSE)," ")</f>
        <v>885</v>
      </c>
      <c r="D286" t="s" s="112">
        <f>_xlfn.IFERROR(VLOOKUP($A286,'The List'!$B1:$AS730,5,FALSE)," ")</f>
        <v>885</v>
      </c>
      <c r="E286" t="s" s="112">
        <f>_xlfn.IFERROR(VLOOKUP($A286,'The List'!$B1:$AS730,6,FALSE)," ")</f>
        <v>885</v>
      </c>
      <c r="F286" t="s" s="130">
        <f>_xlfn.IFERROR(VLOOKUP($A286,'The List'!$B1:$AS730,8,FALSE)," ")</f>
        <v>885</v>
      </c>
      <c r="G286" t="s" s="130">
        <f>_xlfn.IFERROR(VLOOKUP($A286,'The List'!$B1:$AS730,10,FALSE)," ")</f>
        <v>885</v>
      </c>
      <c r="H286" s="115"/>
      <c r="I286" t="s" s="131">
        <f>_xlfn.IFERROR(VLOOKUP($A286,'The List'!$B1:$AS730,35,FALSE)," ")</f>
        <v>885</v>
      </c>
      <c r="J286" t="s" s="131">
        <f>_xlfn.IFERROR(VLOOKUP($A286,'The List'!$B1:$AS730,36,FALSE)," ")</f>
        <v>885</v>
      </c>
      <c r="K286" t="s" s="131">
        <f>_xlfn.IFERROR(VLOOKUP($A286,'The List'!$B1:$AS730,37,FALSE)," ")</f>
        <v>885</v>
      </c>
      <c r="L286" t="s" s="131">
        <f>_xlfn.IFERROR(VLOOKUP($A286,'The List'!$B1:$AS730,38,FALSE)," ")</f>
        <v>885</v>
      </c>
      <c r="M286" t="s" s="131">
        <f>_xlfn.IFERROR(VLOOKUP($A286,'The List'!$B1:$AS730,39,FALSE)," ")</f>
        <v>885</v>
      </c>
      <c r="N286" t="s" s="131">
        <f>_xlfn.IFERROR(VLOOKUP($A286,'The List'!$B1:$AS730,40,FALSE)," ")</f>
        <v>885</v>
      </c>
      <c r="O286" t="s" s="131">
        <f>_xlfn.IFERROR(VLOOKUP($A286,'The List'!$B1:$AS730,41,FALSE)," ")</f>
        <v>885</v>
      </c>
      <c r="P286" t="s" s="131">
        <f>_xlfn.IFERROR(VLOOKUP($A286,'The List'!$B1:$AS730,42,FALSE)," ")</f>
        <v>885</v>
      </c>
      <c r="Q286" t="s" s="131">
        <f>_xlfn.IFERROR(VLOOKUP($A286,'The List'!$B1:$AS730,43,FALSE)," ")</f>
        <v>885</v>
      </c>
      <c r="R286" s="64"/>
      <c r="S286" s="64"/>
      <c r="T286" t="s" s="119">
        <f>A262</f>
        <v>912</v>
      </c>
      <c r="U286" s="120">
        <f>F283+F289</f>
        <v>0</v>
      </c>
      <c r="V286" s="19"/>
      <c r="W286" s="19"/>
      <c r="X286" s="120">
        <f>G289+G283</f>
        <v>0</v>
      </c>
      <c r="Y286" s="19"/>
      <c r="Z286" s="19"/>
      <c r="AA286" s="64"/>
      <c r="AB286" s="64"/>
      <c r="AC286" s="64"/>
      <c r="AD286" s="64"/>
      <c r="AE286" s="64"/>
      <c r="AF286" s="64"/>
    </row>
    <row r="287" ht="21.25" customHeight="1">
      <c r="A287" s="29"/>
      <c r="B287" t="s" s="121">
        <f>_xlfn.IFERROR(VLOOKUP($A287,'The List'!$B1:$AS730,3,FALSE)," ")</f>
        <v>885</v>
      </c>
      <c r="C287" t="s" s="122">
        <f>_xlfn.IFERROR(VLOOKUP($A287,'The List'!$B1:$AS730,4,FALSE)," ")</f>
        <v>885</v>
      </c>
      <c r="D287" t="s" s="42">
        <f>_xlfn.IFERROR(VLOOKUP($A287,'The List'!$B1:$AS730,5,FALSE)," ")</f>
        <v>885</v>
      </c>
      <c r="E287" t="s" s="42">
        <f>_xlfn.IFERROR(VLOOKUP($A287,'The List'!$B1:$AS730,6,FALSE)," ")</f>
        <v>885</v>
      </c>
      <c r="F287" t="s" s="60">
        <f>_xlfn.IFERROR(VLOOKUP($A287,'The List'!$B1:$AS730,8,FALSE)," ")</f>
        <v>885</v>
      </c>
      <c r="G287" t="s" s="60">
        <f>_xlfn.IFERROR(VLOOKUP($A287,'The List'!$B1:$AS730,10,FALSE)," ")</f>
        <v>885</v>
      </c>
      <c r="H287" s="46"/>
      <c r="I287" t="s" s="61">
        <f>_xlfn.IFERROR(VLOOKUP($A287,'The List'!$B1:$AS730,35,FALSE)," ")</f>
        <v>885</v>
      </c>
      <c r="J287" t="s" s="61">
        <f>_xlfn.IFERROR(VLOOKUP($A287,'The List'!$B1:$AS730,36,FALSE)," ")</f>
        <v>885</v>
      </c>
      <c r="K287" t="s" s="61">
        <f>_xlfn.IFERROR(VLOOKUP($A287,'The List'!$B1:$AS730,37,FALSE)," ")</f>
        <v>885</v>
      </c>
      <c r="L287" t="s" s="61">
        <f>_xlfn.IFERROR(VLOOKUP($A287,'The List'!$B1:$AS730,38,FALSE)," ")</f>
        <v>885</v>
      </c>
      <c r="M287" t="s" s="61">
        <f>_xlfn.IFERROR(VLOOKUP($A287,'The List'!$B1:$AS730,39,FALSE)," ")</f>
        <v>885</v>
      </c>
      <c r="N287" t="s" s="61">
        <f>_xlfn.IFERROR(VLOOKUP($A287,'The List'!$B1:$AS730,40,FALSE)," ")</f>
        <v>885</v>
      </c>
      <c r="O287" t="s" s="61">
        <f>_xlfn.IFERROR(VLOOKUP($A287,'The List'!$B1:$AS730,41,FALSE)," ")</f>
        <v>885</v>
      </c>
      <c r="P287" t="s" s="61">
        <f>_xlfn.IFERROR(VLOOKUP($A287,'The List'!$B1:$AS730,42,FALSE)," ")</f>
        <v>885</v>
      </c>
      <c r="Q287" t="s" s="61">
        <f>_xlfn.IFERROR(VLOOKUP($A287,'The List'!$B1:$AS730,43,FALSE)," ")</f>
        <v>885</v>
      </c>
      <c r="R287" s="64"/>
      <c r="S287" s="64"/>
      <c r="T287" s="64"/>
      <c r="U287" s="19"/>
      <c r="V287" s="19"/>
      <c r="W287" s="19"/>
      <c r="X287" s="19"/>
      <c r="Y287" s="19"/>
      <c r="Z287" s="19"/>
      <c r="AA287" s="64"/>
      <c r="AB287" s="64"/>
      <c r="AC287" s="64"/>
      <c r="AD287" s="64"/>
      <c r="AE287" s="64"/>
      <c r="AF287" s="64"/>
    </row>
    <row r="288" ht="21.25" customHeight="1">
      <c r="A288" s="81"/>
      <c r="B288" t="s" s="123">
        <f>_xlfn.IFERROR(VLOOKUP($A288,'The List'!$B1:$AS730,3,FALSE)," ")</f>
        <v>885</v>
      </c>
      <c r="C288" t="s" s="124">
        <f>_xlfn.IFERROR(VLOOKUP($A288,'The List'!$B1:$AS730,4,FALSE)," ")</f>
        <v>885</v>
      </c>
      <c r="D288" t="s" s="84">
        <f>_xlfn.IFERROR(VLOOKUP($A288,'The List'!$B1:$AS730,5,FALSE)," ")</f>
        <v>885</v>
      </c>
      <c r="E288" t="s" s="84">
        <f>_xlfn.IFERROR(VLOOKUP($A288,'The List'!$B1:$AS730,6,FALSE)," ")</f>
        <v>885</v>
      </c>
      <c r="F288" t="s" s="85">
        <f>_xlfn.IFERROR(VLOOKUP($A288,'The List'!$B1:$AS730,8,FALSE)," ")</f>
        <v>885</v>
      </c>
      <c r="G288" t="s" s="85">
        <f>_xlfn.IFERROR(VLOOKUP($A288,'The List'!$B1:$AS730,10,FALSE)," ")</f>
        <v>885</v>
      </c>
      <c r="H288" s="86"/>
      <c r="I288" t="s" s="87">
        <f>_xlfn.IFERROR(VLOOKUP($A288,'The List'!$B1:$AS730,35,FALSE)," ")</f>
        <v>885</v>
      </c>
      <c r="J288" t="s" s="87">
        <f>_xlfn.IFERROR(VLOOKUP($A288,'The List'!$B1:$AS730,36,FALSE)," ")</f>
        <v>885</v>
      </c>
      <c r="K288" t="s" s="87">
        <f>_xlfn.IFERROR(VLOOKUP($A288,'The List'!$B1:$AS730,37,FALSE)," ")</f>
        <v>885</v>
      </c>
      <c r="L288" t="s" s="87">
        <f>_xlfn.IFERROR(VLOOKUP($A288,'The List'!$B1:$AS730,38,FALSE)," ")</f>
        <v>885</v>
      </c>
      <c r="M288" t="s" s="87">
        <f>_xlfn.IFERROR(VLOOKUP($A288,'The List'!$B1:$AS730,39,FALSE)," ")</f>
        <v>885</v>
      </c>
      <c r="N288" t="s" s="87">
        <f>_xlfn.IFERROR(VLOOKUP($A288,'The List'!$B1:$AS730,40,FALSE)," ")</f>
        <v>885</v>
      </c>
      <c r="O288" t="s" s="87">
        <f>_xlfn.IFERROR(VLOOKUP($A288,'The List'!$B1:$AS730,41,FALSE)," ")</f>
        <v>885</v>
      </c>
      <c r="P288" t="s" s="87">
        <f>_xlfn.IFERROR(VLOOKUP($A288,'The List'!$B1:$AS730,42,FALSE)," ")</f>
        <v>885</v>
      </c>
      <c r="Q288" t="s" s="87">
        <f>_xlfn.IFERROR(VLOOKUP($A288,'The List'!$B1:$AS730,43,FALSE)," ")</f>
        <v>885</v>
      </c>
      <c r="R288" s="64"/>
      <c r="S288" s="64"/>
      <c r="T288" s="64"/>
      <c r="U288" s="19"/>
      <c r="V288" s="19"/>
      <c r="W288" s="19"/>
      <c r="X288" s="19"/>
      <c r="Y288" s="19"/>
      <c r="Z288" s="19"/>
      <c r="AA288" s="64"/>
      <c r="AB288" s="64"/>
      <c r="AC288" s="64"/>
      <c r="AD288" s="64"/>
      <c r="AE288" s="64"/>
      <c r="AF288" s="64"/>
    </row>
    <row r="289" ht="21.25" customHeight="1">
      <c r="A289" s="88"/>
      <c r="B289" s="89"/>
      <c r="C289" s="90"/>
      <c r="D289" s="91"/>
      <c r="E289" t="s" s="127">
        <f>_xlfn.IFERROR(AVERAGE(E286:E288)," ")</f>
        <v>885</v>
      </c>
      <c r="F289" s="93">
        <f>SUM(F286:F288)</f>
        <v>0</v>
      </c>
      <c r="G289" s="93">
        <f>SUM(G286:G288)</f>
        <v>0</v>
      </c>
      <c r="H289" s="94"/>
      <c r="I289" s="95">
        <f>SUM(I286:I288)</f>
        <v>0</v>
      </c>
      <c r="J289" s="94">
        <f>SUM(J286:J288)</f>
        <v>0</v>
      </c>
      <c r="K289" s="95">
        <f>SUM(K286:K288)</f>
        <v>0</v>
      </c>
      <c r="L289" s="95">
        <f>SUM(L286:L288)</f>
        <v>0</v>
      </c>
      <c r="M289" s="95">
        <f>SUM(M286:M288)</f>
        <v>0</v>
      </c>
      <c r="N289" s="95">
        <f>SUM(N286:N288)</f>
        <v>0</v>
      </c>
      <c r="O289" s="95">
        <f>SUM(O286:O288)</f>
        <v>0</v>
      </c>
      <c r="P289" s="125">
        <f>1-(O289/(N289+O289))</f>
      </c>
      <c r="Q289" s="126">
        <f>O289/I289</f>
      </c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</row>
    <row r="290" ht="70.85" customHeight="1">
      <c r="A290" s="98"/>
      <c r="B290" s="99"/>
      <c r="C290" s="100"/>
      <c r="D290" s="11"/>
      <c r="E290" s="11"/>
      <c r="F290" s="101"/>
      <c r="G290" s="102"/>
      <c r="H290" s="103"/>
      <c r="I290" s="10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9"/>
      <c r="AB290" s="69"/>
      <c r="AC290" s="69"/>
      <c r="AD290" s="69"/>
      <c r="AE290" s="69"/>
      <c r="AF290" s="69"/>
    </row>
    <row r="291" ht="21.25" customHeight="1">
      <c r="A291" t="s" s="32">
        <v>895</v>
      </c>
      <c r="B291" t="s" s="33">
        <v>68</v>
      </c>
      <c r="C291" s="25"/>
      <c r="D291" t="s" s="33">
        <v>69</v>
      </c>
      <c r="E291" t="s" s="33">
        <v>70</v>
      </c>
      <c r="F291" t="s" s="34">
        <v>72</v>
      </c>
      <c r="G291" t="s" s="34">
        <v>74</v>
      </c>
      <c r="H291" s="35"/>
      <c r="I291" t="s" s="37">
        <v>79</v>
      </c>
      <c r="J291" t="s" s="37">
        <v>80</v>
      </c>
      <c r="K291" t="s" s="37">
        <v>81</v>
      </c>
      <c r="L291" t="s" s="37">
        <v>82</v>
      </c>
      <c r="M291" t="s" s="37">
        <v>83</v>
      </c>
      <c r="N291" t="s" s="37">
        <v>84</v>
      </c>
      <c r="O291" t="s" s="37">
        <v>85</v>
      </c>
      <c r="P291" t="s" s="37">
        <v>86</v>
      </c>
      <c r="Q291" t="s" s="37">
        <v>87</v>
      </c>
      <c r="R291" t="s" s="37">
        <v>88</v>
      </c>
      <c r="S291" t="s" s="37">
        <v>89</v>
      </c>
      <c r="T291" t="s" s="37">
        <v>90</v>
      </c>
      <c r="U291" t="s" s="37">
        <v>91</v>
      </c>
      <c r="V291" t="s" s="37">
        <v>92</v>
      </c>
      <c r="W291" t="s" s="37">
        <v>93</v>
      </c>
      <c r="X291" t="s" s="37">
        <v>94</v>
      </c>
      <c r="Y291" t="s" s="37">
        <v>95</v>
      </c>
      <c r="Z291" t="s" s="37">
        <v>96</v>
      </c>
      <c r="AA291" s="64"/>
      <c r="AB291" s="65"/>
      <c r="AC291" s="65"/>
      <c r="AD291" s="65"/>
      <c r="AE291" s="65"/>
      <c r="AF291" s="65"/>
    </row>
    <row r="292" ht="21.25" customHeight="1">
      <c r="A292" s="29"/>
      <c r="B292" t="s" s="66">
        <f>_xlfn.IFERROR(VLOOKUP($A292,'The List'!$B1:$AS730,3,FALSE)," ")</f>
        <v>885</v>
      </c>
      <c r="C292" t="s" s="70">
        <f>_xlfn.IFERROR(VLOOKUP($A292,'The List'!$B1:$AS730,4,FALSE)," ")</f>
        <v>885</v>
      </c>
      <c r="D292" t="s" s="42">
        <f>_xlfn.IFERROR(VLOOKUP($A292,'The List'!$B1:$AS730,5,FALSE)," ")</f>
        <v>885</v>
      </c>
      <c r="E292" t="s" s="42">
        <f>_xlfn.IFERROR(VLOOKUP($A292,'The List'!$B1:$AS730,6,FALSE)," ")</f>
        <v>885</v>
      </c>
      <c r="F292" t="s" s="60">
        <f>_xlfn.IFERROR(VLOOKUP($A292,'The List'!$B1:$AS730,8,FALSE)," ")</f>
        <v>885</v>
      </c>
      <c r="G292" t="s" s="60">
        <f>_xlfn.IFERROR(VLOOKUP($A292,'The List'!$B1:$AS730,10,FALSE)," ")</f>
        <v>885</v>
      </c>
      <c r="H292" s="46"/>
      <c r="I292" t="s" s="61">
        <f>_xlfn.IFERROR(VLOOKUP($A292,'The List'!$B1:$AS730,16,FALSE)," ")</f>
        <v>885</v>
      </c>
      <c r="J292" t="s" s="61">
        <f>_xlfn.IFERROR(VLOOKUP($A292,'The List'!$B1:$AS730,17,FALSE)," ")</f>
        <v>885</v>
      </c>
      <c r="K292" t="s" s="61">
        <f>_xlfn.IFERROR(VLOOKUP($A292,'The List'!$B1:$AS730,18,FALSE)," ")</f>
        <v>885</v>
      </c>
      <c r="L292" t="s" s="61">
        <f>_xlfn.IFERROR(VLOOKUP($A292,'The List'!$B1:$AS730,19,FALSE)," ")</f>
        <v>885</v>
      </c>
      <c r="M292" t="s" s="61">
        <f>_xlfn.IFERROR(VLOOKUP($A292,'The List'!$B1:$AS730,20,FALSE)," ")</f>
        <v>885</v>
      </c>
      <c r="N292" t="s" s="61">
        <f>_xlfn.IFERROR(VLOOKUP($A292,'The List'!$B1:$AS730,21,FALSE)," ")</f>
        <v>885</v>
      </c>
      <c r="O292" t="s" s="61">
        <f>_xlfn.IFERROR(VLOOKUP($A292,'The List'!$B1:$AS730,22,FALSE)," ")</f>
        <v>885</v>
      </c>
      <c r="P292" t="s" s="61">
        <f>_xlfn.IFERROR(VLOOKUP($A292,'The List'!$B1:$AS730,23,FALSE)," ")</f>
        <v>885</v>
      </c>
      <c r="Q292" t="s" s="61">
        <f>_xlfn.IFERROR(VLOOKUP($A292,'The List'!$B1:$AS730,24,FALSE)," ")</f>
        <v>885</v>
      </c>
      <c r="R292" t="s" s="61">
        <f>_xlfn.IFERROR(VLOOKUP($A292,'The List'!$B1:$AS730,25,FALSE)," ")</f>
        <v>885</v>
      </c>
      <c r="S292" t="s" s="61">
        <f>_xlfn.IFERROR(VLOOKUP($A292,'The List'!$B1:$AS730,26,FALSE)," ")</f>
        <v>885</v>
      </c>
      <c r="T292" t="s" s="61">
        <f>_xlfn.IFERROR(VLOOKUP($A292,'The List'!$B1:$AS730,27,FALSE)," ")</f>
        <v>885</v>
      </c>
      <c r="U292" t="s" s="61">
        <f>_xlfn.IFERROR(VLOOKUP($A292,'The List'!$B1:$AS730,28,FALSE)," ")</f>
        <v>885</v>
      </c>
      <c r="V292" t="s" s="61">
        <f>_xlfn.IFERROR(VLOOKUP($A292,'The List'!$B1:$AS730,29,FALSE)," ")</f>
        <v>885</v>
      </c>
      <c r="W292" t="s" s="61">
        <f>_xlfn.IFERROR(VLOOKUP($A292,'The List'!$B1:$AS730,30,FALSE)," ")</f>
        <v>885</v>
      </c>
      <c r="X292" t="s" s="61">
        <f>_xlfn.IFERROR(VLOOKUP($A292,'The List'!$B1:$AS730,31,FALSE)," ")</f>
        <v>885</v>
      </c>
      <c r="Y292" t="s" s="61">
        <f>_xlfn.IFERROR(VLOOKUP($A292,'The List'!$B1:$AS730,32,FALSE)," ")</f>
        <v>885</v>
      </c>
      <c r="Z292" t="s" s="61">
        <f>_xlfn.IFERROR(VLOOKUP($A292,'The List'!$B1:$AS730,33,FALSE)," ")</f>
        <v>885</v>
      </c>
      <c r="AA292" s="64"/>
      <c r="AB292" s="69"/>
      <c r="AC292" s="69"/>
      <c r="AD292" s="69"/>
      <c r="AE292" s="69"/>
      <c r="AF292" s="69"/>
    </row>
    <row r="293" ht="21.25" customHeight="1">
      <c r="A293" s="29"/>
      <c r="B293" t="s" s="66">
        <f>_xlfn.IFERROR(VLOOKUP($A293,'The List'!$B1:$AS730,3,FALSE)," ")</f>
        <v>885</v>
      </c>
      <c r="C293" t="s" s="70">
        <f>_xlfn.IFERROR(VLOOKUP($A293,'The List'!$B1:$AS730,4,FALSE)," ")</f>
        <v>885</v>
      </c>
      <c r="D293" t="s" s="42">
        <f>_xlfn.IFERROR(VLOOKUP($A293,'The List'!$B1:$AS730,5,FALSE)," ")</f>
        <v>885</v>
      </c>
      <c r="E293" t="s" s="42">
        <f>_xlfn.IFERROR(VLOOKUP($A293,'The List'!$B1:$AS730,6,FALSE)," ")</f>
        <v>885</v>
      </c>
      <c r="F293" t="s" s="60">
        <f>_xlfn.IFERROR(VLOOKUP($A293,'The List'!$B1:$AS730,8,FALSE)," ")</f>
        <v>885</v>
      </c>
      <c r="G293" t="s" s="60">
        <f>_xlfn.IFERROR(VLOOKUP($A293,'The List'!$B1:$AS730,10,FALSE)," ")</f>
        <v>885</v>
      </c>
      <c r="H293" s="46"/>
      <c r="I293" t="s" s="61">
        <f>_xlfn.IFERROR(VLOOKUP($A293,'The List'!$B1:$AS730,16,FALSE)," ")</f>
        <v>885</v>
      </c>
      <c r="J293" t="s" s="61">
        <f>_xlfn.IFERROR(VLOOKUP($A293,'The List'!$B1:$AS730,17,FALSE)," ")</f>
        <v>885</v>
      </c>
      <c r="K293" t="s" s="61">
        <f>_xlfn.IFERROR(VLOOKUP($A293,'The List'!$B1:$AS730,18,FALSE)," ")</f>
        <v>885</v>
      </c>
      <c r="L293" t="s" s="61">
        <f>_xlfn.IFERROR(VLOOKUP($A293,'The List'!$B1:$AS730,19,FALSE)," ")</f>
        <v>885</v>
      </c>
      <c r="M293" t="s" s="61">
        <f>_xlfn.IFERROR(VLOOKUP($A293,'The List'!$B1:$AS730,20,FALSE)," ")</f>
        <v>885</v>
      </c>
      <c r="N293" t="s" s="61">
        <f>_xlfn.IFERROR(VLOOKUP($A293,'The List'!$B1:$AS730,21,FALSE)," ")</f>
        <v>885</v>
      </c>
      <c r="O293" t="s" s="61">
        <f>_xlfn.IFERROR(VLOOKUP($A293,'The List'!$B1:$AS730,22,FALSE)," ")</f>
        <v>885</v>
      </c>
      <c r="P293" t="s" s="61">
        <f>_xlfn.IFERROR(VLOOKUP($A293,'The List'!$B1:$AS730,23,FALSE)," ")</f>
        <v>885</v>
      </c>
      <c r="Q293" t="s" s="61">
        <f>_xlfn.IFERROR(VLOOKUP($A293,'The List'!$B1:$AS730,24,FALSE)," ")</f>
        <v>885</v>
      </c>
      <c r="R293" t="s" s="61">
        <f>_xlfn.IFERROR(VLOOKUP($A293,'The List'!$B1:$AS730,25,FALSE)," ")</f>
        <v>885</v>
      </c>
      <c r="S293" t="s" s="61">
        <f>_xlfn.IFERROR(VLOOKUP($A293,'The List'!$B1:$AS730,26,FALSE)," ")</f>
        <v>885</v>
      </c>
      <c r="T293" t="s" s="61">
        <f>_xlfn.IFERROR(VLOOKUP($A293,'The List'!$B1:$AS730,27,FALSE)," ")</f>
        <v>885</v>
      </c>
      <c r="U293" t="s" s="61">
        <f>_xlfn.IFERROR(VLOOKUP($A293,'The List'!$B1:$AS730,28,FALSE)," ")</f>
        <v>885</v>
      </c>
      <c r="V293" t="s" s="61">
        <f>_xlfn.IFERROR(VLOOKUP($A293,'The List'!$B1:$AS730,29,FALSE)," ")</f>
        <v>885</v>
      </c>
      <c r="W293" t="s" s="61">
        <f>_xlfn.IFERROR(VLOOKUP($A293,'The List'!$B1:$AS730,30,FALSE)," ")</f>
        <v>885</v>
      </c>
      <c r="X293" t="s" s="61">
        <f>_xlfn.IFERROR(VLOOKUP($A293,'The List'!$B1:$AS730,31,FALSE)," ")</f>
        <v>885</v>
      </c>
      <c r="Y293" t="s" s="61">
        <f>_xlfn.IFERROR(VLOOKUP($A293,'The List'!$B1:$AS730,32,FALSE)," ")</f>
        <v>885</v>
      </c>
      <c r="Z293" t="s" s="61">
        <f>_xlfn.IFERROR(VLOOKUP($A293,'The List'!$B1:$AS730,33,FALSE)," ")</f>
        <v>885</v>
      </c>
      <c r="AA293" s="64"/>
      <c r="AB293" s="69"/>
      <c r="AC293" s="69"/>
      <c r="AD293" s="69"/>
      <c r="AE293" s="69"/>
      <c r="AF293" s="69"/>
    </row>
    <row r="294" ht="21.25" customHeight="1">
      <c r="A294" s="29"/>
      <c r="B294" t="s" s="66">
        <f>_xlfn.IFERROR(VLOOKUP($A294,'The List'!$B1:$AS730,3,FALSE)," ")</f>
        <v>885</v>
      </c>
      <c r="C294" t="s" s="70">
        <f>_xlfn.IFERROR(VLOOKUP($A294,'The List'!$B1:$AS730,4,FALSE)," ")</f>
        <v>885</v>
      </c>
      <c r="D294" t="s" s="42">
        <f>_xlfn.IFERROR(VLOOKUP($A294,'The List'!$B1:$AS730,5,FALSE)," ")</f>
        <v>885</v>
      </c>
      <c r="E294" t="s" s="42">
        <f>_xlfn.IFERROR(VLOOKUP($A294,'The List'!$B1:$AS730,6,FALSE)," ")</f>
        <v>885</v>
      </c>
      <c r="F294" t="s" s="60">
        <f>_xlfn.IFERROR(VLOOKUP($A294,'The List'!$B1:$AS730,8,FALSE)," ")</f>
        <v>885</v>
      </c>
      <c r="G294" t="s" s="60">
        <f>_xlfn.IFERROR(VLOOKUP($A294,'The List'!$B1:$AS730,10,FALSE)," ")</f>
        <v>885</v>
      </c>
      <c r="H294" s="46"/>
      <c r="I294" t="s" s="61">
        <f>_xlfn.IFERROR(VLOOKUP($A294,'The List'!$B1:$AS730,16,FALSE)," ")</f>
        <v>885</v>
      </c>
      <c r="J294" t="s" s="61">
        <f>_xlfn.IFERROR(VLOOKUP($A294,'The List'!$B1:$AS730,17,FALSE)," ")</f>
        <v>885</v>
      </c>
      <c r="K294" t="s" s="61">
        <f>_xlfn.IFERROR(VLOOKUP($A294,'The List'!$B1:$AS730,18,FALSE)," ")</f>
        <v>885</v>
      </c>
      <c r="L294" t="s" s="61">
        <f>_xlfn.IFERROR(VLOOKUP($A294,'The List'!$B1:$AS730,19,FALSE)," ")</f>
        <v>885</v>
      </c>
      <c r="M294" t="s" s="61">
        <f>_xlfn.IFERROR(VLOOKUP($A294,'The List'!$B1:$AS730,20,FALSE)," ")</f>
        <v>885</v>
      </c>
      <c r="N294" t="s" s="61">
        <f>_xlfn.IFERROR(VLOOKUP($A294,'The List'!$B1:$AS730,21,FALSE)," ")</f>
        <v>885</v>
      </c>
      <c r="O294" t="s" s="61">
        <f>_xlfn.IFERROR(VLOOKUP($A294,'The List'!$B1:$AS730,22,FALSE)," ")</f>
        <v>885</v>
      </c>
      <c r="P294" t="s" s="61">
        <f>_xlfn.IFERROR(VLOOKUP($A294,'The List'!$B1:$AS730,23,FALSE)," ")</f>
        <v>885</v>
      </c>
      <c r="Q294" t="s" s="61">
        <f>_xlfn.IFERROR(VLOOKUP($A294,'The List'!$B1:$AS730,24,FALSE)," ")</f>
        <v>885</v>
      </c>
      <c r="R294" t="s" s="61">
        <f>_xlfn.IFERROR(VLOOKUP($A294,'The List'!$B1:$AS730,25,FALSE)," ")</f>
        <v>885</v>
      </c>
      <c r="S294" t="s" s="61">
        <f>_xlfn.IFERROR(VLOOKUP($A294,'The List'!$B1:$AS730,26,FALSE)," ")</f>
        <v>885</v>
      </c>
      <c r="T294" t="s" s="61">
        <f>_xlfn.IFERROR(VLOOKUP($A294,'The List'!$B1:$AS730,27,FALSE)," ")</f>
        <v>885</v>
      </c>
      <c r="U294" t="s" s="61">
        <f>_xlfn.IFERROR(VLOOKUP($A294,'The List'!$B1:$AS730,28,FALSE)," ")</f>
        <v>885</v>
      </c>
      <c r="V294" t="s" s="61">
        <f>_xlfn.IFERROR(VLOOKUP($A294,'The List'!$B1:$AS730,29,FALSE)," ")</f>
        <v>885</v>
      </c>
      <c r="W294" t="s" s="61">
        <f>_xlfn.IFERROR(VLOOKUP($A294,'The List'!$B1:$AS730,30,FALSE)," ")</f>
        <v>885</v>
      </c>
      <c r="X294" t="s" s="61">
        <f>_xlfn.IFERROR(VLOOKUP($A294,'The List'!$B1:$AS730,31,FALSE)," ")</f>
        <v>885</v>
      </c>
      <c r="Y294" t="s" s="61">
        <f>_xlfn.IFERROR(VLOOKUP($A294,'The List'!$B1:$AS730,32,FALSE)," ")</f>
        <v>885</v>
      </c>
      <c r="Z294" t="s" s="61">
        <f>_xlfn.IFERROR(VLOOKUP($A294,'The List'!$B1:$AS730,33,FALSE)," ")</f>
        <v>885</v>
      </c>
      <c r="AA294" s="64"/>
      <c r="AB294" s="69"/>
      <c r="AC294" s="69"/>
      <c r="AD294" s="69"/>
      <c r="AE294" s="69"/>
      <c r="AF294" s="69"/>
    </row>
    <row r="295" ht="21.25" customHeight="1">
      <c r="A295" s="29"/>
      <c r="B295" t="s" s="66">
        <f>_xlfn.IFERROR(VLOOKUP($A295,'The List'!$B1:$AS730,3,FALSE)," ")</f>
        <v>885</v>
      </c>
      <c r="C295" t="s" s="70">
        <f>_xlfn.IFERROR(VLOOKUP($A295,'The List'!$B1:$AS730,4,FALSE)," ")</f>
        <v>885</v>
      </c>
      <c r="D295" t="s" s="42">
        <f>_xlfn.IFERROR(VLOOKUP($A295,'The List'!$B1:$AS730,5,FALSE)," ")</f>
        <v>885</v>
      </c>
      <c r="E295" t="s" s="42">
        <f>_xlfn.IFERROR(VLOOKUP($A295,'The List'!$B1:$AS730,6,FALSE)," ")</f>
        <v>885</v>
      </c>
      <c r="F295" t="s" s="60">
        <f>_xlfn.IFERROR(VLOOKUP($A295,'The List'!$B1:$AS730,8,FALSE)," ")</f>
        <v>885</v>
      </c>
      <c r="G295" t="s" s="60">
        <f>_xlfn.IFERROR(VLOOKUP($A295,'The List'!$B1:$AS730,10,FALSE)," ")</f>
        <v>885</v>
      </c>
      <c r="H295" s="46"/>
      <c r="I295" t="s" s="61">
        <f>_xlfn.IFERROR(VLOOKUP($A295,'The List'!$B1:$AS730,16,FALSE)," ")</f>
        <v>885</v>
      </c>
      <c r="J295" t="s" s="61">
        <f>_xlfn.IFERROR(VLOOKUP($A295,'The List'!$B1:$AS730,17,FALSE)," ")</f>
        <v>885</v>
      </c>
      <c r="K295" t="s" s="61">
        <f>_xlfn.IFERROR(VLOOKUP($A295,'The List'!$B1:$AS730,18,FALSE)," ")</f>
        <v>885</v>
      </c>
      <c r="L295" t="s" s="61">
        <f>_xlfn.IFERROR(VLOOKUP($A295,'The List'!$B1:$AS730,19,FALSE)," ")</f>
        <v>885</v>
      </c>
      <c r="M295" t="s" s="61">
        <f>_xlfn.IFERROR(VLOOKUP($A295,'The List'!$B1:$AS730,20,FALSE)," ")</f>
        <v>885</v>
      </c>
      <c r="N295" t="s" s="61">
        <f>_xlfn.IFERROR(VLOOKUP($A295,'The List'!$B1:$AS730,21,FALSE)," ")</f>
        <v>885</v>
      </c>
      <c r="O295" t="s" s="61">
        <f>_xlfn.IFERROR(VLOOKUP($A295,'The List'!$B1:$AS730,22,FALSE)," ")</f>
        <v>885</v>
      </c>
      <c r="P295" t="s" s="61">
        <f>_xlfn.IFERROR(VLOOKUP($A295,'The List'!$B1:$AS730,23,FALSE)," ")</f>
        <v>885</v>
      </c>
      <c r="Q295" t="s" s="61">
        <f>_xlfn.IFERROR(VLOOKUP($A295,'The List'!$B1:$AS730,24,FALSE)," ")</f>
        <v>885</v>
      </c>
      <c r="R295" t="s" s="61">
        <f>_xlfn.IFERROR(VLOOKUP($A295,'The List'!$B1:$AS730,25,FALSE)," ")</f>
        <v>885</v>
      </c>
      <c r="S295" t="s" s="61">
        <f>_xlfn.IFERROR(VLOOKUP($A295,'The List'!$B1:$AS730,26,FALSE)," ")</f>
        <v>885</v>
      </c>
      <c r="T295" t="s" s="61">
        <f>_xlfn.IFERROR(VLOOKUP($A295,'The List'!$B1:$AS730,27,FALSE)," ")</f>
        <v>885</v>
      </c>
      <c r="U295" t="s" s="61">
        <f>_xlfn.IFERROR(VLOOKUP($A295,'The List'!$B1:$AS730,28,FALSE)," ")</f>
        <v>885</v>
      </c>
      <c r="V295" t="s" s="61">
        <f>_xlfn.IFERROR(VLOOKUP($A295,'The List'!$B1:$AS730,29,FALSE)," ")</f>
        <v>885</v>
      </c>
      <c r="W295" t="s" s="61">
        <f>_xlfn.IFERROR(VLOOKUP($A295,'The List'!$B1:$AS730,30,FALSE)," ")</f>
        <v>885</v>
      </c>
      <c r="X295" t="s" s="61">
        <f>_xlfn.IFERROR(VLOOKUP($A295,'The List'!$B1:$AS730,31,FALSE)," ")</f>
        <v>885</v>
      </c>
      <c r="Y295" t="s" s="61">
        <f>_xlfn.IFERROR(VLOOKUP($A295,'The List'!$B1:$AS730,32,FALSE)," ")</f>
        <v>885</v>
      </c>
      <c r="Z295" t="s" s="61">
        <f>_xlfn.IFERROR(VLOOKUP($A295,'The List'!$B1:$AS730,33,FALSE)," ")</f>
        <v>885</v>
      </c>
      <c r="AA295" s="64"/>
      <c r="AB295" s="69"/>
      <c r="AC295" s="69"/>
      <c r="AD295" s="69"/>
      <c r="AE295" s="69"/>
      <c r="AF295" s="69"/>
    </row>
    <row r="296" ht="21.25" customHeight="1">
      <c r="A296" s="29"/>
      <c r="B296" t="s" s="71">
        <f>_xlfn.IFERROR(VLOOKUP($A296,'The List'!$B1:$AS730,3,FALSE)," ")</f>
        <v>885</v>
      </c>
      <c r="C296" t="s" s="73">
        <f>_xlfn.IFERROR(VLOOKUP($A296,'The List'!$B1:$AS730,4,FALSE)," ")</f>
        <v>885</v>
      </c>
      <c r="D296" t="s" s="42">
        <f>_xlfn.IFERROR(VLOOKUP($A296,'The List'!$B1:$AS730,5,FALSE)," ")</f>
        <v>885</v>
      </c>
      <c r="E296" t="s" s="42">
        <f>_xlfn.IFERROR(VLOOKUP($A296,'The List'!$B1:$AS730,6,FALSE)," ")</f>
        <v>885</v>
      </c>
      <c r="F296" t="s" s="60">
        <f>_xlfn.IFERROR(VLOOKUP($A296,'The List'!$B1:$AS730,8,FALSE)," ")</f>
        <v>885</v>
      </c>
      <c r="G296" t="s" s="60">
        <f>_xlfn.IFERROR(VLOOKUP($A296,'The List'!$B1:$AS730,10,FALSE)," ")</f>
        <v>885</v>
      </c>
      <c r="H296" s="46"/>
      <c r="I296" t="s" s="61">
        <f>_xlfn.IFERROR(VLOOKUP($A296,'The List'!$B1:$AS730,16,FALSE)," ")</f>
        <v>885</v>
      </c>
      <c r="J296" t="s" s="61">
        <f>_xlfn.IFERROR(VLOOKUP($A296,'The List'!$B1:$AS730,17,FALSE)," ")</f>
        <v>885</v>
      </c>
      <c r="K296" t="s" s="61">
        <f>_xlfn.IFERROR(VLOOKUP($A296,'The List'!$B1:$AS730,18,FALSE)," ")</f>
        <v>885</v>
      </c>
      <c r="L296" t="s" s="61">
        <f>_xlfn.IFERROR(VLOOKUP($A296,'The List'!$B1:$AS730,19,FALSE)," ")</f>
        <v>885</v>
      </c>
      <c r="M296" t="s" s="61">
        <f>_xlfn.IFERROR(VLOOKUP($A296,'The List'!$B1:$AS730,20,FALSE)," ")</f>
        <v>885</v>
      </c>
      <c r="N296" t="s" s="61">
        <f>_xlfn.IFERROR(VLOOKUP($A296,'The List'!$B1:$AS730,21,FALSE)," ")</f>
        <v>885</v>
      </c>
      <c r="O296" t="s" s="61">
        <f>_xlfn.IFERROR(VLOOKUP($A296,'The List'!$B1:$AS730,22,FALSE)," ")</f>
        <v>885</v>
      </c>
      <c r="P296" t="s" s="61">
        <f>_xlfn.IFERROR(VLOOKUP($A296,'The List'!$B1:$AS730,23,FALSE)," ")</f>
        <v>885</v>
      </c>
      <c r="Q296" t="s" s="61">
        <f>_xlfn.IFERROR(VLOOKUP($A296,'The List'!$B1:$AS730,24,FALSE)," ")</f>
        <v>885</v>
      </c>
      <c r="R296" t="s" s="61">
        <f>_xlfn.IFERROR(VLOOKUP($A296,'The List'!$B1:$AS730,25,FALSE)," ")</f>
        <v>885</v>
      </c>
      <c r="S296" t="s" s="61">
        <f>_xlfn.IFERROR(VLOOKUP($A296,'The List'!$B1:$AS730,26,FALSE)," ")</f>
        <v>885</v>
      </c>
      <c r="T296" t="s" s="61">
        <f>_xlfn.IFERROR(VLOOKUP($A296,'The List'!$B1:$AS730,27,FALSE)," ")</f>
        <v>885</v>
      </c>
      <c r="U296" t="s" s="61">
        <f>_xlfn.IFERROR(VLOOKUP($A296,'The List'!$B1:$AS730,28,FALSE)," ")</f>
        <v>885</v>
      </c>
      <c r="V296" t="s" s="61">
        <f>_xlfn.IFERROR(VLOOKUP($A296,'The List'!$B1:$AS730,29,FALSE)," ")</f>
        <v>885</v>
      </c>
      <c r="W296" t="s" s="61">
        <f>_xlfn.IFERROR(VLOOKUP($A296,'The List'!$B1:$AS730,30,FALSE)," ")</f>
        <v>885</v>
      </c>
      <c r="X296" t="s" s="61">
        <f>_xlfn.IFERROR(VLOOKUP($A296,'The List'!$B1:$AS730,31,FALSE)," ")</f>
        <v>885</v>
      </c>
      <c r="Y296" t="s" s="61">
        <f>_xlfn.IFERROR(VLOOKUP($A296,'The List'!$B1:$AS730,32,FALSE)," ")</f>
        <v>885</v>
      </c>
      <c r="Z296" t="s" s="61">
        <f>_xlfn.IFERROR(VLOOKUP($A296,'The List'!$B1:$AS730,33,FALSE)," ")</f>
        <v>885</v>
      </c>
      <c r="AA296" s="64"/>
      <c r="AB296" s="69"/>
      <c r="AC296" s="69"/>
      <c r="AD296" s="69"/>
      <c r="AE296" s="69"/>
      <c r="AF296" s="69"/>
    </row>
    <row r="297" ht="21.25" customHeight="1">
      <c r="A297" s="29"/>
      <c r="B297" t="s" s="71">
        <f>_xlfn.IFERROR(VLOOKUP($A297,'The List'!$B1:$AS730,3,FALSE)," ")</f>
        <v>885</v>
      </c>
      <c r="C297" t="s" s="73">
        <f>_xlfn.IFERROR(VLOOKUP($A297,'The List'!$B1:$AS730,4,FALSE)," ")</f>
        <v>885</v>
      </c>
      <c r="D297" t="s" s="42">
        <f>_xlfn.IFERROR(VLOOKUP($A297,'The List'!$B1:$AS730,5,FALSE)," ")</f>
        <v>885</v>
      </c>
      <c r="E297" t="s" s="42">
        <f>_xlfn.IFERROR(VLOOKUP($A297,'The List'!$B1:$AS730,6,FALSE)," ")</f>
        <v>885</v>
      </c>
      <c r="F297" t="s" s="60">
        <f>_xlfn.IFERROR(VLOOKUP($A297,'The List'!$B1:$AS730,8,FALSE)," ")</f>
        <v>885</v>
      </c>
      <c r="G297" t="s" s="60">
        <f>_xlfn.IFERROR(VLOOKUP($A297,'The List'!$B1:$AS730,10,FALSE)," ")</f>
        <v>885</v>
      </c>
      <c r="H297" s="46"/>
      <c r="I297" t="s" s="61">
        <f>_xlfn.IFERROR(VLOOKUP($A297,'The List'!$B1:$AS730,16,FALSE)," ")</f>
        <v>885</v>
      </c>
      <c r="J297" t="s" s="61">
        <f>_xlfn.IFERROR(VLOOKUP($A297,'The List'!$B1:$AS730,17,FALSE)," ")</f>
        <v>885</v>
      </c>
      <c r="K297" t="s" s="61">
        <f>_xlfn.IFERROR(VLOOKUP($A297,'The List'!$B1:$AS730,18,FALSE)," ")</f>
        <v>885</v>
      </c>
      <c r="L297" t="s" s="61">
        <f>_xlfn.IFERROR(VLOOKUP($A297,'The List'!$B1:$AS730,19,FALSE)," ")</f>
        <v>885</v>
      </c>
      <c r="M297" t="s" s="61">
        <f>_xlfn.IFERROR(VLOOKUP($A297,'The List'!$B1:$AS730,20,FALSE)," ")</f>
        <v>885</v>
      </c>
      <c r="N297" t="s" s="61">
        <f>_xlfn.IFERROR(VLOOKUP($A297,'The List'!$B1:$AS730,21,FALSE)," ")</f>
        <v>885</v>
      </c>
      <c r="O297" t="s" s="61">
        <f>_xlfn.IFERROR(VLOOKUP($A297,'The List'!$B1:$AS730,22,FALSE)," ")</f>
        <v>885</v>
      </c>
      <c r="P297" t="s" s="61">
        <f>_xlfn.IFERROR(VLOOKUP($A297,'The List'!$B1:$AS730,23,FALSE)," ")</f>
        <v>885</v>
      </c>
      <c r="Q297" t="s" s="61">
        <f>_xlfn.IFERROR(VLOOKUP($A297,'The List'!$B1:$AS730,24,FALSE)," ")</f>
        <v>885</v>
      </c>
      <c r="R297" t="s" s="61">
        <f>_xlfn.IFERROR(VLOOKUP($A297,'The List'!$B1:$AS730,25,FALSE)," ")</f>
        <v>885</v>
      </c>
      <c r="S297" t="s" s="61">
        <f>_xlfn.IFERROR(VLOOKUP($A297,'The List'!$B1:$AS730,26,FALSE)," ")</f>
        <v>885</v>
      </c>
      <c r="T297" t="s" s="61">
        <f>_xlfn.IFERROR(VLOOKUP($A297,'The List'!$B1:$AS730,27,FALSE)," ")</f>
        <v>885</v>
      </c>
      <c r="U297" t="s" s="61">
        <f>_xlfn.IFERROR(VLOOKUP($A297,'The List'!$B1:$AS730,28,FALSE)," ")</f>
        <v>885</v>
      </c>
      <c r="V297" t="s" s="61">
        <f>_xlfn.IFERROR(VLOOKUP($A297,'The List'!$B1:$AS730,29,FALSE)," ")</f>
        <v>885</v>
      </c>
      <c r="W297" t="s" s="61">
        <f>_xlfn.IFERROR(VLOOKUP($A297,'The List'!$B1:$AS730,30,FALSE)," ")</f>
        <v>885</v>
      </c>
      <c r="X297" t="s" s="61">
        <f>_xlfn.IFERROR(VLOOKUP($A297,'The List'!$B1:$AS730,31,FALSE)," ")</f>
        <v>885</v>
      </c>
      <c r="Y297" t="s" s="61">
        <f>_xlfn.IFERROR(VLOOKUP($A297,'The List'!$B1:$AS730,32,FALSE)," ")</f>
        <v>885</v>
      </c>
      <c r="Z297" t="s" s="61">
        <f>_xlfn.IFERROR(VLOOKUP($A297,'The List'!$B1:$AS730,33,FALSE)," ")</f>
        <v>885</v>
      </c>
      <c r="AA297" s="64"/>
      <c r="AB297" s="69"/>
      <c r="AC297" s="69"/>
      <c r="AD297" s="69"/>
      <c r="AE297" s="69"/>
      <c r="AF297" s="69"/>
    </row>
    <row r="298" ht="21.25" customHeight="1">
      <c r="A298" s="29"/>
      <c r="B298" t="s" s="71">
        <f>_xlfn.IFERROR(VLOOKUP($A298,'The List'!$B1:$AS730,3,FALSE)," ")</f>
        <v>885</v>
      </c>
      <c r="C298" t="s" s="73">
        <f>_xlfn.IFERROR(VLOOKUP($A298,'The List'!$B1:$AS730,4,FALSE)," ")</f>
        <v>885</v>
      </c>
      <c r="D298" t="s" s="42">
        <f>_xlfn.IFERROR(VLOOKUP($A298,'The List'!$B1:$AS730,5,FALSE)," ")</f>
        <v>885</v>
      </c>
      <c r="E298" t="s" s="42">
        <f>_xlfn.IFERROR(VLOOKUP($A298,'The List'!$B1:$AS730,6,FALSE)," ")</f>
        <v>885</v>
      </c>
      <c r="F298" t="s" s="60">
        <f>_xlfn.IFERROR(VLOOKUP($A298,'The List'!$B1:$AS730,8,FALSE)," ")</f>
        <v>885</v>
      </c>
      <c r="G298" t="s" s="60">
        <f>_xlfn.IFERROR(VLOOKUP($A298,'The List'!$B1:$AS730,10,FALSE)," ")</f>
        <v>885</v>
      </c>
      <c r="H298" s="46"/>
      <c r="I298" t="s" s="61">
        <f>_xlfn.IFERROR(VLOOKUP($A298,'The List'!$B1:$AS730,16,FALSE)," ")</f>
        <v>885</v>
      </c>
      <c r="J298" t="s" s="61">
        <f>_xlfn.IFERROR(VLOOKUP($A298,'The List'!$B1:$AS730,17,FALSE)," ")</f>
        <v>885</v>
      </c>
      <c r="K298" t="s" s="61">
        <f>_xlfn.IFERROR(VLOOKUP($A298,'The List'!$B1:$AS730,18,FALSE)," ")</f>
        <v>885</v>
      </c>
      <c r="L298" t="s" s="61">
        <f>_xlfn.IFERROR(VLOOKUP($A298,'The List'!$B1:$AS730,19,FALSE)," ")</f>
        <v>885</v>
      </c>
      <c r="M298" t="s" s="61">
        <f>_xlfn.IFERROR(VLOOKUP($A298,'The List'!$B1:$AS730,20,FALSE)," ")</f>
        <v>885</v>
      </c>
      <c r="N298" t="s" s="61">
        <f>_xlfn.IFERROR(VLOOKUP($A298,'The List'!$B1:$AS730,21,FALSE)," ")</f>
        <v>885</v>
      </c>
      <c r="O298" t="s" s="61">
        <f>_xlfn.IFERROR(VLOOKUP($A298,'The List'!$B1:$AS730,22,FALSE)," ")</f>
        <v>885</v>
      </c>
      <c r="P298" t="s" s="61">
        <f>_xlfn.IFERROR(VLOOKUP($A298,'The List'!$B1:$AS730,23,FALSE)," ")</f>
        <v>885</v>
      </c>
      <c r="Q298" t="s" s="61">
        <f>_xlfn.IFERROR(VLOOKUP($A298,'The List'!$B1:$AS730,24,FALSE)," ")</f>
        <v>885</v>
      </c>
      <c r="R298" t="s" s="61">
        <f>_xlfn.IFERROR(VLOOKUP($A298,'The List'!$B1:$AS730,25,FALSE)," ")</f>
        <v>885</v>
      </c>
      <c r="S298" t="s" s="61">
        <f>_xlfn.IFERROR(VLOOKUP($A298,'The List'!$B1:$AS730,26,FALSE)," ")</f>
        <v>885</v>
      </c>
      <c r="T298" t="s" s="61">
        <f>_xlfn.IFERROR(VLOOKUP($A298,'The List'!$B1:$AS730,27,FALSE)," ")</f>
        <v>885</v>
      </c>
      <c r="U298" t="s" s="61">
        <f>_xlfn.IFERROR(VLOOKUP($A298,'The List'!$B1:$AS730,28,FALSE)," ")</f>
        <v>885</v>
      </c>
      <c r="V298" t="s" s="61">
        <f>_xlfn.IFERROR(VLOOKUP($A298,'The List'!$B1:$AS730,29,FALSE)," ")</f>
        <v>885</v>
      </c>
      <c r="W298" t="s" s="61">
        <f>_xlfn.IFERROR(VLOOKUP($A298,'The List'!$B1:$AS730,30,FALSE)," ")</f>
        <v>885</v>
      </c>
      <c r="X298" t="s" s="61">
        <f>_xlfn.IFERROR(VLOOKUP($A298,'The List'!$B1:$AS730,31,FALSE)," ")</f>
        <v>885</v>
      </c>
      <c r="Y298" t="s" s="61">
        <f>_xlfn.IFERROR(VLOOKUP($A298,'The List'!$B1:$AS730,32,FALSE)," ")</f>
        <v>885</v>
      </c>
      <c r="Z298" t="s" s="61">
        <f>_xlfn.IFERROR(VLOOKUP($A298,'The List'!$B1:$AS730,33,FALSE)," ")</f>
        <v>885</v>
      </c>
      <c r="AA298" s="64"/>
      <c r="AB298" s="69"/>
      <c r="AC298" s="69"/>
      <c r="AD298" s="69"/>
      <c r="AE298" s="69"/>
      <c r="AF298" s="69"/>
    </row>
    <row r="299" ht="21.25" customHeight="1">
      <c r="A299" s="29"/>
      <c r="B299" t="s" s="71">
        <f>_xlfn.IFERROR(VLOOKUP($A299,'The List'!$B1:$AS730,3,FALSE)," ")</f>
        <v>885</v>
      </c>
      <c r="C299" t="s" s="73">
        <f>_xlfn.IFERROR(VLOOKUP($A299,'The List'!$B1:$AS730,4,FALSE)," ")</f>
        <v>885</v>
      </c>
      <c r="D299" t="s" s="42">
        <f>_xlfn.IFERROR(VLOOKUP($A299,'The List'!$B1:$AS730,5,FALSE)," ")</f>
        <v>885</v>
      </c>
      <c r="E299" t="s" s="42">
        <f>_xlfn.IFERROR(VLOOKUP($A299,'The List'!$B1:$AS730,6,FALSE)," ")</f>
        <v>885</v>
      </c>
      <c r="F299" t="s" s="60">
        <f>_xlfn.IFERROR(VLOOKUP($A299,'The List'!$B1:$AS730,8,FALSE)," ")</f>
        <v>885</v>
      </c>
      <c r="G299" t="s" s="60">
        <f>_xlfn.IFERROR(VLOOKUP($A299,'The List'!$B1:$AS730,10,FALSE)," ")</f>
        <v>885</v>
      </c>
      <c r="H299" s="46"/>
      <c r="I299" t="s" s="61">
        <f>_xlfn.IFERROR(VLOOKUP($A299,'The List'!$B1:$AS730,16,FALSE)," ")</f>
        <v>885</v>
      </c>
      <c r="J299" t="s" s="61">
        <f>_xlfn.IFERROR(VLOOKUP($A299,'The List'!$B1:$AS730,17,FALSE)," ")</f>
        <v>885</v>
      </c>
      <c r="K299" t="s" s="61">
        <f>_xlfn.IFERROR(VLOOKUP($A299,'The List'!$B1:$AS730,18,FALSE)," ")</f>
        <v>885</v>
      </c>
      <c r="L299" t="s" s="61">
        <f>_xlfn.IFERROR(VLOOKUP($A299,'The List'!$B1:$AS730,19,FALSE)," ")</f>
        <v>885</v>
      </c>
      <c r="M299" t="s" s="61">
        <f>_xlfn.IFERROR(VLOOKUP($A299,'The List'!$B1:$AS730,20,FALSE)," ")</f>
        <v>885</v>
      </c>
      <c r="N299" t="s" s="61">
        <f>_xlfn.IFERROR(VLOOKUP($A299,'The List'!$B1:$AS730,21,FALSE)," ")</f>
        <v>885</v>
      </c>
      <c r="O299" t="s" s="61">
        <f>_xlfn.IFERROR(VLOOKUP($A299,'The List'!$B1:$AS730,22,FALSE)," ")</f>
        <v>885</v>
      </c>
      <c r="P299" t="s" s="61">
        <f>_xlfn.IFERROR(VLOOKUP($A299,'The List'!$B1:$AS730,23,FALSE)," ")</f>
        <v>885</v>
      </c>
      <c r="Q299" t="s" s="61">
        <f>_xlfn.IFERROR(VLOOKUP($A299,'The List'!$B1:$AS730,24,FALSE)," ")</f>
        <v>885</v>
      </c>
      <c r="R299" t="s" s="61">
        <f>_xlfn.IFERROR(VLOOKUP($A299,'The List'!$B1:$AS730,25,FALSE)," ")</f>
        <v>885</v>
      </c>
      <c r="S299" t="s" s="61">
        <f>_xlfn.IFERROR(VLOOKUP($A299,'The List'!$B1:$AS730,26,FALSE)," ")</f>
        <v>885</v>
      </c>
      <c r="T299" t="s" s="61">
        <f>_xlfn.IFERROR(VLOOKUP($A299,'The List'!$B1:$AS730,27,FALSE)," ")</f>
        <v>885</v>
      </c>
      <c r="U299" t="s" s="61">
        <f>_xlfn.IFERROR(VLOOKUP($A299,'The List'!$B1:$AS730,28,FALSE)," ")</f>
        <v>885</v>
      </c>
      <c r="V299" t="s" s="61">
        <f>_xlfn.IFERROR(VLOOKUP($A299,'The List'!$B1:$AS730,29,FALSE)," ")</f>
        <v>885</v>
      </c>
      <c r="W299" t="s" s="61">
        <f>_xlfn.IFERROR(VLOOKUP($A299,'The List'!$B1:$AS730,30,FALSE)," ")</f>
        <v>885</v>
      </c>
      <c r="X299" t="s" s="61">
        <f>_xlfn.IFERROR(VLOOKUP($A299,'The List'!$B1:$AS730,31,FALSE)," ")</f>
        <v>885</v>
      </c>
      <c r="Y299" t="s" s="61">
        <f>_xlfn.IFERROR(VLOOKUP($A299,'The List'!$B1:$AS730,32,FALSE)," ")</f>
        <v>885</v>
      </c>
      <c r="Z299" t="s" s="61">
        <f>_xlfn.IFERROR(VLOOKUP($A299,'The List'!$B1:$AS730,33,FALSE)," ")</f>
        <v>885</v>
      </c>
      <c r="AA299" s="64"/>
      <c r="AB299" s="69"/>
      <c r="AC299" s="69"/>
      <c r="AD299" s="69"/>
      <c r="AE299" s="69"/>
      <c r="AF299" s="69"/>
    </row>
    <row r="300" ht="21.25" customHeight="1">
      <c r="A300" s="29"/>
      <c r="B300" t="s" s="74">
        <f>_xlfn.IFERROR(VLOOKUP($A300,'The List'!$B1:$AS730,3,FALSE)," ")</f>
        <v>885</v>
      </c>
      <c r="C300" t="s" s="76">
        <f>_xlfn.IFERROR(VLOOKUP($A300,'The List'!$B1:$AS730,4,FALSE)," ")</f>
        <v>885</v>
      </c>
      <c r="D300" t="s" s="42">
        <f>_xlfn.IFERROR(VLOOKUP($A300,'The List'!$B1:$AS730,5,FALSE)," ")</f>
        <v>885</v>
      </c>
      <c r="E300" t="s" s="42">
        <f>_xlfn.IFERROR(VLOOKUP($A300,'The List'!$B1:$AS730,6,FALSE)," ")</f>
        <v>885</v>
      </c>
      <c r="F300" t="s" s="60">
        <f>_xlfn.IFERROR(VLOOKUP($A300,'The List'!$B1:$AS730,8,FALSE)," ")</f>
        <v>885</v>
      </c>
      <c r="G300" t="s" s="60">
        <f>_xlfn.IFERROR(VLOOKUP($A300,'The List'!$B1:$AS730,10,FALSE)," ")</f>
        <v>885</v>
      </c>
      <c r="H300" s="46"/>
      <c r="I300" t="s" s="61">
        <f>_xlfn.IFERROR(VLOOKUP($A300,'The List'!$B1:$AS730,16,FALSE)," ")</f>
        <v>885</v>
      </c>
      <c r="J300" t="s" s="61">
        <f>_xlfn.IFERROR(VLOOKUP($A300,'The List'!$B1:$AS730,17,FALSE)," ")</f>
        <v>885</v>
      </c>
      <c r="K300" t="s" s="61">
        <f>_xlfn.IFERROR(VLOOKUP($A300,'The List'!$B1:$AS730,18,FALSE)," ")</f>
        <v>885</v>
      </c>
      <c r="L300" t="s" s="61">
        <f>_xlfn.IFERROR(VLOOKUP($A300,'The List'!$B1:$AS730,19,FALSE)," ")</f>
        <v>885</v>
      </c>
      <c r="M300" t="s" s="61">
        <f>_xlfn.IFERROR(VLOOKUP($A300,'The List'!$B1:$AS730,20,FALSE)," ")</f>
        <v>885</v>
      </c>
      <c r="N300" t="s" s="61">
        <f>_xlfn.IFERROR(VLOOKUP($A300,'The List'!$B1:$AS730,21,FALSE)," ")</f>
        <v>885</v>
      </c>
      <c r="O300" t="s" s="61">
        <f>_xlfn.IFERROR(VLOOKUP($A300,'The List'!$B1:$AS730,22,FALSE)," ")</f>
        <v>885</v>
      </c>
      <c r="P300" t="s" s="61">
        <f>_xlfn.IFERROR(VLOOKUP($A300,'The List'!$B1:$AS730,23,FALSE)," ")</f>
        <v>885</v>
      </c>
      <c r="Q300" t="s" s="61">
        <f>_xlfn.IFERROR(VLOOKUP($A300,'The List'!$B1:$AS730,24,FALSE)," ")</f>
        <v>885</v>
      </c>
      <c r="R300" t="s" s="61">
        <f>_xlfn.IFERROR(VLOOKUP($A300,'The List'!$B1:$AS730,25,FALSE)," ")</f>
        <v>885</v>
      </c>
      <c r="S300" t="s" s="61">
        <f>_xlfn.IFERROR(VLOOKUP($A300,'The List'!$B1:$AS730,26,FALSE)," ")</f>
        <v>885</v>
      </c>
      <c r="T300" t="s" s="61">
        <f>_xlfn.IFERROR(VLOOKUP($A300,'The List'!$B1:$AS730,27,FALSE)," ")</f>
        <v>885</v>
      </c>
      <c r="U300" t="s" s="61">
        <f>_xlfn.IFERROR(VLOOKUP($A300,'The List'!$B1:$AS730,28,FALSE)," ")</f>
        <v>885</v>
      </c>
      <c r="V300" t="s" s="61">
        <f>_xlfn.IFERROR(VLOOKUP($A300,'The List'!$B1:$AS730,29,FALSE)," ")</f>
        <v>885</v>
      </c>
      <c r="W300" t="s" s="61">
        <f>_xlfn.IFERROR(VLOOKUP($A300,'The List'!$B1:$AS730,30,FALSE)," ")</f>
        <v>885</v>
      </c>
      <c r="X300" t="s" s="61">
        <f>_xlfn.IFERROR(VLOOKUP($A300,'The List'!$B1:$AS730,31,FALSE)," ")</f>
        <v>885</v>
      </c>
      <c r="Y300" t="s" s="61">
        <f>_xlfn.IFERROR(VLOOKUP($A300,'The List'!$B1:$AS730,32,FALSE)," ")</f>
        <v>885</v>
      </c>
      <c r="Z300" t="s" s="61">
        <f>_xlfn.IFERROR(VLOOKUP($A300,'The List'!$B1:$AS730,33,FALSE)," ")</f>
        <v>885</v>
      </c>
      <c r="AA300" s="64"/>
      <c r="AB300" s="69"/>
      <c r="AC300" s="69"/>
      <c r="AD300" s="69"/>
      <c r="AE300" s="69"/>
      <c r="AF300" s="69"/>
    </row>
    <row r="301" ht="21.25" customHeight="1">
      <c r="A301" s="29"/>
      <c r="B301" t="s" s="74">
        <f>_xlfn.IFERROR(VLOOKUP($A301,'The List'!$B1:$AS730,3,FALSE)," ")</f>
        <v>885</v>
      </c>
      <c r="C301" t="s" s="76">
        <f>_xlfn.IFERROR(VLOOKUP($A301,'The List'!$B1:$AS730,4,FALSE)," ")</f>
        <v>885</v>
      </c>
      <c r="D301" t="s" s="42">
        <f>_xlfn.IFERROR(VLOOKUP($A301,'The List'!$B1:$AS730,5,FALSE)," ")</f>
        <v>885</v>
      </c>
      <c r="E301" t="s" s="42">
        <f>_xlfn.IFERROR(VLOOKUP($A301,'The List'!$B1:$AS730,6,FALSE)," ")</f>
        <v>885</v>
      </c>
      <c r="F301" t="s" s="60">
        <f>_xlfn.IFERROR(VLOOKUP($A301,'The List'!$B1:$AS730,8,FALSE)," ")</f>
        <v>885</v>
      </c>
      <c r="G301" t="s" s="60">
        <f>_xlfn.IFERROR(VLOOKUP($A301,'The List'!$B1:$AS730,10,FALSE)," ")</f>
        <v>885</v>
      </c>
      <c r="H301" s="46"/>
      <c r="I301" t="s" s="61">
        <f>_xlfn.IFERROR(VLOOKUP($A301,'The List'!$B1:$AS730,16,FALSE)," ")</f>
        <v>885</v>
      </c>
      <c r="J301" t="s" s="61">
        <f>_xlfn.IFERROR(VLOOKUP($A301,'The List'!$B1:$AS730,17,FALSE)," ")</f>
        <v>885</v>
      </c>
      <c r="K301" t="s" s="61">
        <f>_xlfn.IFERROR(VLOOKUP($A301,'The List'!$B1:$AS730,18,FALSE)," ")</f>
        <v>885</v>
      </c>
      <c r="L301" t="s" s="61">
        <f>_xlfn.IFERROR(VLOOKUP($A301,'The List'!$B1:$AS730,19,FALSE)," ")</f>
        <v>885</v>
      </c>
      <c r="M301" t="s" s="61">
        <f>_xlfn.IFERROR(VLOOKUP($A301,'The List'!$B1:$AS730,20,FALSE)," ")</f>
        <v>885</v>
      </c>
      <c r="N301" t="s" s="61">
        <f>_xlfn.IFERROR(VLOOKUP($A301,'The List'!$B1:$AS730,21,FALSE)," ")</f>
        <v>885</v>
      </c>
      <c r="O301" t="s" s="61">
        <f>_xlfn.IFERROR(VLOOKUP($A301,'The List'!$B1:$AS730,22,FALSE)," ")</f>
        <v>885</v>
      </c>
      <c r="P301" t="s" s="61">
        <f>_xlfn.IFERROR(VLOOKUP($A301,'The List'!$B1:$AS730,23,FALSE)," ")</f>
        <v>885</v>
      </c>
      <c r="Q301" t="s" s="61">
        <f>_xlfn.IFERROR(VLOOKUP($A301,'The List'!$B1:$AS730,24,FALSE)," ")</f>
        <v>885</v>
      </c>
      <c r="R301" t="s" s="61">
        <f>_xlfn.IFERROR(VLOOKUP($A301,'The List'!$B1:$AS730,25,FALSE)," ")</f>
        <v>885</v>
      </c>
      <c r="S301" t="s" s="61">
        <f>_xlfn.IFERROR(VLOOKUP($A301,'The List'!$B1:$AS730,26,FALSE)," ")</f>
        <v>885</v>
      </c>
      <c r="T301" t="s" s="61">
        <f>_xlfn.IFERROR(VLOOKUP($A301,'The List'!$B1:$AS730,27,FALSE)," ")</f>
        <v>885</v>
      </c>
      <c r="U301" t="s" s="61">
        <f>_xlfn.IFERROR(VLOOKUP($A301,'The List'!$B1:$AS730,28,FALSE)," ")</f>
        <v>885</v>
      </c>
      <c r="V301" t="s" s="61">
        <f>_xlfn.IFERROR(VLOOKUP($A301,'The List'!$B1:$AS730,29,FALSE)," ")</f>
        <v>885</v>
      </c>
      <c r="W301" t="s" s="61">
        <f>_xlfn.IFERROR(VLOOKUP($A301,'The List'!$B1:$AS730,30,FALSE)," ")</f>
        <v>885</v>
      </c>
      <c r="X301" t="s" s="61">
        <f>_xlfn.IFERROR(VLOOKUP($A301,'The List'!$B1:$AS730,31,FALSE)," ")</f>
        <v>885</v>
      </c>
      <c r="Y301" t="s" s="61">
        <f>_xlfn.IFERROR(VLOOKUP($A301,'The List'!$B1:$AS730,32,FALSE)," ")</f>
        <v>885</v>
      </c>
      <c r="Z301" t="s" s="61">
        <f>_xlfn.IFERROR(VLOOKUP($A301,'The List'!$B1:$AS730,33,FALSE)," ")</f>
        <v>885</v>
      </c>
      <c r="AA301" s="64"/>
      <c r="AB301" s="69"/>
      <c r="AC301" s="69"/>
      <c r="AD301" s="69"/>
      <c r="AE301" s="69"/>
      <c r="AF301" s="69"/>
    </row>
    <row r="302" ht="21.25" customHeight="1">
      <c r="A302" s="29"/>
      <c r="B302" t="s" s="74">
        <f>_xlfn.IFERROR(VLOOKUP($A302,'The List'!$B1:$AS730,3,FALSE)," ")</f>
        <v>885</v>
      </c>
      <c r="C302" t="s" s="76">
        <f>_xlfn.IFERROR(VLOOKUP($A302,'The List'!$B1:$AS730,4,FALSE)," ")</f>
        <v>885</v>
      </c>
      <c r="D302" t="s" s="42">
        <f>_xlfn.IFERROR(VLOOKUP($A302,'The List'!$B1:$AS730,5,FALSE)," ")</f>
        <v>885</v>
      </c>
      <c r="E302" t="s" s="42">
        <f>_xlfn.IFERROR(VLOOKUP($A302,'The List'!$B1:$AS730,6,FALSE)," ")</f>
        <v>885</v>
      </c>
      <c r="F302" t="s" s="60">
        <f>_xlfn.IFERROR(VLOOKUP($A302,'The List'!$B1:$AS730,8,FALSE)," ")</f>
        <v>885</v>
      </c>
      <c r="G302" t="s" s="60">
        <f>_xlfn.IFERROR(VLOOKUP($A302,'The List'!$B1:$AS730,10,FALSE)," ")</f>
        <v>885</v>
      </c>
      <c r="H302" s="46"/>
      <c r="I302" t="s" s="61">
        <f>_xlfn.IFERROR(VLOOKUP($A302,'The List'!$B1:$AS730,16,FALSE)," ")</f>
        <v>885</v>
      </c>
      <c r="J302" t="s" s="61">
        <f>_xlfn.IFERROR(VLOOKUP($A302,'The List'!$B1:$AS730,17,FALSE)," ")</f>
        <v>885</v>
      </c>
      <c r="K302" t="s" s="61">
        <f>_xlfn.IFERROR(VLOOKUP($A302,'The List'!$B1:$AS730,18,FALSE)," ")</f>
        <v>885</v>
      </c>
      <c r="L302" t="s" s="61">
        <f>_xlfn.IFERROR(VLOOKUP($A302,'The List'!$B1:$AS730,19,FALSE)," ")</f>
        <v>885</v>
      </c>
      <c r="M302" t="s" s="61">
        <f>_xlfn.IFERROR(VLOOKUP($A302,'The List'!$B1:$AS730,20,FALSE)," ")</f>
        <v>885</v>
      </c>
      <c r="N302" t="s" s="61">
        <f>_xlfn.IFERROR(VLOOKUP($A302,'The List'!$B1:$AS730,21,FALSE)," ")</f>
        <v>885</v>
      </c>
      <c r="O302" t="s" s="61">
        <f>_xlfn.IFERROR(VLOOKUP($A302,'The List'!$B1:$AS730,22,FALSE)," ")</f>
        <v>885</v>
      </c>
      <c r="P302" t="s" s="61">
        <f>_xlfn.IFERROR(VLOOKUP($A302,'The List'!$B1:$AS730,23,FALSE)," ")</f>
        <v>885</v>
      </c>
      <c r="Q302" t="s" s="61">
        <f>_xlfn.IFERROR(VLOOKUP($A302,'The List'!$B1:$AS730,24,FALSE)," ")</f>
        <v>885</v>
      </c>
      <c r="R302" t="s" s="61">
        <f>_xlfn.IFERROR(VLOOKUP($A302,'The List'!$B1:$AS730,25,FALSE)," ")</f>
        <v>885</v>
      </c>
      <c r="S302" t="s" s="61">
        <f>_xlfn.IFERROR(VLOOKUP($A302,'The List'!$B1:$AS730,26,FALSE)," ")</f>
        <v>885</v>
      </c>
      <c r="T302" t="s" s="61">
        <f>_xlfn.IFERROR(VLOOKUP($A302,'The List'!$B1:$AS730,27,FALSE)," ")</f>
        <v>885</v>
      </c>
      <c r="U302" t="s" s="61">
        <f>_xlfn.IFERROR(VLOOKUP($A302,'The List'!$B1:$AS730,28,FALSE)," ")</f>
        <v>885</v>
      </c>
      <c r="V302" t="s" s="61">
        <f>_xlfn.IFERROR(VLOOKUP($A302,'The List'!$B1:$AS730,29,FALSE)," ")</f>
        <v>885</v>
      </c>
      <c r="W302" t="s" s="61">
        <f>_xlfn.IFERROR(VLOOKUP($A302,'The List'!$B1:$AS730,30,FALSE)," ")</f>
        <v>885</v>
      </c>
      <c r="X302" t="s" s="61">
        <f>_xlfn.IFERROR(VLOOKUP($A302,'The List'!$B1:$AS730,31,FALSE)," ")</f>
        <v>885</v>
      </c>
      <c r="Y302" t="s" s="61">
        <f>_xlfn.IFERROR(VLOOKUP($A302,'The List'!$B1:$AS730,32,FALSE)," ")</f>
        <v>885</v>
      </c>
      <c r="Z302" t="s" s="61">
        <f>_xlfn.IFERROR(VLOOKUP($A302,'The List'!$B1:$AS730,33,FALSE)," ")</f>
        <v>885</v>
      </c>
      <c r="AA302" s="64"/>
      <c r="AB302" s="69"/>
      <c r="AC302" s="69"/>
      <c r="AD302" s="69"/>
      <c r="AE302" s="69"/>
      <c r="AF302" s="69"/>
    </row>
    <row r="303" ht="21.25" customHeight="1">
      <c r="A303" s="29"/>
      <c r="B303" t="s" s="74">
        <f>_xlfn.IFERROR(VLOOKUP($A303,'The List'!$B1:$AS730,3,FALSE)," ")</f>
        <v>885</v>
      </c>
      <c r="C303" t="s" s="76">
        <f>_xlfn.IFERROR(VLOOKUP($A303,'The List'!$B1:$AS730,4,FALSE)," ")</f>
        <v>885</v>
      </c>
      <c r="D303" t="s" s="42">
        <f>_xlfn.IFERROR(VLOOKUP($A303,'The List'!$B1:$AS730,5,FALSE)," ")</f>
        <v>885</v>
      </c>
      <c r="E303" t="s" s="42">
        <f>_xlfn.IFERROR(VLOOKUP($A303,'The List'!$B1:$AS730,6,FALSE)," ")</f>
        <v>885</v>
      </c>
      <c r="F303" t="s" s="60">
        <f>_xlfn.IFERROR(VLOOKUP($A303,'The List'!$B1:$AS730,8,FALSE)," ")</f>
        <v>885</v>
      </c>
      <c r="G303" t="s" s="60">
        <f>_xlfn.IFERROR(VLOOKUP($A303,'The List'!$B1:$AS730,10,FALSE)," ")</f>
        <v>885</v>
      </c>
      <c r="H303" s="46"/>
      <c r="I303" t="s" s="61">
        <f>_xlfn.IFERROR(VLOOKUP($A303,'The List'!$B1:$AS730,16,FALSE)," ")</f>
        <v>885</v>
      </c>
      <c r="J303" t="s" s="61">
        <f>_xlfn.IFERROR(VLOOKUP($A303,'The List'!$B1:$AS730,17,FALSE)," ")</f>
        <v>885</v>
      </c>
      <c r="K303" t="s" s="61">
        <f>_xlfn.IFERROR(VLOOKUP($A303,'The List'!$B1:$AS730,18,FALSE)," ")</f>
        <v>885</v>
      </c>
      <c r="L303" t="s" s="61">
        <f>_xlfn.IFERROR(VLOOKUP($A303,'The List'!$B1:$AS730,19,FALSE)," ")</f>
        <v>885</v>
      </c>
      <c r="M303" t="s" s="61">
        <f>_xlfn.IFERROR(VLOOKUP($A303,'The List'!$B1:$AS730,20,FALSE)," ")</f>
        <v>885</v>
      </c>
      <c r="N303" t="s" s="61">
        <f>_xlfn.IFERROR(VLOOKUP($A303,'The List'!$B1:$AS730,21,FALSE)," ")</f>
        <v>885</v>
      </c>
      <c r="O303" t="s" s="61">
        <f>_xlfn.IFERROR(VLOOKUP($A303,'The List'!$B1:$AS730,22,FALSE)," ")</f>
        <v>885</v>
      </c>
      <c r="P303" t="s" s="61">
        <f>_xlfn.IFERROR(VLOOKUP($A303,'The List'!$B1:$AS730,23,FALSE)," ")</f>
        <v>885</v>
      </c>
      <c r="Q303" t="s" s="61">
        <f>_xlfn.IFERROR(VLOOKUP($A303,'The List'!$B1:$AS730,24,FALSE)," ")</f>
        <v>885</v>
      </c>
      <c r="R303" t="s" s="61">
        <f>_xlfn.IFERROR(VLOOKUP($A303,'The List'!$B1:$AS730,25,FALSE)," ")</f>
        <v>885</v>
      </c>
      <c r="S303" t="s" s="61">
        <f>_xlfn.IFERROR(VLOOKUP($A303,'The List'!$B1:$AS730,26,FALSE)," ")</f>
        <v>885</v>
      </c>
      <c r="T303" t="s" s="61">
        <f>_xlfn.IFERROR(VLOOKUP($A303,'The List'!$B1:$AS730,27,FALSE)," ")</f>
        <v>885</v>
      </c>
      <c r="U303" t="s" s="61">
        <f>_xlfn.IFERROR(VLOOKUP($A303,'The List'!$B1:$AS730,28,FALSE)," ")</f>
        <v>885</v>
      </c>
      <c r="V303" t="s" s="61">
        <f>_xlfn.IFERROR(VLOOKUP($A303,'The List'!$B1:$AS730,29,FALSE)," ")</f>
        <v>885</v>
      </c>
      <c r="W303" t="s" s="61">
        <f>_xlfn.IFERROR(VLOOKUP($A303,'The List'!$B1:$AS730,30,FALSE)," ")</f>
        <v>885</v>
      </c>
      <c r="X303" t="s" s="61">
        <f>_xlfn.IFERROR(VLOOKUP($A303,'The List'!$B1:$AS730,31,FALSE)," ")</f>
        <v>885</v>
      </c>
      <c r="Y303" t="s" s="61">
        <f>_xlfn.IFERROR(VLOOKUP($A303,'The List'!$B1:$AS730,32,FALSE)," ")</f>
        <v>885</v>
      </c>
      <c r="Z303" t="s" s="61">
        <f>_xlfn.IFERROR(VLOOKUP($A303,'The List'!$B1:$AS730,33,FALSE)," ")</f>
        <v>885</v>
      </c>
      <c r="AA303" s="64"/>
      <c r="AB303" s="69"/>
      <c r="AC303" s="69"/>
      <c r="AD303" s="69"/>
      <c r="AE303" s="69"/>
      <c r="AF303" s="69"/>
    </row>
    <row r="304" ht="21.25" customHeight="1">
      <c r="A304" s="29"/>
      <c r="B304" t="s" s="77">
        <f>_xlfn.IFERROR(VLOOKUP($A304,'The List'!$B1:$AS730,3,FALSE)," ")</f>
        <v>885</v>
      </c>
      <c r="C304" t="s" s="79">
        <f>_xlfn.IFERROR(VLOOKUP($A304,'The List'!$B1:$AS730,4,FALSE)," ")</f>
        <v>885</v>
      </c>
      <c r="D304" t="s" s="42">
        <f>_xlfn.IFERROR(VLOOKUP($A304,'The List'!$B1:$AS730,5,FALSE)," ")</f>
        <v>885</v>
      </c>
      <c r="E304" t="s" s="42">
        <f>_xlfn.IFERROR(VLOOKUP($A304,'The List'!$B1:$AS730,6,FALSE)," ")</f>
        <v>885</v>
      </c>
      <c r="F304" t="s" s="60">
        <f>_xlfn.IFERROR(VLOOKUP($A304,'The List'!$B1:$AS730,8,FALSE)," ")</f>
        <v>885</v>
      </c>
      <c r="G304" t="s" s="60">
        <f>_xlfn.IFERROR(VLOOKUP($A304,'The List'!$B1:$AS730,10,FALSE)," ")</f>
        <v>885</v>
      </c>
      <c r="H304" s="46"/>
      <c r="I304" t="s" s="61">
        <f>_xlfn.IFERROR(VLOOKUP($A304,'The List'!$B1:$AS730,16,FALSE)," ")</f>
        <v>885</v>
      </c>
      <c r="J304" t="s" s="61">
        <f>_xlfn.IFERROR(VLOOKUP($A304,'The List'!$B1:$AS730,17,FALSE)," ")</f>
        <v>885</v>
      </c>
      <c r="K304" t="s" s="61">
        <f>_xlfn.IFERROR(VLOOKUP($A304,'The List'!$B1:$AS730,18,FALSE)," ")</f>
        <v>885</v>
      </c>
      <c r="L304" t="s" s="61">
        <f>_xlfn.IFERROR(VLOOKUP($A304,'The List'!$B1:$AS730,19,FALSE)," ")</f>
        <v>885</v>
      </c>
      <c r="M304" t="s" s="61">
        <f>_xlfn.IFERROR(VLOOKUP($A304,'The List'!$B1:$AS730,20,FALSE)," ")</f>
        <v>885</v>
      </c>
      <c r="N304" t="s" s="61">
        <f>_xlfn.IFERROR(VLOOKUP($A304,'The List'!$B1:$AS730,21,FALSE)," ")</f>
        <v>885</v>
      </c>
      <c r="O304" t="s" s="61">
        <f>_xlfn.IFERROR(VLOOKUP($A304,'The List'!$B1:$AS730,22,FALSE)," ")</f>
        <v>885</v>
      </c>
      <c r="P304" t="s" s="61">
        <f>_xlfn.IFERROR(VLOOKUP($A304,'The List'!$B1:$AS730,23,FALSE)," ")</f>
        <v>885</v>
      </c>
      <c r="Q304" t="s" s="61">
        <f>_xlfn.IFERROR(VLOOKUP($A304,'The List'!$B1:$AS730,24,FALSE)," ")</f>
        <v>885</v>
      </c>
      <c r="R304" t="s" s="61">
        <f>_xlfn.IFERROR(VLOOKUP($A304,'The List'!$B1:$AS730,25,FALSE)," ")</f>
        <v>885</v>
      </c>
      <c r="S304" t="s" s="61">
        <f>_xlfn.IFERROR(VLOOKUP($A304,'The List'!$B1:$AS730,26,FALSE)," ")</f>
        <v>885</v>
      </c>
      <c r="T304" t="s" s="61">
        <f>_xlfn.IFERROR(VLOOKUP($A304,'The List'!$B1:$AS730,27,FALSE)," ")</f>
        <v>885</v>
      </c>
      <c r="U304" t="s" s="61">
        <f>_xlfn.IFERROR(VLOOKUP($A304,'The List'!$B1:$AS730,28,FALSE)," ")</f>
        <v>885</v>
      </c>
      <c r="V304" t="s" s="61">
        <f>_xlfn.IFERROR(VLOOKUP($A304,'The List'!$B1:$AS730,29,FALSE)," ")</f>
        <v>885</v>
      </c>
      <c r="W304" t="s" s="61">
        <f>_xlfn.IFERROR(VLOOKUP($A304,'The List'!$B1:$AS730,30,FALSE)," ")</f>
        <v>885</v>
      </c>
      <c r="X304" t="s" s="61">
        <f>_xlfn.IFERROR(VLOOKUP($A304,'The List'!$B1:$AS730,31,FALSE)," ")</f>
        <v>885</v>
      </c>
      <c r="Y304" t="s" s="61">
        <f>_xlfn.IFERROR(VLOOKUP($A304,'The List'!$B1:$AS730,32,FALSE)," ")</f>
        <v>885</v>
      </c>
      <c r="Z304" t="s" s="61">
        <f>_xlfn.IFERROR(VLOOKUP($A304,'The List'!$B1:$AS730,33,FALSE)," ")</f>
        <v>885</v>
      </c>
      <c r="AA304" s="64"/>
      <c r="AB304" s="69"/>
      <c r="AC304" s="69"/>
      <c r="AD304" s="69"/>
      <c r="AE304" s="69"/>
      <c r="AF304" s="69"/>
    </row>
    <row r="305" ht="21.25" customHeight="1">
      <c r="A305" s="29"/>
      <c r="B305" t="s" s="77">
        <f>_xlfn.IFERROR(VLOOKUP($A305,'The List'!$B1:$AS730,3,FALSE)," ")</f>
        <v>885</v>
      </c>
      <c r="C305" t="s" s="79">
        <f>_xlfn.IFERROR(VLOOKUP($A305,'The List'!$B1:$AS730,4,FALSE)," ")</f>
        <v>885</v>
      </c>
      <c r="D305" t="s" s="42">
        <f>_xlfn.IFERROR(VLOOKUP($A305,'The List'!$B1:$AS730,5,FALSE)," ")</f>
        <v>885</v>
      </c>
      <c r="E305" t="s" s="42">
        <f>_xlfn.IFERROR(VLOOKUP($A305,'The List'!$B1:$AS730,6,FALSE)," ")</f>
        <v>885</v>
      </c>
      <c r="F305" t="s" s="60">
        <f>_xlfn.IFERROR(VLOOKUP($A305,'The List'!$B1:$AS730,8,FALSE)," ")</f>
        <v>885</v>
      </c>
      <c r="G305" t="s" s="60">
        <f>_xlfn.IFERROR(VLOOKUP($A305,'The List'!$B1:$AS730,10,FALSE)," ")</f>
        <v>885</v>
      </c>
      <c r="H305" s="46"/>
      <c r="I305" t="s" s="61">
        <f>_xlfn.IFERROR(VLOOKUP($A305,'The List'!$B1:$AS730,16,FALSE)," ")</f>
        <v>885</v>
      </c>
      <c r="J305" t="s" s="61">
        <f>_xlfn.IFERROR(VLOOKUP($A305,'The List'!$B1:$AS730,17,FALSE)," ")</f>
        <v>885</v>
      </c>
      <c r="K305" t="s" s="61">
        <f>_xlfn.IFERROR(VLOOKUP($A305,'The List'!$B1:$AS730,18,FALSE)," ")</f>
        <v>885</v>
      </c>
      <c r="L305" t="s" s="61">
        <f>_xlfn.IFERROR(VLOOKUP($A305,'The List'!$B1:$AS730,19,FALSE)," ")</f>
        <v>885</v>
      </c>
      <c r="M305" t="s" s="61">
        <f>_xlfn.IFERROR(VLOOKUP($A305,'The List'!$B1:$AS730,20,FALSE)," ")</f>
        <v>885</v>
      </c>
      <c r="N305" t="s" s="61">
        <f>_xlfn.IFERROR(VLOOKUP($A305,'The List'!$B1:$AS730,21,FALSE)," ")</f>
        <v>885</v>
      </c>
      <c r="O305" t="s" s="61">
        <f>_xlfn.IFERROR(VLOOKUP($A305,'The List'!$B1:$AS730,22,FALSE)," ")</f>
        <v>885</v>
      </c>
      <c r="P305" t="s" s="61">
        <f>_xlfn.IFERROR(VLOOKUP($A305,'The List'!$B1:$AS730,23,FALSE)," ")</f>
        <v>885</v>
      </c>
      <c r="Q305" t="s" s="61">
        <f>_xlfn.IFERROR(VLOOKUP($A305,'The List'!$B1:$AS730,24,FALSE)," ")</f>
        <v>885</v>
      </c>
      <c r="R305" t="s" s="61">
        <f>_xlfn.IFERROR(VLOOKUP($A305,'The List'!$B1:$AS730,25,FALSE)," ")</f>
        <v>885</v>
      </c>
      <c r="S305" t="s" s="61">
        <f>_xlfn.IFERROR(VLOOKUP($A305,'The List'!$B1:$AS730,26,FALSE)," ")</f>
        <v>885</v>
      </c>
      <c r="T305" t="s" s="61">
        <f>_xlfn.IFERROR(VLOOKUP($A305,'The List'!$B1:$AS730,27,FALSE)," ")</f>
        <v>885</v>
      </c>
      <c r="U305" t="s" s="61">
        <f>_xlfn.IFERROR(VLOOKUP($A305,'The List'!$B1:$AS730,28,FALSE)," ")</f>
        <v>885</v>
      </c>
      <c r="V305" t="s" s="61">
        <f>_xlfn.IFERROR(VLOOKUP($A305,'The List'!$B1:$AS730,29,FALSE)," ")</f>
        <v>885</v>
      </c>
      <c r="W305" t="s" s="61">
        <f>_xlfn.IFERROR(VLOOKUP($A305,'The List'!$B1:$AS730,30,FALSE)," ")</f>
        <v>885</v>
      </c>
      <c r="X305" t="s" s="61">
        <f>_xlfn.IFERROR(VLOOKUP($A305,'The List'!$B1:$AS730,31,FALSE)," ")</f>
        <v>885</v>
      </c>
      <c r="Y305" t="s" s="61">
        <f>_xlfn.IFERROR(VLOOKUP($A305,'The List'!$B1:$AS730,32,FALSE)," ")</f>
        <v>885</v>
      </c>
      <c r="Z305" t="s" s="61">
        <f>_xlfn.IFERROR(VLOOKUP($A305,'The List'!$B1:$AS730,33,FALSE)," ")</f>
        <v>885</v>
      </c>
      <c r="AA305" s="64"/>
      <c r="AB305" s="69"/>
      <c r="AC305" s="69"/>
      <c r="AD305" s="69"/>
      <c r="AE305" s="69"/>
      <c r="AF305" s="69"/>
    </row>
    <row r="306" ht="21.25" customHeight="1">
      <c r="A306" s="29"/>
      <c r="B306" t="s" s="77">
        <f>_xlfn.IFERROR(VLOOKUP($A306,'The List'!$B1:$AS730,3,FALSE)," ")</f>
        <v>885</v>
      </c>
      <c r="C306" t="s" s="79">
        <f>_xlfn.IFERROR(VLOOKUP($A306,'The List'!$B1:$AS730,4,FALSE)," ")</f>
        <v>885</v>
      </c>
      <c r="D306" t="s" s="42">
        <f>_xlfn.IFERROR(VLOOKUP($A306,'The List'!$B1:$AS730,5,FALSE)," ")</f>
        <v>885</v>
      </c>
      <c r="E306" t="s" s="42">
        <f>_xlfn.IFERROR(VLOOKUP($A306,'The List'!$B1:$AS730,6,FALSE)," ")</f>
        <v>885</v>
      </c>
      <c r="F306" t="s" s="60">
        <f>_xlfn.IFERROR(VLOOKUP($A306,'The List'!$B1:$AS730,8,FALSE)," ")</f>
        <v>885</v>
      </c>
      <c r="G306" t="s" s="60">
        <f>_xlfn.IFERROR(VLOOKUP($A306,'The List'!$B1:$AS730,10,FALSE)," ")</f>
        <v>885</v>
      </c>
      <c r="H306" s="46"/>
      <c r="I306" t="s" s="61">
        <f>_xlfn.IFERROR(VLOOKUP($A306,'The List'!$B1:$AS730,16,FALSE)," ")</f>
        <v>885</v>
      </c>
      <c r="J306" t="s" s="61">
        <f>_xlfn.IFERROR(VLOOKUP($A306,'The List'!$B1:$AS730,17,FALSE)," ")</f>
        <v>885</v>
      </c>
      <c r="K306" t="s" s="61">
        <f>_xlfn.IFERROR(VLOOKUP($A306,'The List'!$B1:$AS730,18,FALSE)," ")</f>
        <v>885</v>
      </c>
      <c r="L306" t="s" s="61">
        <f>_xlfn.IFERROR(VLOOKUP($A306,'The List'!$B1:$AS730,19,FALSE)," ")</f>
        <v>885</v>
      </c>
      <c r="M306" t="s" s="61">
        <f>_xlfn.IFERROR(VLOOKUP($A306,'The List'!$B1:$AS730,20,FALSE)," ")</f>
        <v>885</v>
      </c>
      <c r="N306" t="s" s="61">
        <f>_xlfn.IFERROR(VLOOKUP($A306,'The List'!$B1:$AS730,21,FALSE)," ")</f>
        <v>885</v>
      </c>
      <c r="O306" t="s" s="61">
        <f>_xlfn.IFERROR(VLOOKUP($A306,'The List'!$B1:$AS730,22,FALSE)," ")</f>
        <v>885</v>
      </c>
      <c r="P306" t="s" s="61">
        <f>_xlfn.IFERROR(VLOOKUP($A306,'The List'!$B1:$AS730,23,FALSE)," ")</f>
        <v>885</v>
      </c>
      <c r="Q306" t="s" s="61">
        <f>_xlfn.IFERROR(VLOOKUP($A306,'The List'!$B1:$AS730,24,FALSE)," ")</f>
        <v>885</v>
      </c>
      <c r="R306" t="s" s="61">
        <f>_xlfn.IFERROR(VLOOKUP($A306,'The List'!$B1:$AS730,25,FALSE)," ")</f>
        <v>885</v>
      </c>
      <c r="S306" t="s" s="61">
        <f>_xlfn.IFERROR(VLOOKUP($A306,'The List'!$B1:$AS730,26,FALSE)," ")</f>
        <v>885</v>
      </c>
      <c r="T306" t="s" s="61">
        <f>_xlfn.IFERROR(VLOOKUP($A306,'The List'!$B1:$AS730,27,FALSE)," ")</f>
        <v>885</v>
      </c>
      <c r="U306" t="s" s="61">
        <f>_xlfn.IFERROR(VLOOKUP($A306,'The List'!$B1:$AS730,28,FALSE)," ")</f>
        <v>885</v>
      </c>
      <c r="V306" t="s" s="61">
        <f>_xlfn.IFERROR(VLOOKUP($A306,'The List'!$B1:$AS730,29,FALSE)," ")</f>
        <v>885</v>
      </c>
      <c r="W306" t="s" s="61">
        <f>_xlfn.IFERROR(VLOOKUP($A306,'The List'!$B1:$AS730,30,FALSE)," ")</f>
        <v>885</v>
      </c>
      <c r="X306" t="s" s="61">
        <f>_xlfn.IFERROR(VLOOKUP($A306,'The List'!$B1:$AS730,31,FALSE)," ")</f>
        <v>885</v>
      </c>
      <c r="Y306" t="s" s="61">
        <f>_xlfn.IFERROR(VLOOKUP($A306,'The List'!$B1:$AS730,32,FALSE)," ")</f>
        <v>885</v>
      </c>
      <c r="Z306" t="s" s="61">
        <f>_xlfn.IFERROR(VLOOKUP($A306,'The List'!$B1:$AS730,33,FALSE)," ")</f>
        <v>885</v>
      </c>
      <c r="AA306" s="64"/>
      <c r="AB306" s="69"/>
      <c r="AC306" s="69"/>
      <c r="AD306" s="69"/>
      <c r="AE306" s="69"/>
      <c r="AF306" s="69"/>
    </row>
    <row r="307" ht="21.25" customHeight="1">
      <c r="A307" s="29"/>
      <c r="B307" t="s" s="77">
        <f>_xlfn.IFERROR(VLOOKUP($A307,'The List'!$B1:$AS730,3,FALSE)," ")</f>
        <v>885</v>
      </c>
      <c r="C307" t="s" s="79">
        <f>_xlfn.IFERROR(VLOOKUP($A307,'The List'!$B1:$AS730,4,FALSE)," ")</f>
        <v>885</v>
      </c>
      <c r="D307" t="s" s="42">
        <f>_xlfn.IFERROR(VLOOKUP($A307,'The List'!$B1:$AS730,5,FALSE)," ")</f>
        <v>885</v>
      </c>
      <c r="E307" t="s" s="42">
        <f>_xlfn.IFERROR(VLOOKUP($A307,'The List'!$B1:$AS730,6,FALSE)," ")</f>
        <v>885</v>
      </c>
      <c r="F307" t="s" s="60">
        <f>_xlfn.IFERROR(VLOOKUP($A307,'The List'!$B1:$AS730,8,FALSE)," ")</f>
        <v>885</v>
      </c>
      <c r="G307" t="s" s="60">
        <f>_xlfn.IFERROR(VLOOKUP($A307,'The List'!$B1:$AS730,10,FALSE)," ")</f>
        <v>885</v>
      </c>
      <c r="H307" s="46"/>
      <c r="I307" t="s" s="61">
        <f>_xlfn.IFERROR(VLOOKUP($A307,'The List'!$B1:$AS730,16,FALSE)," ")</f>
        <v>885</v>
      </c>
      <c r="J307" t="s" s="61">
        <f>_xlfn.IFERROR(VLOOKUP($A307,'The List'!$B1:$AS730,17,FALSE)," ")</f>
        <v>885</v>
      </c>
      <c r="K307" t="s" s="61">
        <f>_xlfn.IFERROR(VLOOKUP($A307,'The List'!$B1:$AS730,18,FALSE)," ")</f>
        <v>885</v>
      </c>
      <c r="L307" t="s" s="61">
        <f>_xlfn.IFERROR(VLOOKUP($A307,'The List'!$B1:$AS730,19,FALSE)," ")</f>
        <v>885</v>
      </c>
      <c r="M307" t="s" s="61">
        <f>_xlfn.IFERROR(VLOOKUP($A307,'The List'!$B1:$AS730,20,FALSE)," ")</f>
        <v>885</v>
      </c>
      <c r="N307" t="s" s="61">
        <f>_xlfn.IFERROR(VLOOKUP($A307,'The List'!$B1:$AS730,21,FALSE)," ")</f>
        <v>885</v>
      </c>
      <c r="O307" t="s" s="61">
        <f>_xlfn.IFERROR(VLOOKUP($A307,'The List'!$B1:$AS730,22,FALSE)," ")</f>
        <v>885</v>
      </c>
      <c r="P307" t="s" s="61">
        <f>_xlfn.IFERROR(VLOOKUP($A307,'The List'!$B1:$AS730,23,FALSE)," ")</f>
        <v>885</v>
      </c>
      <c r="Q307" t="s" s="61">
        <f>_xlfn.IFERROR(VLOOKUP($A307,'The List'!$B1:$AS730,24,FALSE)," ")</f>
        <v>885</v>
      </c>
      <c r="R307" t="s" s="61">
        <f>_xlfn.IFERROR(VLOOKUP($A307,'The List'!$B1:$AS730,25,FALSE)," ")</f>
        <v>885</v>
      </c>
      <c r="S307" t="s" s="61">
        <f>_xlfn.IFERROR(VLOOKUP($A307,'The List'!$B1:$AS730,26,FALSE)," ")</f>
        <v>885</v>
      </c>
      <c r="T307" t="s" s="61">
        <f>_xlfn.IFERROR(VLOOKUP($A307,'The List'!$B1:$AS730,27,FALSE)," ")</f>
        <v>885</v>
      </c>
      <c r="U307" t="s" s="61">
        <f>_xlfn.IFERROR(VLOOKUP($A307,'The List'!$B1:$AS730,28,FALSE)," ")</f>
        <v>885</v>
      </c>
      <c r="V307" t="s" s="61">
        <f>_xlfn.IFERROR(VLOOKUP($A307,'The List'!$B1:$AS730,29,FALSE)," ")</f>
        <v>885</v>
      </c>
      <c r="W307" t="s" s="61">
        <f>_xlfn.IFERROR(VLOOKUP($A307,'The List'!$B1:$AS730,30,FALSE)," ")</f>
        <v>885</v>
      </c>
      <c r="X307" t="s" s="61">
        <f>_xlfn.IFERROR(VLOOKUP($A307,'The List'!$B1:$AS730,31,FALSE)," ")</f>
        <v>885</v>
      </c>
      <c r="Y307" t="s" s="61">
        <f>_xlfn.IFERROR(VLOOKUP($A307,'The List'!$B1:$AS730,32,FALSE)," ")</f>
        <v>885</v>
      </c>
      <c r="Z307" t="s" s="61">
        <f>_xlfn.IFERROR(VLOOKUP($A307,'The List'!$B1:$AS730,33,FALSE)," ")</f>
        <v>885</v>
      </c>
      <c r="AA307" s="64"/>
      <c r="AB307" s="69"/>
      <c r="AC307" s="69"/>
      <c r="AD307" s="69"/>
      <c r="AE307" s="69"/>
      <c r="AF307" s="69"/>
    </row>
    <row r="308" ht="21.25" customHeight="1">
      <c r="A308" s="29"/>
      <c r="B308" t="s" s="77">
        <f>_xlfn.IFERROR(VLOOKUP($A308,'The List'!$B1:$AS730,3,FALSE)," ")</f>
        <v>885</v>
      </c>
      <c r="C308" t="s" s="79">
        <f>_xlfn.IFERROR(VLOOKUP($A308,'The List'!$B1:$AS730,4,FALSE)," ")</f>
        <v>885</v>
      </c>
      <c r="D308" t="s" s="42">
        <f>_xlfn.IFERROR(VLOOKUP($A308,'The List'!$B1:$AS730,5,FALSE)," ")</f>
        <v>885</v>
      </c>
      <c r="E308" t="s" s="42">
        <f>_xlfn.IFERROR(VLOOKUP($A308,'The List'!$B1:$AS730,6,FALSE)," ")</f>
        <v>885</v>
      </c>
      <c r="F308" t="s" s="60">
        <f>_xlfn.IFERROR(VLOOKUP($A308,'The List'!$B1:$AS730,8,FALSE)," ")</f>
        <v>885</v>
      </c>
      <c r="G308" t="s" s="60">
        <f>_xlfn.IFERROR(VLOOKUP($A308,'The List'!$B1:$AS730,10,FALSE)," ")</f>
        <v>885</v>
      </c>
      <c r="H308" s="46"/>
      <c r="I308" t="s" s="61">
        <f>_xlfn.IFERROR(VLOOKUP($A308,'The List'!$B1:$AS730,16,FALSE)," ")</f>
        <v>885</v>
      </c>
      <c r="J308" t="s" s="61">
        <f>_xlfn.IFERROR(VLOOKUP($A308,'The List'!$B1:$AS730,17,FALSE)," ")</f>
        <v>885</v>
      </c>
      <c r="K308" t="s" s="61">
        <f>_xlfn.IFERROR(VLOOKUP($A308,'The List'!$B1:$AS730,18,FALSE)," ")</f>
        <v>885</v>
      </c>
      <c r="L308" t="s" s="61">
        <f>_xlfn.IFERROR(VLOOKUP($A308,'The List'!$B1:$AS730,19,FALSE)," ")</f>
        <v>885</v>
      </c>
      <c r="M308" t="s" s="61">
        <f>_xlfn.IFERROR(VLOOKUP($A308,'The List'!$B1:$AS730,20,FALSE)," ")</f>
        <v>885</v>
      </c>
      <c r="N308" t="s" s="61">
        <f>_xlfn.IFERROR(VLOOKUP($A308,'The List'!$B1:$AS730,21,FALSE)," ")</f>
        <v>885</v>
      </c>
      <c r="O308" t="s" s="61">
        <f>_xlfn.IFERROR(VLOOKUP($A308,'The List'!$B1:$AS730,22,FALSE)," ")</f>
        <v>885</v>
      </c>
      <c r="P308" t="s" s="61">
        <f>_xlfn.IFERROR(VLOOKUP($A308,'The List'!$B1:$AS730,23,FALSE)," ")</f>
        <v>885</v>
      </c>
      <c r="Q308" t="s" s="61">
        <f>_xlfn.IFERROR(VLOOKUP($A308,'The List'!$B1:$AS730,24,FALSE)," ")</f>
        <v>885</v>
      </c>
      <c r="R308" t="s" s="61">
        <f>_xlfn.IFERROR(VLOOKUP($A308,'The List'!$B1:$AS730,25,FALSE)," ")</f>
        <v>885</v>
      </c>
      <c r="S308" t="s" s="61">
        <f>_xlfn.IFERROR(VLOOKUP($A308,'The List'!$B1:$AS730,26,FALSE)," ")</f>
        <v>885</v>
      </c>
      <c r="T308" t="s" s="61">
        <f>_xlfn.IFERROR(VLOOKUP($A308,'The List'!$B1:$AS730,27,FALSE)," ")</f>
        <v>885</v>
      </c>
      <c r="U308" t="s" s="61">
        <f>_xlfn.IFERROR(VLOOKUP($A308,'The List'!$B1:$AS730,28,FALSE)," ")</f>
        <v>885</v>
      </c>
      <c r="V308" t="s" s="61">
        <f>_xlfn.IFERROR(VLOOKUP($A308,'The List'!$B1:$AS730,29,FALSE)," ")</f>
        <v>885</v>
      </c>
      <c r="W308" t="s" s="61">
        <f>_xlfn.IFERROR(VLOOKUP($A308,'The List'!$B1:$AS730,30,FALSE)," ")</f>
        <v>885</v>
      </c>
      <c r="X308" t="s" s="61">
        <f>_xlfn.IFERROR(VLOOKUP($A308,'The List'!$B1:$AS730,31,FALSE)," ")</f>
        <v>885</v>
      </c>
      <c r="Y308" t="s" s="61">
        <f>_xlfn.IFERROR(VLOOKUP($A308,'The List'!$B1:$AS730,32,FALSE)," ")</f>
        <v>885</v>
      </c>
      <c r="Z308" t="s" s="61">
        <f>_xlfn.IFERROR(VLOOKUP($A308,'The List'!$B1:$AS730,33,FALSE)," ")</f>
        <v>885</v>
      </c>
      <c r="AA308" s="64"/>
      <c r="AB308" s="69"/>
      <c r="AC308" s="69"/>
      <c r="AD308" s="69"/>
      <c r="AE308" s="69"/>
      <c r="AF308" s="69"/>
    </row>
    <row r="309" ht="21.25" customHeight="1">
      <c r="A309" s="29"/>
      <c r="B309" t="s" s="77">
        <f>_xlfn.IFERROR(VLOOKUP($A309,'The List'!$B1:$AS730,3,FALSE)," ")</f>
        <v>885</v>
      </c>
      <c r="C309" t="s" s="79">
        <f>_xlfn.IFERROR(VLOOKUP($A309,'The List'!$B1:$AS730,4,FALSE)," ")</f>
        <v>885</v>
      </c>
      <c r="D309" t="s" s="42">
        <f>_xlfn.IFERROR(VLOOKUP($A309,'The List'!$B1:$AS730,5,FALSE)," ")</f>
        <v>885</v>
      </c>
      <c r="E309" t="s" s="42">
        <f>_xlfn.IFERROR(VLOOKUP($A309,'The List'!$B1:$AS730,6,FALSE)," ")</f>
        <v>885</v>
      </c>
      <c r="F309" t="s" s="60">
        <f>_xlfn.IFERROR(VLOOKUP($A309,'The List'!$B1:$AS730,8,FALSE)," ")</f>
        <v>885</v>
      </c>
      <c r="G309" t="s" s="60">
        <f>_xlfn.IFERROR(VLOOKUP($A309,'The List'!$B1:$AS730,10,FALSE)," ")</f>
        <v>885</v>
      </c>
      <c r="H309" s="46"/>
      <c r="I309" t="s" s="61">
        <f>_xlfn.IFERROR(VLOOKUP($A309,'The List'!$B1:$AS730,16,FALSE)," ")</f>
        <v>885</v>
      </c>
      <c r="J309" t="s" s="61">
        <f>_xlfn.IFERROR(VLOOKUP($A309,'The List'!$B1:$AS730,17,FALSE)," ")</f>
        <v>885</v>
      </c>
      <c r="K309" t="s" s="61">
        <f>_xlfn.IFERROR(VLOOKUP($A309,'The List'!$B1:$AS730,18,FALSE)," ")</f>
        <v>885</v>
      </c>
      <c r="L309" t="s" s="61">
        <f>_xlfn.IFERROR(VLOOKUP($A309,'The List'!$B1:$AS730,19,FALSE)," ")</f>
        <v>885</v>
      </c>
      <c r="M309" t="s" s="61">
        <f>_xlfn.IFERROR(VLOOKUP($A309,'The List'!$B1:$AS730,20,FALSE)," ")</f>
        <v>885</v>
      </c>
      <c r="N309" t="s" s="61">
        <f>_xlfn.IFERROR(VLOOKUP($A309,'The List'!$B1:$AS730,21,FALSE)," ")</f>
        <v>885</v>
      </c>
      <c r="O309" t="s" s="61">
        <f>_xlfn.IFERROR(VLOOKUP($A309,'The List'!$B1:$AS730,22,FALSE)," ")</f>
        <v>885</v>
      </c>
      <c r="P309" t="s" s="61">
        <f>_xlfn.IFERROR(VLOOKUP($A309,'The List'!$B1:$AS730,23,FALSE)," ")</f>
        <v>885</v>
      </c>
      <c r="Q309" t="s" s="61">
        <f>_xlfn.IFERROR(VLOOKUP($A309,'The List'!$B1:$AS730,24,FALSE)," ")</f>
        <v>885</v>
      </c>
      <c r="R309" t="s" s="61">
        <f>_xlfn.IFERROR(VLOOKUP($A309,'The List'!$B1:$AS730,25,FALSE)," ")</f>
        <v>885</v>
      </c>
      <c r="S309" t="s" s="61">
        <f>_xlfn.IFERROR(VLOOKUP($A309,'The List'!$B1:$AS730,26,FALSE)," ")</f>
        <v>885</v>
      </c>
      <c r="T309" t="s" s="61">
        <f>_xlfn.IFERROR(VLOOKUP($A309,'The List'!$B1:$AS730,27,FALSE)," ")</f>
        <v>885</v>
      </c>
      <c r="U309" t="s" s="61">
        <f>_xlfn.IFERROR(VLOOKUP($A309,'The List'!$B1:$AS730,28,FALSE)," ")</f>
        <v>885</v>
      </c>
      <c r="V309" t="s" s="61">
        <f>_xlfn.IFERROR(VLOOKUP($A309,'The List'!$B1:$AS730,29,FALSE)," ")</f>
        <v>885</v>
      </c>
      <c r="W309" t="s" s="61">
        <f>_xlfn.IFERROR(VLOOKUP($A309,'The List'!$B1:$AS730,30,FALSE)," ")</f>
        <v>885</v>
      </c>
      <c r="X309" t="s" s="61">
        <f>_xlfn.IFERROR(VLOOKUP($A309,'The List'!$B1:$AS730,31,FALSE)," ")</f>
        <v>885</v>
      </c>
      <c r="Y309" t="s" s="61">
        <f>_xlfn.IFERROR(VLOOKUP($A309,'The List'!$B1:$AS730,32,FALSE)," ")</f>
        <v>885</v>
      </c>
      <c r="Z309" t="s" s="61">
        <f>_xlfn.IFERROR(VLOOKUP($A309,'The List'!$B1:$AS730,33,FALSE)," ")</f>
        <v>885</v>
      </c>
      <c r="AA309" s="64"/>
      <c r="AB309" s="69"/>
      <c r="AC309" s="69"/>
      <c r="AD309" s="69"/>
      <c r="AE309" s="69"/>
      <c r="AF309" s="69"/>
    </row>
    <row r="310" ht="21.25" customHeight="1">
      <c r="A310" s="29"/>
      <c r="B310" t="s" s="77">
        <f>_xlfn.IFERROR(VLOOKUP($A310,'The List'!$B1:$AS730,3,FALSE)," ")</f>
        <v>885</v>
      </c>
      <c r="C310" t="s" s="79">
        <f>_xlfn.IFERROR(VLOOKUP($A310,'The List'!$B1:$AS730,4,FALSE)," ")</f>
        <v>885</v>
      </c>
      <c r="D310" t="s" s="42">
        <f>_xlfn.IFERROR(VLOOKUP($A310,'The List'!$B1:$AS730,5,FALSE)," ")</f>
        <v>885</v>
      </c>
      <c r="E310" t="s" s="42">
        <f>_xlfn.IFERROR(VLOOKUP($A310,'The List'!$B1:$AS730,6,FALSE)," ")</f>
        <v>885</v>
      </c>
      <c r="F310" t="s" s="60">
        <f>_xlfn.IFERROR(VLOOKUP($A310,'The List'!$B1:$AS730,8,FALSE)," ")</f>
        <v>885</v>
      </c>
      <c r="G310" t="s" s="60">
        <f>_xlfn.IFERROR(VLOOKUP($A310,'The List'!$B1:$AS730,10,FALSE)," ")</f>
        <v>885</v>
      </c>
      <c r="H310" s="46"/>
      <c r="I310" t="s" s="61">
        <f>_xlfn.IFERROR(VLOOKUP($A310,'The List'!$B1:$AS730,16,FALSE)," ")</f>
        <v>885</v>
      </c>
      <c r="J310" t="s" s="61">
        <f>_xlfn.IFERROR(VLOOKUP($A310,'The List'!$B1:$AS730,17,FALSE)," ")</f>
        <v>885</v>
      </c>
      <c r="K310" t="s" s="61">
        <f>_xlfn.IFERROR(VLOOKUP($A310,'The List'!$B1:$AS730,18,FALSE)," ")</f>
        <v>885</v>
      </c>
      <c r="L310" t="s" s="61">
        <f>_xlfn.IFERROR(VLOOKUP($A310,'The List'!$B1:$AS730,19,FALSE)," ")</f>
        <v>885</v>
      </c>
      <c r="M310" t="s" s="61">
        <f>_xlfn.IFERROR(VLOOKUP($A310,'The List'!$B1:$AS730,20,FALSE)," ")</f>
        <v>885</v>
      </c>
      <c r="N310" t="s" s="61">
        <f>_xlfn.IFERROR(VLOOKUP($A310,'The List'!$B1:$AS730,21,FALSE)," ")</f>
        <v>885</v>
      </c>
      <c r="O310" t="s" s="61">
        <f>_xlfn.IFERROR(VLOOKUP($A310,'The List'!$B1:$AS730,22,FALSE)," ")</f>
        <v>885</v>
      </c>
      <c r="P310" t="s" s="61">
        <f>_xlfn.IFERROR(VLOOKUP($A310,'The List'!$B1:$AS730,23,FALSE)," ")</f>
        <v>885</v>
      </c>
      <c r="Q310" t="s" s="61">
        <f>_xlfn.IFERROR(VLOOKUP($A310,'The List'!$B1:$AS730,24,FALSE)," ")</f>
        <v>885</v>
      </c>
      <c r="R310" t="s" s="61">
        <f>_xlfn.IFERROR(VLOOKUP($A310,'The List'!$B1:$AS730,25,FALSE)," ")</f>
        <v>885</v>
      </c>
      <c r="S310" t="s" s="61">
        <f>_xlfn.IFERROR(VLOOKUP($A310,'The List'!$B1:$AS730,26,FALSE)," ")</f>
        <v>885</v>
      </c>
      <c r="T310" t="s" s="61">
        <f>_xlfn.IFERROR(VLOOKUP($A310,'The List'!$B1:$AS730,27,FALSE)," ")</f>
        <v>885</v>
      </c>
      <c r="U310" t="s" s="61">
        <f>_xlfn.IFERROR(VLOOKUP($A310,'The List'!$B1:$AS730,28,FALSE)," ")</f>
        <v>885</v>
      </c>
      <c r="V310" t="s" s="61">
        <f>_xlfn.IFERROR(VLOOKUP($A310,'The List'!$B1:$AS730,29,FALSE)," ")</f>
        <v>885</v>
      </c>
      <c r="W310" t="s" s="61">
        <f>_xlfn.IFERROR(VLOOKUP($A310,'The List'!$B1:$AS730,30,FALSE)," ")</f>
        <v>885</v>
      </c>
      <c r="X310" t="s" s="61">
        <f>_xlfn.IFERROR(VLOOKUP($A310,'The List'!$B1:$AS730,31,FALSE)," ")</f>
        <v>885</v>
      </c>
      <c r="Y310" t="s" s="61">
        <f>_xlfn.IFERROR(VLOOKUP($A310,'The List'!$B1:$AS730,32,FALSE)," ")</f>
        <v>885</v>
      </c>
      <c r="Z310" t="s" s="61">
        <f>_xlfn.IFERROR(VLOOKUP($A310,'The List'!$B1:$AS730,33,FALSE)," ")</f>
        <v>885</v>
      </c>
      <c r="AA310" s="64"/>
      <c r="AB310" s="69"/>
      <c r="AC310" s="69"/>
      <c r="AD310" s="69"/>
      <c r="AE310" s="69"/>
      <c r="AF310" s="69"/>
    </row>
    <row r="311" ht="21.25" customHeight="1">
      <c r="A311" s="81"/>
      <c r="B311" t="s" s="82">
        <f>_xlfn.IFERROR(VLOOKUP($A311,'The List'!$B1:$AS730,3,FALSE)," ")</f>
        <v>885</v>
      </c>
      <c r="C311" t="s" s="83">
        <f>_xlfn.IFERROR(VLOOKUP($A311,'The List'!$B1:$AS730,4,FALSE)," ")</f>
        <v>885</v>
      </c>
      <c r="D311" t="s" s="84">
        <f>_xlfn.IFERROR(VLOOKUP($A311,'The List'!$B1:$AS730,5,FALSE)," ")</f>
        <v>885</v>
      </c>
      <c r="E311" t="s" s="84">
        <f>_xlfn.IFERROR(VLOOKUP($A311,'The List'!$B1:$AS730,6,FALSE)," ")</f>
        <v>885</v>
      </c>
      <c r="F311" t="s" s="85">
        <f>_xlfn.IFERROR(VLOOKUP($A311,'The List'!$B1:$AS730,8,FALSE)," ")</f>
        <v>885</v>
      </c>
      <c r="G311" t="s" s="85">
        <f>_xlfn.IFERROR(VLOOKUP($A311,'The List'!$B1:$AS730,10,FALSE)," ")</f>
        <v>885</v>
      </c>
      <c r="H311" s="86"/>
      <c r="I311" t="s" s="87">
        <f>_xlfn.IFERROR(VLOOKUP($A311,'The List'!$B1:$AS730,16,FALSE)," ")</f>
        <v>885</v>
      </c>
      <c r="J311" t="s" s="87">
        <f>_xlfn.IFERROR(VLOOKUP($A311,'The List'!$B1:$AS730,17,FALSE)," ")</f>
        <v>885</v>
      </c>
      <c r="K311" t="s" s="87">
        <f>_xlfn.IFERROR(VLOOKUP($A311,'The List'!$B1:$AS730,18,FALSE)," ")</f>
        <v>885</v>
      </c>
      <c r="L311" t="s" s="87">
        <f>_xlfn.IFERROR(VLOOKUP($A311,'The List'!$B1:$AS730,19,FALSE)," ")</f>
        <v>885</v>
      </c>
      <c r="M311" t="s" s="87">
        <f>_xlfn.IFERROR(VLOOKUP($A311,'The List'!$B1:$AS730,20,FALSE)," ")</f>
        <v>885</v>
      </c>
      <c r="N311" t="s" s="87">
        <f>_xlfn.IFERROR(VLOOKUP($A311,'The List'!$B1:$AS730,21,FALSE)," ")</f>
        <v>885</v>
      </c>
      <c r="O311" t="s" s="87">
        <f>_xlfn.IFERROR(VLOOKUP($A311,'The List'!$B1:$AS730,22,FALSE)," ")</f>
        <v>885</v>
      </c>
      <c r="P311" t="s" s="87">
        <f>_xlfn.IFERROR(VLOOKUP($A311,'The List'!$B1:$AS730,23,FALSE)," ")</f>
        <v>885</v>
      </c>
      <c r="Q311" t="s" s="87">
        <f>_xlfn.IFERROR(VLOOKUP($A311,'The List'!$B1:$AS730,24,FALSE)," ")</f>
        <v>885</v>
      </c>
      <c r="R311" t="s" s="87">
        <f>_xlfn.IFERROR(VLOOKUP($A311,'The List'!$B1:$AS730,25,FALSE)," ")</f>
        <v>885</v>
      </c>
      <c r="S311" t="s" s="87">
        <f>_xlfn.IFERROR(VLOOKUP($A311,'The List'!$B1:$AS730,26,FALSE)," ")</f>
        <v>885</v>
      </c>
      <c r="T311" t="s" s="87">
        <f>_xlfn.IFERROR(VLOOKUP($A311,'The List'!$B1:$AS730,27,FALSE)," ")</f>
        <v>885</v>
      </c>
      <c r="U311" t="s" s="87">
        <f>_xlfn.IFERROR(VLOOKUP($A311,'The List'!$B1:$AS730,28,FALSE)," ")</f>
        <v>885</v>
      </c>
      <c r="V311" t="s" s="87">
        <f>_xlfn.IFERROR(VLOOKUP($A311,'The List'!$B1:$AS730,29,FALSE)," ")</f>
        <v>885</v>
      </c>
      <c r="W311" t="s" s="87">
        <f>_xlfn.IFERROR(VLOOKUP($A311,'The List'!$B1:$AS730,30,FALSE)," ")</f>
        <v>885</v>
      </c>
      <c r="X311" t="s" s="87">
        <f>_xlfn.IFERROR(VLOOKUP($A311,'The List'!$B1:$AS730,31,FALSE)," ")</f>
        <v>885</v>
      </c>
      <c r="Y311" t="s" s="87">
        <f>_xlfn.IFERROR(VLOOKUP($A311,'The List'!$B1:$AS730,32,FALSE)," ")</f>
        <v>885</v>
      </c>
      <c r="Z311" t="s" s="87">
        <f>_xlfn.IFERROR(VLOOKUP($A311,'The List'!$B1:$AS730,33,FALSE)," ")</f>
        <v>885</v>
      </c>
      <c r="AA311" s="64"/>
      <c r="AB311" s="69"/>
      <c r="AC311" s="69"/>
      <c r="AD311" s="69"/>
      <c r="AE311" s="69"/>
      <c r="AF311" s="69"/>
    </row>
    <row r="312" ht="21.25" customHeight="1">
      <c r="A312" s="88"/>
      <c r="B312" s="89"/>
      <c r="C312" s="90"/>
      <c r="D312" s="91"/>
      <c r="E312" t="s" s="127">
        <f>_xlfn.IFERROR(AVERAGE(E292:E311)," ")</f>
        <v>885</v>
      </c>
      <c r="F312" s="93">
        <f>SUM(F292:F311)</f>
        <v>0</v>
      </c>
      <c r="G312" s="93">
        <f>SUM(G292:G311)</f>
        <v>0</v>
      </c>
      <c r="H312" s="94"/>
      <c r="I312" s="95">
        <f>SUM(I292:I311)</f>
        <v>0</v>
      </c>
      <c r="J312" s="94">
        <f>AVERAGE(J292:J311)</f>
      </c>
      <c r="K312" s="95">
        <f>SUM(K292:K311)</f>
        <v>0</v>
      </c>
      <c r="L312" s="95">
        <f>SUM(L292:L311)</f>
        <v>0</v>
      </c>
      <c r="M312" s="95">
        <f>SUM(M292:M311)</f>
        <v>0</v>
      </c>
      <c r="N312" s="95">
        <f>SUM(N292:N311)</f>
        <v>0</v>
      </c>
      <c r="O312" s="95">
        <f>SUM(O292:O311)</f>
        <v>0</v>
      </c>
      <c r="P312" s="95">
        <f>SUM(P292:P311)</f>
        <v>0</v>
      </c>
      <c r="Q312" s="95">
        <f>SUM(Q292:Q311)</f>
        <v>0</v>
      </c>
      <c r="R312" s="95">
        <f>SUM(R292:R311)</f>
        <v>0</v>
      </c>
      <c r="S312" s="95">
        <f>SUM(S292:S311)</f>
        <v>0</v>
      </c>
      <c r="T312" s="95">
        <f>SUM(T292:T311)</f>
        <v>0</v>
      </c>
      <c r="U312" s="95">
        <f>SUM(U292:U311)</f>
        <v>0</v>
      </c>
      <c r="V312" s="95">
        <f>SUM(V292:V311)</f>
        <v>0</v>
      </c>
      <c r="W312" s="95">
        <f>SUM(W292:W311)</f>
        <v>0</v>
      </c>
      <c r="X312" s="95">
        <f>SUM(X292:X311)</f>
        <v>0</v>
      </c>
      <c r="Y312" s="95">
        <f>SUM(Y292:Y311)</f>
        <v>0</v>
      </c>
      <c r="Z312" s="96">
        <f>_xlfn.IFERROR(X312/(X312+Y312),0)</f>
        <v>0</v>
      </c>
      <c r="AA312" s="64"/>
      <c r="AB312" s="97"/>
      <c r="AC312" s="97"/>
      <c r="AD312" s="97"/>
      <c r="AE312" s="97"/>
      <c r="AF312" s="97"/>
    </row>
    <row r="313" ht="21.25" customHeight="1">
      <c r="A313" s="98"/>
      <c r="B313" s="99"/>
      <c r="C313" s="100"/>
      <c r="D313" s="11"/>
      <c r="E313" s="11"/>
      <c r="F313" s="101"/>
      <c r="G313" s="102"/>
      <c r="H313" s="103"/>
      <c r="I313" s="10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9"/>
      <c r="AC313" s="69"/>
      <c r="AD313" s="69"/>
      <c r="AE313" s="69"/>
      <c r="AF313" s="69"/>
    </row>
    <row r="314" ht="21.25" customHeight="1">
      <c r="A314" t="s" s="31">
        <v>66</v>
      </c>
      <c r="B314" t="s" s="105">
        <v>68</v>
      </c>
      <c r="C314" s="19"/>
      <c r="D314" t="s" s="105">
        <v>69</v>
      </c>
      <c r="E314" t="s" s="105">
        <v>70</v>
      </c>
      <c r="F314" t="s" s="106">
        <v>72</v>
      </c>
      <c r="G314" t="s" s="106">
        <v>74</v>
      </c>
      <c r="H314" s="107"/>
      <c r="I314" t="s" s="108">
        <v>79</v>
      </c>
      <c r="J314" t="s" s="108">
        <v>97</v>
      </c>
      <c r="K314" t="s" s="108">
        <v>98</v>
      </c>
      <c r="L314" t="s" s="108">
        <v>99</v>
      </c>
      <c r="M314" t="s" s="108">
        <v>100</v>
      </c>
      <c r="N314" t="s" s="108">
        <v>101</v>
      </c>
      <c r="O314" t="s" s="108">
        <v>102</v>
      </c>
      <c r="P314" t="s" s="108">
        <v>103</v>
      </c>
      <c r="Q314" t="s" s="108">
        <v>104</v>
      </c>
      <c r="R314" s="64"/>
      <c r="S314" s="64"/>
      <c r="T314" s="64"/>
      <c r="U314" t="s" s="105">
        <v>901</v>
      </c>
      <c r="V314" s="107"/>
      <c r="W314" s="107"/>
      <c r="X314" t="s" s="105">
        <v>902</v>
      </c>
      <c r="Y314" s="107"/>
      <c r="Z314" s="107"/>
      <c r="AA314" s="64"/>
      <c r="AB314" s="64"/>
      <c r="AC314" s="64"/>
      <c r="AD314" s="64"/>
      <c r="AE314" s="64"/>
      <c r="AF314" s="64"/>
    </row>
    <row r="315" ht="21.25" customHeight="1">
      <c r="A315" s="128"/>
      <c r="B315" t="s" s="110">
        <f>_xlfn.IFERROR(VLOOKUP($A315,'The List'!$B1:$AS730,3,FALSE)," ")</f>
        <v>885</v>
      </c>
      <c r="C315" t="s" s="129">
        <f>_xlfn.IFERROR(VLOOKUP($A315,'The List'!$B1:$AS730,4,FALSE)," ")</f>
        <v>885</v>
      </c>
      <c r="D315" t="s" s="112">
        <f>_xlfn.IFERROR(VLOOKUP($A315,'The List'!$B1:$AS730,5,FALSE)," ")</f>
        <v>885</v>
      </c>
      <c r="E315" t="s" s="112">
        <f>_xlfn.IFERROR(VLOOKUP($A315,'The List'!$B1:$AS730,6,FALSE)," ")</f>
        <v>885</v>
      </c>
      <c r="F315" t="s" s="130">
        <f>_xlfn.IFERROR(VLOOKUP($A315,'The List'!$B1:$AS730,8,FALSE)," ")</f>
        <v>885</v>
      </c>
      <c r="G315" t="s" s="130">
        <f>_xlfn.IFERROR(VLOOKUP($A315,'The List'!$B1:$AS730,10,FALSE)," ")</f>
        <v>885</v>
      </c>
      <c r="H315" s="115"/>
      <c r="I315" t="s" s="131">
        <f>_xlfn.IFERROR(VLOOKUP($A315,'The List'!$B1:$AS730,35,FALSE)," ")</f>
        <v>885</v>
      </c>
      <c r="J315" t="s" s="131">
        <f>_xlfn.IFERROR(VLOOKUP($A315,'The List'!$B1:$AS730,36,FALSE)," ")</f>
        <v>885</v>
      </c>
      <c r="K315" t="s" s="131">
        <f>_xlfn.IFERROR(VLOOKUP($A315,'The List'!$B1:$AS730,37,FALSE)," ")</f>
        <v>885</v>
      </c>
      <c r="L315" t="s" s="131">
        <f>_xlfn.IFERROR(VLOOKUP($A315,'The List'!$B1:$AS730,38,FALSE)," ")</f>
        <v>885</v>
      </c>
      <c r="M315" t="s" s="131">
        <f>_xlfn.IFERROR(VLOOKUP($A315,'The List'!$B1:$AS730,39,FALSE)," ")</f>
        <v>885</v>
      </c>
      <c r="N315" t="s" s="131">
        <f>_xlfn.IFERROR(VLOOKUP($A315,'The List'!$B1:$AS730,40,FALSE)," ")</f>
        <v>885</v>
      </c>
      <c r="O315" t="s" s="131">
        <f>_xlfn.IFERROR(VLOOKUP($A315,'The List'!$B1:$AS730,41,FALSE)," ")</f>
        <v>885</v>
      </c>
      <c r="P315" t="s" s="131">
        <f>_xlfn.IFERROR(VLOOKUP($A315,'The List'!$B1:$AS730,42,FALSE)," ")</f>
        <v>885</v>
      </c>
      <c r="Q315" t="s" s="131">
        <f>_xlfn.IFERROR(VLOOKUP($A315,'The List'!$B1:$AS730,43,FALSE)," ")</f>
        <v>885</v>
      </c>
      <c r="R315" s="64"/>
      <c r="S315" s="64"/>
      <c r="T315" t="s" s="119">
        <f>A291</f>
        <v>913</v>
      </c>
      <c r="U315" s="120">
        <f>F312+F318</f>
        <v>0</v>
      </c>
      <c r="V315" s="19"/>
      <c r="W315" s="19"/>
      <c r="X315" s="120">
        <f>G318+G312</f>
        <v>0</v>
      </c>
      <c r="Y315" s="19"/>
      <c r="Z315" s="19"/>
      <c r="AA315" s="64"/>
      <c r="AB315" s="64"/>
      <c r="AC315" s="64"/>
      <c r="AD315" s="64"/>
      <c r="AE315" s="64"/>
      <c r="AF315" s="64"/>
    </row>
    <row r="316" ht="21.25" customHeight="1">
      <c r="A316" s="29"/>
      <c r="B316" t="s" s="121">
        <f>_xlfn.IFERROR(VLOOKUP($A316,'The List'!$B1:$AS730,3,FALSE)," ")</f>
        <v>885</v>
      </c>
      <c r="C316" t="s" s="122">
        <f>_xlfn.IFERROR(VLOOKUP($A316,'The List'!$B1:$AS730,4,FALSE)," ")</f>
        <v>885</v>
      </c>
      <c r="D316" t="s" s="42">
        <f>_xlfn.IFERROR(VLOOKUP($A316,'The List'!$B1:$AS730,5,FALSE)," ")</f>
        <v>885</v>
      </c>
      <c r="E316" t="s" s="42">
        <f>_xlfn.IFERROR(VLOOKUP($A316,'The List'!$B1:$AS730,6,FALSE)," ")</f>
        <v>885</v>
      </c>
      <c r="F316" t="s" s="60">
        <f>_xlfn.IFERROR(VLOOKUP($A316,'The List'!$B1:$AS730,8,FALSE)," ")</f>
        <v>885</v>
      </c>
      <c r="G316" t="s" s="60">
        <f>_xlfn.IFERROR(VLOOKUP($A316,'The List'!$B1:$AS730,10,FALSE)," ")</f>
        <v>885</v>
      </c>
      <c r="H316" s="46"/>
      <c r="I316" t="s" s="61">
        <f>_xlfn.IFERROR(VLOOKUP($A316,'The List'!$B1:$AS730,35,FALSE)," ")</f>
        <v>885</v>
      </c>
      <c r="J316" t="s" s="61">
        <f>_xlfn.IFERROR(VLOOKUP($A316,'The List'!$B1:$AS730,36,FALSE)," ")</f>
        <v>885</v>
      </c>
      <c r="K316" t="s" s="61">
        <f>_xlfn.IFERROR(VLOOKUP($A316,'The List'!$B1:$AS730,37,FALSE)," ")</f>
        <v>885</v>
      </c>
      <c r="L316" t="s" s="61">
        <f>_xlfn.IFERROR(VLOOKUP($A316,'The List'!$B1:$AS730,38,FALSE)," ")</f>
        <v>885</v>
      </c>
      <c r="M316" t="s" s="61">
        <f>_xlfn.IFERROR(VLOOKUP($A316,'The List'!$B1:$AS730,39,FALSE)," ")</f>
        <v>885</v>
      </c>
      <c r="N316" t="s" s="61">
        <f>_xlfn.IFERROR(VLOOKUP($A316,'The List'!$B1:$AS730,40,FALSE)," ")</f>
        <v>885</v>
      </c>
      <c r="O316" t="s" s="61">
        <f>_xlfn.IFERROR(VLOOKUP($A316,'The List'!$B1:$AS730,41,FALSE)," ")</f>
        <v>885</v>
      </c>
      <c r="P316" t="s" s="61">
        <f>_xlfn.IFERROR(VLOOKUP($A316,'The List'!$B1:$AS730,42,FALSE)," ")</f>
        <v>885</v>
      </c>
      <c r="Q316" t="s" s="61">
        <f>_xlfn.IFERROR(VLOOKUP($A316,'The List'!$B1:$AS730,43,FALSE)," ")</f>
        <v>885</v>
      </c>
      <c r="R316" s="64"/>
      <c r="S316" s="64"/>
      <c r="T316" s="64"/>
      <c r="U316" s="19"/>
      <c r="V316" s="19"/>
      <c r="W316" s="19"/>
      <c r="X316" s="19"/>
      <c r="Y316" s="19"/>
      <c r="Z316" s="19"/>
      <c r="AA316" s="64"/>
      <c r="AB316" s="64"/>
      <c r="AC316" s="64"/>
      <c r="AD316" s="64"/>
      <c r="AE316" s="64"/>
      <c r="AF316" s="64"/>
    </row>
    <row r="317" ht="21.25" customHeight="1">
      <c r="A317" s="81"/>
      <c r="B317" t="s" s="123">
        <f>_xlfn.IFERROR(VLOOKUP($A317,'The List'!$B1:$AS730,3,FALSE)," ")</f>
        <v>885</v>
      </c>
      <c r="C317" t="s" s="124">
        <f>_xlfn.IFERROR(VLOOKUP($A317,'The List'!$B1:$AS730,4,FALSE)," ")</f>
        <v>885</v>
      </c>
      <c r="D317" t="s" s="84">
        <f>_xlfn.IFERROR(VLOOKUP($A317,'The List'!$B1:$AS730,5,FALSE)," ")</f>
        <v>885</v>
      </c>
      <c r="E317" t="s" s="84">
        <f>_xlfn.IFERROR(VLOOKUP($A317,'The List'!$B1:$AS730,6,FALSE)," ")</f>
        <v>885</v>
      </c>
      <c r="F317" t="s" s="85">
        <f>_xlfn.IFERROR(VLOOKUP($A317,'The List'!$B1:$AS730,8,FALSE)," ")</f>
        <v>885</v>
      </c>
      <c r="G317" t="s" s="85">
        <f>_xlfn.IFERROR(VLOOKUP($A317,'The List'!$B1:$AS730,10,FALSE)," ")</f>
        <v>885</v>
      </c>
      <c r="H317" s="86"/>
      <c r="I317" t="s" s="87">
        <f>_xlfn.IFERROR(VLOOKUP($A317,'The List'!$B1:$AS730,35,FALSE)," ")</f>
        <v>885</v>
      </c>
      <c r="J317" t="s" s="87">
        <f>_xlfn.IFERROR(VLOOKUP($A317,'The List'!$B1:$AS730,36,FALSE)," ")</f>
        <v>885</v>
      </c>
      <c r="K317" t="s" s="87">
        <f>_xlfn.IFERROR(VLOOKUP($A317,'The List'!$B1:$AS730,37,FALSE)," ")</f>
        <v>885</v>
      </c>
      <c r="L317" t="s" s="87">
        <f>_xlfn.IFERROR(VLOOKUP($A317,'The List'!$B1:$AS730,38,FALSE)," ")</f>
        <v>885</v>
      </c>
      <c r="M317" t="s" s="87">
        <f>_xlfn.IFERROR(VLOOKUP($A317,'The List'!$B1:$AS730,39,FALSE)," ")</f>
        <v>885</v>
      </c>
      <c r="N317" t="s" s="87">
        <f>_xlfn.IFERROR(VLOOKUP($A317,'The List'!$B1:$AS730,40,FALSE)," ")</f>
        <v>885</v>
      </c>
      <c r="O317" t="s" s="87">
        <f>_xlfn.IFERROR(VLOOKUP($A317,'The List'!$B1:$AS730,41,FALSE)," ")</f>
        <v>885</v>
      </c>
      <c r="P317" t="s" s="87">
        <f>_xlfn.IFERROR(VLOOKUP($A317,'The List'!$B1:$AS730,42,FALSE)," ")</f>
        <v>885</v>
      </c>
      <c r="Q317" t="s" s="87">
        <f>_xlfn.IFERROR(VLOOKUP($A317,'The List'!$B1:$AS730,43,FALSE)," ")</f>
        <v>885</v>
      </c>
      <c r="R317" s="64"/>
      <c r="S317" s="64"/>
      <c r="T317" s="64"/>
      <c r="U317" s="19"/>
      <c r="V317" s="19"/>
      <c r="W317" s="19"/>
      <c r="X317" s="19"/>
      <c r="Y317" s="19"/>
      <c r="Z317" s="19"/>
      <c r="AA317" s="64"/>
      <c r="AB317" s="64"/>
      <c r="AC317" s="64"/>
      <c r="AD317" s="64"/>
      <c r="AE317" s="64"/>
      <c r="AF317" s="64"/>
    </row>
    <row r="318" ht="21.25" customHeight="1">
      <c r="A318" s="88"/>
      <c r="B318" s="89"/>
      <c r="C318" s="90"/>
      <c r="D318" s="91"/>
      <c r="E318" t="s" s="127">
        <f>_xlfn.IFERROR(AVERAGE(E315:E317)," ")</f>
        <v>885</v>
      </c>
      <c r="F318" s="93">
        <f>SUM(F315:F317)</f>
        <v>0</v>
      </c>
      <c r="G318" s="93">
        <f>SUM(G315:G317)</f>
        <v>0</v>
      </c>
      <c r="H318" s="94"/>
      <c r="I318" s="95">
        <f>SUM(I315:I317)</f>
        <v>0</v>
      </c>
      <c r="J318" s="94">
        <f>SUM(J315:J317)</f>
        <v>0</v>
      </c>
      <c r="K318" s="95">
        <f>SUM(K315:K317)</f>
        <v>0</v>
      </c>
      <c r="L318" s="95">
        <f>SUM(L315:L317)</f>
        <v>0</v>
      </c>
      <c r="M318" s="95">
        <f>SUM(M315:M317)</f>
        <v>0</v>
      </c>
      <c r="N318" s="95">
        <f>SUM(N315:N317)</f>
        <v>0</v>
      </c>
      <c r="O318" s="95">
        <f>SUM(O315:O317)</f>
        <v>0</v>
      </c>
      <c r="P318" s="125">
        <f>1-(O318/(N318+O318))</f>
      </c>
      <c r="Q318" s="126">
        <f>O318/I318</f>
      </c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</row>
    <row r="319" ht="70.85" customHeight="1">
      <c r="A319" s="98"/>
      <c r="B319" s="99"/>
      <c r="C319" s="100"/>
      <c r="D319" s="11"/>
      <c r="E319" s="11"/>
      <c r="F319" s="101"/>
      <c r="G319" s="102"/>
      <c r="H319" s="103"/>
      <c r="I319" s="10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9"/>
      <c r="AB319" s="69"/>
      <c r="AC319" s="69"/>
      <c r="AD319" s="69"/>
      <c r="AE319" s="69"/>
      <c r="AF319" s="69"/>
    </row>
    <row r="320" ht="21.25" customHeight="1">
      <c r="A320" t="s" s="32">
        <v>896</v>
      </c>
      <c r="B320" t="s" s="33">
        <v>68</v>
      </c>
      <c r="C320" s="25"/>
      <c r="D320" t="s" s="33">
        <v>69</v>
      </c>
      <c r="E320" t="s" s="33">
        <v>70</v>
      </c>
      <c r="F320" t="s" s="34">
        <v>72</v>
      </c>
      <c r="G320" t="s" s="34">
        <v>74</v>
      </c>
      <c r="H320" s="35"/>
      <c r="I320" t="s" s="37">
        <v>79</v>
      </c>
      <c r="J320" t="s" s="37">
        <v>80</v>
      </c>
      <c r="K320" t="s" s="37">
        <v>81</v>
      </c>
      <c r="L320" t="s" s="37">
        <v>82</v>
      </c>
      <c r="M320" t="s" s="37">
        <v>83</v>
      </c>
      <c r="N320" t="s" s="37">
        <v>84</v>
      </c>
      <c r="O320" t="s" s="37">
        <v>85</v>
      </c>
      <c r="P320" t="s" s="37">
        <v>86</v>
      </c>
      <c r="Q320" t="s" s="37">
        <v>87</v>
      </c>
      <c r="R320" t="s" s="37">
        <v>88</v>
      </c>
      <c r="S320" t="s" s="37">
        <v>89</v>
      </c>
      <c r="T320" t="s" s="37">
        <v>90</v>
      </c>
      <c r="U320" t="s" s="37">
        <v>91</v>
      </c>
      <c r="V320" t="s" s="37">
        <v>92</v>
      </c>
      <c r="W320" t="s" s="37">
        <v>93</v>
      </c>
      <c r="X320" t="s" s="37">
        <v>94</v>
      </c>
      <c r="Y320" t="s" s="37">
        <v>95</v>
      </c>
      <c r="Z320" t="s" s="37">
        <v>96</v>
      </c>
      <c r="AA320" s="64"/>
      <c r="AB320" s="65"/>
      <c r="AC320" s="65"/>
      <c r="AD320" s="65"/>
      <c r="AE320" s="65"/>
      <c r="AF320" s="65"/>
    </row>
    <row r="321" ht="21.25" customHeight="1">
      <c r="A321" s="29"/>
      <c r="B321" t="s" s="66">
        <f>_xlfn.IFERROR(VLOOKUP($A321,'The List'!$B1:$AS730,3,FALSE)," ")</f>
        <v>885</v>
      </c>
      <c r="C321" t="s" s="70">
        <f>_xlfn.IFERROR(VLOOKUP($A321,'The List'!$B1:$AS730,4,FALSE)," ")</f>
        <v>885</v>
      </c>
      <c r="D321" t="s" s="42">
        <f>_xlfn.IFERROR(VLOOKUP($A321,'The List'!$B1:$AS730,5,FALSE)," ")</f>
        <v>885</v>
      </c>
      <c r="E321" t="s" s="42">
        <f>_xlfn.IFERROR(VLOOKUP($A321,'The List'!$B1:$AS730,6,FALSE)," ")</f>
        <v>885</v>
      </c>
      <c r="F321" t="s" s="60">
        <f>_xlfn.IFERROR(VLOOKUP($A321,'The List'!$B1:$AS730,8,FALSE)," ")</f>
        <v>885</v>
      </c>
      <c r="G321" t="s" s="60">
        <f>_xlfn.IFERROR(VLOOKUP($A321,'The List'!$B1:$AS730,10,FALSE)," ")</f>
        <v>885</v>
      </c>
      <c r="H321" s="46"/>
      <c r="I321" t="s" s="61">
        <f>_xlfn.IFERROR(VLOOKUP($A321,'The List'!$B1:$AS730,16,FALSE)," ")</f>
        <v>885</v>
      </c>
      <c r="J321" t="s" s="61">
        <f>_xlfn.IFERROR(VLOOKUP($A321,'The List'!$B1:$AS730,17,FALSE)," ")</f>
        <v>885</v>
      </c>
      <c r="K321" t="s" s="61">
        <f>_xlfn.IFERROR(VLOOKUP($A321,'The List'!$B1:$AS730,18,FALSE)," ")</f>
        <v>885</v>
      </c>
      <c r="L321" t="s" s="61">
        <f>_xlfn.IFERROR(VLOOKUP($A321,'The List'!$B1:$AS730,19,FALSE)," ")</f>
        <v>885</v>
      </c>
      <c r="M321" t="s" s="61">
        <f>_xlfn.IFERROR(VLOOKUP($A321,'The List'!$B1:$AS730,20,FALSE)," ")</f>
        <v>885</v>
      </c>
      <c r="N321" t="s" s="61">
        <f>_xlfn.IFERROR(VLOOKUP($A321,'The List'!$B1:$AS730,21,FALSE)," ")</f>
        <v>885</v>
      </c>
      <c r="O321" t="s" s="61">
        <f>_xlfn.IFERROR(VLOOKUP($A321,'The List'!$B1:$AS730,22,FALSE)," ")</f>
        <v>885</v>
      </c>
      <c r="P321" t="s" s="61">
        <f>_xlfn.IFERROR(VLOOKUP($A321,'The List'!$B1:$AS730,23,FALSE)," ")</f>
        <v>885</v>
      </c>
      <c r="Q321" t="s" s="61">
        <f>_xlfn.IFERROR(VLOOKUP($A321,'The List'!$B1:$AS730,24,FALSE)," ")</f>
        <v>885</v>
      </c>
      <c r="R321" t="s" s="61">
        <f>_xlfn.IFERROR(VLOOKUP($A321,'The List'!$B1:$AS730,25,FALSE)," ")</f>
        <v>885</v>
      </c>
      <c r="S321" t="s" s="61">
        <f>_xlfn.IFERROR(VLOOKUP($A321,'The List'!$B1:$AS730,26,FALSE)," ")</f>
        <v>885</v>
      </c>
      <c r="T321" t="s" s="61">
        <f>_xlfn.IFERROR(VLOOKUP($A321,'The List'!$B1:$AS730,27,FALSE)," ")</f>
        <v>885</v>
      </c>
      <c r="U321" t="s" s="61">
        <f>_xlfn.IFERROR(VLOOKUP($A321,'The List'!$B1:$AS730,28,FALSE)," ")</f>
        <v>885</v>
      </c>
      <c r="V321" t="s" s="61">
        <f>_xlfn.IFERROR(VLOOKUP($A321,'The List'!$B1:$AS730,29,FALSE)," ")</f>
        <v>885</v>
      </c>
      <c r="W321" t="s" s="61">
        <f>_xlfn.IFERROR(VLOOKUP($A321,'The List'!$B1:$AS730,30,FALSE)," ")</f>
        <v>885</v>
      </c>
      <c r="X321" t="s" s="61">
        <f>_xlfn.IFERROR(VLOOKUP($A321,'The List'!$B1:$AS730,31,FALSE)," ")</f>
        <v>885</v>
      </c>
      <c r="Y321" t="s" s="61">
        <f>_xlfn.IFERROR(VLOOKUP($A321,'The List'!$B1:$AS730,32,FALSE)," ")</f>
        <v>885</v>
      </c>
      <c r="Z321" t="s" s="61">
        <f>_xlfn.IFERROR(VLOOKUP($A321,'The List'!$B1:$AS730,33,FALSE)," ")</f>
        <v>885</v>
      </c>
      <c r="AA321" s="64"/>
      <c r="AB321" s="69"/>
      <c r="AC321" s="69"/>
      <c r="AD321" s="69"/>
      <c r="AE321" s="69"/>
      <c r="AF321" s="69"/>
    </row>
    <row r="322" ht="21.25" customHeight="1">
      <c r="A322" s="29"/>
      <c r="B322" t="s" s="66">
        <f>_xlfn.IFERROR(VLOOKUP($A322,'The List'!$B1:$AS730,3,FALSE)," ")</f>
        <v>885</v>
      </c>
      <c r="C322" t="s" s="70">
        <f>_xlfn.IFERROR(VLOOKUP($A322,'The List'!$B1:$AS730,4,FALSE)," ")</f>
        <v>885</v>
      </c>
      <c r="D322" t="s" s="42">
        <f>_xlfn.IFERROR(VLOOKUP($A322,'The List'!$B1:$AS730,5,FALSE)," ")</f>
        <v>885</v>
      </c>
      <c r="E322" t="s" s="42">
        <f>_xlfn.IFERROR(VLOOKUP($A322,'The List'!$B1:$AS730,6,FALSE)," ")</f>
        <v>885</v>
      </c>
      <c r="F322" t="s" s="60">
        <f>_xlfn.IFERROR(VLOOKUP($A322,'The List'!$B1:$AS730,8,FALSE)," ")</f>
        <v>885</v>
      </c>
      <c r="G322" t="s" s="60">
        <f>_xlfn.IFERROR(VLOOKUP($A322,'The List'!$B1:$AS730,10,FALSE)," ")</f>
        <v>885</v>
      </c>
      <c r="H322" s="46"/>
      <c r="I322" t="s" s="61">
        <f>_xlfn.IFERROR(VLOOKUP($A322,'The List'!$B1:$AS730,16,FALSE)," ")</f>
        <v>885</v>
      </c>
      <c r="J322" t="s" s="61">
        <f>_xlfn.IFERROR(VLOOKUP($A322,'The List'!$B1:$AS730,17,FALSE)," ")</f>
        <v>885</v>
      </c>
      <c r="K322" t="s" s="61">
        <f>_xlfn.IFERROR(VLOOKUP($A322,'The List'!$B1:$AS730,18,FALSE)," ")</f>
        <v>885</v>
      </c>
      <c r="L322" t="s" s="61">
        <f>_xlfn.IFERROR(VLOOKUP($A322,'The List'!$B1:$AS730,19,FALSE)," ")</f>
        <v>885</v>
      </c>
      <c r="M322" t="s" s="61">
        <f>_xlfn.IFERROR(VLOOKUP($A322,'The List'!$B1:$AS730,20,FALSE)," ")</f>
        <v>885</v>
      </c>
      <c r="N322" t="s" s="61">
        <f>_xlfn.IFERROR(VLOOKUP($A322,'The List'!$B1:$AS730,21,FALSE)," ")</f>
        <v>885</v>
      </c>
      <c r="O322" t="s" s="61">
        <f>_xlfn.IFERROR(VLOOKUP($A322,'The List'!$B1:$AS730,22,FALSE)," ")</f>
        <v>885</v>
      </c>
      <c r="P322" t="s" s="61">
        <f>_xlfn.IFERROR(VLOOKUP($A322,'The List'!$B1:$AS730,23,FALSE)," ")</f>
        <v>885</v>
      </c>
      <c r="Q322" t="s" s="61">
        <f>_xlfn.IFERROR(VLOOKUP($A322,'The List'!$B1:$AS730,24,FALSE)," ")</f>
        <v>885</v>
      </c>
      <c r="R322" t="s" s="61">
        <f>_xlfn.IFERROR(VLOOKUP($A322,'The List'!$B1:$AS730,25,FALSE)," ")</f>
        <v>885</v>
      </c>
      <c r="S322" t="s" s="61">
        <f>_xlfn.IFERROR(VLOOKUP($A322,'The List'!$B1:$AS730,26,FALSE)," ")</f>
        <v>885</v>
      </c>
      <c r="T322" t="s" s="61">
        <f>_xlfn.IFERROR(VLOOKUP($A322,'The List'!$B1:$AS730,27,FALSE)," ")</f>
        <v>885</v>
      </c>
      <c r="U322" t="s" s="61">
        <f>_xlfn.IFERROR(VLOOKUP($A322,'The List'!$B1:$AS730,28,FALSE)," ")</f>
        <v>885</v>
      </c>
      <c r="V322" t="s" s="61">
        <f>_xlfn.IFERROR(VLOOKUP($A322,'The List'!$B1:$AS730,29,FALSE)," ")</f>
        <v>885</v>
      </c>
      <c r="W322" t="s" s="61">
        <f>_xlfn.IFERROR(VLOOKUP($A322,'The List'!$B1:$AS730,30,FALSE)," ")</f>
        <v>885</v>
      </c>
      <c r="X322" t="s" s="61">
        <f>_xlfn.IFERROR(VLOOKUP($A322,'The List'!$B1:$AS730,31,FALSE)," ")</f>
        <v>885</v>
      </c>
      <c r="Y322" t="s" s="61">
        <f>_xlfn.IFERROR(VLOOKUP($A322,'The List'!$B1:$AS730,32,FALSE)," ")</f>
        <v>885</v>
      </c>
      <c r="Z322" t="s" s="61">
        <f>_xlfn.IFERROR(VLOOKUP($A322,'The List'!$B1:$AS730,33,FALSE)," ")</f>
        <v>885</v>
      </c>
      <c r="AA322" s="64"/>
      <c r="AB322" s="69"/>
      <c r="AC322" s="69"/>
      <c r="AD322" s="69"/>
      <c r="AE322" s="69"/>
      <c r="AF322" s="69"/>
    </row>
    <row r="323" ht="21.25" customHeight="1">
      <c r="A323" s="29"/>
      <c r="B323" t="s" s="66">
        <f>_xlfn.IFERROR(VLOOKUP($A323,'The List'!$B1:$AS730,3,FALSE)," ")</f>
        <v>885</v>
      </c>
      <c r="C323" t="s" s="70">
        <f>_xlfn.IFERROR(VLOOKUP($A323,'The List'!$B1:$AS730,4,FALSE)," ")</f>
        <v>885</v>
      </c>
      <c r="D323" t="s" s="42">
        <f>_xlfn.IFERROR(VLOOKUP($A323,'The List'!$B1:$AS730,5,FALSE)," ")</f>
        <v>885</v>
      </c>
      <c r="E323" t="s" s="42">
        <f>_xlfn.IFERROR(VLOOKUP($A323,'The List'!$B1:$AS730,6,FALSE)," ")</f>
        <v>885</v>
      </c>
      <c r="F323" t="s" s="60">
        <f>_xlfn.IFERROR(VLOOKUP($A323,'The List'!$B1:$AS730,8,FALSE)," ")</f>
        <v>885</v>
      </c>
      <c r="G323" t="s" s="60">
        <f>_xlfn.IFERROR(VLOOKUP($A323,'The List'!$B1:$AS730,10,FALSE)," ")</f>
        <v>885</v>
      </c>
      <c r="H323" s="46"/>
      <c r="I323" t="s" s="61">
        <f>_xlfn.IFERROR(VLOOKUP($A323,'The List'!$B1:$AS730,16,FALSE)," ")</f>
        <v>885</v>
      </c>
      <c r="J323" t="s" s="61">
        <f>_xlfn.IFERROR(VLOOKUP($A323,'The List'!$B1:$AS730,17,FALSE)," ")</f>
        <v>885</v>
      </c>
      <c r="K323" t="s" s="61">
        <f>_xlfn.IFERROR(VLOOKUP($A323,'The List'!$B1:$AS730,18,FALSE)," ")</f>
        <v>885</v>
      </c>
      <c r="L323" t="s" s="61">
        <f>_xlfn.IFERROR(VLOOKUP($A323,'The List'!$B1:$AS730,19,FALSE)," ")</f>
        <v>885</v>
      </c>
      <c r="M323" t="s" s="61">
        <f>_xlfn.IFERROR(VLOOKUP($A323,'The List'!$B1:$AS730,20,FALSE)," ")</f>
        <v>885</v>
      </c>
      <c r="N323" t="s" s="61">
        <f>_xlfn.IFERROR(VLOOKUP($A323,'The List'!$B1:$AS730,21,FALSE)," ")</f>
        <v>885</v>
      </c>
      <c r="O323" t="s" s="61">
        <f>_xlfn.IFERROR(VLOOKUP($A323,'The List'!$B1:$AS730,22,FALSE)," ")</f>
        <v>885</v>
      </c>
      <c r="P323" t="s" s="61">
        <f>_xlfn.IFERROR(VLOOKUP($A323,'The List'!$B1:$AS730,23,FALSE)," ")</f>
        <v>885</v>
      </c>
      <c r="Q323" t="s" s="61">
        <f>_xlfn.IFERROR(VLOOKUP($A323,'The List'!$B1:$AS730,24,FALSE)," ")</f>
        <v>885</v>
      </c>
      <c r="R323" t="s" s="61">
        <f>_xlfn.IFERROR(VLOOKUP($A323,'The List'!$B1:$AS730,25,FALSE)," ")</f>
        <v>885</v>
      </c>
      <c r="S323" t="s" s="61">
        <f>_xlfn.IFERROR(VLOOKUP($A323,'The List'!$B1:$AS730,26,FALSE)," ")</f>
        <v>885</v>
      </c>
      <c r="T323" t="s" s="61">
        <f>_xlfn.IFERROR(VLOOKUP($A323,'The List'!$B1:$AS730,27,FALSE)," ")</f>
        <v>885</v>
      </c>
      <c r="U323" t="s" s="61">
        <f>_xlfn.IFERROR(VLOOKUP($A323,'The List'!$B1:$AS730,28,FALSE)," ")</f>
        <v>885</v>
      </c>
      <c r="V323" t="s" s="61">
        <f>_xlfn.IFERROR(VLOOKUP($A323,'The List'!$B1:$AS730,29,FALSE)," ")</f>
        <v>885</v>
      </c>
      <c r="W323" t="s" s="61">
        <f>_xlfn.IFERROR(VLOOKUP($A323,'The List'!$B1:$AS730,30,FALSE)," ")</f>
        <v>885</v>
      </c>
      <c r="X323" t="s" s="61">
        <f>_xlfn.IFERROR(VLOOKUP($A323,'The List'!$B1:$AS730,31,FALSE)," ")</f>
        <v>885</v>
      </c>
      <c r="Y323" t="s" s="61">
        <f>_xlfn.IFERROR(VLOOKUP($A323,'The List'!$B1:$AS730,32,FALSE)," ")</f>
        <v>885</v>
      </c>
      <c r="Z323" t="s" s="61">
        <f>_xlfn.IFERROR(VLOOKUP($A323,'The List'!$B1:$AS730,33,FALSE)," ")</f>
        <v>885</v>
      </c>
      <c r="AA323" s="64"/>
      <c r="AB323" s="69"/>
      <c r="AC323" s="69"/>
      <c r="AD323" s="69"/>
      <c r="AE323" s="69"/>
      <c r="AF323" s="69"/>
    </row>
    <row r="324" ht="21.25" customHeight="1">
      <c r="A324" s="29"/>
      <c r="B324" t="s" s="66">
        <f>_xlfn.IFERROR(VLOOKUP($A324,'The List'!$B1:$AS730,3,FALSE)," ")</f>
        <v>885</v>
      </c>
      <c r="C324" t="s" s="70">
        <f>_xlfn.IFERROR(VLOOKUP($A324,'The List'!$B1:$AS730,4,FALSE)," ")</f>
        <v>885</v>
      </c>
      <c r="D324" t="s" s="42">
        <f>_xlfn.IFERROR(VLOOKUP($A324,'The List'!$B1:$AS730,5,FALSE)," ")</f>
        <v>885</v>
      </c>
      <c r="E324" t="s" s="42">
        <f>_xlfn.IFERROR(VLOOKUP($A324,'The List'!$B1:$AS730,6,FALSE)," ")</f>
        <v>885</v>
      </c>
      <c r="F324" t="s" s="60">
        <f>_xlfn.IFERROR(VLOOKUP($A324,'The List'!$B1:$AS730,8,FALSE)," ")</f>
        <v>885</v>
      </c>
      <c r="G324" t="s" s="60">
        <f>_xlfn.IFERROR(VLOOKUP($A324,'The List'!$B1:$AS730,10,FALSE)," ")</f>
        <v>885</v>
      </c>
      <c r="H324" s="46"/>
      <c r="I324" t="s" s="61">
        <f>_xlfn.IFERROR(VLOOKUP($A324,'The List'!$B1:$AS730,16,FALSE)," ")</f>
        <v>885</v>
      </c>
      <c r="J324" t="s" s="61">
        <f>_xlfn.IFERROR(VLOOKUP($A324,'The List'!$B1:$AS730,17,FALSE)," ")</f>
        <v>885</v>
      </c>
      <c r="K324" t="s" s="61">
        <f>_xlfn.IFERROR(VLOOKUP($A324,'The List'!$B1:$AS730,18,FALSE)," ")</f>
        <v>885</v>
      </c>
      <c r="L324" t="s" s="61">
        <f>_xlfn.IFERROR(VLOOKUP($A324,'The List'!$B1:$AS730,19,FALSE)," ")</f>
        <v>885</v>
      </c>
      <c r="M324" t="s" s="61">
        <f>_xlfn.IFERROR(VLOOKUP($A324,'The List'!$B1:$AS730,20,FALSE)," ")</f>
        <v>885</v>
      </c>
      <c r="N324" t="s" s="61">
        <f>_xlfn.IFERROR(VLOOKUP($A324,'The List'!$B1:$AS730,21,FALSE)," ")</f>
        <v>885</v>
      </c>
      <c r="O324" t="s" s="61">
        <f>_xlfn.IFERROR(VLOOKUP($A324,'The List'!$B1:$AS730,22,FALSE)," ")</f>
        <v>885</v>
      </c>
      <c r="P324" t="s" s="61">
        <f>_xlfn.IFERROR(VLOOKUP($A324,'The List'!$B1:$AS730,23,FALSE)," ")</f>
        <v>885</v>
      </c>
      <c r="Q324" t="s" s="61">
        <f>_xlfn.IFERROR(VLOOKUP($A324,'The List'!$B1:$AS730,24,FALSE)," ")</f>
        <v>885</v>
      </c>
      <c r="R324" t="s" s="61">
        <f>_xlfn.IFERROR(VLOOKUP($A324,'The List'!$B1:$AS730,25,FALSE)," ")</f>
        <v>885</v>
      </c>
      <c r="S324" t="s" s="61">
        <f>_xlfn.IFERROR(VLOOKUP($A324,'The List'!$B1:$AS730,26,FALSE)," ")</f>
        <v>885</v>
      </c>
      <c r="T324" t="s" s="61">
        <f>_xlfn.IFERROR(VLOOKUP($A324,'The List'!$B1:$AS730,27,FALSE)," ")</f>
        <v>885</v>
      </c>
      <c r="U324" t="s" s="61">
        <f>_xlfn.IFERROR(VLOOKUP($A324,'The List'!$B1:$AS730,28,FALSE)," ")</f>
        <v>885</v>
      </c>
      <c r="V324" t="s" s="61">
        <f>_xlfn.IFERROR(VLOOKUP($A324,'The List'!$B1:$AS730,29,FALSE)," ")</f>
        <v>885</v>
      </c>
      <c r="W324" t="s" s="61">
        <f>_xlfn.IFERROR(VLOOKUP($A324,'The List'!$B1:$AS730,30,FALSE)," ")</f>
        <v>885</v>
      </c>
      <c r="X324" t="s" s="61">
        <f>_xlfn.IFERROR(VLOOKUP($A324,'The List'!$B1:$AS730,31,FALSE)," ")</f>
        <v>885</v>
      </c>
      <c r="Y324" t="s" s="61">
        <f>_xlfn.IFERROR(VLOOKUP($A324,'The List'!$B1:$AS730,32,FALSE)," ")</f>
        <v>885</v>
      </c>
      <c r="Z324" t="s" s="61">
        <f>_xlfn.IFERROR(VLOOKUP($A324,'The List'!$B1:$AS730,33,FALSE)," ")</f>
        <v>885</v>
      </c>
      <c r="AA324" s="64"/>
      <c r="AB324" s="69"/>
      <c r="AC324" s="69"/>
      <c r="AD324" s="69"/>
      <c r="AE324" s="69"/>
      <c r="AF324" s="69"/>
    </row>
    <row r="325" ht="21.25" customHeight="1">
      <c r="A325" s="29"/>
      <c r="B325" t="s" s="71">
        <f>_xlfn.IFERROR(VLOOKUP($A325,'The List'!$B1:$AS730,3,FALSE)," ")</f>
        <v>885</v>
      </c>
      <c r="C325" t="s" s="73">
        <f>_xlfn.IFERROR(VLOOKUP($A325,'The List'!$B1:$AS730,4,FALSE)," ")</f>
        <v>885</v>
      </c>
      <c r="D325" t="s" s="42">
        <f>_xlfn.IFERROR(VLOOKUP($A325,'The List'!$B1:$AS730,5,FALSE)," ")</f>
        <v>885</v>
      </c>
      <c r="E325" t="s" s="42">
        <f>_xlfn.IFERROR(VLOOKUP($A325,'The List'!$B1:$AS730,6,FALSE)," ")</f>
        <v>885</v>
      </c>
      <c r="F325" t="s" s="60">
        <f>_xlfn.IFERROR(VLOOKUP($A325,'The List'!$B1:$AS730,8,FALSE)," ")</f>
        <v>885</v>
      </c>
      <c r="G325" t="s" s="60">
        <f>_xlfn.IFERROR(VLOOKUP($A325,'The List'!$B1:$AS730,10,FALSE)," ")</f>
        <v>885</v>
      </c>
      <c r="H325" s="46"/>
      <c r="I325" t="s" s="61">
        <f>_xlfn.IFERROR(VLOOKUP($A325,'The List'!$B1:$AS730,16,FALSE)," ")</f>
        <v>885</v>
      </c>
      <c r="J325" t="s" s="61">
        <f>_xlfn.IFERROR(VLOOKUP($A325,'The List'!$B1:$AS730,17,FALSE)," ")</f>
        <v>885</v>
      </c>
      <c r="K325" t="s" s="61">
        <f>_xlfn.IFERROR(VLOOKUP($A325,'The List'!$B1:$AS730,18,FALSE)," ")</f>
        <v>885</v>
      </c>
      <c r="L325" t="s" s="61">
        <f>_xlfn.IFERROR(VLOOKUP($A325,'The List'!$B1:$AS730,19,FALSE)," ")</f>
        <v>885</v>
      </c>
      <c r="M325" t="s" s="61">
        <f>_xlfn.IFERROR(VLOOKUP($A325,'The List'!$B1:$AS730,20,FALSE)," ")</f>
        <v>885</v>
      </c>
      <c r="N325" t="s" s="61">
        <f>_xlfn.IFERROR(VLOOKUP($A325,'The List'!$B1:$AS730,21,FALSE)," ")</f>
        <v>885</v>
      </c>
      <c r="O325" t="s" s="61">
        <f>_xlfn.IFERROR(VLOOKUP($A325,'The List'!$B1:$AS730,22,FALSE)," ")</f>
        <v>885</v>
      </c>
      <c r="P325" t="s" s="61">
        <f>_xlfn.IFERROR(VLOOKUP($A325,'The List'!$B1:$AS730,23,FALSE)," ")</f>
        <v>885</v>
      </c>
      <c r="Q325" t="s" s="61">
        <f>_xlfn.IFERROR(VLOOKUP($A325,'The List'!$B1:$AS730,24,FALSE)," ")</f>
        <v>885</v>
      </c>
      <c r="R325" t="s" s="61">
        <f>_xlfn.IFERROR(VLOOKUP($A325,'The List'!$B1:$AS730,25,FALSE)," ")</f>
        <v>885</v>
      </c>
      <c r="S325" t="s" s="61">
        <f>_xlfn.IFERROR(VLOOKUP($A325,'The List'!$B1:$AS730,26,FALSE)," ")</f>
        <v>885</v>
      </c>
      <c r="T325" t="s" s="61">
        <f>_xlfn.IFERROR(VLOOKUP($A325,'The List'!$B1:$AS730,27,FALSE)," ")</f>
        <v>885</v>
      </c>
      <c r="U325" t="s" s="61">
        <f>_xlfn.IFERROR(VLOOKUP($A325,'The List'!$B1:$AS730,28,FALSE)," ")</f>
        <v>885</v>
      </c>
      <c r="V325" t="s" s="61">
        <f>_xlfn.IFERROR(VLOOKUP($A325,'The List'!$B1:$AS730,29,FALSE)," ")</f>
        <v>885</v>
      </c>
      <c r="W325" t="s" s="61">
        <f>_xlfn.IFERROR(VLOOKUP($A325,'The List'!$B1:$AS730,30,FALSE)," ")</f>
        <v>885</v>
      </c>
      <c r="X325" t="s" s="61">
        <f>_xlfn.IFERROR(VLOOKUP($A325,'The List'!$B1:$AS730,31,FALSE)," ")</f>
        <v>885</v>
      </c>
      <c r="Y325" t="s" s="61">
        <f>_xlfn.IFERROR(VLOOKUP($A325,'The List'!$B1:$AS730,32,FALSE)," ")</f>
        <v>885</v>
      </c>
      <c r="Z325" t="s" s="61">
        <f>_xlfn.IFERROR(VLOOKUP($A325,'The List'!$B1:$AS730,33,FALSE)," ")</f>
        <v>885</v>
      </c>
      <c r="AA325" s="64"/>
      <c r="AB325" s="69"/>
      <c r="AC325" s="69"/>
      <c r="AD325" s="69"/>
      <c r="AE325" s="69"/>
      <c r="AF325" s="69"/>
    </row>
    <row r="326" ht="21.25" customHeight="1">
      <c r="A326" s="29"/>
      <c r="B326" t="s" s="71">
        <f>_xlfn.IFERROR(VLOOKUP($A326,'The List'!$B1:$AS730,3,FALSE)," ")</f>
        <v>885</v>
      </c>
      <c r="C326" t="s" s="73">
        <f>_xlfn.IFERROR(VLOOKUP($A326,'The List'!$B1:$AS730,4,FALSE)," ")</f>
        <v>885</v>
      </c>
      <c r="D326" t="s" s="42">
        <f>_xlfn.IFERROR(VLOOKUP($A326,'The List'!$B1:$AS730,5,FALSE)," ")</f>
        <v>885</v>
      </c>
      <c r="E326" t="s" s="42">
        <f>_xlfn.IFERROR(VLOOKUP($A326,'The List'!$B1:$AS730,6,FALSE)," ")</f>
        <v>885</v>
      </c>
      <c r="F326" t="s" s="60">
        <f>_xlfn.IFERROR(VLOOKUP($A326,'The List'!$B1:$AS730,8,FALSE)," ")</f>
        <v>885</v>
      </c>
      <c r="G326" t="s" s="60">
        <f>_xlfn.IFERROR(VLOOKUP($A326,'The List'!$B1:$AS730,10,FALSE)," ")</f>
        <v>885</v>
      </c>
      <c r="H326" s="46"/>
      <c r="I326" t="s" s="61">
        <f>_xlfn.IFERROR(VLOOKUP($A326,'The List'!$B1:$AS730,16,FALSE)," ")</f>
        <v>885</v>
      </c>
      <c r="J326" t="s" s="61">
        <f>_xlfn.IFERROR(VLOOKUP($A326,'The List'!$B1:$AS730,17,FALSE)," ")</f>
        <v>885</v>
      </c>
      <c r="K326" t="s" s="61">
        <f>_xlfn.IFERROR(VLOOKUP($A326,'The List'!$B1:$AS730,18,FALSE)," ")</f>
        <v>885</v>
      </c>
      <c r="L326" t="s" s="61">
        <f>_xlfn.IFERROR(VLOOKUP($A326,'The List'!$B1:$AS730,19,FALSE)," ")</f>
        <v>885</v>
      </c>
      <c r="M326" t="s" s="61">
        <f>_xlfn.IFERROR(VLOOKUP($A326,'The List'!$B1:$AS730,20,FALSE)," ")</f>
        <v>885</v>
      </c>
      <c r="N326" t="s" s="61">
        <f>_xlfn.IFERROR(VLOOKUP($A326,'The List'!$B1:$AS730,21,FALSE)," ")</f>
        <v>885</v>
      </c>
      <c r="O326" t="s" s="61">
        <f>_xlfn.IFERROR(VLOOKUP($A326,'The List'!$B1:$AS730,22,FALSE)," ")</f>
        <v>885</v>
      </c>
      <c r="P326" t="s" s="61">
        <f>_xlfn.IFERROR(VLOOKUP($A326,'The List'!$B1:$AS730,23,FALSE)," ")</f>
        <v>885</v>
      </c>
      <c r="Q326" t="s" s="61">
        <f>_xlfn.IFERROR(VLOOKUP($A326,'The List'!$B1:$AS730,24,FALSE)," ")</f>
        <v>885</v>
      </c>
      <c r="R326" t="s" s="61">
        <f>_xlfn.IFERROR(VLOOKUP($A326,'The List'!$B1:$AS730,25,FALSE)," ")</f>
        <v>885</v>
      </c>
      <c r="S326" t="s" s="61">
        <f>_xlfn.IFERROR(VLOOKUP($A326,'The List'!$B1:$AS730,26,FALSE)," ")</f>
        <v>885</v>
      </c>
      <c r="T326" t="s" s="61">
        <f>_xlfn.IFERROR(VLOOKUP($A326,'The List'!$B1:$AS730,27,FALSE)," ")</f>
        <v>885</v>
      </c>
      <c r="U326" t="s" s="61">
        <f>_xlfn.IFERROR(VLOOKUP($A326,'The List'!$B1:$AS730,28,FALSE)," ")</f>
        <v>885</v>
      </c>
      <c r="V326" t="s" s="61">
        <f>_xlfn.IFERROR(VLOOKUP($A326,'The List'!$B1:$AS730,29,FALSE)," ")</f>
        <v>885</v>
      </c>
      <c r="W326" t="s" s="61">
        <f>_xlfn.IFERROR(VLOOKUP($A326,'The List'!$B1:$AS730,30,FALSE)," ")</f>
        <v>885</v>
      </c>
      <c r="X326" t="s" s="61">
        <f>_xlfn.IFERROR(VLOOKUP($A326,'The List'!$B1:$AS730,31,FALSE)," ")</f>
        <v>885</v>
      </c>
      <c r="Y326" t="s" s="61">
        <f>_xlfn.IFERROR(VLOOKUP($A326,'The List'!$B1:$AS730,32,FALSE)," ")</f>
        <v>885</v>
      </c>
      <c r="Z326" t="s" s="61">
        <f>_xlfn.IFERROR(VLOOKUP($A326,'The List'!$B1:$AS730,33,FALSE)," ")</f>
        <v>885</v>
      </c>
      <c r="AA326" s="64"/>
      <c r="AB326" s="69"/>
      <c r="AC326" s="69"/>
      <c r="AD326" s="69"/>
      <c r="AE326" s="69"/>
      <c r="AF326" s="69"/>
    </row>
    <row r="327" ht="21.25" customHeight="1">
      <c r="A327" s="29"/>
      <c r="B327" t="s" s="71">
        <f>_xlfn.IFERROR(VLOOKUP($A327,'The List'!$B1:$AS730,3,FALSE)," ")</f>
        <v>885</v>
      </c>
      <c r="C327" t="s" s="73">
        <f>_xlfn.IFERROR(VLOOKUP($A327,'The List'!$B1:$AS730,4,FALSE)," ")</f>
        <v>885</v>
      </c>
      <c r="D327" t="s" s="42">
        <f>_xlfn.IFERROR(VLOOKUP($A327,'The List'!$B1:$AS730,5,FALSE)," ")</f>
        <v>885</v>
      </c>
      <c r="E327" t="s" s="42">
        <f>_xlfn.IFERROR(VLOOKUP($A327,'The List'!$B1:$AS730,6,FALSE)," ")</f>
        <v>885</v>
      </c>
      <c r="F327" t="s" s="60">
        <f>_xlfn.IFERROR(VLOOKUP($A327,'The List'!$B1:$AS730,8,FALSE)," ")</f>
        <v>885</v>
      </c>
      <c r="G327" t="s" s="60">
        <f>_xlfn.IFERROR(VLOOKUP($A327,'The List'!$B1:$AS730,10,FALSE)," ")</f>
        <v>885</v>
      </c>
      <c r="H327" s="46"/>
      <c r="I327" t="s" s="61">
        <f>_xlfn.IFERROR(VLOOKUP($A327,'The List'!$B1:$AS730,16,FALSE)," ")</f>
        <v>885</v>
      </c>
      <c r="J327" t="s" s="61">
        <f>_xlfn.IFERROR(VLOOKUP($A327,'The List'!$B1:$AS730,17,FALSE)," ")</f>
        <v>885</v>
      </c>
      <c r="K327" t="s" s="61">
        <f>_xlfn.IFERROR(VLOOKUP($A327,'The List'!$B1:$AS730,18,FALSE)," ")</f>
        <v>885</v>
      </c>
      <c r="L327" t="s" s="61">
        <f>_xlfn.IFERROR(VLOOKUP($A327,'The List'!$B1:$AS730,19,FALSE)," ")</f>
        <v>885</v>
      </c>
      <c r="M327" t="s" s="61">
        <f>_xlfn.IFERROR(VLOOKUP($A327,'The List'!$B1:$AS730,20,FALSE)," ")</f>
        <v>885</v>
      </c>
      <c r="N327" t="s" s="61">
        <f>_xlfn.IFERROR(VLOOKUP($A327,'The List'!$B1:$AS730,21,FALSE)," ")</f>
        <v>885</v>
      </c>
      <c r="O327" t="s" s="61">
        <f>_xlfn.IFERROR(VLOOKUP($A327,'The List'!$B1:$AS730,22,FALSE)," ")</f>
        <v>885</v>
      </c>
      <c r="P327" t="s" s="61">
        <f>_xlfn.IFERROR(VLOOKUP($A327,'The List'!$B1:$AS730,23,FALSE)," ")</f>
        <v>885</v>
      </c>
      <c r="Q327" t="s" s="61">
        <f>_xlfn.IFERROR(VLOOKUP($A327,'The List'!$B1:$AS730,24,FALSE)," ")</f>
        <v>885</v>
      </c>
      <c r="R327" t="s" s="61">
        <f>_xlfn.IFERROR(VLOOKUP($A327,'The List'!$B1:$AS730,25,FALSE)," ")</f>
        <v>885</v>
      </c>
      <c r="S327" t="s" s="61">
        <f>_xlfn.IFERROR(VLOOKUP($A327,'The List'!$B1:$AS730,26,FALSE)," ")</f>
        <v>885</v>
      </c>
      <c r="T327" t="s" s="61">
        <f>_xlfn.IFERROR(VLOOKUP($A327,'The List'!$B1:$AS730,27,FALSE)," ")</f>
        <v>885</v>
      </c>
      <c r="U327" t="s" s="61">
        <f>_xlfn.IFERROR(VLOOKUP($A327,'The List'!$B1:$AS730,28,FALSE)," ")</f>
        <v>885</v>
      </c>
      <c r="V327" t="s" s="61">
        <f>_xlfn.IFERROR(VLOOKUP($A327,'The List'!$B1:$AS730,29,FALSE)," ")</f>
        <v>885</v>
      </c>
      <c r="W327" t="s" s="61">
        <f>_xlfn.IFERROR(VLOOKUP($A327,'The List'!$B1:$AS730,30,FALSE)," ")</f>
        <v>885</v>
      </c>
      <c r="X327" t="s" s="61">
        <f>_xlfn.IFERROR(VLOOKUP($A327,'The List'!$B1:$AS730,31,FALSE)," ")</f>
        <v>885</v>
      </c>
      <c r="Y327" t="s" s="61">
        <f>_xlfn.IFERROR(VLOOKUP($A327,'The List'!$B1:$AS730,32,FALSE)," ")</f>
        <v>885</v>
      </c>
      <c r="Z327" t="s" s="61">
        <f>_xlfn.IFERROR(VLOOKUP($A327,'The List'!$B1:$AS730,33,FALSE)," ")</f>
        <v>885</v>
      </c>
      <c r="AA327" s="64"/>
      <c r="AB327" s="69"/>
      <c r="AC327" s="69"/>
      <c r="AD327" s="69"/>
      <c r="AE327" s="69"/>
      <c r="AF327" s="69"/>
    </row>
    <row r="328" ht="21.25" customHeight="1">
      <c r="A328" s="29"/>
      <c r="B328" t="s" s="71">
        <f>_xlfn.IFERROR(VLOOKUP($A328,'The List'!$B1:$AS730,3,FALSE)," ")</f>
        <v>885</v>
      </c>
      <c r="C328" t="s" s="73">
        <f>_xlfn.IFERROR(VLOOKUP($A328,'The List'!$B1:$AS730,4,FALSE)," ")</f>
        <v>885</v>
      </c>
      <c r="D328" t="s" s="42">
        <f>_xlfn.IFERROR(VLOOKUP($A328,'The List'!$B1:$AS730,5,FALSE)," ")</f>
        <v>885</v>
      </c>
      <c r="E328" t="s" s="42">
        <f>_xlfn.IFERROR(VLOOKUP($A328,'The List'!$B1:$AS730,6,FALSE)," ")</f>
        <v>885</v>
      </c>
      <c r="F328" t="s" s="60">
        <f>_xlfn.IFERROR(VLOOKUP($A328,'The List'!$B1:$AS730,8,FALSE)," ")</f>
        <v>885</v>
      </c>
      <c r="G328" t="s" s="60">
        <f>_xlfn.IFERROR(VLOOKUP($A328,'The List'!$B1:$AS730,10,FALSE)," ")</f>
        <v>885</v>
      </c>
      <c r="H328" s="46"/>
      <c r="I328" t="s" s="61">
        <f>_xlfn.IFERROR(VLOOKUP($A328,'The List'!$B1:$AS730,16,FALSE)," ")</f>
        <v>885</v>
      </c>
      <c r="J328" t="s" s="61">
        <f>_xlfn.IFERROR(VLOOKUP($A328,'The List'!$B1:$AS730,17,FALSE)," ")</f>
        <v>885</v>
      </c>
      <c r="K328" t="s" s="61">
        <f>_xlfn.IFERROR(VLOOKUP($A328,'The List'!$B1:$AS730,18,FALSE)," ")</f>
        <v>885</v>
      </c>
      <c r="L328" t="s" s="61">
        <f>_xlfn.IFERROR(VLOOKUP($A328,'The List'!$B1:$AS730,19,FALSE)," ")</f>
        <v>885</v>
      </c>
      <c r="M328" t="s" s="61">
        <f>_xlfn.IFERROR(VLOOKUP($A328,'The List'!$B1:$AS730,20,FALSE)," ")</f>
        <v>885</v>
      </c>
      <c r="N328" t="s" s="61">
        <f>_xlfn.IFERROR(VLOOKUP($A328,'The List'!$B1:$AS730,21,FALSE)," ")</f>
        <v>885</v>
      </c>
      <c r="O328" t="s" s="61">
        <f>_xlfn.IFERROR(VLOOKUP($A328,'The List'!$B1:$AS730,22,FALSE)," ")</f>
        <v>885</v>
      </c>
      <c r="P328" t="s" s="61">
        <f>_xlfn.IFERROR(VLOOKUP($A328,'The List'!$B1:$AS730,23,FALSE)," ")</f>
        <v>885</v>
      </c>
      <c r="Q328" t="s" s="61">
        <f>_xlfn.IFERROR(VLOOKUP($A328,'The List'!$B1:$AS730,24,FALSE)," ")</f>
        <v>885</v>
      </c>
      <c r="R328" t="s" s="61">
        <f>_xlfn.IFERROR(VLOOKUP($A328,'The List'!$B1:$AS730,25,FALSE)," ")</f>
        <v>885</v>
      </c>
      <c r="S328" t="s" s="61">
        <f>_xlfn.IFERROR(VLOOKUP($A328,'The List'!$B1:$AS730,26,FALSE)," ")</f>
        <v>885</v>
      </c>
      <c r="T328" t="s" s="61">
        <f>_xlfn.IFERROR(VLOOKUP($A328,'The List'!$B1:$AS730,27,FALSE)," ")</f>
        <v>885</v>
      </c>
      <c r="U328" t="s" s="61">
        <f>_xlfn.IFERROR(VLOOKUP($A328,'The List'!$B1:$AS730,28,FALSE)," ")</f>
        <v>885</v>
      </c>
      <c r="V328" t="s" s="61">
        <f>_xlfn.IFERROR(VLOOKUP($A328,'The List'!$B1:$AS730,29,FALSE)," ")</f>
        <v>885</v>
      </c>
      <c r="W328" t="s" s="61">
        <f>_xlfn.IFERROR(VLOOKUP($A328,'The List'!$B1:$AS730,30,FALSE)," ")</f>
        <v>885</v>
      </c>
      <c r="X328" t="s" s="61">
        <f>_xlfn.IFERROR(VLOOKUP($A328,'The List'!$B1:$AS730,31,FALSE)," ")</f>
        <v>885</v>
      </c>
      <c r="Y328" t="s" s="61">
        <f>_xlfn.IFERROR(VLOOKUP($A328,'The List'!$B1:$AS730,32,FALSE)," ")</f>
        <v>885</v>
      </c>
      <c r="Z328" t="s" s="61">
        <f>_xlfn.IFERROR(VLOOKUP($A328,'The List'!$B1:$AS730,33,FALSE)," ")</f>
        <v>885</v>
      </c>
      <c r="AA328" s="64"/>
      <c r="AB328" s="69"/>
      <c r="AC328" s="69"/>
      <c r="AD328" s="69"/>
      <c r="AE328" s="69"/>
      <c r="AF328" s="69"/>
    </row>
    <row r="329" ht="21.25" customHeight="1">
      <c r="A329" s="29"/>
      <c r="B329" t="s" s="74">
        <f>_xlfn.IFERROR(VLOOKUP($A329,'The List'!$B1:$AS730,3,FALSE)," ")</f>
        <v>885</v>
      </c>
      <c r="C329" t="s" s="76">
        <f>_xlfn.IFERROR(VLOOKUP($A329,'The List'!$B1:$AS730,4,FALSE)," ")</f>
        <v>885</v>
      </c>
      <c r="D329" t="s" s="42">
        <f>_xlfn.IFERROR(VLOOKUP($A329,'The List'!$B1:$AS730,5,FALSE)," ")</f>
        <v>885</v>
      </c>
      <c r="E329" t="s" s="42">
        <f>_xlfn.IFERROR(VLOOKUP($A329,'The List'!$B1:$AS730,6,FALSE)," ")</f>
        <v>885</v>
      </c>
      <c r="F329" t="s" s="60">
        <f>_xlfn.IFERROR(VLOOKUP($A329,'The List'!$B1:$AS730,8,FALSE)," ")</f>
        <v>885</v>
      </c>
      <c r="G329" t="s" s="60">
        <f>_xlfn.IFERROR(VLOOKUP($A329,'The List'!$B1:$AS730,10,FALSE)," ")</f>
        <v>885</v>
      </c>
      <c r="H329" s="46"/>
      <c r="I329" t="s" s="61">
        <f>_xlfn.IFERROR(VLOOKUP($A329,'The List'!$B1:$AS730,16,FALSE)," ")</f>
        <v>885</v>
      </c>
      <c r="J329" t="s" s="61">
        <f>_xlfn.IFERROR(VLOOKUP($A329,'The List'!$B1:$AS730,17,FALSE)," ")</f>
        <v>885</v>
      </c>
      <c r="K329" t="s" s="61">
        <f>_xlfn.IFERROR(VLOOKUP($A329,'The List'!$B1:$AS730,18,FALSE)," ")</f>
        <v>885</v>
      </c>
      <c r="L329" t="s" s="61">
        <f>_xlfn.IFERROR(VLOOKUP($A329,'The List'!$B1:$AS730,19,FALSE)," ")</f>
        <v>885</v>
      </c>
      <c r="M329" t="s" s="61">
        <f>_xlfn.IFERROR(VLOOKUP($A329,'The List'!$B1:$AS730,20,FALSE)," ")</f>
        <v>885</v>
      </c>
      <c r="N329" t="s" s="61">
        <f>_xlfn.IFERROR(VLOOKUP($A329,'The List'!$B1:$AS730,21,FALSE)," ")</f>
        <v>885</v>
      </c>
      <c r="O329" t="s" s="61">
        <f>_xlfn.IFERROR(VLOOKUP($A329,'The List'!$B1:$AS730,22,FALSE)," ")</f>
        <v>885</v>
      </c>
      <c r="P329" t="s" s="61">
        <f>_xlfn.IFERROR(VLOOKUP($A329,'The List'!$B1:$AS730,23,FALSE)," ")</f>
        <v>885</v>
      </c>
      <c r="Q329" t="s" s="61">
        <f>_xlfn.IFERROR(VLOOKUP($A329,'The List'!$B1:$AS730,24,FALSE)," ")</f>
        <v>885</v>
      </c>
      <c r="R329" t="s" s="61">
        <f>_xlfn.IFERROR(VLOOKUP($A329,'The List'!$B1:$AS730,25,FALSE)," ")</f>
        <v>885</v>
      </c>
      <c r="S329" t="s" s="61">
        <f>_xlfn.IFERROR(VLOOKUP($A329,'The List'!$B1:$AS730,26,FALSE)," ")</f>
        <v>885</v>
      </c>
      <c r="T329" t="s" s="61">
        <f>_xlfn.IFERROR(VLOOKUP($A329,'The List'!$B1:$AS730,27,FALSE)," ")</f>
        <v>885</v>
      </c>
      <c r="U329" t="s" s="61">
        <f>_xlfn.IFERROR(VLOOKUP($A329,'The List'!$B1:$AS730,28,FALSE)," ")</f>
        <v>885</v>
      </c>
      <c r="V329" t="s" s="61">
        <f>_xlfn.IFERROR(VLOOKUP($A329,'The List'!$B1:$AS730,29,FALSE)," ")</f>
        <v>885</v>
      </c>
      <c r="W329" t="s" s="61">
        <f>_xlfn.IFERROR(VLOOKUP($A329,'The List'!$B1:$AS730,30,FALSE)," ")</f>
        <v>885</v>
      </c>
      <c r="X329" t="s" s="61">
        <f>_xlfn.IFERROR(VLOOKUP($A329,'The List'!$B1:$AS730,31,FALSE)," ")</f>
        <v>885</v>
      </c>
      <c r="Y329" t="s" s="61">
        <f>_xlfn.IFERROR(VLOOKUP($A329,'The List'!$B1:$AS730,32,FALSE)," ")</f>
        <v>885</v>
      </c>
      <c r="Z329" t="s" s="61">
        <f>_xlfn.IFERROR(VLOOKUP($A329,'The List'!$B1:$AS730,33,FALSE)," ")</f>
        <v>885</v>
      </c>
      <c r="AA329" s="64"/>
      <c r="AB329" s="69"/>
      <c r="AC329" s="69"/>
      <c r="AD329" s="69"/>
      <c r="AE329" s="69"/>
      <c r="AF329" s="69"/>
    </row>
    <row r="330" ht="21.25" customHeight="1">
      <c r="A330" s="29"/>
      <c r="B330" t="s" s="74">
        <f>_xlfn.IFERROR(VLOOKUP($A330,'The List'!$B1:$AS730,3,FALSE)," ")</f>
        <v>885</v>
      </c>
      <c r="C330" t="s" s="76">
        <f>_xlfn.IFERROR(VLOOKUP($A330,'The List'!$B1:$AS730,4,FALSE)," ")</f>
        <v>885</v>
      </c>
      <c r="D330" t="s" s="42">
        <f>_xlfn.IFERROR(VLOOKUP($A330,'The List'!$B1:$AS730,5,FALSE)," ")</f>
        <v>885</v>
      </c>
      <c r="E330" t="s" s="42">
        <f>_xlfn.IFERROR(VLOOKUP($A330,'The List'!$B1:$AS730,6,FALSE)," ")</f>
        <v>885</v>
      </c>
      <c r="F330" t="s" s="60">
        <f>_xlfn.IFERROR(VLOOKUP($A330,'The List'!$B1:$AS730,8,FALSE)," ")</f>
        <v>885</v>
      </c>
      <c r="G330" t="s" s="60">
        <f>_xlfn.IFERROR(VLOOKUP($A330,'The List'!$B1:$AS730,10,FALSE)," ")</f>
        <v>885</v>
      </c>
      <c r="H330" s="46"/>
      <c r="I330" t="s" s="61">
        <f>_xlfn.IFERROR(VLOOKUP($A330,'The List'!$B1:$AS730,16,FALSE)," ")</f>
        <v>885</v>
      </c>
      <c r="J330" t="s" s="61">
        <f>_xlfn.IFERROR(VLOOKUP($A330,'The List'!$B1:$AS730,17,FALSE)," ")</f>
        <v>885</v>
      </c>
      <c r="K330" t="s" s="61">
        <f>_xlfn.IFERROR(VLOOKUP($A330,'The List'!$B1:$AS730,18,FALSE)," ")</f>
        <v>885</v>
      </c>
      <c r="L330" t="s" s="61">
        <f>_xlfn.IFERROR(VLOOKUP($A330,'The List'!$B1:$AS730,19,FALSE)," ")</f>
        <v>885</v>
      </c>
      <c r="M330" t="s" s="61">
        <f>_xlfn.IFERROR(VLOOKUP($A330,'The List'!$B1:$AS730,20,FALSE)," ")</f>
        <v>885</v>
      </c>
      <c r="N330" t="s" s="61">
        <f>_xlfn.IFERROR(VLOOKUP($A330,'The List'!$B1:$AS730,21,FALSE)," ")</f>
        <v>885</v>
      </c>
      <c r="O330" t="s" s="61">
        <f>_xlfn.IFERROR(VLOOKUP($A330,'The List'!$B1:$AS730,22,FALSE)," ")</f>
        <v>885</v>
      </c>
      <c r="P330" t="s" s="61">
        <f>_xlfn.IFERROR(VLOOKUP($A330,'The List'!$B1:$AS730,23,FALSE)," ")</f>
        <v>885</v>
      </c>
      <c r="Q330" t="s" s="61">
        <f>_xlfn.IFERROR(VLOOKUP($A330,'The List'!$B1:$AS730,24,FALSE)," ")</f>
        <v>885</v>
      </c>
      <c r="R330" t="s" s="61">
        <f>_xlfn.IFERROR(VLOOKUP($A330,'The List'!$B1:$AS730,25,FALSE)," ")</f>
        <v>885</v>
      </c>
      <c r="S330" t="s" s="61">
        <f>_xlfn.IFERROR(VLOOKUP($A330,'The List'!$B1:$AS730,26,FALSE)," ")</f>
        <v>885</v>
      </c>
      <c r="T330" t="s" s="61">
        <f>_xlfn.IFERROR(VLOOKUP($A330,'The List'!$B1:$AS730,27,FALSE)," ")</f>
        <v>885</v>
      </c>
      <c r="U330" t="s" s="61">
        <f>_xlfn.IFERROR(VLOOKUP($A330,'The List'!$B1:$AS730,28,FALSE)," ")</f>
        <v>885</v>
      </c>
      <c r="V330" t="s" s="61">
        <f>_xlfn.IFERROR(VLOOKUP($A330,'The List'!$B1:$AS730,29,FALSE)," ")</f>
        <v>885</v>
      </c>
      <c r="W330" t="s" s="61">
        <f>_xlfn.IFERROR(VLOOKUP($A330,'The List'!$B1:$AS730,30,FALSE)," ")</f>
        <v>885</v>
      </c>
      <c r="X330" t="s" s="61">
        <f>_xlfn.IFERROR(VLOOKUP($A330,'The List'!$B1:$AS730,31,FALSE)," ")</f>
        <v>885</v>
      </c>
      <c r="Y330" t="s" s="61">
        <f>_xlfn.IFERROR(VLOOKUP($A330,'The List'!$B1:$AS730,32,FALSE)," ")</f>
        <v>885</v>
      </c>
      <c r="Z330" t="s" s="61">
        <f>_xlfn.IFERROR(VLOOKUP($A330,'The List'!$B1:$AS730,33,FALSE)," ")</f>
        <v>885</v>
      </c>
      <c r="AA330" s="64"/>
      <c r="AB330" s="69"/>
      <c r="AC330" s="69"/>
      <c r="AD330" s="69"/>
      <c r="AE330" s="69"/>
      <c r="AF330" s="69"/>
    </row>
    <row r="331" ht="21.25" customHeight="1">
      <c r="A331" s="29"/>
      <c r="B331" t="s" s="74">
        <f>_xlfn.IFERROR(VLOOKUP($A331,'The List'!$B1:$AS730,3,FALSE)," ")</f>
        <v>885</v>
      </c>
      <c r="C331" t="s" s="76">
        <f>_xlfn.IFERROR(VLOOKUP($A331,'The List'!$B1:$AS730,4,FALSE)," ")</f>
        <v>885</v>
      </c>
      <c r="D331" t="s" s="42">
        <f>_xlfn.IFERROR(VLOOKUP($A331,'The List'!$B1:$AS730,5,FALSE)," ")</f>
        <v>885</v>
      </c>
      <c r="E331" t="s" s="42">
        <f>_xlfn.IFERROR(VLOOKUP($A331,'The List'!$B1:$AS730,6,FALSE)," ")</f>
        <v>885</v>
      </c>
      <c r="F331" t="s" s="60">
        <f>_xlfn.IFERROR(VLOOKUP($A331,'The List'!$B1:$AS730,8,FALSE)," ")</f>
        <v>885</v>
      </c>
      <c r="G331" t="s" s="60">
        <f>_xlfn.IFERROR(VLOOKUP($A331,'The List'!$B1:$AS730,10,FALSE)," ")</f>
        <v>885</v>
      </c>
      <c r="H331" s="46"/>
      <c r="I331" t="s" s="61">
        <f>_xlfn.IFERROR(VLOOKUP($A331,'The List'!$B1:$AS730,16,FALSE)," ")</f>
        <v>885</v>
      </c>
      <c r="J331" t="s" s="61">
        <f>_xlfn.IFERROR(VLOOKUP($A331,'The List'!$B1:$AS730,17,FALSE)," ")</f>
        <v>885</v>
      </c>
      <c r="K331" t="s" s="61">
        <f>_xlfn.IFERROR(VLOOKUP($A331,'The List'!$B1:$AS730,18,FALSE)," ")</f>
        <v>885</v>
      </c>
      <c r="L331" t="s" s="61">
        <f>_xlfn.IFERROR(VLOOKUP($A331,'The List'!$B1:$AS730,19,FALSE)," ")</f>
        <v>885</v>
      </c>
      <c r="M331" t="s" s="61">
        <f>_xlfn.IFERROR(VLOOKUP($A331,'The List'!$B1:$AS730,20,FALSE)," ")</f>
        <v>885</v>
      </c>
      <c r="N331" t="s" s="61">
        <f>_xlfn.IFERROR(VLOOKUP($A331,'The List'!$B1:$AS730,21,FALSE)," ")</f>
        <v>885</v>
      </c>
      <c r="O331" t="s" s="61">
        <f>_xlfn.IFERROR(VLOOKUP($A331,'The List'!$B1:$AS730,22,FALSE)," ")</f>
        <v>885</v>
      </c>
      <c r="P331" t="s" s="61">
        <f>_xlfn.IFERROR(VLOOKUP($A331,'The List'!$B1:$AS730,23,FALSE)," ")</f>
        <v>885</v>
      </c>
      <c r="Q331" t="s" s="61">
        <f>_xlfn.IFERROR(VLOOKUP($A331,'The List'!$B1:$AS730,24,FALSE)," ")</f>
        <v>885</v>
      </c>
      <c r="R331" t="s" s="61">
        <f>_xlfn.IFERROR(VLOOKUP($A331,'The List'!$B1:$AS730,25,FALSE)," ")</f>
        <v>885</v>
      </c>
      <c r="S331" t="s" s="61">
        <f>_xlfn.IFERROR(VLOOKUP($A331,'The List'!$B1:$AS730,26,FALSE)," ")</f>
        <v>885</v>
      </c>
      <c r="T331" t="s" s="61">
        <f>_xlfn.IFERROR(VLOOKUP($A331,'The List'!$B1:$AS730,27,FALSE)," ")</f>
        <v>885</v>
      </c>
      <c r="U331" t="s" s="61">
        <f>_xlfn.IFERROR(VLOOKUP($A331,'The List'!$B1:$AS730,28,FALSE)," ")</f>
        <v>885</v>
      </c>
      <c r="V331" t="s" s="61">
        <f>_xlfn.IFERROR(VLOOKUP($A331,'The List'!$B1:$AS730,29,FALSE)," ")</f>
        <v>885</v>
      </c>
      <c r="W331" t="s" s="61">
        <f>_xlfn.IFERROR(VLOOKUP($A331,'The List'!$B1:$AS730,30,FALSE)," ")</f>
        <v>885</v>
      </c>
      <c r="X331" t="s" s="61">
        <f>_xlfn.IFERROR(VLOOKUP($A331,'The List'!$B1:$AS730,31,FALSE)," ")</f>
        <v>885</v>
      </c>
      <c r="Y331" t="s" s="61">
        <f>_xlfn.IFERROR(VLOOKUP($A331,'The List'!$B1:$AS730,32,FALSE)," ")</f>
        <v>885</v>
      </c>
      <c r="Z331" t="s" s="61">
        <f>_xlfn.IFERROR(VLOOKUP($A331,'The List'!$B1:$AS730,33,FALSE)," ")</f>
        <v>885</v>
      </c>
      <c r="AA331" s="64"/>
      <c r="AB331" s="69"/>
      <c r="AC331" s="69"/>
      <c r="AD331" s="69"/>
      <c r="AE331" s="69"/>
      <c r="AF331" s="69"/>
    </row>
    <row r="332" ht="21.25" customHeight="1">
      <c r="A332" s="29"/>
      <c r="B332" t="s" s="74">
        <f>_xlfn.IFERROR(VLOOKUP($A332,'The List'!$B1:$AS730,3,FALSE)," ")</f>
        <v>885</v>
      </c>
      <c r="C332" t="s" s="76">
        <f>_xlfn.IFERROR(VLOOKUP($A332,'The List'!$B1:$AS730,4,FALSE)," ")</f>
        <v>885</v>
      </c>
      <c r="D332" t="s" s="42">
        <f>_xlfn.IFERROR(VLOOKUP($A332,'The List'!$B1:$AS730,5,FALSE)," ")</f>
        <v>885</v>
      </c>
      <c r="E332" t="s" s="42">
        <f>_xlfn.IFERROR(VLOOKUP($A332,'The List'!$B1:$AS730,6,FALSE)," ")</f>
        <v>885</v>
      </c>
      <c r="F332" t="s" s="60">
        <f>_xlfn.IFERROR(VLOOKUP($A332,'The List'!$B1:$AS730,8,FALSE)," ")</f>
        <v>885</v>
      </c>
      <c r="G332" t="s" s="60">
        <f>_xlfn.IFERROR(VLOOKUP($A332,'The List'!$B1:$AS730,10,FALSE)," ")</f>
        <v>885</v>
      </c>
      <c r="H332" s="46"/>
      <c r="I332" t="s" s="61">
        <f>_xlfn.IFERROR(VLOOKUP($A332,'The List'!$B1:$AS730,16,FALSE)," ")</f>
        <v>885</v>
      </c>
      <c r="J332" t="s" s="61">
        <f>_xlfn.IFERROR(VLOOKUP($A332,'The List'!$B1:$AS730,17,FALSE)," ")</f>
        <v>885</v>
      </c>
      <c r="K332" t="s" s="61">
        <f>_xlfn.IFERROR(VLOOKUP($A332,'The List'!$B1:$AS730,18,FALSE)," ")</f>
        <v>885</v>
      </c>
      <c r="L332" t="s" s="61">
        <f>_xlfn.IFERROR(VLOOKUP($A332,'The List'!$B1:$AS730,19,FALSE)," ")</f>
        <v>885</v>
      </c>
      <c r="M332" t="s" s="61">
        <f>_xlfn.IFERROR(VLOOKUP($A332,'The List'!$B1:$AS730,20,FALSE)," ")</f>
        <v>885</v>
      </c>
      <c r="N332" t="s" s="61">
        <f>_xlfn.IFERROR(VLOOKUP($A332,'The List'!$B1:$AS730,21,FALSE)," ")</f>
        <v>885</v>
      </c>
      <c r="O332" t="s" s="61">
        <f>_xlfn.IFERROR(VLOOKUP($A332,'The List'!$B1:$AS730,22,FALSE)," ")</f>
        <v>885</v>
      </c>
      <c r="P332" t="s" s="61">
        <f>_xlfn.IFERROR(VLOOKUP($A332,'The List'!$B1:$AS730,23,FALSE)," ")</f>
        <v>885</v>
      </c>
      <c r="Q332" t="s" s="61">
        <f>_xlfn.IFERROR(VLOOKUP($A332,'The List'!$B1:$AS730,24,FALSE)," ")</f>
        <v>885</v>
      </c>
      <c r="R332" t="s" s="61">
        <f>_xlfn.IFERROR(VLOOKUP($A332,'The List'!$B1:$AS730,25,FALSE)," ")</f>
        <v>885</v>
      </c>
      <c r="S332" t="s" s="61">
        <f>_xlfn.IFERROR(VLOOKUP($A332,'The List'!$B1:$AS730,26,FALSE)," ")</f>
        <v>885</v>
      </c>
      <c r="T332" t="s" s="61">
        <f>_xlfn.IFERROR(VLOOKUP($A332,'The List'!$B1:$AS730,27,FALSE)," ")</f>
        <v>885</v>
      </c>
      <c r="U332" t="s" s="61">
        <f>_xlfn.IFERROR(VLOOKUP($A332,'The List'!$B1:$AS730,28,FALSE)," ")</f>
        <v>885</v>
      </c>
      <c r="V332" t="s" s="61">
        <f>_xlfn.IFERROR(VLOOKUP($A332,'The List'!$B1:$AS730,29,FALSE)," ")</f>
        <v>885</v>
      </c>
      <c r="W332" t="s" s="61">
        <f>_xlfn.IFERROR(VLOOKUP($A332,'The List'!$B1:$AS730,30,FALSE)," ")</f>
        <v>885</v>
      </c>
      <c r="X332" t="s" s="61">
        <f>_xlfn.IFERROR(VLOOKUP($A332,'The List'!$B1:$AS730,31,FALSE)," ")</f>
        <v>885</v>
      </c>
      <c r="Y332" t="s" s="61">
        <f>_xlfn.IFERROR(VLOOKUP($A332,'The List'!$B1:$AS730,32,FALSE)," ")</f>
        <v>885</v>
      </c>
      <c r="Z332" t="s" s="61">
        <f>_xlfn.IFERROR(VLOOKUP($A332,'The List'!$B1:$AS730,33,FALSE)," ")</f>
        <v>885</v>
      </c>
      <c r="AA332" s="64"/>
      <c r="AB332" s="69"/>
      <c r="AC332" s="69"/>
      <c r="AD332" s="69"/>
      <c r="AE332" s="69"/>
      <c r="AF332" s="69"/>
    </row>
    <row r="333" ht="21.25" customHeight="1">
      <c r="A333" s="29"/>
      <c r="B333" t="s" s="77">
        <f>_xlfn.IFERROR(VLOOKUP($A333,'The List'!$B1:$AS730,3,FALSE)," ")</f>
        <v>885</v>
      </c>
      <c r="C333" t="s" s="79">
        <f>_xlfn.IFERROR(VLOOKUP($A333,'The List'!$B1:$AS730,4,FALSE)," ")</f>
        <v>885</v>
      </c>
      <c r="D333" t="s" s="42">
        <f>_xlfn.IFERROR(VLOOKUP($A333,'The List'!$B1:$AS730,5,FALSE)," ")</f>
        <v>885</v>
      </c>
      <c r="E333" t="s" s="42">
        <f>_xlfn.IFERROR(VLOOKUP($A333,'The List'!$B1:$AS730,6,FALSE)," ")</f>
        <v>885</v>
      </c>
      <c r="F333" t="s" s="60">
        <f>_xlfn.IFERROR(VLOOKUP($A333,'The List'!$B1:$AS730,8,FALSE)," ")</f>
        <v>885</v>
      </c>
      <c r="G333" t="s" s="60">
        <f>_xlfn.IFERROR(VLOOKUP($A333,'The List'!$B1:$AS730,10,FALSE)," ")</f>
        <v>885</v>
      </c>
      <c r="H333" s="46"/>
      <c r="I333" t="s" s="61">
        <f>_xlfn.IFERROR(VLOOKUP($A333,'The List'!$B1:$AS730,16,FALSE)," ")</f>
        <v>885</v>
      </c>
      <c r="J333" t="s" s="61">
        <f>_xlfn.IFERROR(VLOOKUP($A333,'The List'!$B1:$AS730,17,FALSE)," ")</f>
        <v>885</v>
      </c>
      <c r="K333" t="s" s="61">
        <f>_xlfn.IFERROR(VLOOKUP($A333,'The List'!$B1:$AS730,18,FALSE)," ")</f>
        <v>885</v>
      </c>
      <c r="L333" t="s" s="61">
        <f>_xlfn.IFERROR(VLOOKUP($A333,'The List'!$B1:$AS730,19,FALSE)," ")</f>
        <v>885</v>
      </c>
      <c r="M333" t="s" s="61">
        <f>_xlfn.IFERROR(VLOOKUP($A333,'The List'!$B1:$AS730,20,FALSE)," ")</f>
        <v>885</v>
      </c>
      <c r="N333" t="s" s="61">
        <f>_xlfn.IFERROR(VLOOKUP($A333,'The List'!$B1:$AS730,21,FALSE)," ")</f>
        <v>885</v>
      </c>
      <c r="O333" t="s" s="61">
        <f>_xlfn.IFERROR(VLOOKUP($A333,'The List'!$B1:$AS730,22,FALSE)," ")</f>
        <v>885</v>
      </c>
      <c r="P333" t="s" s="61">
        <f>_xlfn.IFERROR(VLOOKUP($A333,'The List'!$B1:$AS730,23,FALSE)," ")</f>
        <v>885</v>
      </c>
      <c r="Q333" t="s" s="61">
        <f>_xlfn.IFERROR(VLOOKUP($A333,'The List'!$B1:$AS730,24,FALSE)," ")</f>
        <v>885</v>
      </c>
      <c r="R333" t="s" s="61">
        <f>_xlfn.IFERROR(VLOOKUP($A333,'The List'!$B1:$AS730,25,FALSE)," ")</f>
        <v>885</v>
      </c>
      <c r="S333" t="s" s="61">
        <f>_xlfn.IFERROR(VLOOKUP($A333,'The List'!$B1:$AS730,26,FALSE)," ")</f>
        <v>885</v>
      </c>
      <c r="T333" t="s" s="61">
        <f>_xlfn.IFERROR(VLOOKUP($A333,'The List'!$B1:$AS730,27,FALSE)," ")</f>
        <v>885</v>
      </c>
      <c r="U333" t="s" s="61">
        <f>_xlfn.IFERROR(VLOOKUP($A333,'The List'!$B1:$AS730,28,FALSE)," ")</f>
        <v>885</v>
      </c>
      <c r="V333" t="s" s="61">
        <f>_xlfn.IFERROR(VLOOKUP($A333,'The List'!$B1:$AS730,29,FALSE)," ")</f>
        <v>885</v>
      </c>
      <c r="W333" t="s" s="61">
        <f>_xlfn.IFERROR(VLOOKUP($A333,'The List'!$B1:$AS730,30,FALSE)," ")</f>
        <v>885</v>
      </c>
      <c r="X333" t="s" s="61">
        <f>_xlfn.IFERROR(VLOOKUP($A333,'The List'!$B1:$AS730,31,FALSE)," ")</f>
        <v>885</v>
      </c>
      <c r="Y333" t="s" s="61">
        <f>_xlfn.IFERROR(VLOOKUP($A333,'The List'!$B1:$AS730,32,FALSE)," ")</f>
        <v>885</v>
      </c>
      <c r="Z333" t="s" s="61">
        <f>_xlfn.IFERROR(VLOOKUP($A333,'The List'!$B1:$AS730,33,FALSE)," ")</f>
        <v>885</v>
      </c>
      <c r="AA333" s="64"/>
      <c r="AB333" s="69"/>
      <c r="AC333" s="69"/>
      <c r="AD333" s="69"/>
      <c r="AE333" s="69"/>
      <c r="AF333" s="69"/>
    </row>
    <row r="334" ht="21.25" customHeight="1">
      <c r="A334" s="29"/>
      <c r="B334" t="s" s="77">
        <f>_xlfn.IFERROR(VLOOKUP($A334,'The List'!$B1:$AS730,3,FALSE)," ")</f>
        <v>885</v>
      </c>
      <c r="C334" t="s" s="79">
        <f>_xlfn.IFERROR(VLOOKUP($A334,'The List'!$B1:$AS730,4,FALSE)," ")</f>
        <v>885</v>
      </c>
      <c r="D334" t="s" s="42">
        <f>_xlfn.IFERROR(VLOOKUP($A334,'The List'!$B1:$AS730,5,FALSE)," ")</f>
        <v>885</v>
      </c>
      <c r="E334" t="s" s="42">
        <f>_xlfn.IFERROR(VLOOKUP($A334,'The List'!$B1:$AS730,6,FALSE)," ")</f>
        <v>885</v>
      </c>
      <c r="F334" t="s" s="60">
        <f>_xlfn.IFERROR(VLOOKUP($A334,'The List'!$B1:$AS730,8,FALSE)," ")</f>
        <v>885</v>
      </c>
      <c r="G334" t="s" s="60">
        <f>_xlfn.IFERROR(VLOOKUP($A334,'The List'!$B1:$AS730,10,FALSE)," ")</f>
        <v>885</v>
      </c>
      <c r="H334" s="46"/>
      <c r="I334" t="s" s="61">
        <f>_xlfn.IFERROR(VLOOKUP($A334,'The List'!$B1:$AS730,16,FALSE)," ")</f>
        <v>885</v>
      </c>
      <c r="J334" t="s" s="61">
        <f>_xlfn.IFERROR(VLOOKUP($A334,'The List'!$B1:$AS730,17,FALSE)," ")</f>
        <v>885</v>
      </c>
      <c r="K334" t="s" s="61">
        <f>_xlfn.IFERROR(VLOOKUP($A334,'The List'!$B1:$AS730,18,FALSE)," ")</f>
        <v>885</v>
      </c>
      <c r="L334" t="s" s="61">
        <f>_xlfn.IFERROR(VLOOKUP($A334,'The List'!$B1:$AS730,19,FALSE)," ")</f>
        <v>885</v>
      </c>
      <c r="M334" t="s" s="61">
        <f>_xlfn.IFERROR(VLOOKUP($A334,'The List'!$B1:$AS730,20,FALSE)," ")</f>
        <v>885</v>
      </c>
      <c r="N334" t="s" s="61">
        <f>_xlfn.IFERROR(VLOOKUP($A334,'The List'!$B1:$AS730,21,FALSE)," ")</f>
        <v>885</v>
      </c>
      <c r="O334" t="s" s="61">
        <f>_xlfn.IFERROR(VLOOKUP($A334,'The List'!$B1:$AS730,22,FALSE)," ")</f>
        <v>885</v>
      </c>
      <c r="P334" t="s" s="61">
        <f>_xlfn.IFERROR(VLOOKUP($A334,'The List'!$B1:$AS730,23,FALSE)," ")</f>
        <v>885</v>
      </c>
      <c r="Q334" t="s" s="61">
        <f>_xlfn.IFERROR(VLOOKUP($A334,'The List'!$B1:$AS730,24,FALSE)," ")</f>
        <v>885</v>
      </c>
      <c r="R334" t="s" s="61">
        <f>_xlfn.IFERROR(VLOOKUP($A334,'The List'!$B1:$AS730,25,FALSE)," ")</f>
        <v>885</v>
      </c>
      <c r="S334" t="s" s="61">
        <f>_xlfn.IFERROR(VLOOKUP($A334,'The List'!$B1:$AS730,26,FALSE)," ")</f>
        <v>885</v>
      </c>
      <c r="T334" t="s" s="61">
        <f>_xlfn.IFERROR(VLOOKUP($A334,'The List'!$B1:$AS730,27,FALSE)," ")</f>
        <v>885</v>
      </c>
      <c r="U334" t="s" s="61">
        <f>_xlfn.IFERROR(VLOOKUP($A334,'The List'!$B1:$AS730,28,FALSE)," ")</f>
        <v>885</v>
      </c>
      <c r="V334" t="s" s="61">
        <f>_xlfn.IFERROR(VLOOKUP($A334,'The List'!$B1:$AS730,29,FALSE)," ")</f>
        <v>885</v>
      </c>
      <c r="W334" t="s" s="61">
        <f>_xlfn.IFERROR(VLOOKUP($A334,'The List'!$B1:$AS730,30,FALSE)," ")</f>
        <v>885</v>
      </c>
      <c r="X334" t="s" s="61">
        <f>_xlfn.IFERROR(VLOOKUP($A334,'The List'!$B1:$AS730,31,FALSE)," ")</f>
        <v>885</v>
      </c>
      <c r="Y334" t="s" s="61">
        <f>_xlfn.IFERROR(VLOOKUP($A334,'The List'!$B1:$AS730,32,FALSE)," ")</f>
        <v>885</v>
      </c>
      <c r="Z334" t="s" s="61">
        <f>_xlfn.IFERROR(VLOOKUP($A334,'The List'!$B1:$AS730,33,FALSE)," ")</f>
        <v>885</v>
      </c>
      <c r="AA334" s="64"/>
      <c r="AB334" s="69"/>
      <c r="AC334" s="69"/>
      <c r="AD334" s="69"/>
      <c r="AE334" s="69"/>
      <c r="AF334" s="69"/>
    </row>
    <row r="335" ht="21.25" customHeight="1">
      <c r="A335" s="29"/>
      <c r="B335" t="s" s="77">
        <f>_xlfn.IFERROR(VLOOKUP($A335,'The List'!$B1:$AS730,3,FALSE)," ")</f>
        <v>885</v>
      </c>
      <c r="C335" t="s" s="79">
        <f>_xlfn.IFERROR(VLOOKUP($A335,'The List'!$B1:$AS730,4,FALSE)," ")</f>
        <v>885</v>
      </c>
      <c r="D335" t="s" s="42">
        <f>_xlfn.IFERROR(VLOOKUP($A335,'The List'!$B1:$AS730,5,FALSE)," ")</f>
        <v>885</v>
      </c>
      <c r="E335" t="s" s="42">
        <f>_xlfn.IFERROR(VLOOKUP($A335,'The List'!$B1:$AS730,6,FALSE)," ")</f>
        <v>885</v>
      </c>
      <c r="F335" t="s" s="60">
        <f>_xlfn.IFERROR(VLOOKUP($A335,'The List'!$B1:$AS730,8,FALSE)," ")</f>
        <v>885</v>
      </c>
      <c r="G335" t="s" s="60">
        <f>_xlfn.IFERROR(VLOOKUP($A335,'The List'!$B1:$AS730,10,FALSE)," ")</f>
        <v>885</v>
      </c>
      <c r="H335" s="46"/>
      <c r="I335" t="s" s="61">
        <f>_xlfn.IFERROR(VLOOKUP($A335,'The List'!$B1:$AS730,16,FALSE)," ")</f>
        <v>885</v>
      </c>
      <c r="J335" t="s" s="61">
        <f>_xlfn.IFERROR(VLOOKUP($A335,'The List'!$B1:$AS730,17,FALSE)," ")</f>
        <v>885</v>
      </c>
      <c r="K335" t="s" s="61">
        <f>_xlfn.IFERROR(VLOOKUP($A335,'The List'!$B1:$AS730,18,FALSE)," ")</f>
        <v>885</v>
      </c>
      <c r="L335" t="s" s="61">
        <f>_xlfn.IFERROR(VLOOKUP($A335,'The List'!$B1:$AS730,19,FALSE)," ")</f>
        <v>885</v>
      </c>
      <c r="M335" t="s" s="61">
        <f>_xlfn.IFERROR(VLOOKUP($A335,'The List'!$B1:$AS730,20,FALSE)," ")</f>
        <v>885</v>
      </c>
      <c r="N335" t="s" s="61">
        <f>_xlfn.IFERROR(VLOOKUP($A335,'The List'!$B1:$AS730,21,FALSE)," ")</f>
        <v>885</v>
      </c>
      <c r="O335" t="s" s="61">
        <f>_xlfn.IFERROR(VLOOKUP($A335,'The List'!$B1:$AS730,22,FALSE)," ")</f>
        <v>885</v>
      </c>
      <c r="P335" t="s" s="61">
        <f>_xlfn.IFERROR(VLOOKUP($A335,'The List'!$B1:$AS730,23,FALSE)," ")</f>
        <v>885</v>
      </c>
      <c r="Q335" t="s" s="61">
        <f>_xlfn.IFERROR(VLOOKUP($A335,'The List'!$B1:$AS730,24,FALSE)," ")</f>
        <v>885</v>
      </c>
      <c r="R335" t="s" s="61">
        <f>_xlfn.IFERROR(VLOOKUP($A335,'The List'!$B1:$AS730,25,FALSE)," ")</f>
        <v>885</v>
      </c>
      <c r="S335" t="s" s="61">
        <f>_xlfn.IFERROR(VLOOKUP($A335,'The List'!$B1:$AS730,26,FALSE)," ")</f>
        <v>885</v>
      </c>
      <c r="T335" t="s" s="61">
        <f>_xlfn.IFERROR(VLOOKUP($A335,'The List'!$B1:$AS730,27,FALSE)," ")</f>
        <v>885</v>
      </c>
      <c r="U335" t="s" s="61">
        <f>_xlfn.IFERROR(VLOOKUP($A335,'The List'!$B1:$AS730,28,FALSE)," ")</f>
        <v>885</v>
      </c>
      <c r="V335" t="s" s="61">
        <f>_xlfn.IFERROR(VLOOKUP($A335,'The List'!$B1:$AS730,29,FALSE)," ")</f>
        <v>885</v>
      </c>
      <c r="W335" t="s" s="61">
        <f>_xlfn.IFERROR(VLOOKUP($A335,'The List'!$B1:$AS730,30,FALSE)," ")</f>
        <v>885</v>
      </c>
      <c r="X335" t="s" s="61">
        <f>_xlfn.IFERROR(VLOOKUP($A335,'The List'!$B1:$AS730,31,FALSE)," ")</f>
        <v>885</v>
      </c>
      <c r="Y335" t="s" s="61">
        <f>_xlfn.IFERROR(VLOOKUP($A335,'The List'!$B1:$AS730,32,FALSE)," ")</f>
        <v>885</v>
      </c>
      <c r="Z335" t="s" s="61">
        <f>_xlfn.IFERROR(VLOOKUP($A335,'The List'!$B1:$AS730,33,FALSE)," ")</f>
        <v>885</v>
      </c>
      <c r="AA335" s="64"/>
      <c r="AB335" s="69"/>
      <c r="AC335" s="69"/>
      <c r="AD335" s="69"/>
      <c r="AE335" s="69"/>
      <c r="AF335" s="69"/>
    </row>
    <row r="336" ht="21.25" customHeight="1">
      <c r="A336" s="29"/>
      <c r="B336" t="s" s="77">
        <f>_xlfn.IFERROR(VLOOKUP($A336,'The List'!$B1:$AS730,3,FALSE)," ")</f>
        <v>885</v>
      </c>
      <c r="C336" t="s" s="79">
        <f>_xlfn.IFERROR(VLOOKUP($A336,'The List'!$B1:$AS730,4,FALSE)," ")</f>
        <v>885</v>
      </c>
      <c r="D336" t="s" s="42">
        <f>_xlfn.IFERROR(VLOOKUP($A336,'The List'!$B1:$AS730,5,FALSE)," ")</f>
        <v>885</v>
      </c>
      <c r="E336" t="s" s="42">
        <f>_xlfn.IFERROR(VLOOKUP($A336,'The List'!$B1:$AS730,6,FALSE)," ")</f>
        <v>885</v>
      </c>
      <c r="F336" t="s" s="60">
        <f>_xlfn.IFERROR(VLOOKUP($A336,'The List'!$B1:$AS730,8,FALSE)," ")</f>
        <v>885</v>
      </c>
      <c r="G336" t="s" s="60">
        <f>_xlfn.IFERROR(VLOOKUP($A336,'The List'!$B1:$AS730,10,FALSE)," ")</f>
        <v>885</v>
      </c>
      <c r="H336" s="46"/>
      <c r="I336" t="s" s="61">
        <f>_xlfn.IFERROR(VLOOKUP($A336,'The List'!$B1:$AS730,16,FALSE)," ")</f>
        <v>885</v>
      </c>
      <c r="J336" t="s" s="61">
        <f>_xlfn.IFERROR(VLOOKUP($A336,'The List'!$B1:$AS730,17,FALSE)," ")</f>
        <v>885</v>
      </c>
      <c r="K336" t="s" s="61">
        <f>_xlfn.IFERROR(VLOOKUP($A336,'The List'!$B1:$AS730,18,FALSE)," ")</f>
        <v>885</v>
      </c>
      <c r="L336" t="s" s="61">
        <f>_xlfn.IFERROR(VLOOKUP($A336,'The List'!$B1:$AS730,19,FALSE)," ")</f>
        <v>885</v>
      </c>
      <c r="M336" t="s" s="61">
        <f>_xlfn.IFERROR(VLOOKUP($A336,'The List'!$B1:$AS730,20,FALSE)," ")</f>
        <v>885</v>
      </c>
      <c r="N336" t="s" s="61">
        <f>_xlfn.IFERROR(VLOOKUP($A336,'The List'!$B1:$AS730,21,FALSE)," ")</f>
        <v>885</v>
      </c>
      <c r="O336" t="s" s="61">
        <f>_xlfn.IFERROR(VLOOKUP($A336,'The List'!$B1:$AS730,22,FALSE)," ")</f>
        <v>885</v>
      </c>
      <c r="P336" t="s" s="61">
        <f>_xlfn.IFERROR(VLOOKUP($A336,'The List'!$B1:$AS730,23,FALSE)," ")</f>
        <v>885</v>
      </c>
      <c r="Q336" t="s" s="61">
        <f>_xlfn.IFERROR(VLOOKUP($A336,'The List'!$B1:$AS730,24,FALSE)," ")</f>
        <v>885</v>
      </c>
      <c r="R336" t="s" s="61">
        <f>_xlfn.IFERROR(VLOOKUP($A336,'The List'!$B1:$AS730,25,FALSE)," ")</f>
        <v>885</v>
      </c>
      <c r="S336" t="s" s="61">
        <f>_xlfn.IFERROR(VLOOKUP($A336,'The List'!$B1:$AS730,26,FALSE)," ")</f>
        <v>885</v>
      </c>
      <c r="T336" t="s" s="61">
        <f>_xlfn.IFERROR(VLOOKUP($A336,'The List'!$B1:$AS730,27,FALSE)," ")</f>
        <v>885</v>
      </c>
      <c r="U336" t="s" s="61">
        <f>_xlfn.IFERROR(VLOOKUP($A336,'The List'!$B1:$AS730,28,FALSE)," ")</f>
        <v>885</v>
      </c>
      <c r="V336" t="s" s="61">
        <f>_xlfn.IFERROR(VLOOKUP($A336,'The List'!$B1:$AS730,29,FALSE)," ")</f>
        <v>885</v>
      </c>
      <c r="W336" t="s" s="61">
        <f>_xlfn.IFERROR(VLOOKUP($A336,'The List'!$B1:$AS730,30,FALSE)," ")</f>
        <v>885</v>
      </c>
      <c r="X336" t="s" s="61">
        <f>_xlfn.IFERROR(VLOOKUP($A336,'The List'!$B1:$AS730,31,FALSE)," ")</f>
        <v>885</v>
      </c>
      <c r="Y336" t="s" s="61">
        <f>_xlfn.IFERROR(VLOOKUP($A336,'The List'!$B1:$AS730,32,FALSE)," ")</f>
        <v>885</v>
      </c>
      <c r="Z336" t="s" s="61">
        <f>_xlfn.IFERROR(VLOOKUP($A336,'The List'!$B1:$AS730,33,FALSE)," ")</f>
        <v>885</v>
      </c>
      <c r="AA336" s="64"/>
      <c r="AB336" s="69"/>
      <c r="AC336" s="69"/>
      <c r="AD336" s="69"/>
      <c r="AE336" s="69"/>
      <c r="AF336" s="69"/>
    </row>
    <row r="337" ht="21.25" customHeight="1">
      <c r="A337" s="29"/>
      <c r="B337" t="s" s="77">
        <f>_xlfn.IFERROR(VLOOKUP($A337,'The List'!$B1:$AS730,3,FALSE)," ")</f>
        <v>885</v>
      </c>
      <c r="C337" t="s" s="79">
        <f>_xlfn.IFERROR(VLOOKUP($A337,'The List'!$B1:$AS730,4,FALSE)," ")</f>
        <v>885</v>
      </c>
      <c r="D337" t="s" s="42">
        <f>_xlfn.IFERROR(VLOOKUP($A337,'The List'!$B1:$AS730,5,FALSE)," ")</f>
        <v>885</v>
      </c>
      <c r="E337" t="s" s="42">
        <f>_xlfn.IFERROR(VLOOKUP($A337,'The List'!$B1:$AS730,6,FALSE)," ")</f>
        <v>885</v>
      </c>
      <c r="F337" t="s" s="60">
        <f>_xlfn.IFERROR(VLOOKUP($A337,'The List'!$B1:$AS730,8,FALSE)," ")</f>
        <v>885</v>
      </c>
      <c r="G337" t="s" s="60">
        <f>_xlfn.IFERROR(VLOOKUP($A337,'The List'!$B1:$AS730,10,FALSE)," ")</f>
        <v>885</v>
      </c>
      <c r="H337" s="46"/>
      <c r="I337" t="s" s="61">
        <f>_xlfn.IFERROR(VLOOKUP($A337,'The List'!$B1:$AS730,16,FALSE)," ")</f>
        <v>885</v>
      </c>
      <c r="J337" t="s" s="61">
        <f>_xlfn.IFERROR(VLOOKUP($A337,'The List'!$B1:$AS730,17,FALSE)," ")</f>
        <v>885</v>
      </c>
      <c r="K337" t="s" s="61">
        <f>_xlfn.IFERROR(VLOOKUP($A337,'The List'!$B1:$AS730,18,FALSE)," ")</f>
        <v>885</v>
      </c>
      <c r="L337" t="s" s="61">
        <f>_xlfn.IFERROR(VLOOKUP($A337,'The List'!$B1:$AS730,19,FALSE)," ")</f>
        <v>885</v>
      </c>
      <c r="M337" t="s" s="61">
        <f>_xlfn.IFERROR(VLOOKUP($A337,'The List'!$B1:$AS730,20,FALSE)," ")</f>
        <v>885</v>
      </c>
      <c r="N337" t="s" s="61">
        <f>_xlfn.IFERROR(VLOOKUP($A337,'The List'!$B1:$AS730,21,FALSE)," ")</f>
        <v>885</v>
      </c>
      <c r="O337" t="s" s="61">
        <f>_xlfn.IFERROR(VLOOKUP($A337,'The List'!$B1:$AS730,22,FALSE)," ")</f>
        <v>885</v>
      </c>
      <c r="P337" t="s" s="61">
        <f>_xlfn.IFERROR(VLOOKUP($A337,'The List'!$B1:$AS730,23,FALSE)," ")</f>
        <v>885</v>
      </c>
      <c r="Q337" t="s" s="61">
        <f>_xlfn.IFERROR(VLOOKUP($A337,'The List'!$B1:$AS730,24,FALSE)," ")</f>
        <v>885</v>
      </c>
      <c r="R337" t="s" s="61">
        <f>_xlfn.IFERROR(VLOOKUP($A337,'The List'!$B1:$AS730,25,FALSE)," ")</f>
        <v>885</v>
      </c>
      <c r="S337" t="s" s="61">
        <f>_xlfn.IFERROR(VLOOKUP($A337,'The List'!$B1:$AS730,26,FALSE)," ")</f>
        <v>885</v>
      </c>
      <c r="T337" t="s" s="61">
        <f>_xlfn.IFERROR(VLOOKUP($A337,'The List'!$B1:$AS730,27,FALSE)," ")</f>
        <v>885</v>
      </c>
      <c r="U337" t="s" s="61">
        <f>_xlfn.IFERROR(VLOOKUP($A337,'The List'!$B1:$AS730,28,FALSE)," ")</f>
        <v>885</v>
      </c>
      <c r="V337" t="s" s="61">
        <f>_xlfn.IFERROR(VLOOKUP($A337,'The List'!$B1:$AS730,29,FALSE)," ")</f>
        <v>885</v>
      </c>
      <c r="W337" t="s" s="61">
        <f>_xlfn.IFERROR(VLOOKUP($A337,'The List'!$B1:$AS730,30,FALSE)," ")</f>
        <v>885</v>
      </c>
      <c r="X337" t="s" s="61">
        <f>_xlfn.IFERROR(VLOOKUP($A337,'The List'!$B1:$AS730,31,FALSE)," ")</f>
        <v>885</v>
      </c>
      <c r="Y337" t="s" s="61">
        <f>_xlfn.IFERROR(VLOOKUP($A337,'The List'!$B1:$AS730,32,FALSE)," ")</f>
        <v>885</v>
      </c>
      <c r="Z337" t="s" s="61">
        <f>_xlfn.IFERROR(VLOOKUP($A337,'The List'!$B1:$AS730,33,FALSE)," ")</f>
        <v>885</v>
      </c>
      <c r="AA337" s="64"/>
      <c r="AB337" s="69"/>
      <c r="AC337" s="69"/>
      <c r="AD337" s="69"/>
      <c r="AE337" s="69"/>
      <c r="AF337" s="69"/>
    </row>
    <row r="338" ht="21.25" customHeight="1">
      <c r="A338" s="29"/>
      <c r="B338" t="s" s="77">
        <f>_xlfn.IFERROR(VLOOKUP($A338,'The List'!$B1:$AS730,3,FALSE)," ")</f>
        <v>885</v>
      </c>
      <c r="C338" t="s" s="79">
        <f>_xlfn.IFERROR(VLOOKUP($A338,'The List'!$B1:$AS730,4,FALSE)," ")</f>
        <v>885</v>
      </c>
      <c r="D338" t="s" s="42">
        <f>_xlfn.IFERROR(VLOOKUP($A338,'The List'!$B1:$AS730,5,FALSE)," ")</f>
        <v>885</v>
      </c>
      <c r="E338" t="s" s="42">
        <f>_xlfn.IFERROR(VLOOKUP($A338,'The List'!$B1:$AS730,6,FALSE)," ")</f>
        <v>885</v>
      </c>
      <c r="F338" t="s" s="60">
        <f>_xlfn.IFERROR(VLOOKUP($A338,'The List'!$B1:$AS730,8,FALSE)," ")</f>
        <v>885</v>
      </c>
      <c r="G338" t="s" s="60">
        <f>_xlfn.IFERROR(VLOOKUP($A338,'The List'!$B1:$AS730,10,FALSE)," ")</f>
        <v>885</v>
      </c>
      <c r="H338" s="46"/>
      <c r="I338" t="s" s="61">
        <f>_xlfn.IFERROR(VLOOKUP($A338,'The List'!$B1:$AS730,16,FALSE)," ")</f>
        <v>885</v>
      </c>
      <c r="J338" t="s" s="61">
        <f>_xlfn.IFERROR(VLOOKUP($A338,'The List'!$B1:$AS730,17,FALSE)," ")</f>
        <v>885</v>
      </c>
      <c r="K338" t="s" s="61">
        <f>_xlfn.IFERROR(VLOOKUP($A338,'The List'!$B1:$AS730,18,FALSE)," ")</f>
        <v>885</v>
      </c>
      <c r="L338" t="s" s="61">
        <f>_xlfn.IFERROR(VLOOKUP($A338,'The List'!$B1:$AS730,19,FALSE)," ")</f>
        <v>885</v>
      </c>
      <c r="M338" t="s" s="61">
        <f>_xlfn.IFERROR(VLOOKUP($A338,'The List'!$B1:$AS730,20,FALSE)," ")</f>
        <v>885</v>
      </c>
      <c r="N338" t="s" s="61">
        <f>_xlfn.IFERROR(VLOOKUP($A338,'The List'!$B1:$AS730,21,FALSE)," ")</f>
        <v>885</v>
      </c>
      <c r="O338" t="s" s="61">
        <f>_xlfn.IFERROR(VLOOKUP($A338,'The List'!$B1:$AS730,22,FALSE)," ")</f>
        <v>885</v>
      </c>
      <c r="P338" t="s" s="61">
        <f>_xlfn.IFERROR(VLOOKUP($A338,'The List'!$B1:$AS730,23,FALSE)," ")</f>
        <v>885</v>
      </c>
      <c r="Q338" t="s" s="61">
        <f>_xlfn.IFERROR(VLOOKUP($A338,'The List'!$B1:$AS730,24,FALSE)," ")</f>
        <v>885</v>
      </c>
      <c r="R338" t="s" s="61">
        <f>_xlfn.IFERROR(VLOOKUP($A338,'The List'!$B1:$AS730,25,FALSE)," ")</f>
        <v>885</v>
      </c>
      <c r="S338" t="s" s="61">
        <f>_xlfn.IFERROR(VLOOKUP($A338,'The List'!$B1:$AS730,26,FALSE)," ")</f>
        <v>885</v>
      </c>
      <c r="T338" t="s" s="61">
        <f>_xlfn.IFERROR(VLOOKUP($A338,'The List'!$B1:$AS730,27,FALSE)," ")</f>
        <v>885</v>
      </c>
      <c r="U338" t="s" s="61">
        <f>_xlfn.IFERROR(VLOOKUP($A338,'The List'!$B1:$AS730,28,FALSE)," ")</f>
        <v>885</v>
      </c>
      <c r="V338" t="s" s="61">
        <f>_xlfn.IFERROR(VLOOKUP($A338,'The List'!$B1:$AS730,29,FALSE)," ")</f>
        <v>885</v>
      </c>
      <c r="W338" t="s" s="61">
        <f>_xlfn.IFERROR(VLOOKUP($A338,'The List'!$B1:$AS730,30,FALSE)," ")</f>
        <v>885</v>
      </c>
      <c r="X338" t="s" s="61">
        <f>_xlfn.IFERROR(VLOOKUP($A338,'The List'!$B1:$AS730,31,FALSE)," ")</f>
        <v>885</v>
      </c>
      <c r="Y338" t="s" s="61">
        <f>_xlfn.IFERROR(VLOOKUP($A338,'The List'!$B1:$AS730,32,FALSE)," ")</f>
        <v>885</v>
      </c>
      <c r="Z338" t="s" s="61">
        <f>_xlfn.IFERROR(VLOOKUP($A338,'The List'!$B1:$AS730,33,FALSE)," ")</f>
        <v>885</v>
      </c>
      <c r="AA338" s="64"/>
      <c r="AB338" s="69"/>
      <c r="AC338" s="69"/>
      <c r="AD338" s="69"/>
      <c r="AE338" s="69"/>
      <c r="AF338" s="69"/>
    </row>
    <row r="339" ht="21.25" customHeight="1">
      <c r="A339" s="29"/>
      <c r="B339" t="s" s="77">
        <f>_xlfn.IFERROR(VLOOKUP($A339,'The List'!$B1:$AS730,3,FALSE)," ")</f>
        <v>885</v>
      </c>
      <c r="C339" t="s" s="79">
        <f>_xlfn.IFERROR(VLOOKUP($A339,'The List'!$B1:$AS730,4,FALSE)," ")</f>
        <v>885</v>
      </c>
      <c r="D339" t="s" s="42">
        <f>_xlfn.IFERROR(VLOOKUP($A339,'The List'!$B1:$AS730,5,FALSE)," ")</f>
        <v>885</v>
      </c>
      <c r="E339" t="s" s="42">
        <f>_xlfn.IFERROR(VLOOKUP($A339,'The List'!$B1:$AS730,6,FALSE)," ")</f>
        <v>885</v>
      </c>
      <c r="F339" t="s" s="60">
        <f>_xlfn.IFERROR(VLOOKUP($A339,'The List'!$B1:$AS730,8,FALSE)," ")</f>
        <v>885</v>
      </c>
      <c r="G339" t="s" s="60">
        <f>_xlfn.IFERROR(VLOOKUP($A339,'The List'!$B1:$AS730,10,FALSE)," ")</f>
        <v>885</v>
      </c>
      <c r="H339" s="46"/>
      <c r="I339" t="s" s="61">
        <f>_xlfn.IFERROR(VLOOKUP($A339,'The List'!$B1:$AS730,16,FALSE)," ")</f>
        <v>885</v>
      </c>
      <c r="J339" t="s" s="61">
        <f>_xlfn.IFERROR(VLOOKUP($A339,'The List'!$B1:$AS730,17,FALSE)," ")</f>
        <v>885</v>
      </c>
      <c r="K339" t="s" s="61">
        <f>_xlfn.IFERROR(VLOOKUP($A339,'The List'!$B1:$AS730,18,FALSE)," ")</f>
        <v>885</v>
      </c>
      <c r="L339" t="s" s="61">
        <f>_xlfn.IFERROR(VLOOKUP($A339,'The List'!$B1:$AS730,19,FALSE)," ")</f>
        <v>885</v>
      </c>
      <c r="M339" t="s" s="61">
        <f>_xlfn.IFERROR(VLOOKUP($A339,'The List'!$B1:$AS730,20,FALSE)," ")</f>
        <v>885</v>
      </c>
      <c r="N339" t="s" s="61">
        <f>_xlfn.IFERROR(VLOOKUP($A339,'The List'!$B1:$AS730,21,FALSE)," ")</f>
        <v>885</v>
      </c>
      <c r="O339" t="s" s="61">
        <f>_xlfn.IFERROR(VLOOKUP($A339,'The List'!$B1:$AS730,22,FALSE)," ")</f>
        <v>885</v>
      </c>
      <c r="P339" t="s" s="61">
        <f>_xlfn.IFERROR(VLOOKUP($A339,'The List'!$B1:$AS730,23,FALSE)," ")</f>
        <v>885</v>
      </c>
      <c r="Q339" t="s" s="61">
        <f>_xlfn.IFERROR(VLOOKUP($A339,'The List'!$B1:$AS730,24,FALSE)," ")</f>
        <v>885</v>
      </c>
      <c r="R339" t="s" s="61">
        <f>_xlfn.IFERROR(VLOOKUP($A339,'The List'!$B1:$AS730,25,FALSE)," ")</f>
        <v>885</v>
      </c>
      <c r="S339" t="s" s="61">
        <f>_xlfn.IFERROR(VLOOKUP($A339,'The List'!$B1:$AS730,26,FALSE)," ")</f>
        <v>885</v>
      </c>
      <c r="T339" t="s" s="61">
        <f>_xlfn.IFERROR(VLOOKUP($A339,'The List'!$B1:$AS730,27,FALSE)," ")</f>
        <v>885</v>
      </c>
      <c r="U339" t="s" s="61">
        <f>_xlfn.IFERROR(VLOOKUP($A339,'The List'!$B1:$AS730,28,FALSE)," ")</f>
        <v>885</v>
      </c>
      <c r="V339" t="s" s="61">
        <f>_xlfn.IFERROR(VLOOKUP($A339,'The List'!$B1:$AS730,29,FALSE)," ")</f>
        <v>885</v>
      </c>
      <c r="W339" t="s" s="61">
        <f>_xlfn.IFERROR(VLOOKUP($A339,'The List'!$B1:$AS730,30,FALSE)," ")</f>
        <v>885</v>
      </c>
      <c r="X339" t="s" s="61">
        <f>_xlfn.IFERROR(VLOOKUP($A339,'The List'!$B1:$AS730,31,FALSE)," ")</f>
        <v>885</v>
      </c>
      <c r="Y339" t="s" s="61">
        <f>_xlfn.IFERROR(VLOOKUP($A339,'The List'!$B1:$AS730,32,FALSE)," ")</f>
        <v>885</v>
      </c>
      <c r="Z339" t="s" s="61">
        <f>_xlfn.IFERROR(VLOOKUP($A339,'The List'!$B1:$AS730,33,FALSE)," ")</f>
        <v>885</v>
      </c>
      <c r="AA339" s="64"/>
      <c r="AB339" s="69"/>
      <c r="AC339" s="69"/>
      <c r="AD339" s="69"/>
      <c r="AE339" s="69"/>
      <c r="AF339" s="69"/>
    </row>
    <row r="340" ht="21.25" customHeight="1">
      <c r="A340" s="81"/>
      <c r="B340" t="s" s="82">
        <f>_xlfn.IFERROR(VLOOKUP($A340,'The List'!$B1:$AS730,3,FALSE)," ")</f>
        <v>885</v>
      </c>
      <c r="C340" t="s" s="83">
        <f>_xlfn.IFERROR(VLOOKUP($A340,'The List'!$B1:$AS730,4,FALSE)," ")</f>
        <v>885</v>
      </c>
      <c r="D340" t="s" s="84">
        <f>_xlfn.IFERROR(VLOOKUP($A340,'The List'!$B1:$AS730,5,FALSE)," ")</f>
        <v>885</v>
      </c>
      <c r="E340" t="s" s="84">
        <f>_xlfn.IFERROR(VLOOKUP($A340,'The List'!$B1:$AS730,6,FALSE)," ")</f>
        <v>885</v>
      </c>
      <c r="F340" t="s" s="85">
        <f>_xlfn.IFERROR(VLOOKUP($A340,'The List'!$B1:$AS730,8,FALSE)," ")</f>
        <v>885</v>
      </c>
      <c r="G340" t="s" s="85">
        <f>_xlfn.IFERROR(VLOOKUP($A340,'The List'!$B1:$AS730,10,FALSE)," ")</f>
        <v>885</v>
      </c>
      <c r="H340" s="86"/>
      <c r="I340" t="s" s="87">
        <f>_xlfn.IFERROR(VLOOKUP($A340,'The List'!$B1:$AS730,16,FALSE)," ")</f>
        <v>885</v>
      </c>
      <c r="J340" t="s" s="87">
        <f>_xlfn.IFERROR(VLOOKUP($A340,'The List'!$B1:$AS730,17,FALSE)," ")</f>
        <v>885</v>
      </c>
      <c r="K340" t="s" s="87">
        <f>_xlfn.IFERROR(VLOOKUP($A340,'The List'!$B1:$AS730,18,FALSE)," ")</f>
        <v>885</v>
      </c>
      <c r="L340" t="s" s="87">
        <f>_xlfn.IFERROR(VLOOKUP($A340,'The List'!$B1:$AS730,19,FALSE)," ")</f>
        <v>885</v>
      </c>
      <c r="M340" t="s" s="87">
        <f>_xlfn.IFERROR(VLOOKUP($A340,'The List'!$B1:$AS730,20,FALSE)," ")</f>
        <v>885</v>
      </c>
      <c r="N340" t="s" s="87">
        <f>_xlfn.IFERROR(VLOOKUP($A340,'The List'!$B1:$AS730,21,FALSE)," ")</f>
        <v>885</v>
      </c>
      <c r="O340" t="s" s="87">
        <f>_xlfn.IFERROR(VLOOKUP($A340,'The List'!$B1:$AS730,22,FALSE)," ")</f>
        <v>885</v>
      </c>
      <c r="P340" t="s" s="87">
        <f>_xlfn.IFERROR(VLOOKUP($A340,'The List'!$B1:$AS730,23,FALSE)," ")</f>
        <v>885</v>
      </c>
      <c r="Q340" t="s" s="87">
        <f>_xlfn.IFERROR(VLOOKUP($A340,'The List'!$B1:$AS730,24,FALSE)," ")</f>
        <v>885</v>
      </c>
      <c r="R340" t="s" s="87">
        <f>_xlfn.IFERROR(VLOOKUP($A340,'The List'!$B1:$AS730,25,FALSE)," ")</f>
        <v>885</v>
      </c>
      <c r="S340" t="s" s="87">
        <f>_xlfn.IFERROR(VLOOKUP($A340,'The List'!$B1:$AS730,26,FALSE)," ")</f>
        <v>885</v>
      </c>
      <c r="T340" t="s" s="87">
        <f>_xlfn.IFERROR(VLOOKUP($A340,'The List'!$B1:$AS730,27,FALSE)," ")</f>
        <v>885</v>
      </c>
      <c r="U340" t="s" s="87">
        <f>_xlfn.IFERROR(VLOOKUP($A340,'The List'!$B1:$AS730,28,FALSE)," ")</f>
        <v>885</v>
      </c>
      <c r="V340" t="s" s="87">
        <f>_xlfn.IFERROR(VLOOKUP($A340,'The List'!$B1:$AS730,29,FALSE)," ")</f>
        <v>885</v>
      </c>
      <c r="W340" t="s" s="87">
        <f>_xlfn.IFERROR(VLOOKUP($A340,'The List'!$B1:$AS730,30,FALSE)," ")</f>
        <v>885</v>
      </c>
      <c r="X340" t="s" s="87">
        <f>_xlfn.IFERROR(VLOOKUP($A340,'The List'!$B1:$AS730,31,FALSE)," ")</f>
        <v>885</v>
      </c>
      <c r="Y340" t="s" s="87">
        <f>_xlfn.IFERROR(VLOOKUP($A340,'The List'!$B1:$AS730,32,FALSE)," ")</f>
        <v>885</v>
      </c>
      <c r="Z340" t="s" s="87">
        <f>_xlfn.IFERROR(VLOOKUP($A340,'The List'!$B1:$AS730,33,FALSE)," ")</f>
        <v>885</v>
      </c>
      <c r="AA340" s="64"/>
      <c r="AB340" s="69"/>
      <c r="AC340" s="69"/>
      <c r="AD340" s="69"/>
      <c r="AE340" s="69"/>
      <c r="AF340" s="69"/>
    </row>
    <row r="341" ht="21.25" customHeight="1">
      <c r="A341" s="88"/>
      <c r="B341" s="89"/>
      <c r="C341" s="90"/>
      <c r="D341" s="91"/>
      <c r="E341" t="s" s="127">
        <f>_xlfn.IFERROR(AVERAGE(E321:E340)," ")</f>
        <v>885</v>
      </c>
      <c r="F341" s="93">
        <f>SUM(F321:F340)</f>
        <v>0</v>
      </c>
      <c r="G341" s="93">
        <f>SUM(G321:G340)</f>
        <v>0</v>
      </c>
      <c r="H341" s="94"/>
      <c r="I341" s="95">
        <f>SUM(I321:I340)</f>
        <v>0</v>
      </c>
      <c r="J341" s="94">
        <f>AVERAGE(J321:J340)</f>
      </c>
      <c r="K341" s="95">
        <f>SUM(K321:K340)</f>
        <v>0</v>
      </c>
      <c r="L341" s="95">
        <f>SUM(L321:L340)</f>
        <v>0</v>
      </c>
      <c r="M341" s="95">
        <f>SUM(M321:M340)</f>
        <v>0</v>
      </c>
      <c r="N341" s="95">
        <f>SUM(N321:N340)</f>
        <v>0</v>
      </c>
      <c r="O341" s="95">
        <f>SUM(O321:O340)</f>
        <v>0</v>
      </c>
      <c r="P341" s="95">
        <f>SUM(P321:P340)</f>
        <v>0</v>
      </c>
      <c r="Q341" s="95">
        <f>SUM(Q321:Q340)</f>
        <v>0</v>
      </c>
      <c r="R341" s="95">
        <f>SUM(R321:R340)</f>
        <v>0</v>
      </c>
      <c r="S341" s="95">
        <f>SUM(S321:S340)</f>
        <v>0</v>
      </c>
      <c r="T341" s="95">
        <f>SUM(T321:T340)</f>
        <v>0</v>
      </c>
      <c r="U341" s="95">
        <f>SUM(U321:U340)</f>
        <v>0</v>
      </c>
      <c r="V341" s="95">
        <f>SUM(V321:V340)</f>
        <v>0</v>
      </c>
      <c r="W341" s="95">
        <f>SUM(W321:W340)</f>
        <v>0</v>
      </c>
      <c r="X341" s="95">
        <f>SUM(X321:X340)</f>
        <v>0</v>
      </c>
      <c r="Y341" s="95">
        <f>SUM(Y321:Y340)</f>
        <v>0</v>
      </c>
      <c r="Z341" s="96">
        <f>_xlfn.IFERROR(X341/(X341+Y341),0)</f>
        <v>0</v>
      </c>
      <c r="AA341" s="64"/>
      <c r="AB341" s="97"/>
      <c r="AC341" s="97"/>
      <c r="AD341" s="97"/>
      <c r="AE341" s="97"/>
      <c r="AF341" s="97"/>
    </row>
    <row r="342" ht="21.25" customHeight="1">
      <c r="A342" s="98"/>
      <c r="B342" s="99"/>
      <c r="C342" s="100"/>
      <c r="D342" s="11"/>
      <c r="E342" s="11"/>
      <c r="F342" s="101"/>
      <c r="G342" s="102"/>
      <c r="H342" s="103"/>
      <c r="I342" s="10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9"/>
      <c r="AC342" s="69"/>
      <c r="AD342" s="69"/>
      <c r="AE342" s="69"/>
      <c r="AF342" s="69"/>
    </row>
    <row r="343" ht="21.25" customHeight="1">
      <c r="A343" t="s" s="31">
        <v>66</v>
      </c>
      <c r="B343" t="s" s="105">
        <v>68</v>
      </c>
      <c r="C343" s="19"/>
      <c r="D343" t="s" s="105">
        <v>69</v>
      </c>
      <c r="E343" t="s" s="105">
        <v>70</v>
      </c>
      <c r="F343" t="s" s="106">
        <v>72</v>
      </c>
      <c r="G343" t="s" s="106">
        <v>74</v>
      </c>
      <c r="H343" s="107"/>
      <c r="I343" t="s" s="108">
        <v>79</v>
      </c>
      <c r="J343" t="s" s="108">
        <v>97</v>
      </c>
      <c r="K343" t="s" s="108">
        <v>98</v>
      </c>
      <c r="L343" t="s" s="108">
        <v>99</v>
      </c>
      <c r="M343" t="s" s="108">
        <v>100</v>
      </c>
      <c r="N343" t="s" s="108">
        <v>101</v>
      </c>
      <c r="O343" t="s" s="108">
        <v>102</v>
      </c>
      <c r="P343" t="s" s="108">
        <v>103</v>
      </c>
      <c r="Q343" t="s" s="108">
        <v>104</v>
      </c>
      <c r="R343" s="64"/>
      <c r="S343" s="64"/>
      <c r="T343" s="64"/>
      <c r="U343" t="s" s="105">
        <v>901</v>
      </c>
      <c r="V343" s="107"/>
      <c r="W343" s="107"/>
      <c r="X343" t="s" s="105">
        <v>902</v>
      </c>
      <c r="Y343" s="107"/>
      <c r="Z343" s="107"/>
      <c r="AA343" s="64"/>
      <c r="AB343" s="64"/>
      <c r="AC343" s="64"/>
      <c r="AD343" s="64"/>
      <c r="AE343" s="64"/>
      <c r="AF343" s="64"/>
    </row>
    <row r="344" ht="21.25" customHeight="1">
      <c r="A344" s="128"/>
      <c r="B344" t="s" s="110">
        <f>_xlfn.IFERROR(VLOOKUP($A344,'The List'!$B1:$AS730,3,FALSE)," ")</f>
        <v>885</v>
      </c>
      <c r="C344" t="s" s="129">
        <f>_xlfn.IFERROR(VLOOKUP($A344,'The List'!$B1:$AS730,4,FALSE)," ")</f>
        <v>885</v>
      </c>
      <c r="D344" t="s" s="112">
        <f>_xlfn.IFERROR(VLOOKUP($A344,'The List'!$B1:$AS730,5,FALSE)," ")</f>
        <v>885</v>
      </c>
      <c r="E344" t="s" s="112">
        <f>_xlfn.IFERROR(VLOOKUP($A344,'The List'!$B1:$AS730,6,FALSE)," ")</f>
        <v>885</v>
      </c>
      <c r="F344" t="s" s="130">
        <f>_xlfn.IFERROR(VLOOKUP($A344,'The List'!$B1:$AS730,8,FALSE)," ")</f>
        <v>885</v>
      </c>
      <c r="G344" t="s" s="130">
        <f>_xlfn.IFERROR(VLOOKUP($A344,'The List'!$B1:$AS730,10,FALSE)," ")</f>
        <v>885</v>
      </c>
      <c r="H344" s="115"/>
      <c r="I344" t="s" s="131">
        <f>_xlfn.IFERROR(VLOOKUP($A344,'The List'!$B1:$AS730,35,FALSE)," ")</f>
        <v>885</v>
      </c>
      <c r="J344" t="s" s="131">
        <f>_xlfn.IFERROR(VLOOKUP($A344,'The List'!$B1:$AS730,36,FALSE)," ")</f>
        <v>885</v>
      </c>
      <c r="K344" t="s" s="131">
        <f>_xlfn.IFERROR(VLOOKUP($A344,'The List'!$B1:$AS730,37,FALSE)," ")</f>
        <v>885</v>
      </c>
      <c r="L344" t="s" s="131">
        <f>_xlfn.IFERROR(VLOOKUP($A344,'The List'!$B1:$AS730,38,FALSE)," ")</f>
        <v>885</v>
      </c>
      <c r="M344" t="s" s="131">
        <f>_xlfn.IFERROR(VLOOKUP($A344,'The List'!$B1:$AS730,39,FALSE)," ")</f>
        <v>885</v>
      </c>
      <c r="N344" t="s" s="131">
        <f>_xlfn.IFERROR(VLOOKUP($A344,'The List'!$B1:$AS730,40,FALSE)," ")</f>
        <v>885</v>
      </c>
      <c r="O344" t="s" s="131">
        <f>_xlfn.IFERROR(VLOOKUP($A344,'The List'!$B1:$AS730,41,FALSE)," ")</f>
        <v>885</v>
      </c>
      <c r="P344" t="s" s="131">
        <f>_xlfn.IFERROR(VLOOKUP($A344,'The List'!$B1:$AS730,42,FALSE)," ")</f>
        <v>885</v>
      </c>
      <c r="Q344" t="s" s="131">
        <f>_xlfn.IFERROR(VLOOKUP($A344,'The List'!$B1:$AS730,43,FALSE)," ")</f>
        <v>885</v>
      </c>
      <c r="R344" s="64"/>
      <c r="S344" s="64"/>
      <c r="T344" t="s" s="119">
        <f>A320</f>
        <v>914</v>
      </c>
      <c r="U344" s="120">
        <f>F341+F347</f>
        <v>0</v>
      </c>
      <c r="V344" s="19"/>
      <c r="W344" s="19"/>
      <c r="X344" s="120">
        <f>G347+G341</f>
        <v>0</v>
      </c>
      <c r="Y344" s="19"/>
      <c r="Z344" s="19"/>
      <c r="AA344" s="64"/>
      <c r="AB344" s="64"/>
      <c r="AC344" s="64"/>
      <c r="AD344" s="64"/>
      <c r="AE344" s="64"/>
      <c r="AF344" s="64"/>
    </row>
    <row r="345" ht="21.25" customHeight="1">
      <c r="A345" s="29"/>
      <c r="B345" t="s" s="121">
        <f>_xlfn.IFERROR(VLOOKUP($A345,'The List'!$B1:$AS730,3,FALSE)," ")</f>
        <v>885</v>
      </c>
      <c r="C345" t="s" s="122">
        <f>_xlfn.IFERROR(VLOOKUP($A345,'The List'!$B1:$AS730,4,FALSE)," ")</f>
        <v>885</v>
      </c>
      <c r="D345" t="s" s="42">
        <f>_xlfn.IFERROR(VLOOKUP($A345,'The List'!$B1:$AS730,5,FALSE)," ")</f>
        <v>885</v>
      </c>
      <c r="E345" t="s" s="42">
        <f>_xlfn.IFERROR(VLOOKUP($A345,'The List'!$B1:$AS730,6,FALSE)," ")</f>
        <v>885</v>
      </c>
      <c r="F345" t="s" s="60">
        <f>_xlfn.IFERROR(VLOOKUP($A345,'The List'!$B1:$AS730,8,FALSE)," ")</f>
        <v>885</v>
      </c>
      <c r="G345" t="s" s="60">
        <f>_xlfn.IFERROR(VLOOKUP($A345,'The List'!$B1:$AS730,10,FALSE)," ")</f>
        <v>885</v>
      </c>
      <c r="H345" s="46"/>
      <c r="I345" t="s" s="61">
        <f>_xlfn.IFERROR(VLOOKUP($A345,'The List'!$B1:$AS730,35,FALSE)," ")</f>
        <v>885</v>
      </c>
      <c r="J345" t="s" s="61">
        <f>_xlfn.IFERROR(VLOOKUP($A345,'The List'!$B1:$AS730,36,FALSE)," ")</f>
        <v>885</v>
      </c>
      <c r="K345" t="s" s="61">
        <f>_xlfn.IFERROR(VLOOKUP($A345,'The List'!$B1:$AS730,37,FALSE)," ")</f>
        <v>885</v>
      </c>
      <c r="L345" t="s" s="61">
        <f>_xlfn.IFERROR(VLOOKUP($A345,'The List'!$B1:$AS730,38,FALSE)," ")</f>
        <v>885</v>
      </c>
      <c r="M345" t="s" s="61">
        <f>_xlfn.IFERROR(VLOOKUP($A345,'The List'!$B1:$AS730,39,FALSE)," ")</f>
        <v>885</v>
      </c>
      <c r="N345" t="s" s="61">
        <f>_xlfn.IFERROR(VLOOKUP($A345,'The List'!$B1:$AS730,40,FALSE)," ")</f>
        <v>885</v>
      </c>
      <c r="O345" t="s" s="61">
        <f>_xlfn.IFERROR(VLOOKUP($A345,'The List'!$B1:$AS730,41,FALSE)," ")</f>
        <v>885</v>
      </c>
      <c r="P345" t="s" s="61">
        <f>_xlfn.IFERROR(VLOOKUP($A345,'The List'!$B1:$AS730,42,FALSE)," ")</f>
        <v>885</v>
      </c>
      <c r="Q345" t="s" s="61">
        <f>_xlfn.IFERROR(VLOOKUP($A345,'The List'!$B1:$AS730,43,FALSE)," ")</f>
        <v>885</v>
      </c>
      <c r="R345" s="64"/>
      <c r="S345" s="64"/>
      <c r="T345" s="64"/>
      <c r="U345" s="19"/>
      <c r="V345" s="19"/>
      <c r="W345" s="19"/>
      <c r="X345" s="19"/>
      <c r="Y345" s="19"/>
      <c r="Z345" s="19"/>
      <c r="AA345" s="64"/>
      <c r="AB345" s="64"/>
      <c r="AC345" s="64"/>
      <c r="AD345" s="64"/>
      <c r="AE345" s="64"/>
      <c r="AF345" s="64"/>
    </row>
    <row r="346" ht="21.25" customHeight="1">
      <c r="A346" s="81"/>
      <c r="B346" t="s" s="123">
        <f>_xlfn.IFERROR(VLOOKUP($A346,'The List'!$B1:$AS730,3,FALSE)," ")</f>
        <v>885</v>
      </c>
      <c r="C346" t="s" s="124">
        <f>_xlfn.IFERROR(VLOOKUP($A346,'The List'!$B1:$AS730,4,FALSE)," ")</f>
        <v>885</v>
      </c>
      <c r="D346" t="s" s="84">
        <f>_xlfn.IFERROR(VLOOKUP($A346,'The List'!$B1:$AS730,5,FALSE)," ")</f>
        <v>885</v>
      </c>
      <c r="E346" t="s" s="84">
        <f>_xlfn.IFERROR(VLOOKUP($A346,'The List'!$B1:$AS730,6,FALSE)," ")</f>
        <v>885</v>
      </c>
      <c r="F346" t="s" s="85">
        <f>_xlfn.IFERROR(VLOOKUP($A346,'The List'!$B1:$AS730,8,FALSE)," ")</f>
        <v>885</v>
      </c>
      <c r="G346" t="s" s="85">
        <f>_xlfn.IFERROR(VLOOKUP($A346,'The List'!$B1:$AS730,10,FALSE)," ")</f>
        <v>885</v>
      </c>
      <c r="H346" s="86"/>
      <c r="I346" t="s" s="87">
        <f>_xlfn.IFERROR(VLOOKUP($A346,'The List'!$B1:$AS730,35,FALSE)," ")</f>
        <v>885</v>
      </c>
      <c r="J346" t="s" s="87">
        <f>_xlfn.IFERROR(VLOOKUP($A346,'The List'!$B1:$AS730,36,FALSE)," ")</f>
        <v>885</v>
      </c>
      <c r="K346" t="s" s="87">
        <f>_xlfn.IFERROR(VLOOKUP($A346,'The List'!$B1:$AS730,37,FALSE)," ")</f>
        <v>885</v>
      </c>
      <c r="L346" t="s" s="87">
        <f>_xlfn.IFERROR(VLOOKUP($A346,'The List'!$B1:$AS730,38,FALSE)," ")</f>
        <v>885</v>
      </c>
      <c r="M346" t="s" s="87">
        <f>_xlfn.IFERROR(VLOOKUP($A346,'The List'!$B1:$AS730,39,FALSE)," ")</f>
        <v>885</v>
      </c>
      <c r="N346" t="s" s="87">
        <f>_xlfn.IFERROR(VLOOKUP($A346,'The List'!$B1:$AS730,40,FALSE)," ")</f>
        <v>885</v>
      </c>
      <c r="O346" t="s" s="87">
        <f>_xlfn.IFERROR(VLOOKUP($A346,'The List'!$B1:$AS730,41,FALSE)," ")</f>
        <v>885</v>
      </c>
      <c r="P346" t="s" s="87">
        <f>_xlfn.IFERROR(VLOOKUP($A346,'The List'!$B1:$AS730,42,FALSE)," ")</f>
        <v>885</v>
      </c>
      <c r="Q346" t="s" s="87">
        <f>_xlfn.IFERROR(VLOOKUP($A346,'The List'!$B1:$AS730,43,FALSE)," ")</f>
        <v>885</v>
      </c>
      <c r="R346" s="64"/>
      <c r="S346" s="64"/>
      <c r="T346" s="64"/>
      <c r="U346" s="19"/>
      <c r="V346" s="19"/>
      <c r="W346" s="19"/>
      <c r="X346" s="19"/>
      <c r="Y346" s="19"/>
      <c r="Z346" s="19"/>
      <c r="AA346" s="64"/>
      <c r="AB346" s="64"/>
      <c r="AC346" s="64"/>
      <c r="AD346" s="64"/>
      <c r="AE346" s="64"/>
      <c r="AF346" s="64"/>
    </row>
    <row r="347" ht="21.25" customHeight="1">
      <c r="A347" s="88"/>
      <c r="B347" s="89"/>
      <c r="C347" s="90"/>
      <c r="D347" s="91"/>
      <c r="E347" t="s" s="127">
        <f>_xlfn.IFERROR(AVERAGE(E344:E346)," ")</f>
        <v>885</v>
      </c>
      <c r="F347" s="93">
        <f>SUM(F344:F346)</f>
        <v>0</v>
      </c>
      <c r="G347" s="93">
        <f>SUM(G344:G346)</f>
        <v>0</v>
      </c>
      <c r="H347" s="94"/>
      <c r="I347" s="95">
        <f>SUM(I344:I346)</f>
        <v>0</v>
      </c>
      <c r="J347" s="94">
        <f>SUM(J344:J346)</f>
        <v>0</v>
      </c>
      <c r="K347" s="95">
        <f>SUM(K344:K346)</f>
        <v>0</v>
      </c>
      <c r="L347" s="95">
        <f>SUM(L344:L346)</f>
        <v>0</v>
      </c>
      <c r="M347" s="95">
        <f>SUM(M344:M346)</f>
        <v>0</v>
      </c>
      <c r="N347" s="95">
        <f>SUM(N344:N346)</f>
        <v>0</v>
      </c>
      <c r="O347" s="95">
        <f>SUM(O344:O346)</f>
        <v>0</v>
      </c>
      <c r="P347" s="125">
        <f>1-(O347/(N347+O347))</f>
      </c>
      <c r="Q347" s="126">
        <f>O347/I347</f>
      </c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</row>
    <row r="348" ht="70.85" customHeight="1">
      <c r="A348" s="98"/>
      <c r="B348" s="99"/>
      <c r="C348" s="100"/>
      <c r="D348" s="11"/>
      <c r="E348" s="11"/>
      <c r="F348" s="101"/>
      <c r="G348" s="102"/>
      <c r="H348" s="103"/>
      <c r="I348" s="10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9"/>
      <c r="AB348" s="69"/>
      <c r="AC348" s="69"/>
      <c r="AD348" s="69"/>
      <c r="AE348" s="69"/>
      <c r="AF348" s="69"/>
    </row>
    <row r="349" ht="21.25" customHeight="1">
      <c r="A349" t="s" s="32">
        <v>897</v>
      </c>
      <c r="B349" t="s" s="33">
        <v>68</v>
      </c>
      <c r="C349" s="25"/>
      <c r="D349" t="s" s="33">
        <v>69</v>
      </c>
      <c r="E349" t="s" s="33">
        <v>70</v>
      </c>
      <c r="F349" t="s" s="34">
        <v>72</v>
      </c>
      <c r="G349" t="s" s="34">
        <v>74</v>
      </c>
      <c r="H349" s="35"/>
      <c r="I349" t="s" s="37">
        <v>79</v>
      </c>
      <c r="J349" t="s" s="37">
        <v>80</v>
      </c>
      <c r="K349" t="s" s="37">
        <v>81</v>
      </c>
      <c r="L349" t="s" s="37">
        <v>82</v>
      </c>
      <c r="M349" t="s" s="37">
        <v>83</v>
      </c>
      <c r="N349" t="s" s="37">
        <v>84</v>
      </c>
      <c r="O349" t="s" s="37">
        <v>85</v>
      </c>
      <c r="P349" t="s" s="37">
        <v>86</v>
      </c>
      <c r="Q349" t="s" s="37">
        <v>87</v>
      </c>
      <c r="R349" t="s" s="37">
        <v>88</v>
      </c>
      <c r="S349" t="s" s="37">
        <v>89</v>
      </c>
      <c r="T349" t="s" s="37">
        <v>90</v>
      </c>
      <c r="U349" t="s" s="37">
        <v>91</v>
      </c>
      <c r="V349" t="s" s="37">
        <v>92</v>
      </c>
      <c r="W349" t="s" s="37">
        <v>93</v>
      </c>
      <c r="X349" t="s" s="37">
        <v>94</v>
      </c>
      <c r="Y349" t="s" s="37">
        <v>95</v>
      </c>
      <c r="Z349" t="s" s="37">
        <v>96</v>
      </c>
      <c r="AA349" s="64"/>
      <c r="AB349" s="65"/>
      <c r="AC349" s="65"/>
      <c r="AD349" s="65"/>
      <c r="AE349" s="65"/>
      <c r="AF349" s="65"/>
    </row>
    <row r="350" ht="21.25" customHeight="1">
      <c r="A350" s="29"/>
      <c r="B350" t="s" s="66">
        <f>_xlfn.IFERROR(VLOOKUP($A350,'The List'!$B1:$AS730,3,FALSE)," ")</f>
        <v>885</v>
      </c>
      <c r="C350" t="s" s="70">
        <f>_xlfn.IFERROR(VLOOKUP($A350,'The List'!$B1:$AS730,4,FALSE)," ")</f>
        <v>885</v>
      </c>
      <c r="D350" t="s" s="42">
        <f>_xlfn.IFERROR(VLOOKUP($A350,'The List'!$B1:$AS730,5,FALSE)," ")</f>
        <v>885</v>
      </c>
      <c r="E350" t="s" s="42">
        <f>_xlfn.IFERROR(VLOOKUP($A350,'The List'!$B1:$AS730,6,FALSE)," ")</f>
        <v>885</v>
      </c>
      <c r="F350" t="s" s="60">
        <f>_xlfn.IFERROR(VLOOKUP($A350,'The List'!$B1:$AS730,8,FALSE)," ")</f>
        <v>885</v>
      </c>
      <c r="G350" t="s" s="60">
        <f>_xlfn.IFERROR(VLOOKUP($A350,'The List'!$B1:$AS730,10,FALSE)," ")</f>
        <v>885</v>
      </c>
      <c r="H350" s="46"/>
      <c r="I350" t="s" s="61">
        <f>_xlfn.IFERROR(VLOOKUP($A350,'The List'!$B1:$AS730,16,FALSE)," ")</f>
        <v>885</v>
      </c>
      <c r="J350" t="s" s="61">
        <f>_xlfn.IFERROR(VLOOKUP($A350,'The List'!$B1:$AS730,17,FALSE)," ")</f>
        <v>885</v>
      </c>
      <c r="K350" t="s" s="61">
        <f>_xlfn.IFERROR(VLOOKUP($A350,'The List'!$B1:$AS730,18,FALSE)," ")</f>
        <v>885</v>
      </c>
      <c r="L350" t="s" s="61">
        <f>_xlfn.IFERROR(VLOOKUP($A350,'The List'!$B1:$AS730,19,FALSE)," ")</f>
        <v>885</v>
      </c>
      <c r="M350" t="s" s="61">
        <f>_xlfn.IFERROR(VLOOKUP($A350,'The List'!$B1:$AS730,20,FALSE)," ")</f>
        <v>885</v>
      </c>
      <c r="N350" t="s" s="61">
        <f>_xlfn.IFERROR(VLOOKUP($A350,'The List'!$B1:$AS730,21,FALSE)," ")</f>
        <v>885</v>
      </c>
      <c r="O350" t="s" s="61">
        <f>_xlfn.IFERROR(VLOOKUP($A350,'The List'!$B1:$AS730,22,FALSE)," ")</f>
        <v>885</v>
      </c>
      <c r="P350" t="s" s="61">
        <f>_xlfn.IFERROR(VLOOKUP($A350,'The List'!$B1:$AS730,23,FALSE)," ")</f>
        <v>885</v>
      </c>
      <c r="Q350" t="s" s="61">
        <f>_xlfn.IFERROR(VLOOKUP($A350,'The List'!$B1:$AS730,24,FALSE)," ")</f>
        <v>885</v>
      </c>
      <c r="R350" t="s" s="61">
        <f>_xlfn.IFERROR(VLOOKUP($A350,'The List'!$B1:$AS730,25,FALSE)," ")</f>
        <v>885</v>
      </c>
      <c r="S350" t="s" s="61">
        <f>_xlfn.IFERROR(VLOOKUP($A350,'The List'!$B1:$AS730,26,FALSE)," ")</f>
        <v>885</v>
      </c>
      <c r="T350" t="s" s="61">
        <f>_xlfn.IFERROR(VLOOKUP($A350,'The List'!$B1:$AS730,27,FALSE)," ")</f>
        <v>885</v>
      </c>
      <c r="U350" t="s" s="61">
        <f>_xlfn.IFERROR(VLOOKUP($A350,'The List'!$B1:$AS730,28,FALSE)," ")</f>
        <v>885</v>
      </c>
      <c r="V350" t="s" s="61">
        <f>_xlfn.IFERROR(VLOOKUP($A350,'The List'!$B1:$AS730,29,FALSE)," ")</f>
        <v>885</v>
      </c>
      <c r="W350" t="s" s="61">
        <f>_xlfn.IFERROR(VLOOKUP($A350,'The List'!$B1:$AS730,30,FALSE)," ")</f>
        <v>885</v>
      </c>
      <c r="X350" t="s" s="61">
        <f>_xlfn.IFERROR(VLOOKUP($A350,'The List'!$B1:$AS730,31,FALSE)," ")</f>
        <v>885</v>
      </c>
      <c r="Y350" t="s" s="61">
        <f>_xlfn.IFERROR(VLOOKUP($A350,'The List'!$B1:$AS730,32,FALSE)," ")</f>
        <v>885</v>
      </c>
      <c r="Z350" t="s" s="61">
        <f>_xlfn.IFERROR(VLOOKUP($A350,'The List'!$B1:$AS730,33,FALSE)," ")</f>
        <v>885</v>
      </c>
      <c r="AA350" s="64"/>
      <c r="AB350" s="69"/>
      <c r="AC350" s="69"/>
      <c r="AD350" s="69"/>
      <c r="AE350" s="69"/>
      <c r="AF350" s="69"/>
    </row>
    <row r="351" ht="21.25" customHeight="1">
      <c r="A351" s="29"/>
      <c r="B351" t="s" s="66">
        <f>_xlfn.IFERROR(VLOOKUP($A351,'The List'!$B1:$AS730,3,FALSE)," ")</f>
        <v>885</v>
      </c>
      <c r="C351" t="s" s="70">
        <f>_xlfn.IFERROR(VLOOKUP($A351,'The List'!$B1:$AS730,4,FALSE)," ")</f>
        <v>885</v>
      </c>
      <c r="D351" t="s" s="42">
        <f>_xlfn.IFERROR(VLOOKUP($A351,'The List'!$B1:$AS730,5,FALSE)," ")</f>
        <v>885</v>
      </c>
      <c r="E351" t="s" s="42">
        <f>_xlfn.IFERROR(VLOOKUP($A351,'The List'!$B1:$AS730,6,FALSE)," ")</f>
        <v>885</v>
      </c>
      <c r="F351" t="s" s="60">
        <f>_xlfn.IFERROR(VLOOKUP($A351,'The List'!$B1:$AS730,8,FALSE)," ")</f>
        <v>885</v>
      </c>
      <c r="G351" t="s" s="60">
        <f>_xlfn.IFERROR(VLOOKUP($A351,'The List'!$B1:$AS730,10,FALSE)," ")</f>
        <v>885</v>
      </c>
      <c r="H351" s="46"/>
      <c r="I351" t="s" s="61">
        <f>_xlfn.IFERROR(VLOOKUP($A351,'The List'!$B1:$AS730,16,FALSE)," ")</f>
        <v>885</v>
      </c>
      <c r="J351" t="s" s="61">
        <f>_xlfn.IFERROR(VLOOKUP($A351,'The List'!$B1:$AS730,17,FALSE)," ")</f>
        <v>885</v>
      </c>
      <c r="K351" t="s" s="61">
        <f>_xlfn.IFERROR(VLOOKUP($A351,'The List'!$B1:$AS730,18,FALSE)," ")</f>
        <v>885</v>
      </c>
      <c r="L351" t="s" s="61">
        <f>_xlfn.IFERROR(VLOOKUP($A351,'The List'!$B1:$AS730,19,FALSE)," ")</f>
        <v>885</v>
      </c>
      <c r="M351" t="s" s="61">
        <f>_xlfn.IFERROR(VLOOKUP($A351,'The List'!$B1:$AS730,20,FALSE)," ")</f>
        <v>885</v>
      </c>
      <c r="N351" t="s" s="61">
        <f>_xlfn.IFERROR(VLOOKUP($A351,'The List'!$B1:$AS730,21,FALSE)," ")</f>
        <v>885</v>
      </c>
      <c r="O351" t="s" s="61">
        <f>_xlfn.IFERROR(VLOOKUP($A351,'The List'!$B1:$AS730,22,FALSE)," ")</f>
        <v>885</v>
      </c>
      <c r="P351" t="s" s="61">
        <f>_xlfn.IFERROR(VLOOKUP($A351,'The List'!$B1:$AS730,23,FALSE)," ")</f>
        <v>885</v>
      </c>
      <c r="Q351" t="s" s="61">
        <f>_xlfn.IFERROR(VLOOKUP($A351,'The List'!$B1:$AS730,24,FALSE)," ")</f>
        <v>885</v>
      </c>
      <c r="R351" t="s" s="61">
        <f>_xlfn.IFERROR(VLOOKUP($A351,'The List'!$B1:$AS730,25,FALSE)," ")</f>
        <v>885</v>
      </c>
      <c r="S351" t="s" s="61">
        <f>_xlfn.IFERROR(VLOOKUP($A351,'The List'!$B1:$AS730,26,FALSE)," ")</f>
        <v>885</v>
      </c>
      <c r="T351" t="s" s="61">
        <f>_xlfn.IFERROR(VLOOKUP($A351,'The List'!$B1:$AS730,27,FALSE)," ")</f>
        <v>885</v>
      </c>
      <c r="U351" t="s" s="61">
        <f>_xlfn.IFERROR(VLOOKUP($A351,'The List'!$B1:$AS730,28,FALSE)," ")</f>
        <v>885</v>
      </c>
      <c r="V351" t="s" s="61">
        <f>_xlfn.IFERROR(VLOOKUP($A351,'The List'!$B1:$AS730,29,FALSE)," ")</f>
        <v>885</v>
      </c>
      <c r="W351" t="s" s="61">
        <f>_xlfn.IFERROR(VLOOKUP($A351,'The List'!$B1:$AS730,30,FALSE)," ")</f>
        <v>885</v>
      </c>
      <c r="X351" t="s" s="61">
        <f>_xlfn.IFERROR(VLOOKUP($A351,'The List'!$B1:$AS730,31,FALSE)," ")</f>
        <v>885</v>
      </c>
      <c r="Y351" t="s" s="61">
        <f>_xlfn.IFERROR(VLOOKUP($A351,'The List'!$B1:$AS730,32,FALSE)," ")</f>
        <v>885</v>
      </c>
      <c r="Z351" t="s" s="61">
        <f>_xlfn.IFERROR(VLOOKUP($A351,'The List'!$B1:$AS730,33,FALSE)," ")</f>
        <v>885</v>
      </c>
      <c r="AA351" s="64"/>
      <c r="AB351" s="69"/>
      <c r="AC351" s="69"/>
      <c r="AD351" s="69"/>
      <c r="AE351" s="69"/>
      <c r="AF351" s="69"/>
    </row>
    <row r="352" ht="21.25" customHeight="1">
      <c r="A352" s="29"/>
      <c r="B352" t="s" s="66">
        <f>_xlfn.IFERROR(VLOOKUP($A352,'The List'!$B1:$AS730,3,FALSE)," ")</f>
        <v>885</v>
      </c>
      <c r="C352" t="s" s="70">
        <f>_xlfn.IFERROR(VLOOKUP($A352,'The List'!$B1:$AS730,4,FALSE)," ")</f>
        <v>885</v>
      </c>
      <c r="D352" t="s" s="42">
        <f>_xlfn.IFERROR(VLOOKUP($A352,'The List'!$B1:$AS730,5,FALSE)," ")</f>
        <v>885</v>
      </c>
      <c r="E352" t="s" s="42">
        <f>_xlfn.IFERROR(VLOOKUP($A352,'The List'!$B1:$AS730,6,FALSE)," ")</f>
        <v>885</v>
      </c>
      <c r="F352" t="s" s="60">
        <f>_xlfn.IFERROR(VLOOKUP($A352,'The List'!$B1:$AS730,8,FALSE)," ")</f>
        <v>885</v>
      </c>
      <c r="G352" t="s" s="60">
        <f>_xlfn.IFERROR(VLOOKUP($A352,'The List'!$B1:$AS730,10,FALSE)," ")</f>
        <v>885</v>
      </c>
      <c r="H352" s="46"/>
      <c r="I352" t="s" s="61">
        <f>_xlfn.IFERROR(VLOOKUP($A352,'The List'!$B1:$AS730,16,FALSE)," ")</f>
        <v>885</v>
      </c>
      <c r="J352" t="s" s="61">
        <f>_xlfn.IFERROR(VLOOKUP($A352,'The List'!$B1:$AS730,17,FALSE)," ")</f>
        <v>885</v>
      </c>
      <c r="K352" t="s" s="61">
        <f>_xlfn.IFERROR(VLOOKUP($A352,'The List'!$B1:$AS730,18,FALSE)," ")</f>
        <v>885</v>
      </c>
      <c r="L352" t="s" s="61">
        <f>_xlfn.IFERROR(VLOOKUP($A352,'The List'!$B1:$AS730,19,FALSE)," ")</f>
        <v>885</v>
      </c>
      <c r="M352" t="s" s="61">
        <f>_xlfn.IFERROR(VLOOKUP($A352,'The List'!$B1:$AS730,20,FALSE)," ")</f>
        <v>885</v>
      </c>
      <c r="N352" t="s" s="61">
        <f>_xlfn.IFERROR(VLOOKUP($A352,'The List'!$B1:$AS730,21,FALSE)," ")</f>
        <v>885</v>
      </c>
      <c r="O352" t="s" s="61">
        <f>_xlfn.IFERROR(VLOOKUP($A352,'The List'!$B1:$AS730,22,FALSE)," ")</f>
        <v>885</v>
      </c>
      <c r="P352" t="s" s="61">
        <f>_xlfn.IFERROR(VLOOKUP($A352,'The List'!$B1:$AS730,23,FALSE)," ")</f>
        <v>885</v>
      </c>
      <c r="Q352" t="s" s="61">
        <f>_xlfn.IFERROR(VLOOKUP($A352,'The List'!$B1:$AS730,24,FALSE)," ")</f>
        <v>885</v>
      </c>
      <c r="R352" t="s" s="61">
        <f>_xlfn.IFERROR(VLOOKUP($A352,'The List'!$B1:$AS730,25,FALSE)," ")</f>
        <v>885</v>
      </c>
      <c r="S352" t="s" s="61">
        <f>_xlfn.IFERROR(VLOOKUP($A352,'The List'!$B1:$AS730,26,FALSE)," ")</f>
        <v>885</v>
      </c>
      <c r="T352" t="s" s="61">
        <f>_xlfn.IFERROR(VLOOKUP($A352,'The List'!$B1:$AS730,27,FALSE)," ")</f>
        <v>885</v>
      </c>
      <c r="U352" t="s" s="61">
        <f>_xlfn.IFERROR(VLOOKUP($A352,'The List'!$B1:$AS730,28,FALSE)," ")</f>
        <v>885</v>
      </c>
      <c r="V352" t="s" s="61">
        <f>_xlfn.IFERROR(VLOOKUP($A352,'The List'!$B1:$AS730,29,FALSE)," ")</f>
        <v>885</v>
      </c>
      <c r="W352" t="s" s="61">
        <f>_xlfn.IFERROR(VLOOKUP($A352,'The List'!$B1:$AS730,30,FALSE)," ")</f>
        <v>885</v>
      </c>
      <c r="X352" t="s" s="61">
        <f>_xlfn.IFERROR(VLOOKUP($A352,'The List'!$B1:$AS730,31,FALSE)," ")</f>
        <v>885</v>
      </c>
      <c r="Y352" t="s" s="61">
        <f>_xlfn.IFERROR(VLOOKUP($A352,'The List'!$B1:$AS730,32,FALSE)," ")</f>
        <v>885</v>
      </c>
      <c r="Z352" t="s" s="61">
        <f>_xlfn.IFERROR(VLOOKUP($A352,'The List'!$B1:$AS730,33,FALSE)," ")</f>
        <v>885</v>
      </c>
      <c r="AA352" s="64"/>
      <c r="AB352" s="69"/>
      <c r="AC352" s="69"/>
      <c r="AD352" s="69"/>
      <c r="AE352" s="69"/>
      <c r="AF352" s="69"/>
    </row>
    <row r="353" ht="21.25" customHeight="1">
      <c r="A353" s="29"/>
      <c r="B353" t="s" s="66">
        <f>_xlfn.IFERROR(VLOOKUP($A353,'The List'!$B1:$AS730,3,FALSE)," ")</f>
        <v>885</v>
      </c>
      <c r="C353" t="s" s="70">
        <f>_xlfn.IFERROR(VLOOKUP($A353,'The List'!$B1:$AS730,4,FALSE)," ")</f>
        <v>885</v>
      </c>
      <c r="D353" t="s" s="42">
        <f>_xlfn.IFERROR(VLOOKUP($A353,'The List'!$B1:$AS730,5,FALSE)," ")</f>
        <v>885</v>
      </c>
      <c r="E353" t="s" s="42">
        <f>_xlfn.IFERROR(VLOOKUP($A353,'The List'!$B1:$AS730,6,FALSE)," ")</f>
        <v>885</v>
      </c>
      <c r="F353" t="s" s="60">
        <f>_xlfn.IFERROR(VLOOKUP($A353,'The List'!$B1:$AS730,8,FALSE)," ")</f>
        <v>885</v>
      </c>
      <c r="G353" t="s" s="60">
        <f>_xlfn.IFERROR(VLOOKUP($A353,'The List'!$B1:$AS730,10,FALSE)," ")</f>
        <v>885</v>
      </c>
      <c r="H353" s="46"/>
      <c r="I353" t="s" s="61">
        <f>_xlfn.IFERROR(VLOOKUP($A353,'The List'!$B1:$AS730,16,FALSE)," ")</f>
        <v>885</v>
      </c>
      <c r="J353" t="s" s="61">
        <f>_xlfn.IFERROR(VLOOKUP($A353,'The List'!$B1:$AS730,17,FALSE)," ")</f>
        <v>885</v>
      </c>
      <c r="K353" t="s" s="61">
        <f>_xlfn.IFERROR(VLOOKUP($A353,'The List'!$B1:$AS730,18,FALSE)," ")</f>
        <v>885</v>
      </c>
      <c r="L353" t="s" s="61">
        <f>_xlfn.IFERROR(VLOOKUP($A353,'The List'!$B1:$AS730,19,FALSE)," ")</f>
        <v>885</v>
      </c>
      <c r="M353" t="s" s="61">
        <f>_xlfn.IFERROR(VLOOKUP($A353,'The List'!$B1:$AS730,20,FALSE)," ")</f>
        <v>885</v>
      </c>
      <c r="N353" t="s" s="61">
        <f>_xlfn.IFERROR(VLOOKUP($A353,'The List'!$B1:$AS730,21,FALSE)," ")</f>
        <v>885</v>
      </c>
      <c r="O353" t="s" s="61">
        <f>_xlfn.IFERROR(VLOOKUP($A353,'The List'!$B1:$AS730,22,FALSE)," ")</f>
        <v>885</v>
      </c>
      <c r="P353" t="s" s="61">
        <f>_xlfn.IFERROR(VLOOKUP($A353,'The List'!$B1:$AS730,23,FALSE)," ")</f>
        <v>885</v>
      </c>
      <c r="Q353" t="s" s="61">
        <f>_xlfn.IFERROR(VLOOKUP($A353,'The List'!$B1:$AS730,24,FALSE)," ")</f>
        <v>885</v>
      </c>
      <c r="R353" t="s" s="61">
        <f>_xlfn.IFERROR(VLOOKUP($A353,'The List'!$B1:$AS730,25,FALSE)," ")</f>
        <v>885</v>
      </c>
      <c r="S353" t="s" s="61">
        <f>_xlfn.IFERROR(VLOOKUP($A353,'The List'!$B1:$AS730,26,FALSE)," ")</f>
        <v>885</v>
      </c>
      <c r="T353" t="s" s="61">
        <f>_xlfn.IFERROR(VLOOKUP($A353,'The List'!$B1:$AS730,27,FALSE)," ")</f>
        <v>885</v>
      </c>
      <c r="U353" t="s" s="61">
        <f>_xlfn.IFERROR(VLOOKUP($A353,'The List'!$B1:$AS730,28,FALSE)," ")</f>
        <v>885</v>
      </c>
      <c r="V353" t="s" s="61">
        <f>_xlfn.IFERROR(VLOOKUP($A353,'The List'!$B1:$AS730,29,FALSE)," ")</f>
        <v>885</v>
      </c>
      <c r="W353" t="s" s="61">
        <f>_xlfn.IFERROR(VLOOKUP($A353,'The List'!$B1:$AS730,30,FALSE)," ")</f>
        <v>885</v>
      </c>
      <c r="X353" t="s" s="61">
        <f>_xlfn.IFERROR(VLOOKUP($A353,'The List'!$B1:$AS730,31,FALSE)," ")</f>
        <v>885</v>
      </c>
      <c r="Y353" t="s" s="61">
        <f>_xlfn.IFERROR(VLOOKUP($A353,'The List'!$B1:$AS730,32,FALSE)," ")</f>
        <v>885</v>
      </c>
      <c r="Z353" t="s" s="61">
        <f>_xlfn.IFERROR(VLOOKUP($A353,'The List'!$B1:$AS730,33,FALSE)," ")</f>
        <v>885</v>
      </c>
      <c r="AA353" s="64"/>
      <c r="AB353" s="69"/>
      <c r="AC353" s="69"/>
      <c r="AD353" s="69"/>
      <c r="AE353" s="69"/>
      <c r="AF353" s="69"/>
    </row>
    <row r="354" ht="21.25" customHeight="1">
      <c r="A354" s="29"/>
      <c r="B354" t="s" s="71">
        <f>_xlfn.IFERROR(VLOOKUP($A354,'The List'!$B1:$AS730,3,FALSE)," ")</f>
        <v>885</v>
      </c>
      <c r="C354" t="s" s="73">
        <f>_xlfn.IFERROR(VLOOKUP($A354,'The List'!$B1:$AS730,4,FALSE)," ")</f>
        <v>885</v>
      </c>
      <c r="D354" t="s" s="42">
        <f>_xlfn.IFERROR(VLOOKUP($A354,'The List'!$B1:$AS730,5,FALSE)," ")</f>
        <v>885</v>
      </c>
      <c r="E354" t="s" s="42">
        <f>_xlfn.IFERROR(VLOOKUP($A354,'The List'!$B1:$AS730,6,FALSE)," ")</f>
        <v>885</v>
      </c>
      <c r="F354" t="s" s="60">
        <f>_xlfn.IFERROR(VLOOKUP($A354,'The List'!$B1:$AS730,8,FALSE)," ")</f>
        <v>885</v>
      </c>
      <c r="G354" t="s" s="60">
        <f>_xlfn.IFERROR(VLOOKUP($A354,'The List'!$B1:$AS730,10,FALSE)," ")</f>
        <v>885</v>
      </c>
      <c r="H354" s="46"/>
      <c r="I354" t="s" s="61">
        <f>_xlfn.IFERROR(VLOOKUP($A354,'The List'!$B1:$AS730,16,FALSE)," ")</f>
        <v>885</v>
      </c>
      <c r="J354" t="s" s="61">
        <f>_xlfn.IFERROR(VLOOKUP($A354,'The List'!$B1:$AS730,17,FALSE)," ")</f>
        <v>885</v>
      </c>
      <c r="K354" t="s" s="61">
        <f>_xlfn.IFERROR(VLOOKUP($A354,'The List'!$B1:$AS730,18,FALSE)," ")</f>
        <v>885</v>
      </c>
      <c r="L354" t="s" s="61">
        <f>_xlfn.IFERROR(VLOOKUP($A354,'The List'!$B1:$AS730,19,FALSE)," ")</f>
        <v>885</v>
      </c>
      <c r="M354" t="s" s="61">
        <f>_xlfn.IFERROR(VLOOKUP($A354,'The List'!$B1:$AS730,20,FALSE)," ")</f>
        <v>885</v>
      </c>
      <c r="N354" t="s" s="61">
        <f>_xlfn.IFERROR(VLOOKUP($A354,'The List'!$B1:$AS730,21,FALSE)," ")</f>
        <v>885</v>
      </c>
      <c r="O354" t="s" s="61">
        <f>_xlfn.IFERROR(VLOOKUP($A354,'The List'!$B1:$AS730,22,FALSE)," ")</f>
        <v>885</v>
      </c>
      <c r="P354" t="s" s="61">
        <f>_xlfn.IFERROR(VLOOKUP($A354,'The List'!$B1:$AS730,23,FALSE)," ")</f>
        <v>885</v>
      </c>
      <c r="Q354" t="s" s="61">
        <f>_xlfn.IFERROR(VLOOKUP($A354,'The List'!$B1:$AS730,24,FALSE)," ")</f>
        <v>885</v>
      </c>
      <c r="R354" t="s" s="61">
        <f>_xlfn.IFERROR(VLOOKUP($A354,'The List'!$B1:$AS730,25,FALSE)," ")</f>
        <v>885</v>
      </c>
      <c r="S354" t="s" s="61">
        <f>_xlfn.IFERROR(VLOOKUP($A354,'The List'!$B1:$AS730,26,FALSE)," ")</f>
        <v>885</v>
      </c>
      <c r="T354" t="s" s="61">
        <f>_xlfn.IFERROR(VLOOKUP($A354,'The List'!$B1:$AS730,27,FALSE)," ")</f>
        <v>885</v>
      </c>
      <c r="U354" t="s" s="61">
        <f>_xlfn.IFERROR(VLOOKUP($A354,'The List'!$B1:$AS730,28,FALSE)," ")</f>
        <v>885</v>
      </c>
      <c r="V354" t="s" s="61">
        <f>_xlfn.IFERROR(VLOOKUP($A354,'The List'!$B1:$AS730,29,FALSE)," ")</f>
        <v>885</v>
      </c>
      <c r="W354" t="s" s="61">
        <f>_xlfn.IFERROR(VLOOKUP($A354,'The List'!$B1:$AS730,30,FALSE)," ")</f>
        <v>885</v>
      </c>
      <c r="X354" t="s" s="61">
        <f>_xlfn.IFERROR(VLOOKUP($A354,'The List'!$B1:$AS730,31,FALSE)," ")</f>
        <v>885</v>
      </c>
      <c r="Y354" t="s" s="61">
        <f>_xlfn.IFERROR(VLOOKUP($A354,'The List'!$B1:$AS730,32,FALSE)," ")</f>
        <v>885</v>
      </c>
      <c r="Z354" t="s" s="61">
        <f>_xlfn.IFERROR(VLOOKUP($A354,'The List'!$B1:$AS730,33,FALSE)," ")</f>
        <v>885</v>
      </c>
      <c r="AA354" s="64"/>
      <c r="AB354" s="69"/>
      <c r="AC354" s="69"/>
      <c r="AD354" s="69"/>
      <c r="AE354" s="69"/>
      <c r="AF354" s="69"/>
    </row>
    <row r="355" ht="21.25" customHeight="1">
      <c r="A355" s="29"/>
      <c r="B355" t="s" s="71">
        <f>_xlfn.IFERROR(VLOOKUP($A355,'The List'!$B1:$AS730,3,FALSE)," ")</f>
        <v>885</v>
      </c>
      <c r="C355" t="s" s="73">
        <f>_xlfn.IFERROR(VLOOKUP($A355,'The List'!$B1:$AS730,4,FALSE)," ")</f>
        <v>885</v>
      </c>
      <c r="D355" t="s" s="42">
        <f>_xlfn.IFERROR(VLOOKUP($A355,'The List'!$B1:$AS730,5,FALSE)," ")</f>
        <v>885</v>
      </c>
      <c r="E355" t="s" s="42">
        <f>_xlfn.IFERROR(VLOOKUP($A355,'The List'!$B1:$AS730,6,FALSE)," ")</f>
        <v>885</v>
      </c>
      <c r="F355" t="s" s="60">
        <f>_xlfn.IFERROR(VLOOKUP($A355,'The List'!$B1:$AS730,8,FALSE)," ")</f>
        <v>885</v>
      </c>
      <c r="G355" t="s" s="60">
        <f>_xlfn.IFERROR(VLOOKUP($A355,'The List'!$B1:$AS730,10,FALSE)," ")</f>
        <v>885</v>
      </c>
      <c r="H355" s="46"/>
      <c r="I355" t="s" s="61">
        <f>_xlfn.IFERROR(VLOOKUP($A355,'The List'!$B1:$AS730,16,FALSE)," ")</f>
        <v>885</v>
      </c>
      <c r="J355" t="s" s="61">
        <f>_xlfn.IFERROR(VLOOKUP($A355,'The List'!$B1:$AS730,17,FALSE)," ")</f>
        <v>885</v>
      </c>
      <c r="K355" t="s" s="61">
        <f>_xlfn.IFERROR(VLOOKUP($A355,'The List'!$B1:$AS730,18,FALSE)," ")</f>
        <v>885</v>
      </c>
      <c r="L355" t="s" s="61">
        <f>_xlfn.IFERROR(VLOOKUP($A355,'The List'!$B1:$AS730,19,FALSE)," ")</f>
        <v>885</v>
      </c>
      <c r="M355" t="s" s="61">
        <f>_xlfn.IFERROR(VLOOKUP($A355,'The List'!$B1:$AS730,20,FALSE)," ")</f>
        <v>885</v>
      </c>
      <c r="N355" t="s" s="61">
        <f>_xlfn.IFERROR(VLOOKUP($A355,'The List'!$B1:$AS730,21,FALSE)," ")</f>
        <v>885</v>
      </c>
      <c r="O355" t="s" s="61">
        <f>_xlfn.IFERROR(VLOOKUP($A355,'The List'!$B1:$AS730,22,FALSE)," ")</f>
        <v>885</v>
      </c>
      <c r="P355" t="s" s="61">
        <f>_xlfn.IFERROR(VLOOKUP($A355,'The List'!$B1:$AS730,23,FALSE)," ")</f>
        <v>885</v>
      </c>
      <c r="Q355" t="s" s="61">
        <f>_xlfn.IFERROR(VLOOKUP($A355,'The List'!$B1:$AS730,24,FALSE)," ")</f>
        <v>885</v>
      </c>
      <c r="R355" t="s" s="61">
        <f>_xlfn.IFERROR(VLOOKUP($A355,'The List'!$B1:$AS730,25,FALSE)," ")</f>
        <v>885</v>
      </c>
      <c r="S355" t="s" s="61">
        <f>_xlfn.IFERROR(VLOOKUP($A355,'The List'!$B1:$AS730,26,FALSE)," ")</f>
        <v>885</v>
      </c>
      <c r="T355" t="s" s="61">
        <f>_xlfn.IFERROR(VLOOKUP($A355,'The List'!$B1:$AS730,27,FALSE)," ")</f>
        <v>885</v>
      </c>
      <c r="U355" t="s" s="61">
        <f>_xlfn.IFERROR(VLOOKUP($A355,'The List'!$B1:$AS730,28,FALSE)," ")</f>
        <v>885</v>
      </c>
      <c r="V355" t="s" s="61">
        <f>_xlfn.IFERROR(VLOOKUP($A355,'The List'!$B1:$AS730,29,FALSE)," ")</f>
        <v>885</v>
      </c>
      <c r="W355" t="s" s="61">
        <f>_xlfn.IFERROR(VLOOKUP($A355,'The List'!$B1:$AS730,30,FALSE)," ")</f>
        <v>885</v>
      </c>
      <c r="X355" t="s" s="61">
        <f>_xlfn.IFERROR(VLOOKUP($A355,'The List'!$B1:$AS730,31,FALSE)," ")</f>
        <v>885</v>
      </c>
      <c r="Y355" t="s" s="61">
        <f>_xlfn.IFERROR(VLOOKUP($A355,'The List'!$B1:$AS730,32,FALSE)," ")</f>
        <v>885</v>
      </c>
      <c r="Z355" t="s" s="61">
        <f>_xlfn.IFERROR(VLOOKUP($A355,'The List'!$B1:$AS730,33,FALSE)," ")</f>
        <v>885</v>
      </c>
      <c r="AA355" s="64"/>
      <c r="AB355" s="69"/>
      <c r="AC355" s="69"/>
      <c r="AD355" s="69"/>
      <c r="AE355" s="69"/>
      <c r="AF355" s="69"/>
    </row>
    <row r="356" ht="21.25" customHeight="1">
      <c r="A356" s="29"/>
      <c r="B356" t="s" s="71">
        <f>_xlfn.IFERROR(VLOOKUP($A356,'The List'!$B1:$AS730,3,FALSE)," ")</f>
        <v>885</v>
      </c>
      <c r="C356" t="s" s="73">
        <f>_xlfn.IFERROR(VLOOKUP($A356,'The List'!$B1:$AS730,4,FALSE)," ")</f>
        <v>885</v>
      </c>
      <c r="D356" t="s" s="42">
        <f>_xlfn.IFERROR(VLOOKUP($A356,'The List'!$B1:$AS730,5,FALSE)," ")</f>
        <v>885</v>
      </c>
      <c r="E356" t="s" s="42">
        <f>_xlfn.IFERROR(VLOOKUP($A356,'The List'!$B1:$AS730,6,FALSE)," ")</f>
        <v>885</v>
      </c>
      <c r="F356" t="s" s="60">
        <f>_xlfn.IFERROR(VLOOKUP($A356,'The List'!$B1:$AS730,8,FALSE)," ")</f>
        <v>885</v>
      </c>
      <c r="G356" t="s" s="60">
        <f>_xlfn.IFERROR(VLOOKUP($A356,'The List'!$B1:$AS730,10,FALSE)," ")</f>
        <v>885</v>
      </c>
      <c r="H356" s="46"/>
      <c r="I356" t="s" s="61">
        <f>_xlfn.IFERROR(VLOOKUP($A356,'The List'!$B1:$AS730,16,FALSE)," ")</f>
        <v>885</v>
      </c>
      <c r="J356" t="s" s="61">
        <f>_xlfn.IFERROR(VLOOKUP($A356,'The List'!$B1:$AS730,17,FALSE)," ")</f>
        <v>885</v>
      </c>
      <c r="K356" t="s" s="61">
        <f>_xlfn.IFERROR(VLOOKUP($A356,'The List'!$B1:$AS730,18,FALSE)," ")</f>
        <v>885</v>
      </c>
      <c r="L356" t="s" s="61">
        <f>_xlfn.IFERROR(VLOOKUP($A356,'The List'!$B1:$AS730,19,FALSE)," ")</f>
        <v>885</v>
      </c>
      <c r="M356" t="s" s="61">
        <f>_xlfn.IFERROR(VLOOKUP($A356,'The List'!$B1:$AS730,20,FALSE)," ")</f>
        <v>885</v>
      </c>
      <c r="N356" t="s" s="61">
        <f>_xlfn.IFERROR(VLOOKUP($A356,'The List'!$B1:$AS730,21,FALSE)," ")</f>
        <v>885</v>
      </c>
      <c r="O356" t="s" s="61">
        <f>_xlfn.IFERROR(VLOOKUP($A356,'The List'!$B1:$AS730,22,FALSE)," ")</f>
        <v>885</v>
      </c>
      <c r="P356" t="s" s="61">
        <f>_xlfn.IFERROR(VLOOKUP($A356,'The List'!$B1:$AS730,23,FALSE)," ")</f>
        <v>885</v>
      </c>
      <c r="Q356" t="s" s="61">
        <f>_xlfn.IFERROR(VLOOKUP($A356,'The List'!$B1:$AS730,24,FALSE)," ")</f>
        <v>885</v>
      </c>
      <c r="R356" t="s" s="61">
        <f>_xlfn.IFERROR(VLOOKUP($A356,'The List'!$B1:$AS730,25,FALSE)," ")</f>
        <v>885</v>
      </c>
      <c r="S356" t="s" s="61">
        <f>_xlfn.IFERROR(VLOOKUP($A356,'The List'!$B1:$AS730,26,FALSE)," ")</f>
        <v>885</v>
      </c>
      <c r="T356" t="s" s="61">
        <f>_xlfn.IFERROR(VLOOKUP($A356,'The List'!$B1:$AS730,27,FALSE)," ")</f>
        <v>885</v>
      </c>
      <c r="U356" t="s" s="61">
        <f>_xlfn.IFERROR(VLOOKUP($A356,'The List'!$B1:$AS730,28,FALSE)," ")</f>
        <v>885</v>
      </c>
      <c r="V356" t="s" s="61">
        <f>_xlfn.IFERROR(VLOOKUP($A356,'The List'!$B1:$AS730,29,FALSE)," ")</f>
        <v>885</v>
      </c>
      <c r="W356" t="s" s="61">
        <f>_xlfn.IFERROR(VLOOKUP($A356,'The List'!$B1:$AS730,30,FALSE)," ")</f>
        <v>885</v>
      </c>
      <c r="X356" t="s" s="61">
        <f>_xlfn.IFERROR(VLOOKUP($A356,'The List'!$B1:$AS730,31,FALSE)," ")</f>
        <v>885</v>
      </c>
      <c r="Y356" t="s" s="61">
        <f>_xlfn.IFERROR(VLOOKUP($A356,'The List'!$B1:$AS730,32,FALSE)," ")</f>
        <v>885</v>
      </c>
      <c r="Z356" t="s" s="61">
        <f>_xlfn.IFERROR(VLOOKUP($A356,'The List'!$B1:$AS730,33,FALSE)," ")</f>
        <v>885</v>
      </c>
      <c r="AA356" s="64"/>
      <c r="AB356" s="69"/>
      <c r="AC356" s="69"/>
      <c r="AD356" s="69"/>
      <c r="AE356" s="69"/>
      <c r="AF356" s="69"/>
    </row>
    <row r="357" ht="21.25" customHeight="1">
      <c r="A357" s="29"/>
      <c r="B357" t="s" s="71">
        <f>_xlfn.IFERROR(VLOOKUP($A357,'The List'!$B1:$AS730,3,FALSE)," ")</f>
        <v>885</v>
      </c>
      <c r="C357" t="s" s="73">
        <f>_xlfn.IFERROR(VLOOKUP($A357,'The List'!$B1:$AS730,4,FALSE)," ")</f>
        <v>885</v>
      </c>
      <c r="D357" t="s" s="42">
        <f>_xlfn.IFERROR(VLOOKUP($A357,'The List'!$B1:$AS730,5,FALSE)," ")</f>
        <v>885</v>
      </c>
      <c r="E357" t="s" s="42">
        <f>_xlfn.IFERROR(VLOOKUP($A357,'The List'!$B1:$AS730,6,FALSE)," ")</f>
        <v>885</v>
      </c>
      <c r="F357" t="s" s="60">
        <f>_xlfn.IFERROR(VLOOKUP($A357,'The List'!$B1:$AS730,8,FALSE)," ")</f>
        <v>885</v>
      </c>
      <c r="G357" t="s" s="60">
        <f>_xlfn.IFERROR(VLOOKUP($A357,'The List'!$B1:$AS730,10,FALSE)," ")</f>
        <v>885</v>
      </c>
      <c r="H357" s="46"/>
      <c r="I357" t="s" s="61">
        <f>_xlfn.IFERROR(VLOOKUP($A357,'The List'!$B1:$AS730,16,FALSE)," ")</f>
        <v>885</v>
      </c>
      <c r="J357" t="s" s="61">
        <f>_xlfn.IFERROR(VLOOKUP($A357,'The List'!$B1:$AS730,17,FALSE)," ")</f>
        <v>885</v>
      </c>
      <c r="K357" t="s" s="61">
        <f>_xlfn.IFERROR(VLOOKUP($A357,'The List'!$B1:$AS730,18,FALSE)," ")</f>
        <v>885</v>
      </c>
      <c r="L357" t="s" s="61">
        <f>_xlfn.IFERROR(VLOOKUP($A357,'The List'!$B1:$AS730,19,FALSE)," ")</f>
        <v>885</v>
      </c>
      <c r="M357" t="s" s="61">
        <f>_xlfn.IFERROR(VLOOKUP($A357,'The List'!$B1:$AS730,20,FALSE)," ")</f>
        <v>885</v>
      </c>
      <c r="N357" t="s" s="61">
        <f>_xlfn.IFERROR(VLOOKUP($A357,'The List'!$B1:$AS730,21,FALSE)," ")</f>
        <v>885</v>
      </c>
      <c r="O357" t="s" s="61">
        <f>_xlfn.IFERROR(VLOOKUP($A357,'The List'!$B1:$AS730,22,FALSE)," ")</f>
        <v>885</v>
      </c>
      <c r="P357" t="s" s="61">
        <f>_xlfn.IFERROR(VLOOKUP($A357,'The List'!$B1:$AS730,23,FALSE)," ")</f>
        <v>885</v>
      </c>
      <c r="Q357" t="s" s="61">
        <f>_xlfn.IFERROR(VLOOKUP($A357,'The List'!$B1:$AS730,24,FALSE)," ")</f>
        <v>885</v>
      </c>
      <c r="R357" t="s" s="61">
        <f>_xlfn.IFERROR(VLOOKUP($A357,'The List'!$B1:$AS730,25,FALSE)," ")</f>
        <v>885</v>
      </c>
      <c r="S357" t="s" s="61">
        <f>_xlfn.IFERROR(VLOOKUP($A357,'The List'!$B1:$AS730,26,FALSE)," ")</f>
        <v>885</v>
      </c>
      <c r="T357" t="s" s="61">
        <f>_xlfn.IFERROR(VLOOKUP($A357,'The List'!$B1:$AS730,27,FALSE)," ")</f>
        <v>885</v>
      </c>
      <c r="U357" t="s" s="61">
        <f>_xlfn.IFERROR(VLOOKUP($A357,'The List'!$B1:$AS730,28,FALSE)," ")</f>
        <v>885</v>
      </c>
      <c r="V357" t="s" s="61">
        <f>_xlfn.IFERROR(VLOOKUP($A357,'The List'!$B1:$AS730,29,FALSE)," ")</f>
        <v>885</v>
      </c>
      <c r="W357" t="s" s="61">
        <f>_xlfn.IFERROR(VLOOKUP($A357,'The List'!$B1:$AS730,30,FALSE)," ")</f>
        <v>885</v>
      </c>
      <c r="X357" t="s" s="61">
        <f>_xlfn.IFERROR(VLOOKUP($A357,'The List'!$B1:$AS730,31,FALSE)," ")</f>
        <v>885</v>
      </c>
      <c r="Y357" t="s" s="61">
        <f>_xlfn.IFERROR(VLOOKUP($A357,'The List'!$B1:$AS730,32,FALSE)," ")</f>
        <v>885</v>
      </c>
      <c r="Z357" t="s" s="61">
        <f>_xlfn.IFERROR(VLOOKUP($A357,'The List'!$B1:$AS730,33,FALSE)," ")</f>
        <v>885</v>
      </c>
      <c r="AA357" s="64"/>
      <c r="AB357" s="69"/>
      <c r="AC357" s="69"/>
      <c r="AD357" s="69"/>
      <c r="AE357" s="69"/>
      <c r="AF357" s="69"/>
    </row>
    <row r="358" ht="21.25" customHeight="1">
      <c r="A358" s="29"/>
      <c r="B358" t="s" s="74">
        <f>_xlfn.IFERROR(VLOOKUP($A358,'The List'!$B1:$AS730,3,FALSE)," ")</f>
        <v>885</v>
      </c>
      <c r="C358" t="s" s="76">
        <f>_xlfn.IFERROR(VLOOKUP($A358,'The List'!$B1:$AS730,4,FALSE)," ")</f>
        <v>885</v>
      </c>
      <c r="D358" t="s" s="42">
        <f>_xlfn.IFERROR(VLOOKUP($A358,'The List'!$B1:$AS730,5,FALSE)," ")</f>
        <v>885</v>
      </c>
      <c r="E358" t="s" s="42">
        <f>_xlfn.IFERROR(VLOOKUP($A358,'The List'!$B1:$AS730,6,FALSE)," ")</f>
        <v>885</v>
      </c>
      <c r="F358" t="s" s="60">
        <f>_xlfn.IFERROR(VLOOKUP($A358,'The List'!$B1:$AS730,8,FALSE)," ")</f>
        <v>885</v>
      </c>
      <c r="G358" t="s" s="60">
        <f>_xlfn.IFERROR(VLOOKUP($A358,'The List'!$B1:$AS730,10,FALSE)," ")</f>
        <v>885</v>
      </c>
      <c r="H358" s="46"/>
      <c r="I358" t="s" s="61">
        <f>_xlfn.IFERROR(VLOOKUP($A358,'The List'!$B1:$AS730,16,FALSE)," ")</f>
        <v>885</v>
      </c>
      <c r="J358" t="s" s="61">
        <f>_xlfn.IFERROR(VLOOKUP($A358,'The List'!$B1:$AS730,17,FALSE)," ")</f>
        <v>885</v>
      </c>
      <c r="K358" t="s" s="61">
        <f>_xlfn.IFERROR(VLOOKUP($A358,'The List'!$B1:$AS730,18,FALSE)," ")</f>
        <v>885</v>
      </c>
      <c r="L358" t="s" s="61">
        <f>_xlfn.IFERROR(VLOOKUP($A358,'The List'!$B1:$AS730,19,FALSE)," ")</f>
        <v>885</v>
      </c>
      <c r="M358" t="s" s="61">
        <f>_xlfn.IFERROR(VLOOKUP($A358,'The List'!$B1:$AS730,20,FALSE)," ")</f>
        <v>885</v>
      </c>
      <c r="N358" t="s" s="61">
        <f>_xlfn.IFERROR(VLOOKUP($A358,'The List'!$B1:$AS730,21,FALSE)," ")</f>
        <v>885</v>
      </c>
      <c r="O358" t="s" s="61">
        <f>_xlfn.IFERROR(VLOOKUP($A358,'The List'!$B1:$AS730,22,FALSE)," ")</f>
        <v>885</v>
      </c>
      <c r="P358" t="s" s="61">
        <f>_xlfn.IFERROR(VLOOKUP($A358,'The List'!$B1:$AS730,23,FALSE)," ")</f>
        <v>885</v>
      </c>
      <c r="Q358" t="s" s="61">
        <f>_xlfn.IFERROR(VLOOKUP($A358,'The List'!$B1:$AS730,24,FALSE)," ")</f>
        <v>885</v>
      </c>
      <c r="R358" t="s" s="61">
        <f>_xlfn.IFERROR(VLOOKUP($A358,'The List'!$B1:$AS730,25,FALSE)," ")</f>
        <v>885</v>
      </c>
      <c r="S358" t="s" s="61">
        <f>_xlfn.IFERROR(VLOOKUP($A358,'The List'!$B1:$AS730,26,FALSE)," ")</f>
        <v>885</v>
      </c>
      <c r="T358" t="s" s="61">
        <f>_xlfn.IFERROR(VLOOKUP($A358,'The List'!$B1:$AS730,27,FALSE)," ")</f>
        <v>885</v>
      </c>
      <c r="U358" t="s" s="61">
        <f>_xlfn.IFERROR(VLOOKUP($A358,'The List'!$B1:$AS730,28,FALSE)," ")</f>
        <v>885</v>
      </c>
      <c r="V358" t="s" s="61">
        <f>_xlfn.IFERROR(VLOOKUP($A358,'The List'!$B1:$AS730,29,FALSE)," ")</f>
        <v>885</v>
      </c>
      <c r="W358" t="s" s="61">
        <f>_xlfn.IFERROR(VLOOKUP($A358,'The List'!$B1:$AS730,30,FALSE)," ")</f>
        <v>885</v>
      </c>
      <c r="X358" t="s" s="61">
        <f>_xlfn.IFERROR(VLOOKUP($A358,'The List'!$B1:$AS730,31,FALSE)," ")</f>
        <v>885</v>
      </c>
      <c r="Y358" t="s" s="61">
        <f>_xlfn.IFERROR(VLOOKUP($A358,'The List'!$B1:$AS730,32,FALSE)," ")</f>
        <v>885</v>
      </c>
      <c r="Z358" t="s" s="61">
        <f>_xlfn.IFERROR(VLOOKUP($A358,'The List'!$B1:$AS730,33,FALSE)," ")</f>
        <v>885</v>
      </c>
      <c r="AA358" s="64"/>
      <c r="AB358" s="69"/>
      <c r="AC358" s="69"/>
      <c r="AD358" s="69"/>
      <c r="AE358" s="69"/>
      <c r="AF358" s="69"/>
    </row>
    <row r="359" ht="21.25" customHeight="1">
      <c r="A359" s="29"/>
      <c r="B359" t="s" s="74">
        <f>_xlfn.IFERROR(VLOOKUP($A359,'The List'!$B1:$AS730,3,FALSE)," ")</f>
        <v>885</v>
      </c>
      <c r="C359" t="s" s="76">
        <f>_xlfn.IFERROR(VLOOKUP($A359,'The List'!$B1:$AS730,4,FALSE)," ")</f>
        <v>885</v>
      </c>
      <c r="D359" t="s" s="42">
        <f>_xlfn.IFERROR(VLOOKUP($A359,'The List'!$B1:$AS730,5,FALSE)," ")</f>
        <v>885</v>
      </c>
      <c r="E359" t="s" s="42">
        <f>_xlfn.IFERROR(VLOOKUP($A359,'The List'!$B1:$AS730,6,FALSE)," ")</f>
        <v>885</v>
      </c>
      <c r="F359" t="s" s="60">
        <f>_xlfn.IFERROR(VLOOKUP($A359,'The List'!$B1:$AS730,8,FALSE)," ")</f>
        <v>885</v>
      </c>
      <c r="G359" t="s" s="60">
        <f>_xlfn.IFERROR(VLOOKUP($A359,'The List'!$B1:$AS730,10,FALSE)," ")</f>
        <v>885</v>
      </c>
      <c r="H359" s="46"/>
      <c r="I359" t="s" s="61">
        <f>_xlfn.IFERROR(VLOOKUP($A359,'The List'!$B1:$AS730,16,FALSE)," ")</f>
        <v>885</v>
      </c>
      <c r="J359" t="s" s="61">
        <f>_xlfn.IFERROR(VLOOKUP($A359,'The List'!$B1:$AS730,17,FALSE)," ")</f>
        <v>885</v>
      </c>
      <c r="K359" t="s" s="61">
        <f>_xlfn.IFERROR(VLOOKUP($A359,'The List'!$B1:$AS730,18,FALSE)," ")</f>
        <v>885</v>
      </c>
      <c r="L359" t="s" s="61">
        <f>_xlfn.IFERROR(VLOOKUP($A359,'The List'!$B1:$AS730,19,FALSE)," ")</f>
        <v>885</v>
      </c>
      <c r="M359" t="s" s="61">
        <f>_xlfn.IFERROR(VLOOKUP($A359,'The List'!$B1:$AS730,20,FALSE)," ")</f>
        <v>885</v>
      </c>
      <c r="N359" t="s" s="61">
        <f>_xlfn.IFERROR(VLOOKUP($A359,'The List'!$B1:$AS730,21,FALSE)," ")</f>
        <v>885</v>
      </c>
      <c r="O359" t="s" s="61">
        <f>_xlfn.IFERROR(VLOOKUP($A359,'The List'!$B1:$AS730,22,FALSE)," ")</f>
        <v>885</v>
      </c>
      <c r="P359" t="s" s="61">
        <f>_xlfn.IFERROR(VLOOKUP($A359,'The List'!$B1:$AS730,23,FALSE)," ")</f>
        <v>885</v>
      </c>
      <c r="Q359" t="s" s="61">
        <f>_xlfn.IFERROR(VLOOKUP($A359,'The List'!$B1:$AS730,24,FALSE)," ")</f>
        <v>885</v>
      </c>
      <c r="R359" t="s" s="61">
        <f>_xlfn.IFERROR(VLOOKUP($A359,'The List'!$B1:$AS730,25,FALSE)," ")</f>
        <v>885</v>
      </c>
      <c r="S359" t="s" s="61">
        <f>_xlfn.IFERROR(VLOOKUP($A359,'The List'!$B1:$AS730,26,FALSE)," ")</f>
        <v>885</v>
      </c>
      <c r="T359" t="s" s="61">
        <f>_xlfn.IFERROR(VLOOKUP($A359,'The List'!$B1:$AS730,27,FALSE)," ")</f>
        <v>885</v>
      </c>
      <c r="U359" t="s" s="61">
        <f>_xlfn.IFERROR(VLOOKUP($A359,'The List'!$B1:$AS730,28,FALSE)," ")</f>
        <v>885</v>
      </c>
      <c r="V359" t="s" s="61">
        <f>_xlfn.IFERROR(VLOOKUP($A359,'The List'!$B1:$AS730,29,FALSE)," ")</f>
        <v>885</v>
      </c>
      <c r="W359" t="s" s="61">
        <f>_xlfn.IFERROR(VLOOKUP($A359,'The List'!$B1:$AS730,30,FALSE)," ")</f>
        <v>885</v>
      </c>
      <c r="X359" t="s" s="61">
        <f>_xlfn.IFERROR(VLOOKUP($A359,'The List'!$B1:$AS730,31,FALSE)," ")</f>
        <v>885</v>
      </c>
      <c r="Y359" t="s" s="61">
        <f>_xlfn.IFERROR(VLOOKUP($A359,'The List'!$B1:$AS730,32,FALSE)," ")</f>
        <v>885</v>
      </c>
      <c r="Z359" t="s" s="61">
        <f>_xlfn.IFERROR(VLOOKUP($A359,'The List'!$B1:$AS730,33,FALSE)," ")</f>
        <v>885</v>
      </c>
      <c r="AA359" s="64"/>
      <c r="AB359" s="69"/>
      <c r="AC359" s="69"/>
      <c r="AD359" s="69"/>
      <c r="AE359" s="69"/>
      <c r="AF359" s="69"/>
    </row>
    <row r="360" ht="21.25" customHeight="1">
      <c r="A360" s="29"/>
      <c r="B360" t="s" s="74">
        <f>_xlfn.IFERROR(VLOOKUP($A360,'The List'!$B1:$AS730,3,FALSE)," ")</f>
        <v>885</v>
      </c>
      <c r="C360" t="s" s="76">
        <f>_xlfn.IFERROR(VLOOKUP($A360,'The List'!$B1:$AS730,4,FALSE)," ")</f>
        <v>885</v>
      </c>
      <c r="D360" t="s" s="42">
        <f>_xlfn.IFERROR(VLOOKUP($A360,'The List'!$B1:$AS730,5,FALSE)," ")</f>
        <v>885</v>
      </c>
      <c r="E360" t="s" s="42">
        <f>_xlfn.IFERROR(VLOOKUP($A360,'The List'!$B1:$AS730,6,FALSE)," ")</f>
        <v>885</v>
      </c>
      <c r="F360" t="s" s="60">
        <f>_xlfn.IFERROR(VLOOKUP($A360,'The List'!$B1:$AS730,8,FALSE)," ")</f>
        <v>885</v>
      </c>
      <c r="G360" t="s" s="60">
        <f>_xlfn.IFERROR(VLOOKUP($A360,'The List'!$B1:$AS730,10,FALSE)," ")</f>
        <v>885</v>
      </c>
      <c r="H360" s="46"/>
      <c r="I360" t="s" s="61">
        <f>_xlfn.IFERROR(VLOOKUP($A360,'The List'!$B1:$AS730,16,FALSE)," ")</f>
        <v>885</v>
      </c>
      <c r="J360" t="s" s="61">
        <f>_xlfn.IFERROR(VLOOKUP($A360,'The List'!$B1:$AS730,17,FALSE)," ")</f>
        <v>885</v>
      </c>
      <c r="K360" t="s" s="61">
        <f>_xlfn.IFERROR(VLOOKUP($A360,'The List'!$B1:$AS730,18,FALSE)," ")</f>
        <v>885</v>
      </c>
      <c r="L360" t="s" s="61">
        <f>_xlfn.IFERROR(VLOOKUP($A360,'The List'!$B1:$AS730,19,FALSE)," ")</f>
        <v>885</v>
      </c>
      <c r="M360" t="s" s="61">
        <f>_xlfn.IFERROR(VLOOKUP($A360,'The List'!$B1:$AS730,20,FALSE)," ")</f>
        <v>885</v>
      </c>
      <c r="N360" t="s" s="61">
        <f>_xlfn.IFERROR(VLOOKUP($A360,'The List'!$B1:$AS730,21,FALSE)," ")</f>
        <v>885</v>
      </c>
      <c r="O360" t="s" s="61">
        <f>_xlfn.IFERROR(VLOOKUP($A360,'The List'!$B1:$AS730,22,FALSE)," ")</f>
        <v>885</v>
      </c>
      <c r="P360" t="s" s="61">
        <f>_xlfn.IFERROR(VLOOKUP($A360,'The List'!$B1:$AS730,23,FALSE)," ")</f>
        <v>885</v>
      </c>
      <c r="Q360" t="s" s="61">
        <f>_xlfn.IFERROR(VLOOKUP($A360,'The List'!$B1:$AS730,24,FALSE)," ")</f>
        <v>885</v>
      </c>
      <c r="R360" t="s" s="61">
        <f>_xlfn.IFERROR(VLOOKUP($A360,'The List'!$B1:$AS730,25,FALSE)," ")</f>
        <v>885</v>
      </c>
      <c r="S360" t="s" s="61">
        <f>_xlfn.IFERROR(VLOOKUP($A360,'The List'!$B1:$AS730,26,FALSE)," ")</f>
        <v>885</v>
      </c>
      <c r="T360" t="s" s="61">
        <f>_xlfn.IFERROR(VLOOKUP($A360,'The List'!$B1:$AS730,27,FALSE)," ")</f>
        <v>885</v>
      </c>
      <c r="U360" t="s" s="61">
        <f>_xlfn.IFERROR(VLOOKUP($A360,'The List'!$B1:$AS730,28,FALSE)," ")</f>
        <v>885</v>
      </c>
      <c r="V360" t="s" s="61">
        <f>_xlfn.IFERROR(VLOOKUP($A360,'The List'!$B1:$AS730,29,FALSE)," ")</f>
        <v>885</v>
      </c>
      <c r="W360" t="s" s="61">
        <f>_xlfn.IFERROR(VLOOKUP($A360,'The List'!$B1:$AS730,30,FALSE)," ")</f>
        <v>885</v>
      </c>
      <c r="X360" t="s" s="61">
        <f>_xlfn.IFERROR(VLOOKUP($A360,'The List'!$B1:$AS730,31,FALSE)," ")</f>
        <v>885</v>
      </c>
      <c r="Y360" t="s" s="61">
        <f>_xlfn.IFERROR(VLOOKUP($A360,'The List'!$B1:$AS730,32,FALSE)," ")</f>
        <v>885</v>
      </c>
      <c r="Z360" t="s" s="61">
        <f>_xlfn.IFERROR(VLOOKUP($A360,'The List'!$B1:$AS730,33,FALSE)," ")</f>
        <v>885</v>
      </c>
      <c r="AA360" s="64"/>
      <c r="AB360" s="69"/>
      <c r="AC360" s="69"/>
      <c r="AD360" s="69"/>
      <c r="AE360" s="69"/>
      <c r="AF360" s="69"/>
    </row>
    <row r="361" ht="21.25" customHeight="1">
      <c r="A361" s="29"/>
      <c r="B361" t="s" s="74">
        <f>_xlfn.IFERROR(VLOOKUP($A361,'The List'!$B1:$AS730,3,FALSE)," ")</f>
        <v>885</v>
      </c>
      <c r="C361" t="s" s="76">
        <f>_xlfn.IFERROR(VLOOKUP($A361,'The List'!$B1:$AS730,4,FALSE)," ")</f>
        <v>885</v>
      </c>
      <c r="D361" t="s" s="42">
        <f>_xlfn.IFERROR(VLOOKUP($A361,'The List'!$B1:$AS730,5,FALSE)," ")</f>
        <v>885</v>
      </c>
      <c r="E361" t="s" s="42">
        <f>_xlfn.IFERROR(VLOOKUP($A361,'The List'!$B1:$AS730,6,FALSE)," ")</f>
        <v>885</v>
      </c>
      <c r="F361" t="s" s="60">
        <f>_xlfn.IFERROR(VLOOKUP($A361,'The List'!$B1:$AS730,8,FALSE)," ")</f>
        <v>885</v>
      </c>
      <c r="G361" t="s" s="60">
        <f>_xlfn.IFERROR(VLOOKUP($A361,'The List'!$B1:$AS730,10,FALSE)," ")</f>
        <v>885</v>
      </c>
      <c r="H361" s="46"/>
      <c r="I361" t="s" s="61">
        <f>_xlfn.IFERROR(VLOOKUP($A361,'The List'!$B1:$AS730,16,FALSE)," ")</f>
        <v>885</v>
      </c>
      <c r="J361" t="s" s="61">
        <f>_xlfn.IFERROR(VLOOKUP($A361,'The List'!$B1:$AS730,17,FALSE)," ")</f>
        <v>885</v>
      </c>
      <c r="K361" t="s" s="61">
        <f>_xlfn.IFERROR(VLOOKUP($A361,'The List'!$B1:$AS730,18,FALSE)," ")</f>
        <v>885</v>
      </c>
      <c r="L361" t="s" s="61">
        <f>_xlfn.IFERROR(VLOOKUP($A361,'The List'!$B1:$AS730,19,FALSE)," ")</f>
        <v>885</v>
      </c>
      <c r="M361" t="s" s="61">
        <f>_xlfn.IFERROR(VLOOKUP($A361,'The List'!$B1:$AS730,20,FALSE)," ")</f>
        <v>885</v>
      </c>
      <c r="N361" t="s" s="61">
        <f>_xlfn.IFERROR(VLOOKUP($A361,'The List'!$B1:$AS730,21,FALSE)," ")</f>
        <v>885</v>
      </c>
      <c r="O361" t="s" s="61">
        <f>_xlfn.IFERROR(VLOOKUP($A361,'The List'!$B1:$AS730,22,FALSE)," ")</f>
        <v>885</v>
      </c>
      <c r="P361" t="s" s="61">
        <f>_xlfn.IFERROR(VLOOKUP($A361,'The List'!$B1:$AS730,23,FALSE)," ")</f>
        <v>885</v>
      </c>
      <c r="Q361" t="s" s="61">
        <f>_xlfn.IFERROR(VLOOKUP($A361,'The List'!$B1:$AS730,24,FALSE)," ")</f>
        <v>885</v>
      </c>
      <c r="R361" t="s" s="61">
        <f>_xlfn.IFERROR(VLOOKUP($A361,'The List'!$B1:$AS730,25,FALSE)," ")</f>
        <v>885</v>
      </c>
      <c r="S361" t="s" s="61">
        <f>_xlfn.IFERROR(VLOOKUP($A361,'The List'!$B1:$AS730,26,FALSE)," ")</f>
        <v>885</v>
      </c>
      <c r="T361" t="s" s="61">
        <f>_xlfn.IFERROR(VLOOKUP($A361,'The List'!$B1:$AS730,27,FALSE)," ")</f>
        <v>885</v>
      </c>
      <c r="U361" t="s" s="61">
        <f>_xlfn.IFERROR(VLOOKUP($A361,'The List'!$B1:$AS730,28,FALSE)," ")</f>
        <v>885</v>
      </c>
      <c r="V361" t="s" s="61">
        <f>_xlfn.IFERROR(VLOOKUP($A361,'The List'!$B1:$AS730,29,FALSE)," ")</f>
        <v>885</v>
      </c>
      <c r="W361" t="s" s="61">
        <f>_xlfn.IFERROR(VLOOKUP($A361,'The List'!$B1:$AS730,30,FALSE)," ")</f>
        <v>885</v>
      </c>
      <c r="X361" t="s" s="61">
        <f>_xlfn.IFERROR(VLOOKUP($A361,'The List'!$B1:$AS730,31,FALSE)," ")</f>
        <v>885</v>
      </c>
      <c r="Y361" t="s" s="61">
        <f>_xlfn.IFERROR(VLOOKUP($A361,'The List'!$B1:$AS730,32,FALSE)," ")</f>
        <v>885</v>
      </c>
      <c r="Z361" t="s" s="61">
        <f>_xlfn.IFERROR(VLOOKUP($A361,'The List'!$B1:$AS730,33,FALSE)," ")</f>
        <v>885</v>
      </c>
      <c r="AA361" s="64"/>
      <c r="AB361" s="69"/>
      <c r="AC361" s="69"/>
      <c r="AD361" s="69"/>
      <c r="AE361" s="69"/>
      <c r="AF361" s="69"/>
    </row>
    <row r="362" ht="21.25" customHeight="1">
      <c r="A362" s="29"/>
      <c r="B362" t="s" s="77">
        <f>_xlfn.IFERROR(VLOOKUP($A362,'The List'!$B1:$AS730,3,FALSE)," ")</f>
        <v>885</v>
      </c>
      <c r="C362" t="s" s="79">
        <f>_xlfn.IFERROR(VLOOKUP($A362,'The List'!$B1:$AS730,4,FALSE)," ")</f>
        <v>885</v>
      </c>
      <c r="D362" t="s" s="42">
        <f>_xlfn.IFERROR(VLOOKUP($A362,'The List'!$B1:$AS730,5,FALSE)," ")</f>
        <v>885</v>
      </c>
      <c r="E362" t="s" s="42">
        <f>_xlfn.IFERROR(VLOOKUP($A362,'The List'!$B1:$AS730,6,FALSE)," ")</f>
        <v>885</v>
      </c>
      <c r="F362" t="s" s="60">
        <f>_xlfn.IFERROR(VLOOKUP($A362,'The List'!$B1:$AS730,8,FALSE)," ")</f>
        <v>885</v>
      </c>
      <c r="G362" t="s" s="60">
        <f>_xlfn.IFERROR(VLOOKUP($A362,'The List'!$B1:$AS730,10,FALSE)," ")</f>
        <v>885</v>
      </c>
      <c r="H362" s="46"/>
      <c r="I362" t="s" s="61">
        <f>_xlfn.IFERROR(VLOOKUP($A362,'The List'!$B1:$AS730,16,FALSE)," ")</f>
        <v>885</v>
      </c>
      <c r="J362" t="s" s="61">
        <f>_xlfn.IFERROR(VLOOKUP($A362,'The List'!$B1:$AS730,17,FALSE)," ")</f>
        <v>885</v>
      </c>
      <c r="K362" t="s" s="61">
        <f>_xlfn.IFERROR(VLOOKUP($A362,'The List'!$B1:$AS730,18,FALSE)," ")</f>
        <v>885</v>
      </c>
      <c r="L362" t="s" s="61">
        <f>_xlfn.IFERROR(VLOOKUP($A362,'The List'!$B1:$AS730,19,FALSE)," ")</f>
        <v>885</v>
      </c>
      <c r="M362" t="s" s="61">
        <f>_xlfn.IFERROR(VLOOKUP($A362,'The List'!$B1:$AS730,20,FALSE)," ")</f>
        <v>885</v>
      </c>
      <c r="N362" t="s" s="61">
        <f>_xlfn.IFERROR(VLOOKUP($A362,'The List'!$B1:$AS730,21,FALSE)," ")</f>
        <v>885</v>
      </c>
      <c r="O362" t="s" s="61">
        <f>_xlfn.IFERROR(VLOOKUP($A362,'The List'!$B1:$AS730,22,FALSE)," ")</f>
        <v>885</v>
      </c>
      <c r="P362" t="s" s="61">
        <f>_xlfn.IFERROR(VLOOKUP($A362,'The List'!$B1:$AS730,23,FALSE)," ")</f>
        <v>885</v>
      </c>
      <c r="Q362" t="s" s="61">
        <f>_xlfn.IFERROR(VLOOKUP($A362,'The List'!$B1:$AS730,24,FALSE)," ")</f>
        <v>885</v>
      </c>
      <c r="R362" t="s" s="61">
        <f>_xlfn.IFERROR(VLOOKUP($A362,'The List'!$B1:$AS730,25,FALSE)," ")</f>
        <v>885</v>
      </c>
      <c r="S362" t="s" s="61">
        <f>_xlfn.IFERROR(VLOOKUP($A362,'The List'!$B1:$AS730,26,FALSE)," ")</f>
        <v>885</v>
      </c>
      <c r="T362" t="s" s="61">
        <f>_xlfn.IFERROR(VLOOKUP($A362,'The List'!$B1:$AS730,27,FALSE)," ")</f>
        <v>885</v>
      </c>
      <c r="U362" t="s" s="61">
        <f>_xlfn.IFERROR(VLOOKUP($A362,'The List'!$B1:$AS730,28,FALSE)," ")</f>
        <v>885</v>
      </c>
      <c r="V362" t="s" s="61">
        <f>_xlfn.IFERROR(VLOOKUP($A362,'The List'!$B1:$AS730,29,FALSE)," ")</f>
        <v>885</v>
      </c>
      <c r="W362" t="s" s="61">
        <f>_xlfn.IFERROR(VLOOKUP($A362,'The List'!$B1:$AS730,30,FALSE)," ")</f>
        <v>885</v>
      </c>
      <c r="X362" t="s" s="61">
        <f>_xlfn.IFERROR(VLOOKUP($A362,'The List'!$B1:$AS730,31,FALSE)," ")</f>
        <v>885</v>
      </c>
      <c r="Y362" t="s" s="61">
        <f>_xlfn.IFERROR(VLOOKUP($A362,'The List'!$B1:$AS730,32,FALSE)," ")</f>
        <v>885</v>
      </c>
      <c r="Z362" t="s" s="61">
        <f>_xlfn.IFERROR(VLOOKUP($A362,'The List'!$B1:$AS730,33,FALSE)," ")</f>
        <v>885</v>
      </c>
      <c r="AA362" s="64"/>
      <c r="AB362" s="69"/>
      <c r="AC362" s="69"/>
      <c r="AD362" s="69"/>
      <c r="AE362" s="69"/>
      <c r="AF362" s="69"/>
    </row>
    <row r="363" ht="21.25" customHeight="1">
      <c r="A363" s="29"/>
      <c r="B363" t="s" s="77">
        <f>_xlfn.IFERROR(VLOOKUP($A363,'The List'!$B1:$AS730,3,FALSE)," ")</f>
        <v>885</v>
      </c>
      <c r="C363" t="s" s="79">
        <f>_xlfn.IFERROR(VLOOKUP($A363,'The List'!$B1:$AS730,4,FALSE)," ")</f>
        <v>885</v>
      </c>
      <c r="D363" t="s" s="42">
        <f>_xlfn.IFERROR(VLOOKUP($A363,'The List'!$B1:$AS730,5,FALSE)," ")</f>
        <v>885</v>
      </c>
      <c r="E363" t="s" s="42">
        <f>_xlfn.IFERROR(VLOOKUP($A363,'The List'!$B1:$AS730,6,FALSE)," ")</f>
        <v>885</v>
      </c>
      <c r="F363" t="s" s="60">
        <f>_xlfn.IFERROR(VLOOKUP($A363,'The List'!$B1:$AS730,8,FALSE)," ")</f>
        <v>885</v>
      </c>
      <c r="G363" t="s" s="60">
        <f>_xlfn.IFERROR(VLOOKUP($A363,'The List'!$B1:$AS730,10,FALSE)," ")</f>
        <v>885</v>
      </c>
      <c r="H363" s="46"/>
      <c r="I363" t="s" s="61">
        <f>_xlfn.IFERROR(VLOOKUP($A363,'The List'!$B1:$AS730,16,FALSE)," ")</f>
        <v>885</v>
      </c>
      <c r="J363" t="s" s="61">
        <f>_xlfn.IFERROR(VLOOKUP($A363,'The List'!$B1:$AS730,17,FALSE)," ")</f>
        <v>885</v>
      </c>
      <c r="K363" t="s" s="61">
        <f>_xlfn.IFERROR(VLOOKUP($A363,'The List'!$B1:$AS730,18,FALSE)," ")</f>
        <v>885</v>
      </c>
      <c r="L363" t="s" s="61">
        <f>_xlfn.IFERROR(VLOOKUP($A363,'The List'!$B1:$AS730,19,FALSE)," ")</f>
        <v>885</v>
      </c>
      <c r="M363" t="s" s="61">
        <f>_xlfn.IFERROR(VLOOKUP($A363,'The List'!$B1:$AS730,20,FALSE)," ")</f>
        <v>885</v>
      </c>
      <c r="N363" t="s" s="61">
        <f>_xlfn.IFERROR(VLOOKUP($A363,'The List'!$B1:$AS730,21,FALSE)," ")</f>
        <v>885</v>
      </c>
      <c r="O363" t="s" s="61">
        <f>_xlfn.IFERROR(VLOOKUP($A363,'The List'!$B1:$AS730,22,FALSE)," ")</f>
        <v>885</v>
      </c>
      <c r="P363" t="s" s="61">
        <f>_xlfn.IFERROR(VLOOKUP($A363,'The List'!$B1:$AS730,23,FALSE)," ")</f>
        <v>885</v>
      </c>
      <c r="Q363" t="s" s="61">
        <f>_xlfn.IFERROR(VLOOKUP($A363,'The List'!$B1:$AS730,24,FALSE)," ")</f>
        <v>885</v>
      </c>
      <c r="R363" t="s" s="61">
        <f>_xlfn.IFERROR(VLOOKUP($A363,'The List'!$B1:$AS730,25,FALSE)," ")</f>
        <v>885</v>
      </c>
      <c r="S363" t="s" s="61">
        <f>_xlfn.IFERROR(VLOOKUP($A363,'The List'!$B1:$AS730,26,FALSE)," ")</f>
        <v>885</v>
      </c>
      <c r="T363" t="s" s="61">
        <f>_xlfn.IFERROR(VLOOKUP($A363,'The List'!$B1:$AS730,27,FALSE)," ")</f>
        <v>885</v>
      </c>
      <c r="U363" t="s" s="61">
        <f>_xlfn.IFERROR(VLOOKUP($A363,'The List'!$B1:$AS730,28,FALSE)," ")</f>
        <v>885</v>
      </c>
      <c r="V363" t="s" s="61">
        <f>_xlfn.IFERROR(VLOOKUP($A363,'The List'!$B1:$AS730,29,FALSE)," ")</f>
        <v>885</v>
      </c>
      <c r="W363" t="s" s="61">
        <f>_xlfn.IFERROR(VLOOKUP($A363,'The List'!$B1:$AS730,30,FALSE)," ")</f>
        <v>885</v>
      </c>
      <c r="X363" t="s" s="61">
        <f>_xlfn.IFERROR(VLOOKUP($A363,'The List'!$B1:$AS730,31,FALSE)," ")</f>
        <v>885</v>
      </c>
      <c r="Y363" t="s" s="61">
        <f>_xlfn.IFERROR(VLOOKUP($A363,'The List'!$B1:$AS730,32,FALSE)," ")</f>
        <v>885</v>
      </c>
      <c r="Z363" t="s" s="61">
        <f>_xlfn.IFERROR(VLOOKUP($A363,'The List'!$B1:$AS730,33,FALSE)," ")</f>
        <v>885</v>
      </c>
      <c r="AA363" s="64"/>
      <c r="AB363" s="69"/>
      <c r="AC363" s="69"/>
      <c r="AD363" s="69"/>
      <c r="AE363" s="69"/>
      <c r="AF363" s="69"/>
    </row>
    <row r="364" ht="21.25" customHeight="1">
      <c r="A364" s="29"/>
      <c r="B364" t="s" s="77">
        <f>_xlfn.IFERROR(VLOOKUP($A364,'The List'!$B1:$AS730,3,FALSE)," ")</f>
        <v>885</v>
      </c>
      <c r="C364" t="s" s="79">
        <f>_xlfn.IFERROR(VLOOKUP($A364,'The List'!$B1:$AS730,4,FALSE)," ")</f>
        <v>885</v>
      </c>
      <c r="D364" t="s" s="42">
        <f>_xlfn.IFERROR(VLOOKUP($A364,'The List'!$B1:$AS730,5,FALSE)," ")</f>
        <v>885</v>
      </c>
      <c r="E364" t="s" s="42">
        <f>_xlfn.IFERROR(VLOOKUP($A364,'The List'!$B1:$AS730,6,FALSE)," ")</f>
        <v>885</v>
      </c>
      <c r="F364" t="s" s="60">
        <f>_xlfn.IFERROR(VLOOKUP($A364,'The List'!$B1:$AS730,8,FALSE)," ")</f>
        <v>885</v>
      </c>
      <c r="G364" t="s" s="60">
        <f>_xlfn.IFERROR(VLOOKUP($A364,'The List'!$B1:$AS730,10,FALSE)," ")</f>
        <v>885</v>
      </c>
      <c r="H364" s="46"/>
      <c r="I364" t="s" s="61">
        <f>_xlfn.IFERROR(VLOOKUP($A364,'The List'!$B1:$AS730,16,FALSE)," ")</f>
        <v>885</v>
      </c>
      <c r="J364" t="s" s="61">
        <f>_xlfn.IFERROR(VLOOKUP($A364,'The List'!$B1:$AS730,17,FALSE)," ")</f>
        <v>885</v>
      </c>
      <c r="K364" t="s" s="61">
        <f>_xlfn.IFERROR(VLOOKUP($A364,'The List'!$B1:$AS730,18,FALSE)," ")</f>
        <v>885</v>
      </c>
      <c r="L364" t="s" s="61">
        <f>_xlfn.IFERROR(VLOOKUP($A364,'The List'!$B1:$AS730,19,FALSE)," ")</f>
        <v>885</v>
      </c>
      <c r="M364" t="s" s="61">
        <f>_xlfn.IFERROR(VLOOKUP($A364,'The List'!$B1:$AS730,20,FALSE)," ")</f>
        <v>885</v>
      </c>
      <c r="N364" t="s" s="61">
        <f>_xlfn.IFERROR(VLOOKUP($A364,'The List'!$B1:$AS730,21,FALSE)," ")</f>
        <v>885</v>
      </c>
      <c r="O364" t="s" s="61">
        <f>_xlfn.IFERROR(VLOOKUP($A364,'The List'!$B1:$AS730,22,FALSE)," ")</f>
        <v>885</v>
      </c>
      <c r="P364" t="s" s="61">
        <f>_xlfn.IFERROR(VLOOKUP($A364,'The List'!$B1:$AS730,23,FALSE)," ")</f>
        <v>885</v>
      </c>
      <c r="Q364" t="s" s="61">
        <f>_xlfn.IFERROR(VLOOKUP($A364,'The List'!$B1:$AS730,24,FALSE)," ")</f>
        <v>885</v>
      </c>
      <c r="R364" t="s" s="61">
        <f>_xlfn.IFERROR(VLOOKUP($A364,'The List'!$B1:$AS730,25,FALSE)," ")</f>
        <v>885</v>
      </c>
      <c r="S364" t="s" s="61">
        <f>_xlfn.IFERROR(VLOOKUP($A364,'The List'!$B1:$AS730,26,FALSE)," ")</f>
        <v>885</v>
      </c>
      <c r="T364" t="s" s="61">
        <f>_xlfn.IFERROR(VLOOKUP($A364,'The List'!$B1:$AS730,27,FALSE)," ")</f>
        <v>885</v>
      </c>
      <c r="U364" t="s" s="61">
        <f>_xlfn.IFERROR(VLOOKUP($A364,'The List'!$B1:$AS730,28,FALSE)," ")</f>
        <v>885</v>
      </c>
      <c r="V364" t="s" s="61">
        <f>_xlfn.IFERROR(VLOOKUP($A364,'The List'!$B1:$AS730,29,FALSE)," ")</f>
        <v>885</v>
      </c>
      <c r="W364" t="s" s="61">
        <f>_xlfn.IFERROR(VLOOKUP($A364,'The List'!$B1:$AS730,30,FALSE)," ")</f>
        <v>885</v>
      </c>
      <c r="X364" t="s" s="61">
        <f>_xlfn.IFERROR(VLOOKUP($A364,'The List'!$B1:$AS730,31,FALSE)," ")</f>
        <v>885</v>
      </c>
      <c r="Y364" t="s" s="61">
        <f>_xlfn.IFERROR(VLOOKUP($A364,'The List'!$B1:$AS730,32,FALSE)," ")</f>
        <v>885</v>
      </c>
      <c r="Z364" t="s" s="61">
        <f>_xlfn.IFERROR(VLOOKUP($A364,'The List'!$B1:$AS730,33,FALSE)," ")</f>
        <v>885</v>
      </c>
      <c r="AA364" s="64"/>
      <c r="AB364" s="69"/>
      <c r="AC364" s="69"/>
      <c r="AD364" s="69"/>
      <c r="AE364" s="69"/>
      <c r="AF364" s="69"/>
    </row>
    <row r="365" ht="21.25" customHeight="1">
      <c r="A365" s="29"/>
      <c r="B365" t="s" s="77">
        <f>_xlfn.IFERROR(VLOOKUP($A365,'The List'!$B1:$AS730,3,FALSE)," ")</f>
        <v>885</v>
      </c>
      <c r="C365" t="s" s="79">
        <f>_xlfn.IFERROR(VLOOKUP($A365,'The List'!$B1:$AS730,4,FALSE)," ")</f>
        <v>885</v>
      </c>
      <c r="D365" t="s" s="42">
        <f>_xlfn.IFERROR(VLOOKUP($A365,'The List'!$B1:$AS730,5,FALSE)," ")</f>
        <v>885</v>
      </c>
      <c r="E365" t="s" s="42">
        <f>_xlfn.IFERROR(VLOOKUP($A365,'The List'!$B1:$AS730,6,FALSE)," ")</f>
        <v>885</v>
      </c>
      <c r="F365" t="s" s="60">
        <f>_xlfn.IFERROR(VLOOKUP($A365,'The List'!$B1:$AS730,8,FALSE)," ")</f>
        <v>885</v>
      </c>
      <c r="G365" t="s" s="60">
        <f>_xlfn.IFERROR(VLOOKUP($A365,'The List'!$B1:$AS730,10,FALSE)," ")</f>
        <v>885</v>
      </c>
      <c r="H365" s="46"/>
      <c r="I365" t="s" s="61">
        <f>_xlfn.IFERROR(VLOOKUP($A365,'The List'!$B1:$AS730,16,FALSE)," ")</f>
        <v>885</v>
      </c>
      <c r="J365" t="s" s="61">
        <f>_xlfn.IFERROR(VLOOKUP($A365,'The List'!$B1:$AS730,17,FALSE)," ")</f>
        <v>885</v>
      </c>
      <c r="K365" t="s" s="61">
        <f>_xlfn.IFERROR(VLOOKUP($A365,'The List'!$B1:$AS730,18,FALSE)," ")</f>
        <v>885</v>
      </c>
      <c r="L365" t="s" s="61">
        <f>_xlfn.IFERROR(VLOOKUP($A365,'The List'!$B1:$AS730,19,FALSE)," ")</f>
        <v>885</v>
      </c>
      <c r="M365" t="s" s="61">
        <f>_xlfn.IFERROR(VLOOKUP($A365,'The List'!$B1:$AS730,20,FALSE)," ")</f>
        <v>885</v>
      </c>
      <c r="N365" t="s" s="61">
        <f>_xlfn.IFERROR(VLOOKUP($A365,'The List'!$B1:$AS730,21,FALSE)," ")</f>
        <v>885</v>
      </c>
      <c r="O365" t="s" s="61">
        <f>_xlfn.IFERROR(VLOOKUP($A365,'The List'!$B1:$AS730,22,FALSE)," ")</f>
        <v>885</v>
      </c>
      <c r="P365" t="s" s="61">
        <f>_xlfn.IFERROR(VLOOKUP($A365,'The List'!$B1:$AS730,23,FALSE)," ")</f>
        <v>885</v>
      </c>
      <c r="Q365" t="s" s="61">
        <f>_xlfn.IFERROR(VLOOKUP($A365,'The List'!$B1:$AS730,24,FALSE)," ")</f>
        <v>885</v>
      </c>
      <c r="R365" t="s" s="61">
        <f>_xlfn.IFERROR(VLOOKUP($A365,'The List'!$B1:$AS730,25,FALSE)," ")</f>
        <v>885</v>
      </c>
      <c r="S365" t="s" s="61">
        <f>_xlfn.IFERROR(VLOOKUP($A365,'The List'!$B1:$AS730,26,FALSE)," ")</f>
        <v>885</v>
      </c>
      <c r="T365" t="s" s="61">
        <f>_xlfn.IFERROR(VLOOKUP($A365,'The List'!$B1:$AS730,27,FALSE)," ")</f>
        <v>885</v>
      </c>
      <c r="U365" t="s" s="61">
        <f>_xlfn.IFERROR(VLOOKUP($A365,'The List'!$B1:$AS730,28,FALSE)," ")</f>
        <v>885</v>
      </c>
      <c r="V365" t="s" s="61">
        <f>_xlfn.IFERROR(VLOOKUP($A365,'The List'!$B1:$AS730,29,FALSE)," ")</f>
        <v>885</v>
      </c>
      <c r="W365" t="s" s="61">
        <f>_xlfn.IFERROR(VLOOKUP($A365,'The List'!$B1:$AS730,30,FALSE)," ")</f>
        <v>885</v>
      </c>
      <c r="X365" t="s" s="61">
        <f>_xlfn.IFERROR(VLOOKUP($A365,'The List'!$B1:$AS730,31,FALSE)," ")</f>
        <v>885</v>
      </c>
      <c r="Y365" t="s" s="61">
        <f>_xlfn.IFERROR(VLOOKUP($A365,'The List'!$B1:$AS730,32,FALSE)," ")</f>
        <v>885</v>
      </c>
      <c r="Z365" t="s" s="61">
        <f>_xlfn.IFERROR(VLOOKUP($A365,'The List'!$B1:$AS730,33,FALSE)," ")</f>
        <v>885</v>
      </c>
      <c r="AA365" s="64"/>
      <c r="AB365" s="69"/>
      <c r="AC365" s="69"/>
      <c r="AD365" s="69"/>
      <c r="AE365" s="69"/>
      <c r="AF365" s="69"/>
    </row>
    <row r="366" ht="21.25" customHeight="1">
      <c r="A366" s="29"/>
      <c r="B366" t="s" s="77">
        <f>_xlfn.IFERROR(VLOOKUP($A366,'The List'!$B1:$AS730,3,FALSE)," ")</f>
        <v>885</v>
      </c>
      <c r="C366" t="s" s="79">
        <f>_xlfn.IFERROR(VLOOKUP($A366,'The List'!$B1:$AS730,4,FALSE)," ")</f>
        <v>885</v>
      </c>
      <c r="D366" t="s" s="42">
        <f>_xlfn.IFERROR(VLOOKUP($A366,'The List'!$B1:$AS730,5,FALSE)," ")</f>
        <v>885</v>
      </c>
      <c r="E366" t="s" s="42">
        <f>_xlfn.IFERROR(VLOOKUP($A366,'The List'!$B1:$AS730,6,FALSE)," ")</f>
        <v>885</v>
      </c>
      <c r="F366" t="s" s="60">
        <f>_xlfn.IFERROR(VLOOKUP($A366,'The List'!$B1:$AS730,8,FALSE)," ")</f>
        <v>885</v>
      </c>
      <c r="G366" t="s" s="60">
        <f>_xlfn.IFERROR(VLOOKUP($A366,'The List'!$B1:$AS730,10,FALSE)," ")</f>
        <v>885</v>
      </c>
      <c r="H366" s="46"/>
      <c r="I366" t="s" s="61">
        <f>_xlfn.IFERROR(VLOOKUP($A366,'The List'!$B1:$AS730,16,FALSE)," ")</f>
        <v>885</v>
      </c>
      <c r="J366" t="s" s="61">
        <f>_xlfn.IFERROR(VLOOKUP($A366,'The List'!$B1:$AS730,17,FALSE)," ")</f>
        <v>885</v>
      </c>
      <c r="K366" t="s" s="61">
        <f>_xlfn.IFERROR(VLOOKUP($A366,'The List'!$B1:$AS730,18,FALSE)," ")</f>
        <v>885</v>
      </c>
      <c r="L366" t="s" s="61">
        <f>_xlfn.IFERROR(VLOOKUP($A366,'The List'!$B1:$AS730,19,FALSE)," ")</f>
        <v>885</v>
      </c>
      <c r="M366" t="s" s="61">
        <f>_xlfn.IFERROR(VLOOKUP($A366,'The List'!$B1:$AS730,20,FALSE)," ")</f>
        <v>885</v>
      </c>
      <c r="N366" t="s" s="61">
        <f>_xlfn.IFERROR(VLOOKUP($A366,'The List'!$B1:$AS730,21,FALSE)," ")</f>
        <v>885</v>
      </c>
      <c r="O366" t="s" s="61">
        <f>_xlfn.IFERROR(VLOOKUP($A366,'The List'!$B1:$AS730,22,FALSE)," ")</f>
        <v>885</v>
      </c>
      <c r="P366" t="s" s="61">
        <f>_xlfn.IFERROR(VLOOKUP($A366,'The List'!$B1:$AS730,23,FALSE)," ")</f>
        <v>885</v>
      </c>
      <c r="Q366" t="s" s="61">
        <f>_xlfn.IFERROR(VLOOKUP($A366,'The List'!$B1:$AS730,24,FALSE)," ")</f>
        <v>885</v>
      </c>
      <c r="R366" t="s" s="61">
        <f>_xlfn.IFERROR(VLOOKUP($A366,'The List'!$B1:$AS730,25,FALSE)," ")</f>
        <v>885</v>
      </c>
      <c r="S366" t="s" s="61">
        <f>_xlfn.IFERROR(VLOOKUP($A366,'The List'!$B1:$AS730,26,FALSE)," ")</f>
        <v>885</v>
      </c>
      <c r="T366" t="s" s="61">
        <f>_xlfn.IFERROR(VLOOKUP($A366,'The List'!$B1:$AS730,27,FALSE)," ")</f>
        <v>885</v>
      </c>
      <c r="U366" t="s" s="61">
        <f>_xlfn.IFERROR(VLOOKUP($A366,'The List'!$B1:$AS730,28,FALSE)," ")</f>
        <v>885</v>
      </c>
      <c r="V366" t="s" s="61">
        <f>_xlfn.IFERROR(VLOOKUP($A366,'The List'!$B1:$AS730,29,FALSE)," ")</f>
        <v>885</v>
      </c>
      <c r="W366" t="s" s="61">
        <f>_xlfn.IFERROR(VLOOKUP($A366,'The List'!$B1:$AS730,30,FALSE)," ")</f>
        <v>885</v>
      </c>
      <c r="X366" t="s" s="61">
        <f>_xlfn.IFERROR(VLOOKUP($A366,'The List'!$B1:$AS730,31,FALSE)," ")</f>
        <v>885</v>
      </c>
      <c r="Y366" t="s" s="61">
        <f>_xlfn.IFERROR(VLOOKUP($A366,'The List'!$B1:$AS730,32,FALSE)," ")</f>
        <v>885</v>
      </c>
      <c r="Z366" t="s" s="61">
        <f>_xlfn.IFERROR(VLOOKUP($A366,'The List'!$B1:$AS730,33,FALSE)," ")</f>
        <v>885</v>
      </c>
      <c r="AA366" s="64"/>
      <c r="AB366" s="69"/>
      <c r="AC366" s="69"/>
      <c r="AD366" s="69"/>
      <c r="AE366" s="69"/>
      <c r="AF366" s="69"/>
    </row>
    <row r="367" ht="21.25" customHeight="1">
      <c r="A367" s="29"/>
      <c r="B367" t="s" s="77">
        <f>_xlfn.IFERROR(VLOOKUP($A367,'The List'!$B1:$AS730,3,FALSE)," ")</f>
        <v>885</v>
      </c>
      <c r="C367" t="s" s="79">
        <f>_xlfn.IFERROR(VLOOKUP($A367,'The List'!$B1:$AS730,4,FALSE)," ")</f>
        <v>885</v>
      </c>
      <c r="D367" t="s" s="42">
        <f>_xlfn.IFERROR(VLOOKUP($A367,'The List'!$B1:$AS730,5,FALSE)," ")</f>
        <v>885</v>
      </c>
      <c r="E367" t="s" s="42">
        <f>_xlfn.IFERROR(VLOOKUP($A367,'The List'!$B1:$AS730,6,FALSE)," ")</f>
        <v>885</v>
      </c>
      <c r="F367" t="s" s="60">
        <f>_xlfn.IFERROR(VLOOKUP($A367,'The List'!$B1:$AS730,8,FALSE)," ")</f>
        <v>885</v>
      </c>
      <c r="G367" t="s" s="60">
        <f>_xlfn.IFERROR(VLOOKUP($A367,'The List'!$B1:$AS730,10,FALSE)," ")</f>
        <v>885</v>
      </c>
      <c r="H367" s="46"/>
      <c r="I367" t="s" s="61">
        <f>_xlfn.IFERROR(VLOOKUP($A367,'The List'!$B1:$AS730,16,FALSE)," ")</f>
        <v>885</v>
      </c>
      <c r="J367" t="s" s="61">
        <f>_xlfn.IFERROR(VLOOKUP($A367,'The List'!$B1:$AS730,17,FALSE)," ")</f>
        <v>885</v>
      </c>
      <c r="K367" t="s" s="61">
        <f>_xlfn.IFERROR(VLOOKUP($A367,'The List'!$B1:$AS730,18,FALSE)," ")</f>
        <v>885</v>
      </c>
      <c r="L367" t="s" s="61">
        <f>_xlfn.IFERROR(VLOOKUP($A367,'The List'!$B1:$AS730,19,FALSE)," ")</f>
        <v>885</v>
      </c>
      <c r="M367" t="s" s="61">
        <f>_xlfn.IFERROR(VLOOKUP($A367,'The List'!$B1:$AS730,20,FALSE)," ")</f>
        <v>885</v>
      </c>
      <c r="N367" t="s" s="61">
        <f>_xlfn.IFERROR(VLOOKUP($A367,'The List'!$B1:$AS730,21,FALSE)," ")</f>
        <v>885</v>
      </c>
      <c r="O367" t="s" s="61">
        <f>_xlfn.IFERROR(VLOOKUP($A367,'The List'!$B1:$AS730,22,FALSE)," ")</f>
        <v>885</v>
      </c>
      <c r="P367" t="s" s="61">
        <f>_xlfn.IFERROR(VLOOKUP($A367,'The List'!$B1:$AS730,23,FALSE)," ")</f>
        <v>885</v>
      </c>
      <c r="Q367" t="s" s="61">
        <f>_xlfn.IFERROR(VLOOKUP($A367,'The List'!$B1:$AS730,24,FALSE)," ")</f>
        <v>885</v>
      </c>
      <c r="R367" t="s" s="61">
        <f>_xlfn.IFERROR(VLOOKUP($A367,'The List'!$B1:$AS730,25,FALSE)," ")</f>
        <v>885</v>
      </c>
      <c r="S367" t="s" s="61">
        <f>_xlfn.IFERROR(VLOOKUP($A367,'The List'!$B1:$AS730,26,FALSE)," ")</f>
        <v>885</v>
      </c>
      <c r="T367" t="s" s="61">
        <f>_xlfn.IFERROR(VLOOKUP($A367,'The List'!$B1:$AS730,27,FALSE)," ")</f>
        <v>885</v>
      </c>
      <c r="U367" t="s" s="61">
        <f>_xlfn.IFERROR(VLOOKUP($A367,'The List'!$B1:$AS730,28,FALSE)," ")</f>
        <v>885</v>
      </c>
      <c r="V367" t="s" s="61">
        <f>_xlfn.IFERROR(VLOOKUP($A367,'The List'!$B1:$AS730,29,FALSE)," ")</f>
        <v>885</v>
      </c>
      <c r="W367" t="s" s="61">
        <f>_xlfn.IFERROR(VLOOKUP($A367,'The List'!$B1:$AS730,30,FALSE)," ")</f>
        <v>885</v>
      </c>
      <c r="X367" t="s" s="61">
        <f>_xlfn.IFERROR(VLOOKUP($A367,'The List'!$B1:$AS730,31,FALSE)," ")</f>
        <v>885</v>
      </c>
      <c r="Y367" t="s" s="61">
        <f>_xlfn.IFERROR(VLOOKUP($A367,'The List'!$B1:$AS730,32,FALSE)," ")</f>
        <v>885</v>
      </c>
      <c r="Z367" t="s" s="61">
        <f>_xlfn.IFERROR(VLOOKUP($A367,'The List'!$B1:$AS730,33,FALSE)," ")</f>
        <v>885</v>
      </c>
      <c r="AA367" s="64"/>
      <c r="AB367" s="69"/>
      <c r="AC367" s="69"/>
      <c r="AD367" s="69"/>
      <c r="AE367" s="69"/>
      <c r="AF367" s="69"/>
    </row>
    <row r="368" ht="21.25" customHeight="1">
      <c r="A368" s="29"/>
      <c r="B368" t="s" s="77">
        <f>_xlfn.IFERROR(VLOOKUP($A368,'The List'!$B1:$AS730,3,FALSE)," ")</f>
        <v>885</v>
      </c>
      <c r="C368" t="s" s="79">
        <f>_xlfn.IFERROR(VLOOKUP($A368,'The List'!$B1:$AS730,4,FALSE)," ")</f>
        <v>885</v>
      </c>
      <c r="D368" t="s" s="42">
        <f>_xlfn.IFERROR(VLOOKUP($A368,'The List'!$B1:$AS730,5,FALSE)," ")</f>
        <v>885</v>
      </c>
      <c r="E368" t="s" s="42">
        <f>_xlfn.IFERROR(VLOOKUP($A368,'The List'!$B1:$AS730,6,FALSE)," ")</f>
        <v>885</v>
      </c>
      <c r="F368" t="s" s="60">
        <f>_xlfn.IFERROR(VLOOKUP($A368,'The List'!$B1:$AS730,8,FALSE)," ")</f>
        <v>885</v>
      </c>
      <c r="G368" t="s" s="60">
        <f>_xlfn.IFERROR(VLOOKUP($A368,'The List'!$B1:$AS730,10,FALSE)," ")</f>
        <v>885</v>
      </c>
      <c r="H368" s="46"/>
      <c r="I368" t="s" s="61">
        <f>_xlfn.IFERROR(VLOOKUP($A368,'The List'!$B1:$AS730,16,FALSE)," ")</f>
        <v>885</v>
      </c>
      <c r="J368" t="s" s="61">
        <f>_xlfn.IFERROR(VLOOKUP($A368,'The List'!$B1:$AS730,17,FALSE)," ")</f>
        <v>885</v>
      </c>
      <c r="K368" t="s" s="61">
        <f>_xlfn.IFERROR(VLOOKUP($A368,'The List'!$B1:$AS730,18,FALSE)," ")</f>
        <v>885</v>
      </c>
      <c r="L368" t="s" s="61">
        <f>_xlfn.IFERROR(VLOOKUP($A368,'The List'!$B1:$AS730,19,FALSE)," ")</f>
        <v>885</v>
      </c>
      <c r="M368" t="s" s="61">
        <f>_xlfn.IFERROR(VLOOKUP($A368,'The List'!$B1:$AS730,20,FALSE)," ")</f>
        <v>885</v>
      </c>
      <c r="N368" t="s" s="61">
        <f>_xlfn.IFERROR(VLOOKUP($A368,'The List'!$B1:$AS730,21,FALSE)," ")</f>
        <v>885</v>
      </c>
      <c r="O368" t="s" s="61">
        <f>_xlfn.IFERROR(VLOOKUP($A368,'The List'!$B1:$AS730,22,FALSE)," ")</f>
        <v>885</v>
      </c>
      <c r="P368" t="s" s="61">
        <f>_xlfn.IFERROR(VLOOKUP($A368,'The List'!$B1:$AS730,23,FALSE)," ")</f>
        <v>885</v>
      </c>
      <c r="Q368" t="s" s="61">
        <f>_xlfn.IFERROR(VLOOKUP($A368,'The List'!$B1:$AS730,24,FALSE)," ")</f>
        <v>885</v>
      </c>
      <c r="R368" t="s" s="61">
        <f>_xlfn.IFERROR(VLOOKUP($A368,'The List'!$B1:$AS730,25,FALSE)," ")</f>
        <v>885</v>
      </c>
      <c r="S368" t="s" s="61">
        <f>_xlfn.IFERROR(VLOOKUP($A368,'The List'!$B1:$AS730,26,FALSE)," ")</f>
        <v>885</v>
      </c>
      <c r="T368" t="s" s="61">
        <f>_xlfn.IFERROR(VLOOKUP($A368,'The List'!$B1:$AS730,27,FALSE)," ")</f>
        <v>885</v>
      </c>
      <c r="U368" t="s" s="61">
        <f>_xlfn.IFERROR(VLOOKUP($A368,'The List'!$B1:$AS730,28,FALSE)," ")</f>
        <v>885</v>
      </c>
      <c r="V368" t="s" s="61">
        <f>_xlfn.IFERROR(VLOOKUP($A368,'The List'!$B1:$AS730,29,FALSE)," ")</f>
        <v>885</v>
      </c>
      <c r="W368" t="s" s="61">
        <f>_xlfn.IFERROR(VLOOKUP($A368,'The List'!$B1:$AS730,30,FALSE)," ")</f>
        <v>885</v>
      </c>
      <c r="X368" t="s" s="61">
        <f>_xlfn.IFERROR(VLOOKUP($A368,'The List'!$B1:$AS730,31,FALSE)," ")</f>
        <v>885</v>
      </c>
      <c r="Y368" t="s" s="61">
        <f>_xlfn.IFERROR(VLOOKUP($A368,'The List'!$B1:$AS730,32,FALSE)," ")</f>
        <v>885</v>
      </c>
      <c r="Z368" t="s" s="61">
        <f>_xlfn.IFERROR(VLOOKUP($A368,'The List'!$B1:$AS730,33,FALSE)," ")</f>
        <v>885</v>
      </c>
      <c r="AA368" s="64"/>
      <c r="AB368" s="69"/>
      <c r="AC368" s="69"/>
      <c r="AD368" s="69"/>
      <c r="AE368" s="69"/>
      <c r="AF368" s="69"/>
    </row>
    <row r="369" ht="21.25" customHeight="1">
      <c r="A369" s="81"/>
      <c r="B369" t="s" s="82">
        <f>_xlfn.IFERROR(VLOOKUP($A369,'The List'!$B1:$AS730,3,FALSE)," ")</f>
        <v>885</v>
      </c>
      <c r="C369" t="s" s="83">
        <f>_xlfn.IFERROR(VLOOKUP($A369,'The List'!$B1:$AS730,4,FALSE)," ")</f>
        <v>885</v>
      </c>
      <c r="D369" t="s" s="84">
        <f>_xlfn.IFERROR(VLOOKUP($A369,'The List'!$B1:$AS730,5,FALSE)," ")</f>
        <v>885</v>
      </c>
      <c r="E369" t="s" s="84">
        <f>_xlfn.IFERROR(VLOOKUP($A369,'The List'!$B1:$AS730,6,FALSE)," ")</f>
        <v>885</v>
      </c>
      <c r="F369" t="s" s="85">
        <f>_xlfn.IFERROR(VLOOKUP($A369,'The List'!$B1:$AS730,8,FALSE)," ")</f>
        <v>885</v>
      </c>
      <c r="G369" t="s" s="85">
        <f>_xlfn.IFERROR(VLOOKUP($A369,'The List'!$B1:$AS730,10,FALSE)," ")</f>
        <v>885</v>
      </c>
      <c r="H369" s="86"/>
      <c r="I369" t="s" s="87">
        <f>_xlfn.IFERROR(VLOOKUP($A369,'The List'!$B1:$AS730,16,FALSE)," ")</f>
        <v>885</v>
      </c>
      <c r="J369" t="s" s="87">
        <f>_xlfn.IFERROR(VLOOKUP($A369,'The List'!$B1:$AS730,17,FALSE)," ")</f>
        <v>885</v>
      </c>
      <c r="K369" t="s" s="87">
        <f>_xlfn.IFERROR(VLOOKUP($A369,'The List'!$B1:$AS730,18,FALSE)," ")</f>
        <v>885</v>
      </c>
      <c r="L369" t="s" s="87">
        <f>_xlfn.IFERROR(VLOOKUP($A369,'The List'!$B1:$AS730,19,FALSE)," ")</f>
        <v>885</v>
      </c>
      <c r="M369" t="s" s="87">
        <f>_xlfn.IFERROR(VLOOKUP($A369,'The List'!$B1:$AS730,20,FALSE)," ")</f>
        <v>885</v>
      </c>
      <c r="N369" t="s" s="87">
        <f>_xlfn.IFERROR(VLOOKUP($A369,'The List'!$B1:$AS730,21,FALSE)," ")</f>
        <v>885</v>
      </c>
      <c r="O369" t="s" s="87">
        <f>_xlfn.IFERROR(VLOOKUP($A369,'The List'!$B1:$AS730,22,FALSE)," ")</f>
        <v>885</v>
      </c>
      <c r="P369" t="s" s="87">
        <f>_xlfn.IFERROR(VLOOKUP($A369,'The List'!$B1:$AS730,23,FALSE)," ")</f>
        <v>885</v>
      </c>
      <c r="Q369" t="s" s="87">
        <f>_xlfn.IFERROR(VLOOKUP($A369,'The List'!$B1:$AS730,24,FALSE)," ")</f>
        <v>885</v>
      </c>
      <c r="R369" t="s" s="87">
        <f>_xlfn.IFERROR(VLOOKUP($A369,'The List'!$B1:$AS730,25,FALSE)," ")</f>
        <v>885</v>
      </c>
      <c r="S369" t="s" s="87">
        <f>_xlfn.IFERROR(VLOOKUP($A369,'The List'!$B1:$AS730,26,FALSE)," ")</f>
        <v>885</v>
      </c>
      <c r="T369" t="s" s="87">
        <f>_xlfn.IFERROR(VLOOKUP($A369,'The List'!$B1:$AS730,27,FALSE)," ")</f>
        <v>885</v>
      </c>
      <c r="U369" t="s" s="87">
        <f>_xlfn.IFERROR(VLOOKUP($A369,'The List'!$B1:$AS730,28,FALSE)," ")</f>
        <v>885</v>
      </c>
      <c r="V369" t="s" s="87">
        <f>_xlfn.IFERROR(VLOOKUP($A369,'The List'!$B1:$AS730,29,FALSE)," ")</f>
        <v>885</v>
      </c>
      <c r="W369" t="s" s="87">
        <f>_xlfn.IFERROR(VLOOKUP($A369,'The List'!$B1:$AS730,30,FALSE)," ")</f>
        <v>885</v>
      </c>
      <c r="X369" t="s" s="87">
        <f>_xlfn.IFERROR(VLOOKUP($A369,'The List'!$B1:$AS730,31,FALSE)," ")</f>
        <v>885</v>
      </c>
      <c r="Y369" t="s" s="87">
        <f>_xlfn.IFERROR(VLOOKUP($A369,'The List'!$B1:$AS730,32,FALSE)," ")</f>
        <v>885</v>
      </c>
      <c r="Z369" t="s" s="87">
        <f>_xlfn.IFERROR(VLOOKUP($A369,'The List'!$B1:$AS730,33,FALSE)," ")</f>
        <v>885</v>
      </c>
      <c r="AA369" s="64"/>
      <c r="AB369" s="69"/>
      <c r="AC369" s="69"/>
      <c r="AD369" s="69"/>
      <c r="AE369" s="69"/>
      <c r="AF369" s="69"/>
    </row>
    <row r="370" ht="21.25" customHeight="1">
      <c r="A370" s="88"/>
      <c r="B370" s="89"/>
      <c r="C370" s="90"/>
      <c r="D370" s="91"/>
      <c r="E370" t="s" s="127">
        <f>_xlfn.IFERROR(AVERAGE(E350:E369)," ")</f>
        <v>885</v>
      </c>
      <c r="F370" s="93">
        <f>SUM(F350:F369)</f>
        <v>0</v>
      </c>
      <c r="G370" s="93">
        <f>SUM(G350:G369)</f>
        <v>0</v>
      </c>
      <c r="H370" s="94"/>
      <c r="I370" s="95">
        <f>SUM(I350:I369)</f>
        <v>0</v>
      </c>
      <c r="J370" s="94">
        <f>AVERAGE(J350:J369)</f>
      </c>
      <c r="K370" s="95">
        <f>SUM(K350:K369)</f>
        <v>0</v>
      </c>
      <c r="L370" s="95">
        <f>SUM(L350:L369)</f>
        <v>0</v>
      </c>
      <c r="M370" s="95">
        <f>SUM(M350:M369)</f>
        <v>0</v>
      </c>
      <c r="N370" s="95">
        <f>SUM(N350:N369)</f>
        <v>0</v>
      </c>
      <c r="O370" s="95">
        <f>SUM(O350:O369)</f>
        <v>0</v>
      </c>
      <c r="P370" s="95">
        <f>SUM(P350:P369)</f>
        <v>0</v>
      </c>
      <c r="Q370" s="95">
        <f>SUM(Q350:Q369)</f>
        <v>0</v>
      </c>
      <c r="R370" s="95">
        <f>SUM(R350:R369)</f>
        <v>0</v>
      </c>
      <c r="S370" s="95">
        <f>SUM(S350:S369)</f>
        <v>0</v>
      </c>
      <c r="T370" s="95">
        <f>SUM(T350:T369)</f>
        <v>0</v>
      </c>
      <c r="U370" s="95">
        <f>SUM(U350:U369)</f>
        <v>0</v>
      </c>
      <c r="V370" s="95">
        <f>SUM(V350:V369)</f>
        <v>0</v>
      </c>
      <c r="W370" s="95">
        <f>SUM(W350:W369)</f>
        <v>0</v>
      </c>
      <c r="X370" s="95">
        <f>SUM(X350:X369)</f>
        <v>0</v>
      </c>
      <c r="Y370" s="95">
        <f>SUM(Y350:Y369)</f>
        <v>0</v>
      </c>
      <c r="Z370" s="96">
        <f>_xlfn.IFERROR(X370/(X370+Y370),0)</f>
        <v>0</v>
      </c>
      <c r="AA370" s="64"/>
      <c r="AB370" s="97"/>
      <c r="AC370" s="97"/>
      <c r="AD370" s="97"/>
      <c r="AE370" s="97"/>
      <c r="AF370" s="97"/>
    </row>
    <row r="371" ht="21.25" customHeight="1">
      <c r="A371" s="98"/>
      <c r="B371" s="99"/>
      <c r="C371" s="100"/>
      <c r="D371" s="11"/>
      <c r="E371" s="11"/>
      <c r="F371" s="101"/>
      <c r="G371" s="102"/>
      <c r="H371" s="103"/>
      <c r="I371" s="10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9"/>
      <c r="AC371" s="69"/>
      <c r="AD371" s="69"/>
      <c r="AE371" s="69"/>
      <c r="AF371" s="69"/>
    </row>
    <row r="372" ht="21.25" customHeight="1">
      <c r="A372" t="s" s="31">
        <v>66</v>
      </c>
      <c r="B372" t="s" s="105">
        <v>68</v>
      </c>
      <c r="C372" s="19"/>
      <c r="D372" t="s" s="105">
        <v>69</v>
      </c>
      <c r="E372" t="s" s="105">
        <v>70</v>
      </c>
      <c r="F372" t="s" s="106">
        <v>72</v>
      </c>
      <c r="G372" t="s" s="106">
        <v>74</v>
      </c>
      <c r="H372" s="107"/>
      <c r="I372" t="s" s="108">
        <v>79</v>
      </c>
      <c r="J372" t="s" s="108">
        <v>97</v>
      </c>
      <c r="K372" t="s" s="108">
        <v>98</v>
      </c>
      <c r="L372" t="s" s="108">
        <v>99</v>
      </c>
      <c r="M372" t="s" s="108">
        <v>100</v>
      </c>
      <c r="N372" t="s" s="108">
        <v>101</v>
      </c>
      <c r="O372" t="s" s="108">
        <v>102</v>
      </c>
      <c r="P372" t="s" s="108">
        <v>103</v>
      </c>
      <c r="Q372" t="s" s="108">
        <v>104</v>
      </c>
      <c r="R372" s="64"/>
      <c r="S372" s="64"/>
      <c r="T372" s="64"/>
      <c r="U372" t="s" s="105">
        <v>901</v>
      </c>
      <c r="V372" s="107"/>
      <c r="W372" s="107"/>
      <c r="X372" t="s" s="105">
        <v>902</v>
      </c>
      <c r="Y372" s="107"/>
      <c r="Z372" s="107"/>
      <c r="AA372" s="64"/>
      <c r="AB372" s="64"/>
      <c r="AC372" s="64"/>
      <c r="AD372" s="64"/>
      <c r="AE372" s="64"/>
      <c r="AF372" s="64"/>
    </row>
    <row r="373" ht="21.25" customHeight="1">
      <c r="A373" s="128"/>
      <c r="B373" t="s" s="110">
        <f>_xlfn.IFERROR(VLOOKUP($A373,'The List'!$B1:$AS730,3,FALSE)," ")</f>
        <v>885</v>
      </c>
      <c r="C373" t="s" s="129">
        <f>_xlfn.IFERROR(VLOOKUP($A373,'The List'!$B1:$AS730,4,FALSE)," ")</f>
        <v>885</v>
      </c>
      <c r="D373" t="s" s="112">
        <f>_xlfn.IFERROR(VLOOKUP($A373,'The List'!$B1:$AS730,5,FALSE)," ")</f>
        <v>885</v>
      </c>
      <c r="E373" t="s" s="112">
        <f>_xlfn.IFERROR(VLOOKUP($A373,'The List'!$B1:$AS730,6,FALSE)," ")</f>
        <v>885</v>
      </c>
      <c r="F373" t="s" s="130">
        <f>_xlfn.IFERROR(VLOOKUP($A373,'The List'!$B1:$AS730,8,FALSE)," ")</f>
        <v>885</v>
      </c>
      <c r="G373" t="s" s="130">
        <f>_xlfn.IFERROR(VLOOKUP($A373,'The List'!$B1:$AS730,10,FALSE)," ")</f>
        <v>885</v>
      </c>
      <c r="H373" s="115"/>
      <c r="I373" t="s" s="131">
        <f>_xlfn.IFERROR(VLOOKUP($A373,'The List'!$B1:$AS730,35,FALSE)," ")</f>
        <v>885</v>
      </c>
      <c r="J373" t="s" s="131">
        <f>_xlfn.IFERROR(VLOOKUP($A373,'The List'!$B1:$AS730,36,FALSE)," ")</f>
        <v>885</v>
      </c>
      <c r="K373" t="s" s="131">
        <f>_xlfn.IFERROR(VLOOKUP($A373,'The List'!$B1:$AS730,37,FALSE)," ")</f>
        <v>885</v>
      </c>
      <c r="L373" t="s" s="131">
        <f>_xlfn.IFERROR(VLOOKUP($A373,'The List'!$B1:$AS730,38,FALSE)," ")</f>
        <v>885</v>
      </c>
      <c r="M373" t="s" s="131">
        <f>_xlfn.IFERROR(VLOOKUP($A373,'The List'!$B1:$AS730,39,FALSE)," ")</f>
        <v>885</v>
      </c>
      <c r="N373" t="s" s="131">
        <f>_xlfn.IFERROR(VLOOKUP($A373,'The List'!$B1:$AS730,40,FALSE)," ")</f>
        <v>885</v>
      </c>
      <c r="O373" t="s" s="131">
        <f>_xlfn.IFERROR(VLOOKUP($A373,'The List'!$B1:$AS730,41,FALSE)," ")</f>
        <v>885</v>
      </c>
      <c r="P373" t="s" s="131">
        <f>_xlfn.IFERROR(VLOOKUP($A373,'The List'!$B1:$AS730,42,FALSE)," ")</f>
        <v>885</v>
      </c>
      <c r="Q373" t="s" s="131">
        <f>_xlfn.IFERROR(VLOOKUP($A373,'The List'!$B1:$AS730,43,FALSE)," ")</f>
        <v>885</v>
      </c>
      <c r="R373" s="64"/>
      <c r="S373" s="64"/>
      <c r="T373" t="s" s="119">
        <f>A349</f>
        <v>915</v>
      </c>
      <c r="U373" s="120">
        <f>F370+F376</f>
        <v>0</v>
      </c>
      <c r="V373" s="19"/>
      <c r="W373" s="19"/>
      <c r="X373" s="120">
        <f>G376+G370</f>
        <v>0</v>
      </c>
      <c r="Y373" s="19"/>
      <c r="Z373" s="19"/>
      <c r="AA373" s="64"/>
      <c r="AB373" s="64"/>
      <c r="AC373" s="64"/>
      <c r="AD373" s="64"/>
      <c r="AE373" s="64"/>
      <c r="AF373" s="64"/>
    </row>
    <row r="374" ht="21.25" customHeight="1">
      <c r="A374" s="29"/>
      <c r="B374" t="s" s="121">
        <f>_xlfn.IFERROR(VLOOKUP($A374,'The List'!$B1:$AS730,3,FALSE)," ")</f>
        <v>885</v>
      </c>
      <c r="C374" t="s" s="122">
        <f>_xlfn.IFERROR(VLOOKUP($A374,'The List'!$B1:$AS730,4,FALSE)," ")</f>
        <v>885</v>
      </c>
      <c r="D374" t="s" s="42">
        <f>_xlfn.IFERROR(VLOOKUP($A374,'The List'!$B1:$AS730,5,FALSE)," ")</f>
        <v>885</v>
      </c>
      <c r="E374" t="s" s="42">
        <f>_xlfn.IFERROR(VLOOKUP($A374,'The List'!$B1:$AS730,6,FALSE)," ")</f>
        <v>885</v>
      </c>
      <c r="F374" t="s" s="60">
        <f>_xlfn.IFERROR(VLOOKUP($A374,'The List'!$B1:$AS730,8,FALSE)," ")</f>
        <v>885</v>
      </c>
      <c r="G374" t="s" s="60">
        <f>_xlfn.IFERROR(VLOOKUP($A374,'The List'!$B1:$AS730,10,FALSE)," ")</f>
        <v>885</v>
      </c>
      <c r="H374" s="46"/>
      <c r="I374" t="s" s="61">
        <f>_xlfn.IFERROR(VLOOKUP($A374,'The List'!$B1:$AS730,35,FALSE)," ")</f>
        <v>885</v>
      </c>
      <c r="J374" t="s" s="61">
        <f>_xlfn.IFERROR(VLOOKUP($A374,'The List'!$B1:$AS730,36,FALSE)," ")</f>
        <v>885</v>
      </c>
      <c r="K374" t="s" s="61">
        <f>_xlfn.IFERROR(VLOOKUP($A374,'The List'!$B1:$AS730,37,FALSE)," ")</f>
        <v>885</v>
      </c>
      <c r="L374" t="s" s="61">
        <f>_xlfn.IFERROR(VLOOKUP($A374,'The List'!$B1:$AS730,38,FALSE)," ")</f>
        <v>885</v>
      </c>
      <c r="M374" t="s" s="61">
        <f>_xlfn.IFERROR(VLOOKUP($A374,'The List'!$B1:$AS730,39,FALSE)," ")</f>
        <v>885</v>
      </c>
      <c r="N374" t="s" s="61">
        <f>_xlfn.IFERROR(VLOOKUP($A374,'The List'!$B1:$AS730,40,FALSE)," ")</f>
        <v>885</v>
      </c>
      <c r="O374" t="s" s="61">
        <f>_xlfn.IFERROR(VLOOKUP($A374,'The List'!$B1:$AS730,41,FALSE)," ")</f>
        <v>885</v>
      </c>
      <c r="P374" t="s" s="61">
        <f>_xlfn.IFERROR(VLOOKUP($A374,'The List'!$B1:$AS730,42,FALSE)," ")</f>
        <v>885</v>
      </c>
      <c r="Q374" t="s" s="61">
        <f>_xlfn.IFERROR(VLOOKUP($A374,'The List'!$B1:$AS730,43,FALSE)," ")</f>
        <v>885</v>
      </c>
      <c r="R374" s="64"/>
      <c r="S374" s="64"/>
      <c r="T374" s="64"/>
      <c r="U374" s="19"/>
      <c r="V374" s="19"/>
      <c r="W374" s="19"/>
      <c r="X374" s="19"/>
      <c r="Y374" s="19"/>
      <c r="Z374" s="19"/>
      <c r="AA374" s="64"/>
      <c r="AB374" s="64"/>
      <c r="AC374" s="64"/>
      <c r="AD374" s="64"/>
      <c r="AE374" s="64"/>
      <c r="AF374" s="64"/>
    </row>
    <row r="375" ht="21.25" customHeight="1">
      <c r="A375" s="81"/>
      <c r="B375" t="s" s="123">
        <f>_xlfn.IFERROR(VLOOKUP($A375,'The List'!$B1:$AS730,3,FALSE)," ")</f>
        <v>885</v>
      </c>
      <c r="C375" t="s" s="124">
        <f>_xlfn.IFERROR(VLOOKUP($A375,'The List'!$B1:$AS730,4,FALSE)," ")</f>
        <v>885</v>
      </c>
      <c r="D375" t="s" s="84">
        <f>_xlfn.IFERROR(VLOOKUP($A375,'The List'!$B1:$AS730,5,FALSE)," ")</f>
        <v>885</v>
      </c>
      <c r="E375" t="s" s="84">
        <f>_xlfn.IFERROR(VLOOKUP($A375,'The List'!$B1:$AS730,6,FALSE)," ")</f>
        <v>885</v>
      </c>
      <c r="F375" t="s" s="85">
        <f>_xlfn.IFERROR(VLOOKUP($A375,'The List'!$B1:$AS730,8,FALSE)," ")</f>
        <v>885</v>
      </c>
      <c r="G375" t="s" s="85">
        <f>_xlfn.IFERROR(VLOOKUP($A375,'The List'!$B1:$AS730,10,FALSE)," ")</f>
        <v>885</v>
      </c>
      <c r="H375" s="86"/>
      <c r="I375" t="s" s="87">
        <f>_xlfn.IFERROR(VLOOKUP($A375,'The List'!$B1:$AS730,35,FALSE)," ")</f>
        <v>885</v>
      </c>
      <c r="J375" t="s" s="87">
        <f>_xlfn.IFERROR(VLOOKUP($A375,'The List'!$B1:$AS730,36,FALSE)," ")</f>
        <v>885</v>
      </c>
      <c r="K375" t="s" s="87">
        <f>_xlfn.IFERROR(VLOOKUP($A375,'The List'!$B1:$AS730,37,FALSE)," ")</f>
        <v>885</v>
      </c>
      <c r="L375" t="s" s="87">
        <f>_xlfn.IFERROR(VLOOKUP($A375,'The List'!$B1:$AS730,38,FALSE)," ")</f>
        <v>885</v>
      </c>
      <c r="M375" t="s" s="87">
        <f>_xlfn.IFERROR(VLOOKUP($A375,'The List'!$B1:$AS730,39,FALSE)," ")</f>
        <v>885</v>
      </c>
      <c r="N375" t="s" s="87">
        <f>_xlfn.IFERROR(VLOOKUP($A375,'The List'!$B1:$AS730,40,FALSE)," ")</f>
        <v>885</v>
      </c>
      <c r="O375" t="s" s="87">
        <f>_xlfn.IFERROR(VLOOKUP($A375,'The List'!$B1:$AS730,41,FALSE)," ")</f>
        <v>885</v>
      </c>
      <c r="P375" t="s" s="87">
        <f>_xlfn.IFERROR(VLOOKUP($A375,'The List'!$B1:$AS730,42,FALSE)," ")</f>
        <v>885</v>
      </c>
      <c r="Q375" t="s" s="87">
        <f>_xlfn.IFERROR(VLOOKUP($A375,'The List'!$B1:$AS730,43,FALSE)," ")</f>
        <v>885</v>
      </c>
      <c r="R375" s="64"/>
      <c r="S375" s="64"/>
      <c r="T375" s="64"/>
      <c r="U375" s="19"/>
      <c r="V375" s="19"/>
      <c r="W375" s="19"/>
      <c r="X375" s="19"/>
      <c r="Y375" s="19"/>
      <c r="Z375" s="19"/>
      <c r="AA375" s="64"/>
      <c r="AB375" s="64"/>
      <c r="AC375" s="64"/>
      <c r="AD375" s="64"/>
      <c r="AE375" s="64"/>
      <c r="AF375" s="64"/>
    </row>
    <row r="376" ht="21.25" customHeight="1">
      <c r="A376" s="88"/>
      <c r="B376" s="89"/>
      <c r="C376" s="90"/>
      <c r="D376" s="91"/>
      <c r="E376" t="s" s="127">
        <f>_xlfn.IFERROR(AVERAGE(E373:E375)," ")</f>
        <v>885</v>
      </c>
      <c r="F376" s="93">
        <f>SUM(F373:F375)</f>
        <v>0</v>
      </c>
      <c r="G376" s="93">
        <f>SUM(G373:G375)</f>
        <v>0</v>
      </c>
      <c r="H376" s="94"/>
      <c r="I376" s="95">
        <f>SUM(I373:I375)</f>
        <v>0</v>
      </c>
      <c r="J376" s="94">
        <f>SUM(J373:J375)</f>
        <v>0</v>
      </c>
      <c r="K376" s="95">
        <f>SUM(K373:K375)</f>
        <v>0</v>
      </c>
      <c r="L376" s="95">
        <f>SUM(L373:L375)</f>
        <v>0</v>
      </c>
      <c r="M376" s="95">
        <f>SUM(M373:M375)</f>
        <v>0</v>
      </c>
      <c r="N376" s="95">
        <f>SUM(N373:N375)</f>
        <v>0</v>
      </c>
      <c r="O376" s="95">
        <f>SUM(O373:O375)</f>
        <v>0</v>
      </c>
      <c r="P376" s="125">
        <f>1-(O376/(N376+O376))</f>
      </c>
      <c r="Q376" s="126">
        <f>O376/I376</f>
      </c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</row>
    <row r="377" ht="70.85" customHeight="1">
      <c r="A377" s="98"/>
      <c r="B377" s="99"/>
      <c r="C377" s="100"/>
      <c r="D377" s="11"/>
      <c r="E377" s="11"/>
      <c r="F377" s="101"/>
      <c r="G377" s="102"/>
      <c r="H377" s="103"/>
      <c r="I377" s="10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9"/>
      <c r="AB377" s="69"/>
      <c r="AC377" s="69"/>
      <c r="AD377" s="69"/>
      <c r="AE377" s="69"/>
      <c r="AF377" s="69"/>
    </row>
    <row r="378" ht="21.25" customHeight="1">
      <c r="A378" t="s" s="32">
        <v>898</v>
      </c>
      <c r="B378" t="s" s="33">
        <v>68</v>
      </c>
      <c r="C378" s="25"/>
      <c r="D378" t="s" s="33">
        <v>69</v>
      </c>
      <c r="E378" t="s" s="33">
        <v>70</v>
      </c>
      <c r="F378" t="s" s="34">
        <v>72</v>
      </c>
      <c r="G378" t="s" s="34">
        <v>74</v>
      </c>
      <c r="H378" s="35"/>
      <c r="I378" t="s" s="37">
        <v>79</v>
      </c>
      <c r="J378" t="s" s="37">
        <v>80</v>
      </c>
      <c r="K378" t="s" s="37">
        <v>81</v>
      </c>
      <c r="L378" t="s" s="37">
        <v>82</v>
      </c>
      <c r="M378" t="s" s="37">
        <v>83</v>
      </c>
      <c r="N378" t="s" s="37">
        <v>84</v>
      </c>
      <c r="O378" t="s" s="37">
        <v>85</v>
      </c>
      <c r="P378" t="s" s="37">
        <v>86</v>
      </c>
      <c r="Q378" t="s" s="37">
        <v>87</v>
      </c>
      <c r="R378" t="s" s="37">
        <v>88</v>
      </c>
      <c r="S378" t="s" s="37">
        <v>89</v>
      </c>
      <c r="T378" t="s" s="37">
        <v>90</v>
      </c>
      <c r="U378" t="s" s="37">
        <v>91</v>
      </c>
      <c r="V378" t="s" s="37">
        <v>92</v>
      </c>
      <c r="W378" t="s" s="37">
        <v>93</v>
      </c>
      <c r="X378" t="s" s="37">
        <v>94</v>
      </c>
      <c r="Y378" t="s" s="37">
        <v>95</v>
      </c>
      <c r="Z378" t="s" s="37">
        <v>96</v>
      </c>
      <c r="AA378" s="64"/>
      <c r="AB378" s="65"/>
      <c r="AC378" s="65"/>
      <c r="AD378" s="65"/>
      <c r="AE378" s="65"/>
      <c r="AF378" s="65"/>
    </row>
    <row r="379" ht="21.25" customHeight="1">
      <c r="A379" s="29"/>
      <c r="B379" t="s" s="66">
        <f>_xlfn.IFERROR(VLOOKUP($A379,'The List'!$B1:$AS730,3,FALSE)," ")</f>
        <v>885</v>
      </c>
      <c r="C379" t="s" s="70">
        <f>_xlfn.IFERROR(VLOOKUP($A379,'The List'!$B1:$AS730,4,FALSE)," ")</f>
        <v>885</v>
      </c>
      <c r="D379" t="s" s="42">
        <f>_xlfn.IFERROR(VLOOKUP($A379,'The List'!$B1:$AS730,5,FALSE)," ")</f>
        <v>885</v>
      </c>
      <c r="E379" t="s" s="42">
        <f>_xlfn.IFERROR(VLOOKUP($A379,'The List'!$B1:$AS730,6,FALSE)," ")</f>
        <v>885</v>
      </c>
      <c r="F379" t="s" s="60">
        <f>_xlfn.IFERROR(VLOOKUP($A379,'The List'!$B1:$AS730,8,FALSE)," ")</f>
        <v>885</v>
      </c>
      <c r="G379" t="s" s="60">
        <f>_xlfn.IFERROR(VLOOKUP($A379,'The List'!$B1:$AS730,10,FALSE)," ")</f>
        <v>885</v>
      </c>
      <c r="H379" s="46"/>
      <c r="I379" t="s" s="61">
        <f>_xlfn.IFERROR(VLOOKUP($A379,'The List'!$B1:$AS730,16,FALSE)," ")</f>
        <v>885</v>
      </c>
      <c r="J379" t="s" s="61">
        <f>_xlfn.IFERROR(VLOOKUP($A379,'The List'!$B1:$AS730,17,FALSE)," ")</f>
        <v>885</v>
      </c>
      <c r="K379" t="s" s="61">
        <f>_xlfn.IFERROR(VLOOKUP($A379,'The List'!$B1:$AS730,18,FALSE)," ")</f>
        <v>885</v>
      </c>
      <c r="L379" t="s" s="61">
        <f>_xlfn.IFERROR(VLOOKUP($A379,'The List'!$B1:$AS730,19,FALSE)," ")</f>
        <v>885</v>
      </c>
      <c r="M379" t="s" s="61">
        <f>_xlfn.IFERROR(VLOOKUP($A379,'The List'!$B1:$AS730,20,FALSE)," ")</f>
        <v>885</v>
      </c>
      <c r="N379" t="s" s="61">
        <f>_xlfn.IFERROR(VLOOKUP($A379,'The List'!$B1:$AS730,21,FALSE)," ")</f>
        <v>885</v>
      </c>
      <c r="O379" t="s" s="61">
        <f>_xlfn.IFERROR(VLOOKUP($A379,'The List'!$B1:$AS730,22,FALSE)," ")</f>
        <v>885</v>
      </c>
      <c r="P379" t="s" s="61">
        <f>_xlfn.IFERROR(VLOOKUP($A379,'The List'!$B1:$AS730,23,FALSE)," ")</f>
        <v>885</v>
      </c>
      <c r="Q379" t="s" s="61">
        <f>_xlfn.IFERROR(VLOOKUP($A379,'The List'!$B1:$AS730,24,FALSE)," ")</f>
        <v>885</v>
      </c>
      <c r="R379" t="s" s="61">
        <f>_xlfn.IFERROR(VLOOKUP($A379,'The List'!$B1:$AS730,25,FALSE)," ")</f>
        <v>885</v>
      </c>
      <c r="S379" t="s" s="61">
        <f>_xlfn.IFERROR(VLOOKUP($A379,'The List'!$B1:$AS730,26,FALSE)," ")</f>
        <v>885</v>
      </c>
      <c r="T379" t="s" s="61">
        <f>_xlfn.IFERROR(VLOOKUP($A379,'The List'!$B1:$AS730,27,FALSE)," ")</f>
        <v>885</v>
      </c>
      <c r="U379" t="s" s="61">
        <f>_xlfn.IFERROR(VLOOKUP($A379,'The List'!$B1:$AS730,28,FALSE)," ")</f>
        <v>885</v>
      </c>
      <c r="V379" t="s" s="61">
        <f>_xlfn.IFERROR(VLOOKUP($A379,'The List'!$B1:$AS730,29,FALSE)," ")</f>
        <v>885</v>
      </c>
      <c r="W379" t="s" s="61">
        <f>_xlfn.IFERROR(VLOOKUP($A379,'The List'!$B1:$AS730,30,FALSE)," ")</f>
        <v>885</v>
      </c>
      <c r="X379" t="s" s="61">
        <f>_xlfn.IFERROR(VLOOKUP($A379,'The List'!$B1:$AS730,31,FALSE)," ")</f>
        <v>885</v>
      </c>
      <c r="Y379" t="s" s="61">
        <f>_xlfn.IFERROR(VLOOKUP($A379,'The List'!$B1:$AS730,32,FALSE)," ")</f>
        <v>885</v>
      </c>
      <c r="Z379" t="s" s="61">
        <f>_xlfn.IFERROR(VLOOKUP($A379,'The List'!$B1:$AS730,33,FALSE)," ")</f>
        <v>885</v>
      </c>
      <c r="AA379" s="64"/>
      <c r="AB379" s="69"/>
      <c r="AC379" s="69"/>
      <c r="AD379" s="69"/>
      <c r="AE379" s="69"/>
      <c r="AF379" s="69"/>
    </row>
    <row r="380" ht="21.25" customHeight="1">
      <c r="A380" s="29"/>
      <c r="B380" t="s" s="66">
        <f>_xlfn.IFERROR(VLOOKUP($A380,'The List'!$B1:$AS730,3,FALSE)," ")</f>
        <v>885</v>
      </c>
      <c r="C380" t="s" s="70">
        <f>_xlfn.IFERROR(VLOOKUP($A380,'The List'!$B1:$AS730,4,FALSE)," ")</f>
        <v>885</v>
      </c>
      <c r="D380" t="s" s="42">
        <f>_xlfn.IFERROR(VLOOKUP($A380,'The List'!$B1:$AS730,5,FALSE)," ")</f>
        <v>885</v>
      </c>
      <c r="E380" t="s" s="42">
        <f>_xlfn.IFERROR(VLOOKUP($A380,'The List'!$B1:$AS730,6,FALSE)," ")</f>
        <v>885</v>
      </c>
      <c r="F380" t="s" s="60">
        <f>_xlfn.IFERROR(VLOOKUP($A380,'The List'!$B1:$AS730,8,FALSE)," ")</f>
        <v>885</v>
      </c>
      <c r="G380" t="s" s="60">
        <f>_xlfn.IFERROR(VLOOKUP($A380,'The List'!$B1:$AS730,10,FALSE)," ")</f>
        <v>885</v>
      </c>
      <c r="H380" s="46"/>
      <c r="I380" t="s" s="61">
        <f>_xlfn.IFERROR(VLOOKUP($A380,'The List'!$B1:$AS730,16,FALSE)," ")</f>
        <v>885</v>
      </c>
      <c r="J380" t="s" s="61">
        <f>_xlfn.IFERROR(VLOOKUP($A380,'The List'!$B1:$AS730,17,FALSE)," ")</f>
        <v>885</v>
      </c>
      <c r="K380" t="s" s="61">
        <f>_xlfn.IFERROR(VLOOKUP($A380,'The List'!$B1:$AS730,18,FALSE)," ")</f>
        <v>885</v>
      </c>
      <c r="L380" t="s" s="61">
        <f>_xlfn.IFERROR(VLOOKUP($A380,'The List'!$B1:$AS730,19,FALSE)," ")</f>
        <v>885</v>
      </c>
      <c r="M380" t="s" s="61">
        <f>_xlfn.IFERROR(VLOOKUP($A380,'The List'!$B1:$AS730,20,FALSE)," ")</f>
        <v>885</v>
      </c>
      <c r="N380" t="s" s="61">
        <f>_xlfn.IFERROR(VLOOKUP($A380,'The List'!$B1:$AS730,21,FALSE)," ")</f>
        <v>885</v>
      </c>
      <c r="O380" t="s" s="61">
        <f>_xlfn.IFERROR(VLOOKUP($A380,'The List'!$B1:$AS730,22,FALSE)," ")</f>
        <v>885</v>
      </c>
      <c r="P380" t="s" s="61">
        <f>_xlfn.IFERROR(VLOOKUP($A380,'The List'!$B1:$AS730,23,FALSE)," ")</f>
        <v>885</v>
      </c>
      <c r="Q380" t="s" s="61">
        <f>_xlfn.IFERROR(VLOOKUP($A380,'The List'!$B1:$AS730,24,FALSE)," ")</f>
        <v>885</v>
      </c>
      <c r="R380" t="s" s="61">
        <f>_xlfn.IFERROR(VLOOKUP($A380,'The List'!$B1:$AS730,25,FALSE)," ")</f>
        <v>885</v>
      </c>
      <c r="S380" t="s" s="61">
        <f>_xlfn.IFERROR(VLOOKUP($A380,'The List'!$B1:$AS730,26,FALSE)," ")</f>
        <v>885</v>
      </c>
      <c r="T380" t="s" s="61">
        <f>_xlfn.IFERROR(VLOOKUP($A380,'The List'!$B1:$AS730,27,FALSE)," ")</f>
        <v>885</v>
      </c>
      <c r="U380" t="s" s="61">
        <f>_xlfn.IFERROR(VLOOKUP($A380,'The List'!$B1:$AS730,28,FALSE)," ")</f>
        <v>885</v>
      </c>
      <c r="V380" t="s" s="61">
        <f>_xlfn.IFERROR(VLOOKUP($A380,'The List'!$B1:$AS730,29,FALSE)," ")</f>
        <v>885</v>
      </c>
      <c r="W380" t="s" s="61">
        <f>_xlfn.IFERROR(VLOOKUP($A380,'The List'!$B1:$AS730,30,FALSE)," ")</f>
        <v>885</v>
      </c>
      <c r="X380" t="s" s="61">
        <f>_xlfn.IFERROR(VLOOKUP($A380,'The List'!$B1:$AS730,31,FALSE)," ")</f>
        <v>885</v>
      </c>
      <c r="Y380" t="s" s="61">
        <f>_xlfn.IFERROR(VLOOKUP($A380,'The List'!$B1:$AS730,32,FALSE)," ")</f>
        <v>885</v>
      </c>
      <c r="Z380" t="s" s="61">
        <f>_xlfn.IFERROR(VLOOKUP($A380,'The List'!$B1:$AS730,33,FALSE)," ")</f>
        <v>885</v>
      </c>
      <c r="AA380" s="64"/>
      <c r="AB380" s="69"/>
      <c r="AC380" s="69"/>
      <c r="AD380" s="69"/>
      <c r="AE380" s="69"/>
      <c r="AF380" s="69"/>
    </row>
    <row r="381" ht="21.25" customHeight="1">
      <c r="A381" s="29"/>
      <c r="B381" t="s" s="66">
        <f>_xlfn.IFERROR(VLOOKUP($A381,'The List'!$B1:$AS730,3,FALSE)," ")</f>
        <v>885</v>
      </c>
      <c r="C381" t="s" s="70">
        <f>_xlfn.IFERROR(VLOOKUP($A381,'The List'!$B1:$AS730,4,FALSE)," ")</f>
        <v>885</v>
      </c>
      <c r="D381" t="s" s="42">
        <f>_xlfn.IFERROR(VLOOKUP($A381,'The List'!$B1:$AS730,5,FALSE)," ")</f>
        <v>885</v>
      </c>
      <c r="E381" t="s" s="42">
        <f>_xlfn.IFERROR(VLOOKUP($A381,'The List'!$B1:$AS730,6,FALSE)," ")</f>
        <v>885</v>
      </c>
      <c r="F381" t="s" s="60">
        <f>_xlfn.IFERROR(VLOOKUP($A381,'The List'!$B1:$AS730,8,FALSE)," ")</f>
        <v>885</v>
      </c>
      <c r="G381" t="s" s="60">
        <f>_xlfn.IFERROR(VLOOKUP($A381,'The List'!$B1:$AS730,10,FALSE)," ")</f>
        <v>885</v>
      </c>
      <c r="H381" s="46"/>
      <c r="I381" t="s" s="61">
        <f>_xlfn.IFERROR(VLOOKUP($A381,'The List'!$B1:$AS730,16,FALSE)," ")</f>
        <v>885</v>
      </c>
      <c r="J381" t="s" s="61">
        <f>_xlfn.IFERROR(VLOOKUP($A381,'The List'!$B1:$AS730,17,FALSE)," ")</f>
        <v>885</v>
      </c>
      <c r="K381" t="s" s="61">
        <f>_xlfn.IFERROR(VLOOKUP($A381,'The List'!$B1:$AS730,18,FALSE)," ")</f>
        <v>885</v>
      </c>
      <c r="L381" t="s" s="61">
        <f>_xlfn.IFERROR(VLOOKUP($A381,'The List'!$B1:$AS730,19,FALSE)," ")</f>
        <v>885</v>
      </c>
      <c r="M381" t="s" s="61">
        <f>_xlfn.IFERROR(VLOOKUP($A381,'The List'!$B1:$AS730,20,FALSE)," ")</f>
        <v>885</v>
      </c>
      <c r="N381" t="s" s="61">
        <f>_xlfn.IFERROR(VLOOKUP($A381,'The List'!$B1:$AS730,21,FALSE)," ")</f>
        <v>885</v>
      </c>
      <c r="O381" t="s" s="61">
        <f>_xlfn.IFERROR(VLOOKUP($A381,'The List'!$B1:$AS730,22,FALSE)," ")</f>
        <v>885</v>
      </c>
      <c r="P381" t="s" s="61">
        <f>_xlfn.IFERROR(VLOOKUP($A381,'The List'!$B1:$AS730,23,FALSE)," ")</f>
        <v>885</v>
      </c>
      <c r="Q381" t="s" s="61">
        <f>_xlfn.IFERROR(VLOOKUP($A381,'The List'!$B1:$AS730,24,FALSE)," ")</f>
        <v>885</v>
      </c>
      <c r="R381" t="s" s="61">
        <f>_xlfn.IFERROR(VLOOKUP($A381,'The List'!$B1:$AS730,25,FALSE)," ")</f>
        <v>885</v>
      </c>
      <c r="S381" t="s" s="61">
        <f>_xlfn.IFERROR(VLOOKUP($A381,'The List'!$B1:$AS730,26,FALSE)," ")</f>
        <v>885</v>
      </c>
      <c r="T381" t="s" s="61">
        <f>_xlfn.IFERROR(VLOOKUP($A381,'The List'!$B1:$AS730,27,FALSE)," ")</f>
        <v>885</v>
      </c>
      <c r="U381" t="s" s="61">
        <f>_xlfn.IFERROR(VLOOKUP($A381,'The List'!$B1:$AS730,28,FALSE)," ")</f>
        <v>885</v>
      </c>
      <c r="V381" t="s" s="61">
        <f>_xlfn.IFERROR(VLOOKUP($A381,'The List'!$B1:$AS730,29,FALSE)," ")</f>
        <v>885</v>
      </c>
      <c r="W381" t="s" s="61">
        <f>_xlfn.IFERROR(VLOOKUP($A381,'The List'!$B1:$AS730,30,FALSE)," ")</f>
        <v>885</v>
      </c>
      <c r="X381" t="s" s="61">
        <f>_xlfn.IFERROR(VLOOKUP($A381,'The List'!$B1:$AS730,31,FALSE)," ")</f>
        <v>885</v>
      </c>
      <c r="Y381" t="s" s="61">
        <f>_xlfn.IFERROR(VLOOKUP($A381,'The List'!$B1:$AS730,32,FALSE)," ")</f>
        <v>885</v>
      </c>
      <c r="Z381" t="s" s="61">
        <f>_xlfn.IFERROR(VLOOKUP($A381,'The List'!$B1:$AS730,33,FALSE)," ")</f>
        <v>885</v>
      </c>
      <c r="AA381" s="64"/>
      <c r="AB381" s="69"/>
      <c r="AC381" s="69"/>
      <c r="AD381" s="69"/>
      <c r="AE381" s="69"/>
      <c r="AF381" s="69"/>
    </row>
    <row r="382" ht="21.25" customHeight="1">
      <c r="A382" s="29"/>
      <c r="B382" t="s" s="66">
        <f>_xlfn.IFERROR(VLOOKUP($A382,'The List'!$B1:$AS730,3,FALSE)," ")</f>
        <v>885</v>
      </c>
      <c r="C382" t="s" s="70">
        <f>_xlfn.IFERROR(VLOOKUP($A382,'The List'!$B1:$AS730,4,FALSE)," ")</f>
        <v>885</v>
      </c>
      <c r="D382" t="s" s="42">
        <f>_xlfn.IFERROR(VLOOKUP($A382,'The List'!$B1:$AS730,5,FALSE)," ")</f>
        <v>885</v>
      </c>
      <c r="E382" t="s" s="42">
        <f>_xlfn.IFERROR(VLOOKUP($A382,'The List'!$B1:$AS730,6,FALSE)," ")</f>
        <v>885</v>
      </c>
      <c r="F382" t="s" s="60">
        <f>_xlfn.IFERROR(VLOOKUP($A382,'The List'!$B1:$AS730,8,FALSE)," ")</f>
        <v>885</v>
      </c>
      <c r="G382" t="s" s="60">
        <f>_xlfn.IFERROR(VLOOKUP($A382,'The List'!$B1:$AS730,10,FALSE)," ")</f>
        <v>885</v>
      </c>
      <c r="H382" s="46"/>
      <c r="I382" t="s" s="61">
        <f>_xlfn.IFERROR(VLOOKUP($A382,'The List'!$B1:$AS730,16,FALSE)," ")</f>
        <v>885</v>
      </c>
      <c r="J382" t="s" s="61">
        <f>_xlfn.IFERROR(VLOOKUP($A382,'The List'!$B1:$AS730,17,FALSE)," ")</f>
        <v>885</v>
      </c>
      <c r="K382" t="s" s="61">
        <f>_xlfn.IFERROR(VLOOKUP($A382,'The List'!$B1:$AS730,18,FALSE)," ")</f>
        <v>885</v>
      </c>
      <c r="L382" t="s" s="61">
        <f>_xlfn.IFERROR(VLOOKUP($A382,'The List'!$B1:$AS730,19,FALSE)," ")</f>
        <v>885</v>
      </c>
      <c r="M382" t="s" s="61">
        <f>_xlfn.IFERROR(VLOOKUP($A382,'The List'!$B1:$AS730,20,FALSE)," ")</f>
        <v>885</v>
      </c>
      <c r="N382" t="s" s="61">
        <f>_xlfn.IFERROR(VLOOKUP($A382,'The List'!$B1:$AS730,21,FALSE)," ")</f>
        <v>885</v>
      </c>
      <c r="O382" t="s" s="61">
        <f>_xlfn.IFERROR(VLOOKUP($A382,'The List'!$B1:$AS730,22,FALSE)," ")</f>
        <v>885</v>
      </c>
      <c r="P382" t="s" s="61">
        <f>_xlfn.IFERROR(VLOOKUP($A382,'The List'!$B1:$AS730,23,FALSE)," ")</f>
        <v>885</v>
      </c>
      <c r="Q382" t="s" s="61">
        <f>_xlfn.IFERROR(VLOOKUP($A382,'The List'!$B1:$AS730,24,FALSE)," ")</f>
        <v>885</v>
      </c>
      <c r="R382" t="s" s="61">
        <f>_xlfn.IFERROR(VLOOKUP($A382,'The List'!$B1:$AS730,25,FALSE)," ")</f>
        <v>885</v>
      </c>
      <c r="S382" t="s" s="61">
        <f>_xlfn.IFERROR(VLOOKUP($A382,'The List'!$B1:$AS730,26,FALSE)," ")</f>
        <v>885</v>
      </c>
      <c r="T382" t="s" s="61">
        <f>_xlfn.IFERROR(VLOOKUP($A382,'The List'!$B1:$AS730,27,FALSE)," ")</f>
        <v>885</v>
      </c>
      <c r="U382" t="s" s="61">
        <f>_xlfn.IFERROR(VLOOKUP($A382,'The List'!$B1:$AS730,28,FALSE)," ")</f>
        <v>885</v>
      </c>
      <c r="V382" t="s" s="61">
        <f>_xlfn.IFERROR(VLOOKUP($A382,'The List'!$B1:$AS730,29,FALSE)," ")</f>
        <v>885</v>
      </c>
      <c r="W382" t="s" s="61">
        <f>_xlfn.IFERROR(VLOOKUP($A382,'The List'!$B1:$AS730,30,FALSE)," ")</f>
        <v>885</v>
      </c>
      <c r="X382" t="s" s="61">
        <f>_xlfn.IFERROR(VLOOKUP($A382,'The List'!$B1:$AS730,31,FALSE)," ")</f>
        <v>885</v>
      </c>
      <c r="Y382" t="s" s="61">
        <f>_xlfn.IFERROR(VLOOKUP($A382,'The List'!$B1:$AS730,32,FALSE)," ")</f>
        <v>885</v>
      </c>
      <c r="Z382" t="s" s="61">
        <f>_xlfn.IFERROR(VLOOKUP($A382,'The List'!$B1:$AS730,33,FALSE)," ")</f>
        <v>885</v>
      </c>
      <c r="AA382" s="64"/>
      <c r="AB382" s="69"/>
      <c r="AC382" s="69"/>
      <c r="AD382" s="69"/>
      <c r="AE382" s="69"/>
      <c r="AF382" s="69"/>
    </row>
    <row r="383" ht="21.25" customHeight="1">
      <c r="A383" s="29"/>
      <c r="B383" t="s" s="71">
        <f>_xlfn.IFERROR(VLOOKUP($A383,'The List'!$B1:$AS730,3,FALSE)," ")</f>
        <v>885</v>
      </c>
      <c r="C383" t="s" s="73">
        <f>_xlfn.IFERROR(VLOOKUP($A383,'The List'!$B1:$AS730,4,FALSE)," ")</f>
        <v>885</v>
      </c>
      <c r="D383" t="s" s="42">
        <f>_xlfn.IFERROR(VLOOKUP($A383,'The List'!$B1:$AS730,5,FALSE)," ")</f>
        <v>885</v>
      </c>
      <c r="E383" t="s" s="42">
        <f>_xlfn.IFERROR(VLOOKUP($A383,'The List'!$B1:$AS730,6,FALSE)," ")</f>
        <v>885</v>
      </c>
      <c r="F383" t="s" s="60">
        <f>_xlfn.IFERROR(VLOOKUP($A383,'The List'!$B1:$AS730,8,FALSE)," ")</f>
        <v>885</v>
      </c>
      <c r="G383" t="s" s="60">
        <f>_xlfn.IFERROR(VLOOKUP($A383,'The List'!$B1:$AS730,10,FALSE)," ")</f>
        <v>885</v>
      </c>
      <c r="H383" s="46"/>
      <c r="I383" t="s" s="61">
        <f>_xlfn.IFERROR(VLOOKUP($A383,'The List'!$B1:$AS730,16,FALSE)," ")</f>
        <v>885</v>
      </c>
      <c r="J383" t="s" s="61">
        <f>_xlfn.IFERROR(VLOOKUP($A383,'The List'!$B1:$AS730,17,FALSE)," ")</f>
        <v>885</v>
      </c>
      <c r="K383" t="s" s="61">
        <f>_xlfn.IFERROR(VLOOKUP($A383,'The List'!$B1:$AS730,18,FALSE)," ")</f>
        <v>885</v>
      </c>
      <c r="L383" t="s" s="61">
        <f>_xlfn.IFERROR(VLOOKUP($A383,'The List'!$B1:$AS730,19,FALSE)," ")</f>
        <v>885</v>
      </c>
      <c r="M383" t="s" s="61">
        <f>_xlfn.IFERROR(VLOOKUP($A383,'The List'!$B1:$AS730,20,FALSE)," ")</f>
        <v>885</v>
      </c>
      <c r="N383" t="s" s="61">
        <f>_xlfn.IFERROR(VLOOKUP($A383,'The List'!$B1:$AS730,21,FALSE)," ")</f>
        <v>885</v>
      </c>
      <c r="O383" t="s" s="61">
        <f>_xlfn.IFERROR(VLOOKUP($A383,'The List'!$B1:$AS730,22,FALSE)," ")</f>
        <v>885</v>
      </c>
      <c r="P383" t="s" s="61">
        <f>_xlfn.IFERROR(VLOOKUP($A383,'The List'!$B1:$AS730,23,FALSE)," ")</f>
        <v>885</v>
      </c>
      <c r="Q383" t="s" s="61">
        <f>_xlfn.IFERROR(VLOOKUP($A383,'The List'!$B1:$AS730,24,FALSE)," ")</f>
        <v>885</v>
      </c>
      <c r="R383" t="s" s="61">
        <f>_xlfn.IFERROR(VLOOKUP($A383,'The List'!$B1:$AS730,25,FALSE)," ")</f>
        <v>885</v>
      </c>
      <c r="S383" t="s" s="61">
        <f>_xlfn.IFERROR(VLOOKUP($A383,'The List'!$B1:$AS730,26,FALSE)," ")</f>
        <v>885</v>
      </c>
      <c r="T383" t="s" s="61">
        <f>_xlfn.IFERROR(VLOOKUP($A383,'The List'!$B1:$AS730,27,FALSE)," ")</f>
        <v>885</v>
      </c>
      <c r="U383" t="s" s="61">
        <f>_xlfn.IFERROR(VLOOKUP($A383,'The List'!$B1:$AS730,28,FALSE)," ")</f>
        <v>885</v>
      </c>
      <c r="V383" t="s" s="61">
        <f>_xlfn.IFERROR(VLOOKUP($A383,'The List'!$B1:$AS730,29,FALSE)," ")</f>
        <v>885</v>
      </c>
      <c r="W383" t="s" s="61">
        <f>_xlfn.IFERROR(VLOOKUP($A383,'The List'!$B1:$AS730,30,FALSE)," ")</f>
        <v>885</v>
      </c>
      <c r="X383" t="s" s="61">
        <f>_xlfn.IFERROR(VLOOKUP($A383,'The List'!$B1:$AS730,31,FALSE)," ")</f>
        <v>885</v>
      </c>
      <c r="Y383" t="s" s="61">
        <f>_xlfn.IFERROR(VLOOKUP($A383,'The List'!$B1:$AS730,32,FALSE)," ")</f>
        <v>885</v>
      </c>
      <c r="Z383" t="s" s="61">
        <f>_xlfn.IFERROR(VLOOKUP($A383,'The List'!$B1:$AS730,33,FALSE)," ")</f>
        <v>885</v>
      </c>
      <c r="AA383" s="64"/>
      <c r="AB383" s="69"/>
      <c r="AC383" s="69"/>
      <c r="AD383" s="69"/>
      <c r="AE383" s="69"/>
      <c r="AF383" s="69"/>
    </row>
    <row r="384" ht="21.25" customHeight="1">
      <c r="A384" s="29"/>
      <c r="B384" t="s" s="71">
        <f>_xlfn.IFERROR(VLOOKUP($A384,'The List'!$B1:$AS730,3,FALSE)," ")</f>
        <v>885</v>
      </c>
      <c r="C384" t="s" s="73">
        <f>_xlfn.IFERROR(VLOOKUP($A384,'The List'!$B1:$AS730,4,FALSE)," ")</f>
        <v>885</v>
      </c>
      <c r="D384" t="s" s="42">
        <f>_xlfn.IFERROR(VLOOKUP($A384,'The List'!$B1:$AS730,5,FALSE)," ")</f>
        <v>885</v>
      </c>
      <c r="E384" t="s" s="42">
        <f>_xlfn.IFERROR(VLOOKUP($A384,'The List'!$B1:$AS730,6,FALSE)," ")</f>
        <v>885</v>
      </c>
      <c r="F384" t="s" s="60">
        <f>_xlfn.IFERROR(VLOOKUP($A384,'The List'!$B1:$AS730,8,FALSE)," ")</f>
        <v>885</v>
      </c>
      <c r="G384" t="s" s="60">
        <f>_xlfn.IFERROR(VLOOKUP($A384,'The List'!$B1:$AS730,10,FALSE)," ")</f>
        <v>885</v>
      </c>
      <c r="H384" s="46"/>
      <c r="I384" t="s" s="61">
        <f>_xlfn.IFERROR(VLOOKUP($A384,'The List'!$B1:$AS730,16,FALSE)," ")</f>
        <v>885</v>
      </c>
      <c r="J384" t="s" s="61">
        <f>_xlfn.IFERROR(VLOOKUP($A384,'The List'!$B1:$AS730,17,FALSE)," ")</f>
        <v>885</v>
      </c>
      <c r="K384" t="s" s="61">
        <f>_xlfn.IFERROR(VLOOKUP($A384,'The List'!$B1:$AS730,18,FALSE)," ")</f>
        <v>885</v>
      </c>
      <c r="L384" t="s" s="61">
        <f>_xlfn.IFERROR(VLOOKUP($A384,'The List'!$B1:$AS730,19,FALSE)," ")</f>
        <v>885</v>
      </c>
      <c r="M384" t="s" s="61">
        <f>_xlfn.IFERROR(VLOOKUP($A384,'The List'!$B1:$AS730,20,FALSE)," ")</f>
        <v>885</v>
      </c>
      <c r="N384" t="s" s="61">
        <f>_xlfn.IFERROR(VLOOKUP($A384,'The List'!$B1:$AS730,21,FALSE)," ")</f>
        <v>885</v>
      </c>
      <c r="O384" t="s" s="61">
        <f>_xlfn.IFERROR(VLOOKUP($A384,'The List'!$B1:$AS730,22,FALSE)," ")</f>
        <v>885</v>
      </c>
      <c r="P384" t="s" s="61">
        <f>_xlfn.IFERROR(VLOOKUP($A384,'The List'!$B1:$AS730,23,FALSE)," ")</f>
        <v>885</v>
      </c>
      <c r="Q384" t="s" s="61">
        <f>_xlfn.IFERROR(VLOOKUP($A384,'The List'!$B1:$AS730,24,FALSE)," ")</f>
        <v>885</v>
      </c>
      <c r="R384" t="s" s="61">
        <f>_xlfn.IFERROR(VLOOKUP($A384,'The List'!$B1:$AS730,25,FALSE)," ")</f>
        <v>885</v>
      </c>
      <c r="S384" t="s" s="61">
        <f>_xlfn.IFERROR(VLOOKUP($A384,'The List'!$B1:$AS730,26,FALSE)," ")</f>
        <v>885</v>
      </c>
      <c r="T384" t="s" s="61">
        <f>_xlfn.IFERROR(VLOOKUP($A384,'The List'!$B1:$AS730,27,FALSE)," ")</f>
        <v>885</v>
      </c>
      <c r="U384" t="s" s="61">
        <f>_xlfn.IFERROR(VLOOKUP($A384,'The List'!$B1:$AS730,28,FALSE)," ")</f>
        <v>885</v>
      </c>
      <c r="V384" t="s" s="61">
        <f>_xlfn.IFERROR(VLOOKUP($A384,'The List'!$B1:$AS730,29,FALSE)," ")</f>
        <v>885</v>
      </c>
      <c r="W384" t="s" s="61">
        <f>_xlfn.IFERROR(VLOOKUP($A384,'The List'!$B1:$AS730,30,FALSE)," ")</f>
        <v>885</v>
      </c>
      <c r="X384" t="s" s="61">
        <f>_xlfn.IFERROR(VLOOKUP($A384,'The List'!$B1:$AS730,31,FALSE)," ")</f>
        <v>885</v>
      </c>
      <c r="Y384" t="s" s="61">
        <f>_xlfn.IFERROR(VLOOKUP($A384,'The List'!$B1:$AS730,32,FALSE)," ")</f>
        <v>885</v>
      </c>
      <c r="Z384" t="s" s="61">
        <f>_xlfn.IFERROR(VLOOKUP($A384,'The List'!$B1:$AS730,33,FALSE)," ")</f>
        <v>885</v>
      </c>
      <c r="AA384" s="64"/>
      <c r="AB384" s="69"/>
      <c r="AC384" s="69"/>
      <c r="AD384" s="69"/>
      <c r="AE384" s="69"/>
      <c r="AF384" s="69"/>
    </row>
    <row r="385" ht="21.25" customHeight="1">
      <c r="A385" s="29"/>
      <c r="B385" t="s" s="71">
        <f>_xlfn.IFERROR(VLOOKUP($A385,'The List'!$B1:$AS730,3,FALSE)," ")</f>
        <v>885</v>
      </c>
      <c r="C385" t="s" s="73">
        <f>_xlfn.IFERROR(VLOOKUP($A385,'The List'!$B1:$AS730,4,FALSE)," ")</f>
        <v>885</v>
      </c>
      <c r="D385" t="s" s="42">
        <f>_xlfn.IFERROR(VLOOKUP($A385,'The List'!$B1:$AS730,5,FALSE)," ")</f>
        <v>885</v>
      </c>
      <c r="E385" t="s" s="42">
        <f>_xlfn.IFERROR(VLOOKUP($A385,'The List'!$B1:$AS730,6,FALSE)," ")</f>
        <v>885</v>
      </c>
      <c r="F385" t="s" s="60">
        <f>_xlfn.IFERROR(VLOOKUP($A385,'The List'!$B1:$AS730,8,FALSE)," ")</f>
        <v>885</v>
      </c>
      <c r="G385" t="s" s="60">
        <f>_xlfn.IFERROR(VLOOKUP($A385,'The List'!$B1:$AS730,10,FALSE)," ")</f>
        <v>885</v>
      </c>
      <c r="H385" s="46"/>
      <c r="I385" t="s" s="61">
        <f>_xlfn.IFERROR(VLOOKUP($A385,'The List'!$B1:$AS730,16,FALSE)," ")</f>
        <v>885</v>
      </c>
      <c r="J385" t="s" s="61">
        <f>_xlfn.IFERROR(VLOOKUP($A385,'The List'!$B1:$AS730,17,FALSE)," ")</f>
        <v>885</v>
      </c>
      <c r="K385" t="s" s="61">
        <f>_xlfn.IFERROR(VLOOKUP($A385,'The List'!$B1:$AS730,18,FALSE)," ")</f>
        <v>885</v>
      </c>
      <c r="L385" t="s" s="61">
        <f>_xlfn.IFERROR(VLOOKUP($A385,'The List'!$B1:$AS730,19,FALSE)," ")</f>
        <v>885</v>
      </c>
      <c r="M385" t="s" s="61">
        <f>_xlfn.IFERROR(VLOOKUP($A385,'The List'!$B1:$AS730,20,FALSE)," ")</f>
        <v>885</v>
      </c>
      <c r="N385" t="s" s="61">
        <f>_xlfn.IFERROR(VLOOKUP($A385,'The List'!$B1:$AS730,21,FALSE)," ")</f>
        <v>885</v>
      </c>
      <c r="O385" t="s" s="61">
        <f>_xlfn.IFERROR(VLOOKUP($A385,'The List'!$B1:$AS730,22,FALSE)," ")</f>
        <v>885</v>
      </c>
      <c r="P385" t="s" s="61">
        <f>_xlfn.IFERROR(VLOOKUP($A385,'The List'!$B1:$AS730,23,FALSE)," ")</f>
        <v>885</v>
      </c>
      <c r="Q385" t="s" s="61">
        <f>_xlfn.IFERROR(VLOOKUP($A385,'The List'!$B1:$AS730,24,FALSE)," ")</f>
        <v>885</v>
      </c>
      <c r="R385" t="s" s="61">
        <f>_xlfn.IFERROR(VLOOKUP($A385,'The List'!$B1:$AS730,25,FALSE)," ")</f>
        <v>885</v>
      </c>
      <c r="S385" t="s" s="61">
        <f>_xlfn.IFERROR(VLOOKUP($A385,'The List'!$B1:$AS730,26,FALSE)," ")</f>
        <v>885</v>
      </c>
      <c r="T385" t="s" s="61">
        <f>_xlfn.IFERROR(VLOOKUP($A385,'The List'!$B1:$AS730,27,FALSE)," ")</f>
        <v>885</v>
      </c>
      <c r="U385" t="s" s="61">
        <f>_xlfn.IFERROR(VLOOKUP($A385,'The List'!$B1:$AS730,28,FALSE)," ")</f>
        <v>885</v>
      </c>
      <c r="V385" t="s" s="61">
        <f>_xlfn.IFERROR(VLOOKUP($A385,'The List'!$B1:$AS730,29,FALSE)," ")</f>
        <v>885</v>
      </c>
      <c r="W385" t="s" s="61">
        <f>_xlfn.IFERROR(VLOOKUP($A385,'The List'!$B1:$AS730,30,FALSE)," ")</f>
        <v>885</v>
      </c>
      <c r="X385" t="s" s="61">
        <f>_xlfn.IFERROR(VLOOKUP($A385,'The List'!$B1:$AS730,31,FALSE)," ")</f>
        <v>885</v>
      </c>
      <c r="Y385" t="s" s="61">
        <f>_xlfn.IFERROR(VLOOKUP($A385,'The List'!$B1:$AS730,32,FALSE)," ")</f>
        <v>885</v>
      </c>
      <c r="Z385" t="s" s="61">
        <f>_xlfn.IFERROR(VLOOKUP($A385,'The List'!$B1:$AS730,33,FALSE)," ")</f>
        <v>885</v>
      </c>
      <c r="AA385" s="64"/>
      <c r="AB385" s="69"/>
      <c r="AC385" s="69"/>
      <c r="AD385" s="69"/>
      <c r="AE385" s="69"/>
      <c r="AF385" s="69"/>
    </row>
    <row r="386" ht="21.25" customHeight="1">
      <c r="A386" s="29"/>
      <c r="B386" t="s" s="71">
        <f>_xlfn.IFERROR(VLOOKUP($A386,'The List'!$B1:$AS730,3,FALSE)," ")</f>
        <v>885</v>
      </c>
      <c r="C386" t="s" s="73">
        <f>_xlfn.IFERROR(VLOOKUP($A386,'The List'!$B1:$AS730,4,FALSE)," ")</f>
        <v>885</v>
      </c>
      <c r="D386" t="s" s="42">
        <f>_xlfn.IFERROR(VLOOKUP($A386,'The List'!$B1:$AS730,5,FALSE)," ")</f>
        <v>885</v>
      </c>
      <c r="E386" t="s" s="42">
        <f>_xlfn.IFERROR(VLOOKUP($A386,'The List'!$B1:$AS730,6,FALSE)," ")</f>
        <v>885</v>
      </c>
      <c r="F386" t="s" s="60">
        <f>_xlfn.IFERROR(VLOOKUP($A386,'The List'!$B1:$AS730,8,FALSE)," ")</f>
        <v>885</v>
      </c>
      <c r="G386" t="s" s="60">
        <f>_xlfn.IFERROR(VLOOKUP($A386,'The List'!$B1:$AS730,10,FALSE)," ")</f>
        <v>885</v>
      </c>
      <c r="H386" s="46"/>
      <c r="I386" t="s" s="61">
        <f>_xlfn.IFERROR(VLOOKUP($A386,'The List'!$B1:$AS730,16,FALSE)," ")</f>
        <v>885</v>
      </c>
      <c r="J386" t="s" s="61">
        <f>_xlfn.IFERROR(VLOOKUP($A386,'The List'!$B1:$AS730,17,FALSE)," ")</f>
        <v>885</v>
      </c>
      <c r="K386" t="s" s="61">
        <f>_xlfn.IFERROR(VLOOKUP($A386,'The List'!$B1:$AS730,18,FALSE)," ")</f>
        <v>885</v>
      </c>
      <c r="L386" t="s" s="61">
        <f>_xlfn.IFERROR(VLOOKUP($A386,'The List'!$B1:$AS730,19,FALSE)," ")</f>
        <v>885</v>
      </c>
      <c r="M386" t="s" s="61">
        <f>_xlfn.IFERROR(VLOOKUP($A386,'The List'!$B1:$AS730,20,FALSE)," ")</f>
        <v>885</v>
      </c>
      <c r="N386" t="s" s="61">
        <f>_xlfn.IFERROR(VLOOKUP($A386,'The List'!$B1:$AS730,21,FALSE)," ")</f>
        <v>885</v>
      </c>
      <c r="O386" t="s" s="61">
        <f>_xlfn.IFERROR(VLOOKUP($A386,'The List'!$B1:$AS730,22,FALSE)," ")</f>
        <v>885</v>
      </c>
      <c r="P386" t="s" s="61">
        <f>_xlfn.IFERROR(VLOOKUP($A386,'The List'!$B1:$AS730,23,FALSE)," ")</f>
        <v>885</v>
      </c>
      <c r="Q386" t="s" s="61">
        <f>_xlfn.IFERROR(VLOOKUP($A386,'The List'!$B1:$AS730,24,FALSE)," ")</f>
        <v>885</v>
      </c>
      <c r="R386" t="s" s="61">
        <f>_xlfn.IFERROR(VLOOKUP($A386,'The List'!$B1:$AS730,25,FALSE)," ")</f>
        <v>885</v>
      </c>
      <c r="S386" t="s" s="61">
        <f>_xlfn.IFERROR(VLOOKUP($A386,'The List'!$B1:$AS730,26,FALSE)," ")</f>
        <v>885</v>
      </c>
      <c r="T386" t="s" s="61">
        <f>_xlfn.IFERROR(VLOOKUP($A386,'The List'!$B1:$AS730,27,FALSE)," ")</f>
        <v>885</v>
      </c>
      <c r="U386" t="s" s="61">
        <f>_xlfn.IFERROR(VLOOKUP($A386,'The List'!$B1:$AS730,28,FALSE)," ")</f>
        <v>885</v>
      </c>
      <c r="V386" t="s" s="61">
        <f>_xlfn.IFERROR(VLOOKUP($A386,'The List'!$B1:$AS730,29,FALSE)," ")</f>
        <v>885</v>
      </c>
      <c r="W386" t="s" s="61">
        <f>_xlfn.IFERROR(VLOOKUP($A386,'The List'!$B1:$AS730,30,FALSE)," ")</f>
        <v>885</v>
      </c>
      <c r="X386" t="s" s="61">
        <f>_xlfn.IFERROR(VLOOKUP($A386,'The List'!$B1:$AS730,31,FALSE)," ")</f>
        <v>885</v>
      </c>
      <c r="Y386" t="s" s="61">
        <f>_xlfn.IFERROR(VLOOKUP($A386,'The List'!$B1:$AS730,32,FALSE)," ")</f>
        <v>885</v>
      </c>
      <c r="Z386" t="s" s="61">
        <f>_xlfn.IFERROR(VLOOKUP($A386,'The List'!$B1:$AS730,33,FALSE)," ")</f>
        <v>885</v>
      </c>
      <c r="AA386" s="64"/>
      <c r="AB386" s="69"/>
      <c r="AC386" s="69"/>
      <c r="AD386" s="69"/>
      <c r="AE386" s="69"/>
      <c r="AF386" s="69"/>
    </row>
    <row r="387" ht="21.25" customHeight="1">
      <c r="A387" s="29"/>
      <c r="B387" t="s" s="74">
        <f>_xlfn.IFERROR(VLOOKUP($A387,'The List'!$B1:$AS730,3,FALSE)," ")</f>
        <v>885</v>
      </c>
      <c r="C387" t="s" s="76">
        <f>_xlfn.IFERROR(VLOOKUP($A387,'The List'!$B1:$AS730,4,FALSE)," ")</f>
        <v>885</v>
      </c>
      <c r="D387" t="s" s="42">
        <f>_xlfn.IFERROR(VLOOKUP($A387,'The List'!$B1:$AS730,5,FALSE)," ")</f>
        <v>885</v>
      </c>
      <c r="E387" t="s" s="42">
        <f>_xlfn.IFERROR(VLOOKUP($A387,'The List'!$B1:$AS730,6,FALSE)," ")</f>
        <v>885</v>
      </c>
      <c r="F387" t="s" s="60">
        <f>_xlfn.IFERROR(VLOOKUP($A387,'The List'!$B1:$AS730,8,FALSE)," ")</f>
        <v>885</v>
      </c>
      <c r="G387" t="s" s="60">
        <f>_xlfn.IFERROR(VLOOKUP($A387,'The List'!$B1:$AS730,10,FALSE)," ")</f>
        <v>885</v>
      </c>
      <c r="H387" s="46"/>
      <c r="I387" t="s" s="61">
        <f>_xlfn.IFERROR(VLOOKUP($A387,'The List'!$B1:$AS730,16,FALSE)," ")</f>
        <v>885</v>
      </c>
      <c r="J387" t="s" s="61">
        <f>_xlfn.IFERROR(VLOOKUP($A387,'The List'!$B1:$AS730,17,FALSE)," ")</f>
        <v>885</v>
      </c>
      <c r="K387" t="s" s="61">
        <f>_xlfn.IFERROR(VLOOKUP($A387,'The List'!$B1:$AS730,18,FALSE)," ")</f>
        <v>885</v>
      </c>
      <c r="L387" t="s" s="61">
        <f>_xlfn.IFERROR(VLOOKUP($A387,'The List'!$B1:$AS730,19,FALSE)," ")</f>
        <v>885</v>
      </c>
      <c r="M387" t="s" s="61">
        <f>_xlfn.IFERROR(VLOOKUP($A387,'The List'!$B1:$AS730,20,FALSE)," ")</f>
        <v>885</v>
      </c>
      <c r="N387" t="s" s="61">
        <f>_xlfn.IFERROR(VLOOKUP($A387,'The List'!$B1:$AS730,21,FALSE)," ")</f>
        <v>885</v>
      </c>
      <c r="O387" t="s" s="61">
        <f>_xlfn.IFERROR(VLOOKUP($A387,'The List'!$B1:$AS730,22,FALSE)," ")</f>
        <v>885</v>
      </c>
      <c r="P387" t="s" s="61">
        <f>_xlfn.IFERROR(VLOOKUP($A387,'The List'!$B1:$AS730,23,FALSE)," ")</f>
        <v>885</v>
      </c>
      <c r="Q387" t="s" s="61">
        <f>_xlfn.IFERROR(VLOOKUP($A387,'The List'!$B1:$AS730,24,FALSE)," ")</f>
        <v>885</v>
      </c>
      <c r="R387" t="s" s="61">
        <f>_xlfn.IFERROR(VLOOKUP($A387,'The List'!$B1:$AS730,25,FALSE)," ")</f>
        <v>885</v>
      </c>
      <c r="S387" t="s" s="61">
        <f>_xlfn.IFERROR(VLOOKUP($A387,'The List'!$B1:$AS730,26,FALSE)," ")</f>
        <v>885</v>
      </c>
      <c r="T387" t="s" s="61">
        <f>_xlfn.IFERROR(VLOOKUP($A387,'The List'!$B1:$AS730,27,FALSE)," ")</f>
        <v>885</v>
      </c>
      <c r="U387" t="s" s="61">
        <f>_xlfn.IFERROR(VLOOKUP($A387,'The List'!$B1:$AS730,28,FALSE)," ")</f>
        <v>885</v>
      </c>
      <c r="V387" t="s" s="61">
        <f>_xlfn.IFERROR(VLOOKUP($A387,'The List'!$B1:$AS730,29,FALSE)," ")</f>
        <v>885</v>
      </c>
      <c r="W387" t="s" s="61">
        <f>_xlfn.IFERROR(VLOOKUP($A387,'The List'!$B1:$AS730,30,FALSE)," ")</f>
        <v>885</v>
      </c>
      <c r="X387" t="s" s="61">
        <f>_xlfn.IFERROR(VLOOKUP($A387,'The List'!$B1:$AS730,31,FALSE)," ")</f>
        <v>885</v>
      </c>
      <c r="Y387" t="s" s="61">
        <f>_xlfn.IFERROR(VLOOKUP($A387,'The List'!$B1:$AS730,32,FALSE)," ")</f>
        <v>885</v>
      </c>
      <c r="Z387" t="s" s="61">
        <f>_xlfn.IFERROR(VLOOKUP($A387,'The List'!$B1:$AS730,33,FALSE)," ")</f>
        <v>885</v>
      </c>
      <c r="AA387" s="64"/>
      <c r="AB387" s="69"/>
      <c r="AC387" s="69"/>
      <c r="AD387" s="69"/>
      <c r="AE387" s="69"/>
      <c r="AF387" s="69"/>
    </row>
    <row r="388" ht="21.25" customHeight="1">
      <c r="A388" s="29"/>
      <c r="B388" t="s" s="74">
        <f>_xlfn.IFERROR(VLOOKUP($A388,'The List'!$B1:$AS730,3,FALSE)," ")</f>
        <v>885</v>
      </c>
      <c r="C388" t="s" s="76">
        <f>_xlfn.IFERROR(VLOOKUP($A388,'The List'!$B1:$AS730,4,FALSE)," ")</f>
        <v>885</v>
      </c>
      <c r="D388" t="s" s="42">
        <f>_xlfn.IFERROR(VLOOKUP($A388,'The List'!$B1:$AS730,5,FALSE)," ")</f>
        <v>885</v>
      </c>
      <c r="E388" t="s" s="42">
        <f>_xlfn.IFERROR(VLOOKUP($A388,'The List'!$B1:$AS730,6,FALSE)," ")</f>
        <v>885</v>
      </c>
      <c r="F388" t="s" s="60">
        <f>_xlfn.IFERROR(VLOOKUP($A388,'The List'!$B1:$AS730,8,FALSE)," ")</f>
        <v>885</v>
      </c>
      <c r="G388" t="s" s="60">
        <f>_xlfn.IFERROR(VLOOKUP($A388,'The List'!$B1:$AS730,10,FALSE)," ")</f>
        <v>885</v>
      </c>
      <c r="H388" s="46"/>
      <c r="I388" t="s" s="61">
        <f>_xlfn.IFERROR(VLOOKUP($A388,'The List'!$B1:$AS730,16,FALSE)," ")</f>
        <v>885</v>
      </c>
      <c r="J388" t="s" s="61">
        <f>_xlfn.IFERROR(VLOOKUP($A388,'The List'!$B1:$AS730,17,FALSE)," ")</f>
        <v>885</v>
      </c>
      <c r="K388" t="s" s="61">
        <f>_xlfn.IFERROR(VLOOKUP($A388,'The List'!$B1:$AS730,18,FALSE)," ")</f>
        <v>885</v>
      </c>
      <c r="L388" t="s" s="61">
        <f>_xlfn.IFERROR(VLOOKUP($A388,'The List'!$B1:$AS730,19,FALSE)," ")</f>
        <v>885</v>
      </c>
      <c r="M388" t="s" s="61">
        <f>_xlfn.IFERROR(VLOOKUP($A388,'The List'!$B1:$AS730,20,FALSE)," ")</f>
        <v>885</v>
      </c>
      <c r="N388" t="s" s="61">
        <f>_xlfn.IFERROR(VLOOKUP($A388,'The List'!$B1:$AS730,21,FALSE)," ")</f>
        <v>885</v>
      </c>
      <c r="O388" t="s" s="61">
        <f>_xlfn.IFERROR(VLOOKUP($A388,'The List'!$B1:$AS730,22,FALSE)," ")</f>
        <v>885</v>
      </c>
      <c r="P388" t="s" s="61">
        <f>_xlfn.IFERROR(VLOOKUP($A388,'The List'!$B1:$AS730,23,FALSE)," ")</f>
        <v>885</v>
      </c>
      <c r="Q388" t="s" s="61">
        <f>_xlfn.IFERROR(VLOOKUP($A388,'The List'!$B1:$AS730,24,FALSE)," ")</f>
        <v>885</v>
      </c>
      <c r="R388" t="s" s="61">
        <f>_xlfn.IFERROR(VLOOKUP($A388,'The List'!$B1:$AS730,25,FALSE)," ")</f>
        <v>885</v>
      </c>
      <c r="S388" t="s" s="61">
        <f>_xlfn.IFERROR(VLOOKUP($A388,'The List'!$B1:$AS730,26,FALSE)," ")</f>
        <v>885</v>
      </c>
      <c r="T388" t="s" s="61">
        <f>_xlfn.IFERROR(VLOOKUP($A388,'The List'!$B1:$AS730,27,FALSE)," ")</f>
        <v>885</v>
      </c>
      <c r="U388" t="s" s="61">
        <f>_xlfn.IFERROR(VLOOKUP($A388,'The List'!$B1:$AS730,28,FALSE)," ")</f>
        <v>885</v>
      </c>
      <c r="V388" t="s" s="61">
        <f>_xlfn.IFERROR(VLOOKUP($A388,'The List'!$B1:$AS730,29,FALSE)," ")</f>
        <v>885</v>
      </c>
      <c r="W388" t="s" s="61">
        <f>_xlfn.IFERROR(VLOOKUP($A388,'The List'!$B1:$AS730,30,FALSE)," ")</f>
        <v>885</v>
      </c>
      <c r="X388" t="s" s="61">
        <f>_xlfn.IFERROR(VLOOKUP($A388,'The List'!$B1:$AS730,31,FALSE)," ")</f>
        <v>885</v>
      </c>
      <c r="Y388" t="s" s="61">
        <f>_xlfn.IFERROR(VLOOKUP($A388,'The List'!$B1:$AS730,32,FALSE)," ")</f>
        <v>885</v>
      </c>
      <c r="Z388" t="s" s="61">
        <f>_xlfn.IFERROR(VLOOKUP($A388,'The List'!$B1:$AS730,33,FALSE)," ")</f>
        <v>885</v>
      </c>
      <c r="AA388" s="64"/>
      <c r="AB388" s="69"/>
      <c r="AC388" s="69"/>
      <c r="AD388" s="69"/>
      <c r="AE388" s="69"/>
      <c r="AF388" s="69"/>
    </row>
    <row r="389" ht="21.25" customHeight="1">
      <c r="A389" s="29"/>
      <c r="B389" t="s" s="74">
        <f>_xlfn.IFERROR(VLOOKUP($A389,'The List'!$B1:$AS730,3,FALSE)," ")</f>
        <v>885</v>
      </c>
      <c r="C389" t="s" s="76">
        <f>_xlfn.IFERROR(VLOOKUP($A389,'The List'!$B1:$AS730,4,FALSE)," ")</f>
        <v>885</v>
      </c>
      <c r="D389" t="s" s="42">
        <f>_xlfn.IFERROR(VLOOKUP($A389,'The List'!$B1:$AS730,5,FALSE)," ")</f>
        <v>885</v>
      </c>
      <c r="E389" t="s" s="42">
        <f>_xlfn.IFERROR(VLOOKUP($A389,'The List'!$B1:$AS730,6,FALSE)," ")</f>
        <v>885</v>
      </c>
      <c r="F389" t="s" s="60">
        <f>_xlfn.IFERROR(VLOOKUP($A389,'The List'!$B1:$AS730,8,FALSE)," ")</f>
        <v>885</v>
      </c>
      <c r="G389" t="s" s="60">
        <f>_xlfn.IFERROR(VLOOKUP($A389,'The List'!$B1:$AS730,10,FALSE)," ")</f>
        <v>885</v>
      </c>
      <c r="H389" s="46"/>
      <c r="I389" t="s" s="61">
        <f>_xlfn.IFERROR(VLOOKUP($A389,'The List'!$B1:$AS730,16,FALSE)," ")</f>
        <v>885</v>
      </c>
      <c r="J389" t="s" s="61">
        <f>_xlfn.IFERROR(VLOOKUP($A389,'The List'!$B1:$AS730,17,FALSE)," ")</f>
        <v>885</v>
      </c>
      <c r="K389" t="s" s="61">
        <f>_xlfn.IFERROR(VLOOKUP($A389,'The List'!$B1:$AS730,18,FALSE)," ")</f>
        <v>885</v>
      </c>
      <c r="L389" t="s" s="61">
        <f>_xlfn.IFERROR(VLOOKUP($A389,'The List'!$B1:$AS730,19,FALSE)," ")</f>
        <v>885</v>
      </c>
      <c r="M389" t="s" s="61">
        <f>_xlfn.IFERROR(VLOOKUP($A389,'The List'!$B1:$AS730,20,FALSE)," ")</f>
        <v>885</v>
      </c>
      <c r="N389" t="s" s="61">
        <f>_xlfn.IFERROR(VLOOKUP($A389,'The List'!$B1:$AS730,21,FALSE)," ")</f>
        <v>885</v>
      </c>
      <c r="O389" t="s" s="61">
        <f>_xlfn.IFERROR(VLOOKUP($A389,'The List'!$B1:$AS730,22,FALSE)," ")</f>
        <v>885</v>
      </c>
      <c r="P389" t="s" s="61">
        <f>_xlfn.IFERROR(VLOOKUP($A389,'The List'!$B1:$AS730,23,FALSE)," ")</f>
        <v>885</v>
      </c>
      <c r="Q389" t="s" s="61">
        <f>_xlfn.IFERROR(VLOOKUP($A389,'The List'!$B1:$AS730,24,FALSE)," ")</f>
        <v>885</v>
      </c>
      <c r="R389" t="s" s="61">
        <f>_xlfn.IFERROR(VLOOKUP($A389,'The List'!$B1:$AS730,25,FALSE)," ")</f>
        <v>885</v>
      </c>
      <c r="S389" t="s" s="61">
        <f>_xlfn.IFERROR(VLOOKUP($A389,'The List'!$B1:$AS730,26,FALSE)," ")</f>
        <v>885</v>
      </c>
      <c r="T389" t="s" s="61">
        <f>_xlfn.IFERROR(VLOOKUP($A389,'The List'!$B1:$AS730,27,FALSE)," ")</f>
        <v>885</v>
      </c>
      <c r="U389" t="s" s="61">
        <f>_xlfn.IFERROR(VLOOKUP($A389,'The List'!$B1:$AS730,28,FALSE)," ")</f>
        <v>885</v>
      </c>
      <c r="V389" t="s" s="61">
        <f>_xlfn.IFERROR(VLOOKUP($A389,'The List'!$B1:$AS730,29,FALSE)," ")</f>
        <v>885</v>
      </c>
      <c r="W389" t="s" s="61">
        <f>_xlfn.IFERROR(VLOOKUP($A389,'The List'!$B1:$AS730,30,FALSE)," ")</f>
        <v>885</v>
      </c>
      <c r="X389" t="s" s="61">
        <f>_xlfn.IFERROR(VLOOKUP($A389,'The List'!$B1:$AS730,31,FALSE)," ")</f>
        <v>885</v>
      </c>
      <c r="Y389" t="s" s="61">
        <f>_xlfn.IFERROR(VLOOKUP($A389,'The List'!$B1:$AS730,32,FALSE)," ")</f>
        <v>885</v>
      </c>
      <c r="Z389" t="s" s="61">
        <f>_xlfn.IFERROR(VLOOKUP($A389,'The List'!$B1:$AS730,33,FALSE)," ")</f>
        <v>885</v>
      </c>
      <c r="AA389" s="64"/>
      <c r="AB389" s="69"/>
      <c r="AC389" s="69"/>
      <c r="AD389" s="69"/>
      <c r="AE389" s="69"/>
      <c r="AF389" s="69"/>
    </row>
    <row r="390" ht="21.25" customHeight="1">
      <c r="A390" s="29"/>
      <c r="B390" t="s" s="74">
        <f>_xlfn.IFERROR(VLOOKUP($A390,'The List'!$B1:$AS730,3,FALSE)," ")</f>
        <v>885</v>
      </c>
      <c r="C390" t="s" s="76">
        <f>_xlfn.IFERROR(VLOOKUP($A390,'The List'!$B1:$AS730,4,FALSE)," ")</f>
        <v>885</v>
      </c>
      <c r="D390" t="s" s="42">
        <f>_xlfn.IFERROR(VLOOKUP($A390,'The List'!$B1:$AS730,5,FALSE)," ")</f>
        <v>885</v>
      </c>
      <c r="E390" t="s" s="42">
        <f>_xlfn.IFERROR(VLOOKUP($A390,'The List'!$B1:$AS730,6,FALSE)," ")</f>
        <v>885</v>
      </c>
      <c r="F390" t="s" s="60">
        <f>_xlfn.IFERROR(VLOOKUP($A390,'The List'!$B1:$AS730,8,FALSE)," ")</f>
        <v>885</v>
      </c>
      <c r="G390" t="s" s="60">
        <f>_xlfn.IFERROR(VLOOKUP($A390,'The List'!$B1:$AS730,10,FALSE)," ")</f>
        <v>885</v>
      </c>
      <c r="H390" s="46"/>
      <c r="I390" t="s" s="61">
        <f>_xlfn.IFERROR(VLOOKUP($A390,'The List'!$B1:$AS730,16,FALSE)," ")</f>
        <v>885</v>
      </c>
      <c r="J390" t="s" s="61">
        <f>_xlfn.IFERROR(VLOOKUP($A390,'The List'!$B1:$AS730,17,FALSE)," ")</f>
        <v>885</v>
      </c>
      <c r="K390" t="s" s="61">
        <f>_xlfn.IFERROR(VLOOKUP($A390,'The List'!$B1:$AS730,18,FALSE)," ")</f>
        <v>885</v>
      </c>
      <c r="L390" t="s" s="61">
        <f>_xlfn.IFERROR(VLOOKUP($A390,'The List'!$B1:$AS730,19,FALSE)," ")</f>
        <v>885</v>
      </c>
      <c r="M390" t="s" s="61">
        <f>_xlfn.IFERROR(VLOOKUP($A390,'The List'!$B1:$AS730,20,FALSE)," ")</f>
        <v>885</v>
      </c>
      <c r="N390" t="s" s="61">
        <f>_xlfn.IFERROR(VLOOKUP($A390,'The List'!$B1:$AS730,21,FALSE)," ")</f>
        <v>885</v>
      </c>
      <c r="O390" t="s" s="61">
        <f>_xlfn.IFERROR(VLOOKUP($A390,'The List'!$B1:$AS730,22,FALSE)," ")</f>
        <v>885</v>
      </c>
      <c r="P390" t="s" s="61">
        <f>_xlfn.IFERROR(VLOOKUP($A390,'The List'!$B1:$AS730,23,FALSE)," ")</f>
        <v>885</v>
      </c>
      <c r="Q390" t="s" s="61">
        <f>_xlfn.IFERROR(VLOOKUP($A390,'The List'!$B1:$AS730,24,FALSE)," ")</f>
        <v>885</v>
      </c>
      <c r="R390" t="s" s="61">
        <f>_xlfn.IFERROR(VLOOKUP($A390,'The List'!$B1:$AS730,25,FALSE)," ")</f>
        <v>885</v>
      </c>
      <c r="S390" t="s" s="61">
        <f>_xlfn.IFERROR(VLOOKUP($A390,'The List'!$B1:$AS730,26,FALSE)," ")</f>
        <v>885</v>
      </c>
      <c r="T390" t="s" s="61">
        <f>_xlfn.IFERROR(VLOOKUP($A390,'The List'!$B1:$AS730,27,FALSE)," ")</f>
        <v>885</v>
      </c>
      <c r="U390" t="s" s="61">
        <f>_xlfn.IFERROR(VLOOKUP($A390,'The List'!$B1:$AS730,28,FALSE)," ")</f>
        <v>885</v>
      </c>
      <c r="V390" t="s" s="61">
        <f>_xlfn.IFERROR(VLOOKUP($A390,'The List'!$B1:$AS730,29,FALSE)," ")</f>
        <v>885</v>
      </c>
      <c r="W390" t="s" s="61">
        <f>_xlfn.IFERROR(VLOOKUP($A390,'The List'!$B1:$AS730,30,FALSE)," ")</f>
        <v>885</v>
      </c>
      <c r="X390" t="s" s="61">
        <f>_xlfn.IFERROR(VLOOKUP($A390,'The List'!$B1:$AS730,31,FALSE)," ")</f>
        <v>885</v>
      </c>
      <c r="Y390" t="s" s="61">
        <f>_xlfn.IFERROR(VLOOKUP($A390,'The List'!$B1:$AS730,32,FALSE)," ")</f>
        <v>885</v>
      </c>
      <c r="Z390" t="s" s="61">
        <f>_xlfn.IFERROR(VLOOKUP($A390,'The List'!$B1:$AS730,33,FALSE)," ")</f>
        <v>885</v>
      </c>
      <c r="AA390" s="64"/>
      <c r="AB390" s="69"/>
      <c r="AC390" s="69"/>
      <c r="AD390" s="69"/>
      <c r="AE390" s="69"/>
      <c r="AF390" s="69"/>
    </row>
    <row r="391" ht="21.25" customHeight="1">
      <c r="A391" s="29"/>
      <c r="B391" t="s" s="77">
        <f>_xlfn.IFERROR(VLOOKUP($A391,'The List'!$B1:$AS730,3,FALSE)," ")</f>
        <v>885</v>
      </c>
      <c r="C391" t="s" s="79">
        <f>_xlfn.IFERROR(VLOOKUP($A391,'The List'!$B1:$AS730,4,FALSE)," ")</f>
        <v>885</v>
      </c>
      <c r="D391" t="s" s="42">
        <f>_xlfn.IFERROR(VLOOKUP($A391,'The List'!$B1:$AS730,5,FALSE)," ")</f>
        <v>885</v>
      </c>
      <c r="E391" t="s" s="42">
        <f>_xlfn.IFERROR(VLOOKUP($A391,'The List'!$B1:$AS730,6,FALSE)," ")</f>
        <v>885</v>
      </c>
      <c r="F391" t="s" s="60">
        <f>_xlfn.IFERROR(VLOOKUP($A391,'The List'!$B1:$AS730,8,FALSE)," ")</f>
        <v>885</v>
      </c>
      <c r="G391" t="s" s="60">
        <f>_xlfn.IFERROR(VLOOKUP($A391,'The List'!$B1:$AS730,10,FALSE)," ")</f>
        <v>885</v>
      </c>
      <c r="H391" s="46"/>
      <c r="I391" t="s" s="61">
        <f>_xlfn.IFERROR(VLOOKUP($A391,'The List'!$B1:$AS730,16,FALSE)," ")</f>
        <v>885</v>
      </c>
      <c r="J391" t="s" s="61">
        <f>_xlfn.IFERROR(VLOOKUP($A391,'The List'!$B1:$AS730,17,FALSE)," ")</f>
        <v>885</v>
      </c>
      <c r="K391" t="s" s="61">
        <f>_xlfn.IFERROR(VLOOKUP($A391,'The List'!$B1:$AS730,18,FALSE)," ")</f>
        <v>885</v>
      </c>
      <c r="L391" t="s" s="61">
        <f>_xlfn.IFERROR(VLOOKUP($A391,'The List'!$B1:$AS730,19,FALSE)," ")</f>
        <v>885</v>
      </c>
      <c r="M391" t="s" s="61">
        <f>_xlfn.IFERROR(VLOOKUP($A391,'The List'!$B1:$AS730,20,FALSE)," ")</f>
        <v>885</v>
      </c>
      <c r="N391" t="s" s="61">
        <f>_xlfn.IFERROR(VLOOKUP($A391,'The List'!$B1:$AS730,21,FALSE)," ")</f>
        <v>885</v>
      </c>
      <c r="O391" t="s" s="61">
        <f>_xlfn.IFERROR(VLOOKUP($A391,'The List'!$B1:$AS730,22,FALSE)," ")</f>
        <v>885</v>
      </c>
      <c r="P391" t="s" s="61">
        <f>_xlfn.IFERROR(VLOOKUP($A391,'The List'!$B1:$AS730,23,FALSE)," ")</f>
        <v>885</v>
      </c>
      <c r="Q391" t="s" s="61">
        <f>_xlfn.IFERROR(VLOOKUP($A391,'The List'!$B1:$AS730,24,FALSE)," ")</f>
        <v>885</v>
      </c>
      <c r="R391" t="s" s="61">
        <f>_xlfn.IFERROR(VLOOKUP($A391,'The List'!$B1:$AS730,25,FALSE)," ")</f>
        <v>885</v>
      </c>
      <c r="S391" t="s" s="61">
        <f>_xlfn.IFERROR(VLOOKUP($A391,'The List'!$B1:$AS730,26,FALSE)," ")</f>
        <v>885</v>
      </c>
      <c r="T391" t="s" s="61">
        <f>_xlfn.IFERROR(VLOOKUP($A391,'The List'!$B1:$AS730,27,FALSE)," ")</f>
        <v>885</v>
      </c>
      <c r="U391" t="s" s="61">
        <f>_xlfn.IFERROR(VLOOKUP($A391,'The List'!$B1:$AS730,28,FALSE)," ")</f>
        <v>885</v>
      </c>
      <c r="V391" t="s" s="61">
        <f>_xlfn.IFERROR(VLOOKUP($A391,'The List'!$B1:$AS730,29,FALSE)," ")</f>
        <v>885</v>
      </c>
      <c r="W391" t="s" s="61">
        <f>_xlfn.IFERROR(VLOOKUP($A391,'The List'!$B1:$AS730,30,FALSE)," ")</f>
        <v>885</v>
      </c>
      <c r="X391" t="s" s="61">
        <f>_xlfn.IFERROR(VLOOKUP($A391,'The List'!$B1:$AS730,31,FALSE)," ")</f>
        <v>885</v>
      </c>
      <c r="Y391" t="s" s="61">
        <f>_xlfn.IFERROR(VLOOKUP($A391,'The List'!$B1:$AS730,32,FALSE)," ")</f>
        <v>885</v>
      </c>
      <c r="Z391" t="s" s="61">
        <f>_xlfn.IFERROR(VLOOKUP($A391,'The List'!$B1:$AS730,33,FALSE)," ")</f>
        <v>885</v>
      </c>
      <c r="AA391" s="64"/>
      <c r="AB391" s="69"/>
      <c r="AC391" s="69"/>
      <c r="AD391" s="69"/>
      <c r="AE391" s="69"/>
      <c r="AF391" s="69"/>
    </row>
    <row r="392" ht="21.25" customHeight="1">
      <c r="A392" s="29"/>
      <c r="B392" t="s" s="77">
        <f>_xlfn.IFERROR(VLOOKUP($A392,'The List'!$B1:$AS730,3,FALSE)," ")</f>
        <v>885</v>
      </c>
      <c r="C392" t="s" s="79">
        <f>_xlfn.IFERROR(VLOOKUP($A392,'The List'!$B1:$AS730,4,FALSE)," ")</f>
        <v>885</v>
      </c>
      <c r="D392" t="s" s="42">
        <f>_xlfn.IFERROR(VLOOKUP($A392,'The List'!$B1:$AS730,5,FALSE)," ")</f>
        <v>885</v>
      </c>
      <c r="E392" t="s" s="42">
        <f>_xlfn.IFERROR(VLOOKUP($A392,'The List'!$B1:$AS730,6,FALSE)," ")</f>
        <v>885</v>
      </c>
      <c r="F392" t="s" s="60">
        <f>_xlfn.IFERROR(VLOOKUP($A392,'The List'!$B1:$AS730,8,FALSE)," ")</f>
        <v>885</v>
      </c>
      <c r="G392" t="s" s="60">
        <f>_xlfn.IFERROR(VLOOKUP($A392,'The List'!$B1:$AS730,10,FALSE)," ")</f>
        <v>885</v>
      </c>
      <c r="H392" s="46"/>
      <c r="I392" t="s" s="61">
        <f>_xlfn.IFERROR(VLOOKUP($A392,'The List'!$B1:$AS730,16,FALSE)," ")</f>
        <v>885</v>
      </c>
      <c r="J392" t="s" s="61">
        <f>_xlfn.IFERROR(VLOOKUP($A392,'The List'!$B1:$AS730,17,FALSE)," ")</f>
        <v>885</v>
      </c>
      <c r="K392" t="s" s="61">
        <f>_xlfn.IFERROR(VLOOKUP($A392,'The List'!$B1:$AS730,18,FALSE)," ")</f>
        <v>885</v>
      </c>
      <c r="L392" t="s" s="61">
        <f>_xlfn.IFERROR(VLOOKUP($A392,'The List'!$B1:$AS730,19,FALSE)," ")</f>
        <v>885</v>
      </c>
      <c r="M392" t="s" s="61">
        <f>_xlfn.IFERROR(VLOOKUP($A392,'The List'!$B1:$AS730,20,FALSE)," ")</f>
        <v>885</v>
      </c>
      <c r="N392" t="s" s="61">
        <f>_xlfn.IFERROR(VLOOKUP($A392,'The List'!$B1:$AS730,21,FALSE)," ")</f>
        <v>885</v>
      </c>
      <c r="O392" t="s" s="61">
        <f>_xlfn.IFERROR(VLOOKUP($A392,'The List'!$B1:$AS730,22,FALSE)," ")</f>
        <v>885</v>
      </c>
      <c r="P392" t="s" s="61">
        <f>_xlfn.IFERROR(VLOOKUP($A392,'The List'!$B1:$AS730,23,FALSE)," ")</f>
        <v>885</v>
      </c>
      <c r="Q392" t="s" s="61">
        <f>_xlfn.IFERROR(VLOOKUP($A392,'The List'!$B1:$AS730,24,FALSE)," ")</f>
        <v>885</v>
      </c>
      <c r="R392" t="s" s="61">
        <f>_xlfn.IFERROR(VLOOKUP($A392,'The List'!$B1:$AS730,25,FALSE)," ")</f>
        <v>885</v>
      </c>
      <c r="S392" t="s" s="61">
        <f>_xlfn.IFERROR(VLOOKUP($A392,'The List'!$B1:$AS730,26,FALSE)," ")</f>
        <v>885</v>
      </c>
      <c r="T392" t="s" s="61">
        <f>_xlfn.IFERROR(VLOOKUP($A392,'The List'!$B1:$AS730,27,FALSE)," ")</f>
        <v>885</v>
      </c>
      <c r="U392" t="s" s="61">
        <f>_xlfn.IFERROR(VLOOKUP($A392,'The List'!$B1:$AS730,28,FALSE)," ")</f>
        <v>885</v>
      </c>
      <c r="V392" t="s" s="61">
        <f>_xlfn.IFERROR(VLOOKUP($A392,'The List'!$B1:$AS730,29,FALSE)," ")</f>
        <v>885</v>
      </c>
      <c r="W392" t="s" s="61">
        <f>_xlfn.IFERROR(VLOOKUP($A392,'The List'!$B1:$AS730,30,FALSE)," ")</f>
        <v>885</v>
      </c>
      <c r="X392" t="s" s="61">
        <f>_xlfn.IFERROR(VLOOKUP($A392,'The List'!$B1:$AS730,31,FALSE)," ")</f>
        <v>885</v>
      </c>
      <c r="Y392" t="s" s="61">
        <f>_xlfn.IFERROR(VLOOKUP($A392,'The List'!$B1:$AS730,32,FALSE)," ")</f>
        <v>885</v>
      </c>
      <c r="Z392" t="s" s="61">
        <f>_xlfn.IFERROR(VLOOKUP($A392,'The List'!$B1:$AS730,33,FALSE)," ")</f>
        <v>885</v>
      </c>
      <c r="AA392" s="64"/>
      <c r="AB392" s="69"/>
      <c r="AC392" s="69"/>
      <c r="AD392" s="69"/>
      <c r="AE392" s="69"/>
      <c r="AF392" s="69"/>
    </row>
    <row r="393" ht="21.25" customHeight="1">
      <c r="A393" s="29"/>
      <c r="B393" t="s" s="77">
        <f>_xlfn.IFERROR(VLOOKUP($A393,'The List'!$B1:$AS730,3,FALSE)," ")</f>
        <v>885</v>
      </c>
      <c r="C393" t="s" s="79">
        <f>_xlfn.IFERROR(VLOOKUP($A393,'The List'!$B1:$AS730,4,FALSE)," ")</f>
        <v>885</v>
      </c>
      <c r="D393" t="s" s="42">
        <f>_xlfn.IFERROR(VLOOKUP($A393,'The List'!$B1:$AS730,5,FALSE)," ")</f>
        <v>885</v>
      </c>
      <c r="E393" t="s" s="42">
        <f>_xlfn.IFERROR(VLOOKUP($A393,'The List'!$B1:$AS730,6,FALSE)," ")</f>
        <v>885</v>
      </c>
      <c r="F393" t="s" s="60">
        <f>_xlfn.IFERROR(VLOOKUP($A393,'The List'!$B1:$AS730,8,FALSE)," ")</f>
        <v>885</v>
      </c>
      <c r="G393" t="s" s="60">
        <f>_xlfn.IFERROR(VLOOKUP($A393,'The List'!$B1:$AS730,10,FALSE)," ")</f>
        <v>885</v>
      </c>
      <c r="H393" s="46"/>
      <c r="I393" t="s" s="61">
        <f>_xlfn.IFERROR(VLOOKUP($A393,'The List'!$B1:$AS730,16,FALSE)," ")</f>
        <v>885</v>
      </c>
      <c r="J393" t="s" s="61">
        <f>_xlfn.IFERROR(VLOOKUP($A393,'The List'!$B1:$AS730,17,FALSE)," ")</f>
        <v>885</v>
      </c>
      <c r="K393" t="s" s="61">
        <f>_xlfn.IFERROR(VLOOKUP($A393,'The List'!$B1:$AS730,18,FALSE)," ")</f>
        <v>885</v>
      </c>
      <c r="L393" t="s" s="61">
        <f>_xlfn.IFERROR(VLOOKUP($A393,'The List'!$B1:$AS730,19,FALSE)," ")</f>
        <v>885</v>
      </c>
      <c r="M393" t="s" s="61">
        <f>_xlfn.IFERROR(VLOOKUP($A393,'The List'!$B1:$AS730,20,FALSE)," ")</f>
        <v>885</v>
      </c>
      <c r="N393" t="s" s="61">
        <f>_xlfn.IFERROR(VLOOKUP($A393,'The List'!$B1:$AS730,21,FALSE)," ")</f>
        <v>885</v>
      </c>
      <c r="O393" t="s" s="61">
        <f>_xlfn.IFERROR(VLOOKUP($A393,'The List'!$B1:$AS730,22,FALSE)," ")</f>
        <v>885</v>
      </c>
      <c r="P393" t="s" s="61">
        <f>_xlfn.IFERROR(VLOOKUP($A393,'The List'!$B1:$AS730,23,FALSE)," ")</f>
        <v>885</v>
      </c>
      <c r="Q393" t="s" s="61">
        <f>_xlfn.IFERROR(VLOOKUP($A393,'The List'!$B1:$AS730,24,FALSE)," ")</f>
        <v>885</v>
      </c>
      <c r="R393" t="s" s="61">
        <f>_xlfn.IFERROR(VLOOKUP($A393,'The List'!$B1:$AS730,25,FALSE)," ")</f>
        <v>885</v>
      </c>
      <c r="S393" t="s" s="61">
        <f>_xlfn.IFERROR(VLOOKUP($A393,'The List'!$B1:$AS730,26,FALSE)," ")</f>
        <v>885</v>
      </c>
      <c r="T393" t="s" s="61">
        <f>_xlfn.IFERROR(VLOOKUP($A393,'The List'!$B1:$AS730,27,FALSE)," ")</f>
        <v>885</v>
      </c>
      <c r="U393" t="s" s="61">
        <f>_xlfn.IFERROR(VLOOKUP($A393,'The List'!$B1:$AS730,28,FALSE)," ")</f>
        <v>885</v>
      </c>
      <c r="V393" t="s" s="61">
        <f>_xlfn.IFERROR(VLOOKUP($A393,'The List'!$B1:$AS730,29,FALSE)," ")</f>
        <v>885</v>
      </c>
      <c r="W393" t="s" s="61">
        <f>_xlfn.IFERROR(VLOOKUP($A393,'The List'!$B1:$AS730,30,FALSE)," ")</f>
        <v>885</v>
      </c>
      <c r="X393" t="s" s="61">
        <f>_xlfn.IFERROR(VLOOKUP($A393,'The List'!$B1:$AS730,31,FALSE)," ")</f>
        <v>885</v>
      </c>
      <c r="Y393" t="s" s="61">
        <f>_xlfn.IFERROR(VLOOKUP($A393,'The List'!$B1:$AS730,32,FALSE)," ")</f>
        <v>885</v>
      </c>
      <c r="Z393" t="s" s="61">
        <f>_xlfn.IFERROR(VLOOKUP($A393,'The List'!$B1:$AS730,33,FALSE)," ")</f>
        <v>885</v>
      </c>
      <c r="AA393" s="64"/>
      <c r="AB393" s="69"/>
      <c r="AC393" s="69"/>
      <c r="AD393" s="69"/>
      <c r="AE393" s="69"/>
      <c r="AF393" s="69"/>
    </row>
    <row r="394" ht="21.25" customHeight="1">
      <c r="A394" s="29"/>
      <c r="B394" t="s" s="77">
        <f>_xlfn.IFERROR(VLOOKUP($A394,'The List'!$B1:$AS730,3,FALSE)," ")</f>
        <v>885</v>
      </c>
      <c r="C394" t="s" s="79">
        <f>_xlfn.IFERROR(VLOOKUP($A394,'The List'!$B1:$AS730,4,FALSE)," ")</f>
        <v>885</v>
      </c>
      <c r="D394" t="s" s="42">
        <f>_xlfn.IFERROR(VLOOKUP($A394,'The List'!$B1:$AS730,5,FALSE)," ")</f>
        <v>885</v>
      </c>
      <c r="E394" t="s" s="42">
        <f>_xlfn.IFERROR(VLOOKUP($A394,'The List'!$B1:$AS730,6,FALSE)," ")</f>
        <v>885</v>
      </c>
      <c r="F394" t="s" s="60">
        <f>_xlfn.IFERROR(VLOOKUP($A394,'The List'!$B1:$AS730,8,FALSE)," ")</f>
        <v>885</v>
      </c>
      <c r="G394" t="s" s="60">
        <f>_xlfn.IFERROR(VLOOKUP($A394,'The List'!$B1:$AS730,10,FALSE)," ")</f>
        <v>885</v>
      </c>
      <c r="H394" s="46"/>
      <c r="I394" t="s" s="61">
        <f>_xlfn.IFERROR(VLOOKUP($A394,'The List'!$B1:$AS730,16,FALSE)," ")</f>
        <v>885</v>
      </c>
      <c r="J394" t="s" s="61">
        <f>_xlfn.IFERROR(VLOOKUP($A394,'The List'!$B1:$AS730,17,FALSE)," ")</f>
        <v>885</v>
      </c>
      <c r="K394" t="s" s="61">
        <f>_xlfn.IFERROR(VLOOKUP($A394,'The List'!$B1:$AS730,18,FALSE)," ")</f>
        <v>885</v>
      </c>
      <c r="L394" t="s" s="61">
        <f>_xlfn.IFERROR(VLOOKUP($A394,'The List'!$B1:$AS730,19,FALSE)," ")</f>
        <v>885</v>
      </c>
      <c r="M394" t="s" s="61">
        <f>_xlfn.IFERROR(VLOOKUP($A394,'The List'!$B1:$AS730,20,FALSE)," ")</f>
        <v>885</v>
      </c>
      <c r="N394" t="s" s="61">
        <f>_xlfn.IFERROR(VLOOKUP($A394,'The List'!$B1:$AS730,21,FALSE)," ")</f>
        <v>885</v>
      </c>
      <c r="O394" t="s" s="61">
        <f>_xlfn.IFERROR(VLOOKUP($A394,'The List'!$B1:$AS730,22,FALSE)," ")</f>
        <v>885</v>
      </c>
      <c r="P394" t="s" s="61">
        <f>_xlfn.IFERROR(VLOOKUP($A394,'The List'!$B1:$AS730,23,FALSE)," ")</f>
        <v>885</v>
      </c>
      <c r="Q394" t="s" s="61">
        <f>_xlfn.IFERROR(VLOOKUP($A394,'The List'!$B1:$AS730,24,FALSE)," ")</f>
        <v>885</v>
      </c>
      <c r="R394" t="s" s="61">
        <f>_xlfn.IFERROR(VLOOKUP($A394,'The List'!$B1:$AS730,25,FALSE)," ")</f>
        <v>885</v>
      </c>
      <c r="S394" t="s" s="61">
        <f>_xlfn.IFERROR(VLOOKUP($A394,'The List'!$B1:$AS730,26,FALSE)," ")</f>
        <v>885</v>
      </c>
      <c r="T394" t="s" s="61">
        <f>_xlfn.IFERROR(VLOOKUP($A394,'The List'!$B1:$AS730,27,FALSE)," ")</f>
        <v>885</v>
      </c>
      <c r="U394" t="s" s="61">
        <f>_xlfn.IFERROR(VLOOKUP($A394,'The List'!$B1:$AS730,28,FALSE)," ")</f>
        <v>885</v>
      </c>
      <c r="V394" t="s" s="61">
        <f>_xlfn.IFERROR(VLOOKUP($A394,'The List'!$B1:$AS730,29,FALSE)," ")</f>
        <v>885</v>
      </c>
      <c r="W394" t="s" s="61">
        <f>_xlfn.IFERROR(VLOOKUP($A394,'The List'!$B1:$AS730,30,FALSE)," ")</f>
        <v>885</v>
      </c>
      <c r="X394" t="s" s="61">
        <f>_xlfn.IFERROR(VLOOKUP($A394,'The List'!$B1:$AS730,31,FALSE)," ")</f>
        <v>885</v>
      </c>
      <c r="Y394" t="s" s="61">
        <f>_xlfn.IFERROR(VLOOKUP($A394,'The List'!$B1:$AS730,32,FALSE)," ")</f>
        <v>885</v>
      </c>
      <c r="Z394" t="s" s="61">
        <f>_xlfn.IFERROR(VLOOKUP($A394,'The List'!$B1:$AS730,33,FALSE)," ")</f>
        <v>885</v>
      </c>
      <c r="AA394" s="64"/>
      <c r="AB394" s="69"/>
      <c r="AC394" s="69"/>
      <c r="AD394" s="69"/>
      <c r="AE394" s="69"/>
      <c r="AF394" s="69"/>
    </row>
    <row r="395" ht="21.25" customHeight="1">
      <c r="A395" s="29"/>
      <c r="B395" t="s" s="77">
        <f>_xlfn.IFERROR(VLOOKUP($A395,'The List'!$B1:$AS730,3,FALSE)," ")</f>
        <v>885</v>
      </c>
      <c r="C395" t="s" s="79">
        <f>_xlfn.IFERROR(VLOOKUP($A395,'The List'!$B1:$AS730,4,FALSE)," ")</f>
        <v>885</v>
      </c>
      <c r="D395" t="s" s="42">
        <f>_xlfn.IFERROR(VLOOKUP($A395,'The List'!$B1:$AS730,5,FALSE)," ")</f>
        <v>885</v>
      </c>
      <c r="E395" t="s" s="42">
        <f>_xlfn.IFERROR(VLOOKUP($A395,'The List'!$B1:$AS730,6,FALSE)," ")</f>
        <v>885</v>
      </c>
      <c r="F395" t="s" s="60">
        <f>_xlfn.IFERROR(VLOOKUP($A395,'The List'!$B1:$AS730,8,FALSE)," ")</f>
        <v>885</v>
      </c>
      <c r="G395" t="s" s="60">
        <f>_xlfn.IFERROR(VLOOKUP($A395,'The List'!$B1:$AS730,10,FALSE)," ")</f>
        <v>885</v>
      </c>
      <c r="H395" s="46"/>
      <c r="I395" t="s" s="61">
        <f>_xlfn.IFERROR(VLOOKUP($A395,'The List'!$B1:$AS730,16,FALSE)," ")</f>
        <v>885</v>
      </c>
      <c r="J395" t="s" s="61">
        <f>_xlfn.IFERROR(VLOOKUP($A395,'The List'!$B1:$AS730,17,FALSE)," ")</f>
        <v>885</v>
      </c>
      <c r="K395" t="s" s="61">
        <f>_xlfn.IFERROR(VLOOKUP($A395,'The List'!$B1:$AS730,18,FALSE)," ")</f>
        <v>885</v>
      </c>
      <c r="L395" t="s" s="61">
        <f>_xlfn.IFERROR(VLOOKUP($A395,'The List'!$B1:$AS730,19,FALSE)," ")</f>
        <v>885</v>
      </c>
      <c r="M395" t="s" s="61">
        <f>_xlfn.IFERROR(VLOOKUP($A395,'The List'!$B1:$AS730,20,FALSE)," ")</f>
        <v>885</v>
      </c>
      <c r="N395" t="s" s="61">
        <f>_xlfn.IFERROR(VLOOKUP($A395,'The List'!$B1:$AS730,21,FALSE)," ")</f>
        <v>885</v>
      </c>
      <c r="O395" t="s" s="61">
        <f>_xlfn.IFERROR(VLOOKUP($A395,'The List'!$B1:$AS730,22,FALSE)," ")</f>
        <v>885</v>
      </c>
      <c r="P395" t="s" s="61">
        <f>_xlfn.IFERROR(VLOOKUP($A395,'The List'!$B1:$AS730,23,FALSE)," ")</f>
        <v>885</v>
      </c>
      <c r="Q395" t="s" s="61">
        <f>_xlfn.IFERROR(VLOOKUP($A395,'The List'!$B1:$AS730,24,FALSE)," ")</f>
        <v>885</v>
      </c>
      <c r="R395" t="s" s="61">
        <f>_xlfn.IFERROR(VLOOKUP($A395,'The List'!$B1:$AS730,25,FALSE)," ")</f>
        <v>885</v>
      </c>
      <c r="S395" t="s" s="61">
        <f>_xlfn.IFERROR(VLOOKUP($A395,'The List'!$B1:$AS730,26,FALSE)," ")</f>
        <v>885</v>
      </c>
      <c r="T395" t="s" s="61">
        <f>_xlfn.IFERROR(VLOOKUP($A395,'The List'!$B1:$AS730,27,FALSE)," ")</f>
        <v>885</v>
      </c>
      <c r="U395" t="s" s="61">
        <f>_xlfn.IFERROR(VLOOKUP($A395,'The List'!$B1:$AS730,28,FALSE)," ")</f>
        <v>885</v>
      </c>
      <c r="V395" t="s" s="61">
        <f>_xlfn.IFERROR(VLOOKUP($A395,'The List'!$B1:$AS730,29,FALSE)," ")</f>
        <v>885</v>
      </c>
      <c r="W395" t="s" s="61">
        <f>_xlfn.IFERROR(VLOOKUP($A395,'The List'!$B1:$AS730,30,FALSE)," ")</f>
        <v>885</v>
      </c>
      <c r="X395" t="s" s="61">
        <f>_xlfn.IFERROR(VLOOKUP($A395,'The List'!$B1:$AS730,31,FALSE)," ")</f>
        <v>885</v>
      </c>
      <c r="Y395" t="s" s="61">
        <f>_xlfn.IFERROR(VLOOKUP($A395,'The List'!$B1:$AS730,32,FALSE)," ")</f>
        <v>885</v>
      </c>
      <c r="Z395" t="s" s="61">
        <f>_xlfn.IFERROR(VLOOKUP($A395,'The List'!$B1:$AS730,33,FALSE)," ")</f>
        <v>885</v>
      </c>
      <c r="AA395" s="64"/>
      <c r="AB395" s="69"/>
      <c r="AC395" s="69"/>
      <c r="AD395" s="69"/>
      <c r="AE395" s="69"/>
      <c r="AF395" s="69"/>
    </row>
    <row r="396" ht="21.25" customHeight="1">
      <c r="A396" s="29"/>
      <c r="B396" t="s" s="77">
        <f>_xlfn.IFERROR(VLOOKUP($A396,'The List'!$B1:$AS730,3,FALSE)," ")</f>
        <v>885</v>
      </c>
      <c r="C396" t="s" s="79">
        <f>_xlfn.IFERROR(VLOOKUP($A396,'The List'!$B1:$AS730,4,FALSE)," ")</f>
        <v>885</v>
      </c>
      <c r="D396" t="s" s="42">
        <f>_xlfn.IFERROR(VLOOKUP($A396,'The List'!$B1:$AS730,5,FALSE)," ")</f>
        <v>885</v>
      </c>
      <c r="E396" t="s" s="42">
        <f>_xlfn.IFERROR(VLOOKUP($A396,'The List'!$B1:$AS730,6,FALSE)," ")</f>
        <v>885</v>
      </c>
      <c r="F396" t="s" s="60">
        <f>_xlfn.IFERROR(VLOOKUP($A396,'The List'!$B1:$AS730,8,FALSE)," ")</f>
        <v>885</v>
      </c>
      <c r="G396" t="s" s="60">
        <f>_xlfn.IFERROR(VLOOKUP($A396,'The List'!$B1:$AS730,10,FALSE)," ")</f>
        <v>885</v>
      </c>
      <c r="H396" s="46"/>
      <c r="I396" t="s" s="61">
        <f>_xlfn.IFERROR(VLOOKUP($A396,'The List'!$B1:$AS730,16,FALSE)," ")</f>
        <v>885</v>
      </c>
      <c r="J396" t="s" s="61">
        <f>_xlfn.IFERROR(VLOOKUP($A396,'The List'!$B1:$AS730,17,FALSE)," ")</f>
        <v>885</v>
      </c>
      <c r="K396" t="s" s="61">
        <f>_xlfn.IFERROR(VLOOKUP($A396,'The List'!$B1:$AS730,18,FALSE)," ")</f>
        <v>885</v>
      </c>
      <c r="L396" t="s" s="61">
        <f>_xlfn.IFERROR(VLOOKUP($A396,'The List'!$B1:$AS730,19,FALSE)," ")</f>
        <v>885</v>
      </c>
      <c r="M396" t="s" s="61">
        <f>_xlfn.IFERROR(VLOOKUP($A396,'The List'!$B1:$AS730,20,FALSE)," ")</f>
        <v>885</v>
      </c>
      <c r="N396" t="s" s="61">
        <f>_xlfn.IFERROR(VLOOKUP($A396,'The List'!$B1:$AS730,21,FALSE)," ")</f>
        <v>885</v>
      </c>
      <c r="O396" t="s" s="61">
        <f>_xlfn.IFERROR(VLOOKUP($A396,'The List'!$B1:$AS730,22,FALSE)," ")</f>
        <v>885</v>
      </c>
      <c r="P396" t="s" s="61">
        <f>_xlfn.IFERROR(VLOOKUP($A396,'The List'!$B1:$AS730,23,FALSE)," ")</f>
        <v>885</v>
      </c>
      <c r="Q396" t="s" s="61">
        <f>_xlfn.IFERROR(VLOOKUP($A396,'The List'!$B1:$AS730,24,FALSE)," ")</f>
        <v>885</v>
      </c>
      <c r="R396" t="s" s="61">
        <f>_xlfn.IFERROR(VLOOKUP($A396,'The List'!$B1:$AS730,25,FALSE)," ")</f>
        <v>885</v>
      </c>
      <c r="S396" t="s" s="61">
        <f>_xlfn.IFERROR(VLOOKUP($A396,'The List'!$B1:$AS730,26,FALSE)," ")</f>
        <v>885</v>
      </c>
      <c r="T396" t="s" s="61">
        <f>_xlfn.IFERROR(VLOOKUP($A396,'The List'!$B1:$AS730,27,FALSE)," ")</f>
        <v>885</v>
      </c>
      <c r="U396" t="s" s="61">
        <f>_xlfn.IFERROR(VLOOKUP($A396,'The List'!$B1:$AS730,28,FALSE)," ")</f>
        <v>885</v>
      </c>
      <c r="V396" t="s" s="61">
        <f>_xlfn.IFERROR(VLOOKUP($A396,'The List'!$B1:$AS730,29,FALSE)," ")</f>
        <v>885</v>
      </c>
      <c r="W396" t="s" s="61">
        <f>_xlfn.IFERROR(VLOOKUP($A396,'The List'!$B1:$AS730,30,FALSE)," ")</f>
        <v>885</v>
      </c>
      <c r="X396" t="s" s="61">
        <f>_xlfn.IFERROR(VLOOKUP($A396,'The List'!$B1:$AS730,31,FALSE)," ")</f>
        <v>885</v>
      </c>
      <c r="Y396" t="s" s="61">
        <f>_xlfn.IFERROR(VLOOKUP($A396,'The List'!$B1:$AS730,32,FALSE)," ")</f>
        <v>885</v>
      </c>
      <c r="Z396" t="s" s="61">
        <f>_xlfn.IFERROR(VLOOKUP($A396,'The List'!$B1:$AS730,33,FALSE)," ")</f>
        <v>885</v>
      </c>
      <c r="AA396" s="64"/>
      <c r="AB396" s="69"/>
      <c r="AC396" s="69"/>
      <c r="AD396" s="69"/>
      <c r="AE396" s="69"/>
      <c r="AF396" s="69"/>
    </row>
    <row r="397" ht="21.25" customHeight="1">
      <c r="A397" s="29"/>
      <c r="B397" t="s" s="77">
        <f>_xlfn.IFERROR(VLOOKUP($A397,'The List'!$B1:$AS730,3,FALSE)," ")</f>
        <v>885</v>
      </c>
      <c r="C397" t="s" s="79">
        <f>_xlfn.IFERROR(VLOOKUP($A397,'The List'!$B1:$AS730,4,FALSE)," ")</f>
        <v>885</v>
      </c>
      <c r="D397" t="s" s="42">
        <f>_xlfn.IFERROR(VLOOKUP($A397,'The List'!$B1:$AS730,5,FALSE)," ")</f>
        <v>885</v>
      </c>
      <c r="E397" t="s" s="42">
        <f>_xlfn.IFERROR(VLOOKUP($A397,'The List'!$B1:$AS730,6,FALSE)," ")</f>
        <v>885</v>
      </c>
      <c r="F397" t="s" s="60">
        <f>_xlfn.IFERROR(VLOOKUP($A397,'The List'!$B1:$AS730,8,FALSE)," ")</f>
        <v>885</v>
      </c>
      <c r="G397" t="s" s="60">
        <f>_xlfn.IFERROR(VLOOKUP($A397,'The List'!$B1:$AS730,10,FALSE)," ")</f>
        <v>885</v>
      </c>
      <c r="H397" s="46"/>
      <c r="I397" t="s" s="61">
        <f>_xlfn.IFERROR(VLOOKUP($A397,'The List'!$B1:$AS730,16,FALSE)," ")</f>
        <v>885</v>
      </c>
      <c r="J397" t="s" s="61">
        <f>_xlfn.IFERROR(VLOOKUP($A397,'The List'!$B1:$AS730,17,FALSE)," ")</f>
        <v>885</v>
      </c>
      <c r="K397" t="s" s="61">
        <f>_xlfn.IFERROR(VLOOKUP($A397,'The List'!$B1:$AS730,18,FALSE)," ")</f>
        <v>885</v>
      </c>
      <c r="L397" t="s" s="61">
        <f>_xlfn.IFERROR(VLOOKUP($A397,'The List'!$B1:$AS730,19,FALSE)," ")</f>
        <v>885</v>
      </c>
      <c r="M397" t="s" s="61">
        <f>_xlfn.IFERROR(VLOOKUP($A397,'The List'!$B1:$AS730,20,FALSE)," ")</f>
        <v>885</v>
      </c>
      <c r="N397" t="s" s="61">
        <f>_xlfn.IFERROR(VLOOKUP($A397,'The List'!$B1:$AS730,21,FALSE)," ")</f>
        <v>885</v>
      </c>
      <c r="O397" t="s" s="61">
        <f>_xlfn.IFERROR(VLOOKUP($A397,'The List'!$B1:$AS730,22,FALSE)," ")</f>
        <v>885</v>
      </c>
      <c r="P397" t="s" s="61">
        <f>_xlfn.IFERROR(VLOOKUP($A397,'The List'!$B1:$AS730,23,FALSE)," ")</f>
        <v>885</v>
      </c>
      <c r="Q397" t="s" s="61">
        <f>_xlfn.IFERROR(VLOOKUP($A397,'The List'!$B1:$AS730,24,FALSE)," ")</f>
        <v>885</v>
      </c>
      <c r="R397" t="s" s="61">
        <f>_xlfn.IFERROR(VLOOKUP($A397,'The List'!$B1:$AS730,25,FALSE)," ")</f>
        <v>885</v>
      </c>
      <c r="S397" t="s" s="61">
        <f>_xlfn.IFERROR(VLOOKUP($A397,'The List'!$B1:$AS730,26,FALSE)," ")</f>
        <v>885</v>
      </c>
      <c r="T397" t="s" s="61">
        <f>_xlfn.IFERROR(VLOOKUP($A397,'The List'!$B1:$AS730,27,FALSE)," ")</f>
        <v>885</v>
      </c>
      <c r="U397" t="s" s="61">
        <f>_xlfn.IFERROR(VLOOKUP($A397,'The List'!$B1:$AS730,28,FALSE)," ")</f>
        <v>885</v>
      </c>
      <c r="V397" t="s" s="61">
        <f>_xlfn.IFERROR(VLOOKUP($A397,'The List'!$B1:$AS730,29,FALSE)," ")</f>
        <v>885</v>
      </c>
      <c r="W397" t="s" s="61">
        <f>_xlfn.IFERROR(VLOOKUP($A397,'The List'!$B1:$AS730,30,FALSE)," ")</f>
        <v>885</v>
      </c>
      <c r="X397" t="s" s="61">
        <f>_xlfn.IFERROR(VLOOKUP($A397,'The List'!$B1:$AS730,31,FALSE)," ")</f>
        <v>885</v>
      </c>
      <c r="Y397" t="s" s="61">
        <f>_xlfn.IFERROR(VLOOKUP($A397,'The List'!$B1:$AS730,32,FALSE)," ")</f>
        <v>885</v>
      </c>
      <c r="Z397" t="s" s="61">
        <f>_xlfn.IFERROR(VLOOKUP($A397,'The List'!$B1:$AS730,33,FALSE)," ")</f>
        <v>885</v>
      </c>
      <c r="AA397" s="64"/>
      <c r="AB397" s="69"/>
      <c r="AC397" s="69"/>
      <c r="AD397" s="69"/>
      <c r="AE397" s="69"/>
      <c r="AF397" s="69"/>
    </row>
    <row r="398" ht="21.25" customHeight="1">
      <c r="A398" s="81"/>
      <c r="B398" t="s" s="82">
        <f>_xlfn.IFERROR(VLOOKUP($A398,'The List'!$B1:$AS730,3,FALSE)," ")</f>
        <v>885</v>
      </c>
      <c r="C398" t="s" s="83">
        <f>_xlfn.IFERROR(VLOOKUP($A398,'The List'!$B1:$AS730,4,FALSE)," ")</f>
        <v>885</v>
      </c>
      <c r="D398" t="s" s="84">
        <f>_xlfn.IFERROR(VLOOKUP($A398,'The List'!$B1:$AS730,5,FALSE)," ")</f>
        <v>885</v>
      </c>
      <c r="E398" t="s" s="84">
        <f>_xlfn.IFERROR(VLOOKUP($A398,'The List'!$B1:$AS730,6,FALSE)," ")</f>
        <v>885</v>
      </c>
      <c r="F398" t="s" s="85">
        <f>_xlfn.IFERROR(VLOOKUP($A398,'The List'!$B1:$AS730,8,FALSE)," ")</f>
        <v>885</v>
      </c>
      <c r="G398" t="s" s="85">
        <f>_xlfn.IFERROR(VLOOKUP($A398,'The List'!$B1:$AS730,10,FALSE)," ")</f>
        <v>885</v>
      </c>
      <c r="H398" s="86"/>
      <c r="I398" t="s" s="87">
        <f>_xlfn.IFERROR(VLOOKUP($A398,'The List'!$B1:$AS730,16,FALSE)," ")</f>
        <v>885</v>
      </c>
      <c r="J398" t="s" s="87">
        <f>_xlfn.IFERROR(VLOOKUP($A398,'The List'!$B1:$AS730,17,FALSE)," ")</f>
        <v>885</v>
      </c>
      <c r="K398" t="s" s="87">
        <f>_xlfn.IFERROR(VLOOKUP($A398,'The List'!$B1:$AS730,18,FALSE)," ")</f>
        <v>885</v>
      </c>
      <c r="L398" t="s" s="87">
        <f>_xlfn.IFERROR(VLOOKUP($A398,'The List'!$B1:$AS730,19,FALSE)," ")</f>
        <v>885</v>
      </c>
      <c r="M398" t="s" s="87">
        <f>_xlfn.IFERROR(VLOOKUP($A398,'The List'!$B1:$AS730,20,FALSE)," ")</f>
        <v>885</v>
      </c>
      <c r="N398" t="s" s="87">
        <f>_xlfn.IFERROR(VLOOKUP($A398,'The List'!$B1:$AS730,21,FALSE)," ")</f>
        <v>885</v>
      </c>
      <c r="O398" t="s" s="87">
        <f>_xlfn.IFERROR(VLOOKUP($A398,'The List'!$B1:$AS730,22,FALSE)," ")</f>
        <v>885</v>
      </c>
      <c r="P398" t="s" s="87">
        <f>_xlfn.IFERROR(VLOOKUP($A398,'The List'!$B1:$AS730,23,FALSE)," ")</f>
        <v>885</v>
      </c>
      <c r="Q398" t="s" s="87">
        <f>_xlfn.IFERROR(VLOOKUP($A398,'The List'!$B1:$AS730,24,FALSE)," ")</f>
        <v>885</v>
      </c>
      <c r="R398" t="s" s="87">
        <f>_xlfn.IFERROR(VLOOKUP($A398,'The List'!$B1:$AS730,25,FALSE)," ")</f>
        <v>885</v>
      </c>
      <c r="S398" t="s" s="87">
        <f>_xlfn.IFERROR(VLOOKUP($A398,'The List'!$B1:$AS730,26,FALSE)," ")</f>
        <v>885</v>
      </c>
      <c r="T398" t="s" s="87">
        <f>_xlfn.IFERROR(VLOOKUP($A398,'The List'!$B1:$AS730,27,FALSE)," ")</f>
        <v>885</v>
      </c>
      <c r="U398" t="s" s="87">
        <f>_xlfn.IFERROR(VLOOKUP($A398,'The List'!$B1:$AS730,28,FALSE)," ")</f>
        <v>885</v>
      </c>
      <c r="V398" t="s" s="87">
        <f>_xlfn.IFERROR(VLOOKUP($A398,'The List'!$B1:$AS730,29,FALSE)," ")</f>
        <v>885</v>
      </c>
      <c r="W398" t="s" s="87">
        <f>_xlfn.IFERROR(VLOOKUP($A398,'The List'!$B1:$AS730,30,FALSE)," ")</f>
        <v>885</v>
      </c>
      <c r="X398" t="s" s="87">
        <f>_xlfn.IFERROR(VLOOKUP($A398,'The List'!$B1:$AS730,31,FALSE)," ")</f>
        <v>885</v>
      </c>
      <c r="Y398" t="s" s="87">
        <f>_xlfn.IFERROR(VLOOKUP($A398,'The List'!$B1:$AS730,32,FALSE)," ")</f>
        <v>885</v>
      </c>
      <c r="Z398" t="s" s="87">
        <f>_xlfn.IFERROR(VLOOKUP($A398,'The List'!$B1:$AS730,33,FALSE)," ")</f>
        <v>885</v>
      </c>
      <c r="AA398" s="64"/>
      <c r="AB398" s="69"/>
      <c r="AC398" s="69"/>
      <c r="AD398" s="69"/>
      <c r="AE398" s="69"/>
      <c r="AF398" s="69"/>
    </row>
    <row r="399" ht="21.25" customHeight="1">
      <c r="A399" s="88"/>
      <c r="B399" s="89"/>
      <c r="C399" s="90"/>
      <c r="D399" s="91"/>
      <c r="E399" t="s" s="127">
        <f>_xlfn.IFERROR(AVERAGE(E379:E398)," ")</f>
        <v>885</v>
      </c>
      <c r="F399" s="93">
        <f>SUM(F379:F398)</f>
        <v>0</v>
      </c>
      <c r="G399" s="93">
        <f>SUM(G379:G398)</f>
        <v>0</v>
      </c>
      <c r="H399" s="94"/>
      <c r="I399" s="95">
        <f>SUM(I379:I398)</f>
        <v>0</v>
      </c>
      <c r="J399" s="94">
        <f>AVERAGE(J379:J398)</f>
      </c>
      <c r="K399" s="95">
        <f>SUM(K379:K398)</f>
        <v>0</v>
      </c>
      <c r="L399" s="95">
        <f>SUM(L379:L398)</f>
        <v>0</v>
      </c>
      <c r="M399" s="95">
        <f>SUM(M379:M398)</f>
        <v>0</v>
      </c>
      <c r="N399" s="95">
        <f>SUM(N379:N398)</f>
        <v>0</v>
      </c>
      <c r="O399" s="95">
        <f>SUM(O379:O398)</f>
        <v>0</v>
      </c>
      <c r="P399" s="95">
        <f>SUM(P379:P398)</f>
        <v>0</v>
      </c>
      <c r="Q399" s="95">
        <f>SUM(Q379:Q398)</f>
        <v>0</v>
      </c>
      <c r="R399" s="95">
        <f>SUM(R379:R398)</f>
        <v>0</v>
      </c>
      <c r="S399" s="95">
        <f>SUM(S379:S398)</f>
        <v>0</v>
      </c>
      <c r="T399" s="95">
        <f>SUM(T379:T398)</f>
        <v>0</v>
      </c>
      <c r="U399" s="95">
        <f>SUM(U379:U398)</f>
        <v>0</v>
      </c>
      <c r="V399" s="95">
        <f>SUM(V379:V398)</f>
        <v>0</v>
      </c>
      <c r="W399" s="95">
        <f>SUM(W379:W398)</f>
        <v>0</v>
      </c>
      <c r="X399" s="95">
        <f>SUM(X379:X398)</f>
        <v>0</v>
      </c>
      <c r="Y399" s="95">
        <f>SUM(Y379:Y398)</f>
        <v>0</v>
      </c>
      <c r="Z399" s="96">
        <f>_xlfn.IFERROR(X399/(X399+Y399),0)</f>
        <v>0</v>
      </c>
      <c r="AA399" s="64"/>
      <c r="AB399" s="97"/>
      <c r="AC399" s="97"/>
      <c r="AD399" s="97"/>
      <c r="AE399" s="97"/>
      <c r="AF399" s="97"/>
    </row>
    <row r="400" ht="21.25" customHeight="1">
      <c r="A400" s="98"/>
      <c r="B400" s="99"/>
      <c r="C400" s="100"/>
      <c r="D400" s="11"/>
      <c r="E400" s="11"/>
      <c r="F400" s="101"/>
      <c r="G400" s="102"/>
      <c r="H400" s="103"/>
      <c r="I400" s="10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9"/>
      <c r="AC400" s="69"/>
      <c r="AD400" s="69"/>
      <c r="AE400" s="69"/>
      <c r="AF400" s="69"/>
    </row>
    <row r="401" ht="21.25" customHeight="1">
      <c r="A401" t="s" s="31">
        <v>66</v>
      </c>
      <c r="B401" t="s" s="105">
        <v>68</v>
      </c>
      <c r="C401" s="19"/>
      <c r="D401" t="s" s="105">
        <v>69</v>
      </c>
      <c r="E401" t="s" s="105">
        <v>70</v>
      </c>
      <c r="F401" t="s" s="106">
        <v>72</v>
      </c>
      <c r="G401" t="s" s="106">
        <v>74</v>
      </c>
      <c r="H401" s="107"/>
      <c r="I401" t="s" s="108">
        <v>79</v>
      </c>
      <c r="J401" t="s" s="108">
        <v>97</v>
      </c>
      <c r="K401" t="s" s="108">
        <v>98</v>
      </c>
      <c r="L401" t="s" s="108">
        <v>99</v>
      </c>
      <c r="M401" t="s" s="108">
        <v>100</v>
      </c>
      <c r="N401" t="s" s="108">
        <v>101</v>
      </c>
      <c r="O401" t="s" s="108">
        <v>102</v>
      </c>
      <c r="P401" t="s" s="108">
        <v>103</v>
      </c>
      <c r="Q401" t="s" s="108">
        <v>104</v>
      </c>
      <c r="R401" s="64"/>
      <c r="S401" s="64"/>
      <c r="T401" s="64"/>
      <c r="U401" t="s" s="105">
        <v>901</v>
      </c>
      <c r="V401" s="107"/>
      <c r="W401" s="107"/>
      <c r="X401" t="s" s="105">
        <v>902</v>
      </c>
      <c r="Y401" s="107"/>
      <c r="Z401" s="107"/>
      <c r="AA401" s="64"/>
      <c r="AB401" s="64"/>
      <c r="AC401" s="64"/>
      <c r="AD401" s="64"/>
      <c r="AE401" s="64"/>
      <c r="AF401" s="64"/>
    </row>
    <row r="402" ht="21.25" customHeight="1">
      <c r="A402" s="128"/>
      <c r="B402" t="s" s="110">
        <f>_xlfn.IFERROR(VLOOKUP($A402,'The List'!$B1:$AS730,3,FALSE)," ")</f>
        <v>885</v>
      </c>
      <c r="C402" t="s" s="129">
        <f>_xlfn.IFERROR(VLOOKUP($A402,'The List'!$B1:$AS730,4,FALSE)," ")</f>
        <v>885</v>
      </c>
      <c r="D402" t="s" s="112">
        <f>_xlfn.IFERROR(VLOOKUP($A402,'The List'!$B1:$AS730,5,FALSE)," ")</f>
        <v>885</v>
      </c>
      <c r="E402" t="s" s="112">
        <f>_xlfn.IFERROR(VLOOKUP($A402,'The List'!$B1:$AS730,6,FALSE)," ")</f>
        <v>885</v>
      </c>
      <c r="F402" t="s" s="130">
        <f>_xlfn.IFERROR(VLOOKUP($A402,'The List'!$B1:$AS730,8,FALSE)," ")</f>
        <v>885</v>
      </c>
      <c r="G402" t="s" s="130">
        <f>_xlfn.IFERROR(VLOOKUP($A402,'The List'!$B1:$AS730,10,FALSE)," ")</f>
        <v>885</v>
      </c>
      <c r="H402" s="115"/>
      <c r="I402" t="s" s="131">
        <f>_xlfn.IFERROR(VLOOKUP($A402,'The List'!$B1:$AS730,35,FALSE)," ")</f>
        <v>885</v>
      </c>
      <c r="J402" t="s" s="131">
        <f>_xlfn.IFERROR(VLOOKUP($A402,'The List'!$B1:$AS730,36,FALSE)," ")</f>
        <v>885</v>
      </c>
      <c r="K402" t="s" s="131">
        <f>_xlfn.IFERROR(VLOOKUP($A402,'The List'!$B1:$AS730,37,FALSE)," ")</f>
        <v>885</v>
      </c>
      <c r="L402" t="s" s="131">
        <f>_xlfn.IFERROR(VLOOKUP($A402,'The List'!$B1:$AS730,38,FALSE)," ")</f>
        <v>885</v>
      </c>
      <c r="M402" t="s" s="131">
        <f>_xlfn.IFERROR(VLOOKUP($A402,'The List'!$B1:$AS730,39,FALSE)," ")</f>
        <v>885</v>
      </c>
      <c r="N402" t="s" s="131">
        <f>_xlfn.IFERROR(VLOOKUP($A402,'The List'!$B1:$AS730,40,FALSE)," ")</f>
        <v>885</v>
      </c>
      <c r="O402" t="s" s="131">
        <f>_xlfn.IFERROR(VLOOKUP($A402,'The List'!$B1:$AS730,41,FALSE)," ")</f>
        <v>885</v>
      </c>
      <c r="P402" t="s" s="131">
        <f>_xlfn.IFERROR(VLOOKUP($A402,'The List'!$B1:$AS730,42,FALSE)," ")</f>
        <v>885</v>
      </c>
      <c r="Q402" t="s" s="131">
        <f>_xlfn.IFERROR(VLOOKUP($A402,'The List'!$B1:$AS730,43,FALSE)," ")</f>
        <v>885</v>
      </c>
      <c r="R402" s="64"/>
      <c r="S402" s="64"/>
      <c r="T402" t="s" s="119">
        <f>A378</f>
        <v>916</v>
      </c>
      <c r="U402" s="120">
        <f>F399+F405</f>
        <v>0</v>
      </c>
      <c r="V402" s="19"/>
      <c r="W402" s="19"/>
      <c r="X402" s="120">
        <f>G405+G399</f>
        <v>0</v>
      </c>
      <c r="Y402" s="19"/>
      <c r="Z402" s="19"/>
      <c r="AA402" s="64"/>
      <c r="AB402" s="64"/>
      <c r="AC402" s="64"/>
      <c r="AD402" s="64"/>
      <c r="AE402" s="64"/>
      <c r="AF402" s="64"/>
    </row>
    <row r="403" ht="21.25" customHeight="1">
      <c r="A403" s="29"/>
      <c r="B403" t="s" s="121">
        <f>_xlfn.IFERROR(VLOOKUP($A403,'The List'!$B1:$AS730,3,FALSE)," ")</f>
        <v>885</v>
      </c>
      <c r="C403" t="s" s="122">
        <f>_xlfn.IFERROR(VLOOKUP($A403,'The List'!$B1:$AS730,4,FALSE)," ")</f>
        <v>885</v>
      </c>
      <c r="D403" t="s" s="42">
        <f>_xlfn.IFERROR(VLOOKUP($A403,'The List'!$B1:$AS730,5,FALSE)," ")</f>
        <v>885</v>
      </c>
      <c r="E403" t="s" s="42">
        <f>_xlfn.IFERROR(VLOOKUP($A403,'The List'!$B1:$AS730,6,FALSE)," ")</f>
        <v>885</v>
      </c>
      <c r="F403" t="s" s="60">
        <f>_xlfn.IFERROR(VLOOKUP($A403,'The List'!$B1:$AS730,8,FALSE)," ")</f>
        <v>885</v>
      </c>
      <c r="G403" t="s" s="60">
        <f>_xlfn.IFERROR(VLOOKUP($A403,'The List'!$B1:$AS730,10,FALSE)," ")</f>
        <v>885</v>
      </c>
      <c r="H403" s="46"/>
      <c r="I403" t="s" s="61">
        <f>_xlfn.IFERROR(VLOOKUP($A403,'The List'!$B1:$AS730,35,FALSE)," ")</f>
        <v>885</v>
      </c>
      <c r="J403" t="s" s="61">
        <f>_xlfn.IFERROR(VLOOKUP($A403,'The List'!$B1:$AS730,36,FALSE)," ")</f>
        <v>885</v>
      </c>
      <c r="K403" t="s" s="61">
        <f>_xlfn.IFERROR(VLOOKUP($A403,'The List'!$B1:$AS730,37,FALSE)," ")</f>
        <v>885</v>
      </c>
      <c r="L403" t="s" s="61">
        <f>_xlfn.IFERROR(VLOOKUP($A403,'The List'!$B1:$AS730,38,FALSE)," ")</f>
        <v>885</v>
      </c>
      <c r="M403" t="s" s="61">
        <f>_xlfn.IFERROR(VLOOKUP($A403,'The List'!$B1:$AS730,39,FALSE)," ")</f>
        <v>885</v>
      </c>
      <c r="N403" t="s" s="61">
        <f>_xlfn.IFERROR(VLOOKUP($A403,'The List'!$B1:$AS730,40,FALSE)," ")</f>
        <v>885</v>
      </c>
      <c r="O403" t="s" s="61">
        <f>_xlfn.IFERROR(VLOOKUP($A403,'The List'!$B1:$AS730,41,FALSE)," ")</f>
        <v>885</v>
      </c>
      <c r="P403" t="s" s="61">
        <f>_xlfn.IFERROR(VLOOKUP($A403,'The List'!$B1:$AS730,42,FALSE)," ")</f>
        <v>885</v>
      </c>
      <c r="Q403" t="s" s="61">
        <f>_xlfn.IFERROR(VLOOKUP($A403,'The List'!$B1:$AS730,43,FALSE)," ")</f>
        <v>885</v>
      </c>
      <c r="R403" s="64"/>
      <c r="S403" s="64"/>
      <c r="T403" s="64"/>
      <c r="U403" s="19"/>
      <c r="V403" s="19"/>
      <c r="W403" s="19"/>
      <c r="X403" s="19"/>
      <c r="Y403" s="19"/>
      <c r="Z403" s="19"/>
      <c r="AA403" s="64"/>
      <c r="AB403" s="64"/>
      <c r="AC403" s="64"/>
      <c r="AD403" s="64"/>
      <c r="AE403" s="64"/>
      <c r="AF403" s="64"/>
    </row>
    <row r="404" ht="21.25" customHeight="1">
      <c r="A404" s="81"/>
      <c r="B404" t="s" s="123">
        <f>_xlfn.IFERROR(VLOOKUP($A404,'The List'!$B1:$AS730,3,FALSE)," ")</f>
        <v>885</v>
      </c>
      <c r="C404" t="s" s="124">
        <f>_xlfn.IFERROR(VLOOKUP($A404,'The List'!$B1:$AS730,4,FALSE)," ")</f>
        <v>885</v>
      </c>
      <c r="D404" t="s" s="84">
        <f>_xlfn.IFERROR(VLOOKUP($A404,'The List'!$B1:$AS730,5,FALSE)," ")</f>
        <v>885</v>
      </c>
      <c r="E404" t="s" s="84">
        <f>_xlfn.IFERROR(VLOOKUP($A404,'The List'!$B1:$AS730,6,FALSE)," ")</f>
        <v>885</v>
      </c>
      <c r="F404" t="s" s="85">
        <f>_xlfn.IFERROR(VLOOKUP($A404,'The List'!$B1:$AS730,8,FALSE)," ")</f>
        <v>885</v>
      </c>
      <c r="G404" t="s" s="85">
        <f>_xlfn.IFERROR(VLOOKUP($A404,'The List'!$B1:$AS730,10,FALSE)," ")</f>
        <v>885</v>
      </c>
      <c r="H404" s="86"/>
      <c r="I404" t="s" s="87">
        <f>_xlfn.IFERROR(VLOOKUP($A404,'The List'!$B1:$AS730,35,FALSE)," ")</f>
        <v>885</v>
      </c>
      <c r="J404" t="s" s="87">
        <f>_xlfn.IFERROR(VLOOKUP($A404,'The List'!$B1:$AS730,36,FALSE)," ")</f>
        <v>885</v>
      </c>
      <c r="K404" t="s" s="87">
        <f>_xlfn.IFERROR(VLOOKUP($A404,'The List'!$B1:$AS730,37,FALSE)," ")</f>
        <v>885</v>
      </c>
      <c r="L404" t="s" s="87">
        <f>_xlfn.IFERROR(VLOOKUP($A404,'The List'!$B1:$AS730,38,FALSE)," ")</f>
        <v>885</v>
      </c>
      <c r="M404" t="s" s="87">
        <f>_xlfn.IFERROR(VLOOKUP($A404,'The List'!$B1:$AS730,39,FALSE)," ")</f>
        <v>885</v>
      </c>
      <c r="N404" t="s" s="87">
        <f>_xlfn.IFERROR(VLOOKUP($A404,'The List'!$B1:$AS730,40,FALSE)," ")</f>
        <v>885</v>
      </c>
      <c r="O404" t="s" s="87">
        <f>_xlfn.IFERROR(VLOOKUP($A404,'The List'!$B1:$AS730,41,FALSE)," ")</f>
        <v>885</v>
      </c>
      <c r="P404" t="s" s="87">
        <f>_xlfn.IFERROR(VLOOKUP($A404,'The List'!$B1:$AS730,42,FALSE)," ")</f>
        <v>885</v>
      </c>
      <c r="Q404" t="s" s="87">
        <f>_xlfn.IFERROR(VLOOKUP($A404,'The List'!$B1:$AS730,43,FALSE)," ")</f>
        <v>885</v>
      </c>
      <c r="R404" s="64"/>
      <c r="S404" s="64"/>
      <c r="T404" s="64"/>
      <c r="U404" s="19"/>
      <c r="V404" s="19"/>
      <c r="W404" s="19"/>
      <c r="X404" s="19"/>
      <c r="Y404" s="19"/>
      <c r="Z404" s="19"/>
      <c r="AA404" s="64"/>
      <c r="AB404" s="64"/>
      <c r="AC404" s="64"/>
      <c r="AD404" s="64"/>
      <c r="AE404" s="64"/>
      <c r="AF404" s="64"/>
    </row>
    <row r="405" ht="21.25" customHeight="1">
      <c r="A405" s="88"/>
      <c r="B405" s="89"/>
      <c r="C405" s="90"/>
      <c r="D405" s="91"/>
      <c r="E405" t="s" s="127">
        <f>_xlfn.IFERROR(AVERAGE(E402:E404)," ")</f>
        <v>885</v>
      </c>
      <c r="F405" s="93">
        <f>SUM(F402:F404)</f>
        <v>0</v>
      </c>
      <c r="G405" s="93">
        <f>SUM(G402:G404)</f>
        <v>0</v>
      </c>
      <c r="H405" s="94"/>
      <c r="I405" s="95">
        <f>SUM(I402:I404)</f>
        <v>0</v>
      </c>
      <c r="J405" s="94">
        <f>SUM(J402:J404)</f>
        <v>0</v>
      </c>
      <c r="K405" s="95">
        <f>SUM(K402:K404)</f>
        <v>0</v>
      </c>
      <c r="L405" s="95">
        <f>SUM(L402:L404)</f>
        <v>0</v>
      </c>
      <c r="M405" s="95">
        <f>SUM(M402:M404)</f>
        <v>0</v>
      </c>
      <c r="N405" s="95">
        <f>SUM(N402:N404)</f>
        <v>0</v>
      </c>
      <c r="O405" s="95">
        <f>SUM(O402:O404)</f>
        <v>0</v>
      </c>
      <c r="P405" s="125">
        <f>1-(O405/(N405+O405))</f>
      </c>
      <c r="Q405" s="126">
        <f>O405/I405</f>
      </c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</row>
    <row r="406" ht="70.85" customHeight="1">
      <c r="A406" s="98"/>
      <c r="B406" s="99"/>
      <c r="C406" s="100"/>
      <c r="D406" s="11"/>
      <c r="E406" s="11"/>
      <c r="F406" s="101"/>
      <c r="G406" s="102"/>
      <c r="H406" s="103"/>
      <c r="I406" s="10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9"/>
      <c r="AB406" s="69"/>
      <c r="AC406" s="69"/>
      <c r="AD406" s="69"/>
      <c r="AE406" s="69"/>
      <c r="AF406" s="69"/>
    </row>
    <row r="407" ht="21.25" customHeight="1">
      <c r="A407" t="s" s="32">
        <v>899</v>
      </c>
      <c r="B407" t="s" s="33">
        <v>68</v>
      </c>
      <c r="C407" s="25"/>
      <c r="D407" t="s" s="33">
        <v>69</v>
      </c>
      <c r="E407" t="s" s="33">
        <v>70</v>
      </c>
      <c r="F407" t="s" s="34">
        <v>72</v>
      </c>
      <c r="G407" t="s" s="34">
        <v>74</v>
      </c>
      <c r="H407" s="35"/>
      <c r="I407" t="s" s="37">
        <v>79</v>
      </c>
      <c r="J407" t="s" s="37">
        <v>80</v>
      </c>
      <c r="K407" t="s" s="37">
        <v>81</v>
      </c>
      <c r="L407" t="s" s="37">
        <v>82</v>
      </c>
      <c r="M407" t="s" s="37">
        <v>83</v>
      </c>
      <c r="N407" t="s" s="37">
        <v>84</v>
      </c>
      <c r="O407" t="s" s="37">
        <v>85</v>
      </c>
      <c r="P407" t="s" s="37">
        <v>86</v>
      </c>
      <c r="Q407" t="s" s="37">
        <v>87</v>
      </c>
      <c r="R407" t="s" s="37">
        <v>88</v>
      </c>
      <c r="S407" t="s" s="37">
        <v>89</v>
      </c>
      <c r="T407" t="s" s="37">
        <v>90</v>
      </c>
      <c r="U407" t="s" s="37">
        <v>91</v>
      </c>
      <c r="V407" t="s" s="37">
        <v>92</v>
      </c>
      <c r="W407" t="s" s="37">
        <v>93</v>
      </c>
      <c r="X407" t="s" s="37">
        <v>94</v>
      </c>
      <c r="Y407" t="s" s="37">
        <v>95</v>
      </c>
      <c r="Z407" t="s" s="37">
        <v>96</v>
      </c>
      <c r="AA407" s="64"/>
      <c r="AB407" s="65"/>
      <c r="AC407" s="65"/>
      <c r="AD407" s="65"/>
      <c r="AE407" s="65"/>
      <c r="AF407" s="65"/>
    </row>
    <row r="408" ht="21.25" customHeight="1">
      <c r="A408" s="29"/>
      <c r="B408" t="s" s="66">
        <f>_xlfn.IFERROR(VLOOKUP($A408,'The List'!$B1:$AS730,3,FALSE)," ")</f>
        <v>885</v>
      </c>
      <c r="C408" t="s" s="70">
        <f>_xlfn.IFERROR(VLOOKUP($A408,'The List'!$B1:$AS730,4,FALSE)," ")</f>
        <v>885</v>
      </c>
      <c r="D408" t="s" s="42">
        <f>_xlfn.IFERROR(VLOOKUP($A408,'The List'!$B1:$AS730,5,FALSE)," ")</f>
        <v>885</v>
      </c>
      <c r="E408" t="s" s="42">
        <f>_xlfn.IFERROR(VLOOKUP($A408,'The List'!$B1:$AS730,6,FALSE)," ")</f>
        <v>885</v>
      </c>
      <c r="F408" t="s" s="60">
        <f>_xlfn.IFERROR(VLOOKUP($A408,'The List'!$B1:$AS730,8,FALSE)," ")</f>
        <v>885</v>
      </c>
      <c r="G408" t="s" s="60">
        <f>_xlfn.IFERROR(VLOOKUP($A408,'The List'!$B1:$AS730,10,FALSE)," ")</f>
        <v>885</v>
      </c>
      <c r="H408" s="46"/>
      <c r="I408" t="s" s="61">
        <f>_xlfn.IFERROR(VLOOKUP($A408,'The List'!$B1:$AS730,16,FALSE)," ")</f>
        <v>885</v>
      </c>
      <c r="J408" t="s" s="61">
        <f>_xlfn.IFERROR(VLOOKUP($A408,'The List'!$B1:$AS730,17,FALSE)," ")</f>
        <v>885</v>
      </c>
      <c r="K408" t="s" s="61">
        <f>_xlfn.IFERROR(VLOOKUP($A408,'The List'!$B1:$AS730,18,FALSE)," ")</f>
        <v>885</v>
      </c>
      <c r="L408" t="s" s="61">
        <f>_xlfn.IFERROR(VLOOKUP($A408,'The List'!$B1:$AS730,19,FALSE)," ")</f>
        <v>885</v>
      </c>
      <c r="M408" t="s" s="61">
        <f>_xlfn.IFERROR(VLOOKUP($A408,'The List'!$B1:$AS730,20,FALSE)," ")</f>
        <v>885</v>
      </c>
      <c r="N408" t="s" s="61">
        <f>_xlfn.IFERROR(VLOOKUP($A408,'The List'!$B1:$AS730,21,FALSE)," ")</f>
        <v>885</v>
      </c>
      <c r="O408" t="s" s="61">
        <f>_xlfn.IFERROR(VLOOKUP($A408,'The List'!$B1:$AS730,22,FALSE)," ")</f>
        <v>885</v>
      </c>
      <c r="P408" t="s" s="61">
        <f>_xlfn.IFERROR(VLOOKUP($A408,'The List'!$B1:$AS730,23,FALSE)," ")</f>
        <v>885</v>
      </c>
      <c r="Q408" t="s" s="61">
        <f>_xlfn.IFERROR(VLOOKUP($A408,'The List'!$B1:$AS730,24,FALSE)," ")</f>
        <v>885</v>
      </c>
      <c r="R408" t="s" s="61">
        <f>_xlfn.IFERROR(VLOOKUP($A408,'The List'!$B1:$AS730,25,FALSE)," ")</f>
        <v>885</v>
      </c>
      <c r="S408" t="s" s="61">
        <f>_xlfn.IFERROR(VLOOKUP($A408,'The List'!$B1:$AS730,26,FALSE)," ")</f>
        <v>885</v>
      </c>
      <c r="T408" t="s" s="61">
        <f>_xlfn.IFERROR(VLOOKUP($A408,'The List'!$B1:$AS730,27,FALSE)," ")</f>
        <v>885</v>
      </c>
      <c r="U408" t="s" s="61">
        <f>_xlfn.IFERROR(VLOOKUP($A408,'The List'!$B1:$AS730,28,FALSE)," ")</f>
        <v>885</v>
      </c>
      <c r="V408" t="s" s="61">
        <f>_xlfn.IFERROR(VLOOKUP($A408,'The List'!$B1:$AS730,29,FALSE)," ")</f>
        <v>885</v>
      </c>
      <c r="W408" t="s" s="61">
        <f>_xlfn.IFERROR(VLOOKUP($A408,'The List'!$B1:$AS730,30,FALSE)," ")</f>
        <v>885</v>
      </c>
      <c r="X408" t="s" s="61">
        <f>_xlfn.IFERROR(VLOOKUP($A408,'The List'!$B1:$AS730,31,FALSE)," ")</f>
        <v>885</v>
      </c>
      <c r="Y408" t="s" s="61">
        <f>_xlfn.IFERROR(VLOOKUP($A408,'The List'!$B1:$AS730,32,FALSE)," ")</f>
        <v>885</v>
      </c>
      <c r="Z408" t="s" s="61">
        <f>_xlfn.IFERROR(VLOOKUP($A408,'The List'!$B1:$AS730,33,FALSE)," ")</f>
        <v>885</v>
      </c>
      <c r="AA408" s="64"/>
      <c r="AB408" s="69"/>
      <c r="AC408" s="69"/>
      <c r="AD408" s="69"/>
      <c r="AE408" s="69"/>
      <c r="AF408" s="69"/>
    </row>
    <row r="409" ht="21.25" customHeight="1">
      <c r="A409" s="29"/>
      <c r="B409" t="s" s="66">
        <f>_xlfn.IFERROR(VLOOKUP($A409,'The List'!$B1:$AS730,3,FALSE)," ")</f>
        <v>885</v>
      </c>
      <c r="C409" t="s" s="70">
        <f>_xlfn.IFERROR(VLOOKUP($A409,'The List'!$B1:$AS730,4,FALSE)," ")</f>
        <v>885</v>
      </c>
      <c r="D409" t="s" s="42">
        <f>_xlfn.IFERROR(VLOOKUP($A409,'The List'!$B1:$AS730,5,FALSE)," ")</f>
        <v>885</v>
      </c>
      <c r="E409" t="s" s="42">
        <f>_xlfn.IFERROR(VLOOKUP($A409,'The List'!$B1:$AS730,6,FALSE)," ")</f>
        <v>885</v>
      </c>
      <c r="F409" t="s" s="60">
        <f>_xlfn.IFERROR(VLOOKUP($A409,'The List'!$B1:$AS730,8,FALSE)," ")</f>
        <v>885</v>
      </c>
      <c r="G409" t="s" s="60">
        <f>_xlfn.IFERROR(VLOOKUP($A409,'The List'!$B1:$AS730,10,FALSE)," ")</f>
        <v>885</v>
      </c>
      <c r="H409" s="46"/>
      <c r="I409" t="s" s="61">
        <f>_xlfn.IFERROR(VLOOKUP($A409,'The List'!$B1:$AS730,16,FALSE)," ")</f>
        <v>885</v>
      </c>
      <c r="J409" t="s" s="61">
        <f>_xlfn.IFERROR(VLOOKUP($A409,'The List'!$B1:$AS730,17,FALSE)," ")</f>
        <v>885</v>
      </c>
      <c r="K409" t="s" s="61">
        <f>_xlfn.IFERROR(VLOOKUP($A409,'The List'!$B1:$AS730,18,FALSE)," ")</f>
        <v>885</v>
      </c>
      <c r="L409" t="s" s="61">
        <f>_xlfn.IFERROR(VLOOKUP($A409,'The List'!$B1:$AS730,19,FALSE)," ")</f>
        <v>885</v>
      </c>
      <c r="M409" t="s" s="61">
        <f>_xlfn.IFERROR(VLOOKUP($A409,'The List'!$B1:$AS730,20,FALSE)," ")</f>
        <v>885</v>
      </c>
      <c r="N409" t="s" s="61">
        <f>_xlfn.IFERROR(VLOOKUP($A409,'The List'!$B1:$AS730,21,FALSE)," ")</f>
        <v>885</v>
      </c>
      <c r="O409" t="s" s="61">
        <f>_xlfn.IFERROR(VLOOKUP($A409,'The List'!$B1:$AS730,22,FALSE)," ")</f>
        <v>885</v>
      </c>
      <c r="P409" t="s" s="61">
        <f>_xlfn.IFERROR(VLOOKUP($A409,'The List'!$B1:$AS730,23,FALSE)," ")</f>
        <v>885</v>
      </c>
      <c r="Q409" t="s" s="61">
        <f>_xlfn.IFERROR(VLOOKUP($A409,'The List'!$B1:$AS730,24,FALSE)," ")</f>
        <v>885</v>
      </c>
      <c r="R409" t="s" s="61">
        <f>_xlfn.IFERROR(VLOOKUP($A409,'The List'!$B1:$AS730,25,FALSE)," ")</f>
        <v>885</v>
      </c>
      <c r="S409" t="s" s="61">
        <f>_xlfn.IFERROR(VLOOKUP($A409,'The List'!$B1:$AS730,26,FALSE)," ")</f>
        <v>885</v>
      </c>
      <c r="T409" t="s" s="61">
        <f>_xlfn.IFERROR(VLOOKUP($A409,'The List'!$B1:$AS730,27,FALSE)," ")</f>
        <v>885</v>
      </c>
      <c r="U409" t="s" s="61">
        <f>_xlfn.IFERROR(VLOOKUP($A409,'The List'!$B1:$AS730,28,FALSE)," ")</f>
        <v>885</v>
      </c>
      <c r="V409" t="s" s="61">
        <f>_xlfn.IFERROR(VLOOKUP($A409,'The List'!$B1:$AS730,29,FALSE)," ")</f>
        <v>885</v>
      </c>
      <c r="W409" t="s" s="61">
        <f>_xlfn.IFERROR(VLOOKUP($A409,'The List'!$B1:$AS730,30,FALSE)," ")</f>
        <v>885</v>
      </c>
      <c r="X409" t="s" s="61">
        <f>_xlfn.IFERROR(VLOOKUP($A409,'The List'!$B1:$AS730,31,FALSE)," ")</f>
        <v>885</v>
      </c>
      <c r="Y409" t="s" s="61">
        <f>_xlfn.IFERROR(VLOOKUP($A409,'The List'!$B1:$AS730,32,FALSE)," ")</f>
        <v>885</v>
      </c>
      <c r="Z409" t="s" s="61">
        <f>_xlfn.IFERROR(VLOOKUP($A409,'The List'!$B1:$AS730,33,FALSE)," ")</f>
        <v>885</v>
      </c>
      <c r="AA409" s="64"/>
      <c r="AB409" s="69"/>
      <c r="AC409" s="69"/>
      <c r="AD409" s="69"/>
      <c r="AE409" s="69"/>
      <c r="AF409" s="69"/>
    </row>
    <row r="410" ht="21.25" customHeight="1">
      <c r="A410" s="29"/>
      <c r="B410" t="s" s="66">
        <f>_xlfn.IFERROR(VLOOKUP($A410,'The List'!$B1:$AS730,3,FALSE)," ")</f>
        <v>885</v>
      </c>
      <c r="C410" t="s" s="70">
        <f>_xlfn.IFERROR(VLOOKUP($A410,'The List'!$B1:$AS730,4,FALSE)," ")</f>
        <v>885</v>
      </c>
      <c r="D410" t="s" s="42">
        <f>_xlfn.IFERROR(VLOOKUP($A410,'The List'!$B1:$AS730,5,FALSE)," ")</f>
        <v>885</v>
      </c>
      <c r="E410" t="s" s="42">
        <f>_xlfn.IFERROR(VLOOKUP($A410,'The List'!$B1:$AS730,6,FALSE)," ")</f>
        <v>885</v>
      </c>
      <c r="F410" t="s" s="60">
        <f>_xlfn.IFERROR(VLOOKUP($A410,'The List'!$B1:$AS730,8,FALSE)," ")</f>
        <v>885</v>
      </c>
      <c r="G410" t="s" s="60">
        <f>_xlfn.IFERROR(VLOOKUP($A410,'The List'!$B1:$AS730,10,FALSE)," ")</f>
        <v>885</v>
      </c>
      <c r="H410" s="46"/>
      <c r="I410" t="s" s="61">
        <f>_xlfn.IFERROR(VLOOKUP($A410,'The List'!$B1:$AS730,16,FALSE)," ")</f>
        <v>885</v>
      </c>
      <c r="J410" t="s" s="61">
        <f>_xlfn.IFERROR(VLOOKUP($A410,'The List'!$B1:$AS730,17,FALSE)," ")</f>
        <v>885</v>
      </c>
      <c r="K410" t="s" s="61">
        <f>_xlfn.IFERROR(VLOOKUP($A410,'The List'!$B1:$AS730,18,FALSE)," ")</f>
        <v>885</v>
      </c>
      <c r="L410" t="s" s="61">
        <f>_xlfn.IFERROR(VLOOKUP($A410,'The List'!$B1:$AS730,19,FALSE)," ")</f>
        <v>885</v>
      </c>
      <c r="M410" t="s" s="61">
        <f>_xlfn.IFERROR(VLOOKUP($A410,'The List'!$B1:$AS730,20,FALSE)," ")</f>
        <v>885</v>
      </c>
      <c r="N410" t="s" s="61">
        <f>_xlfn.IFERROR(VLOOKUP($A410,'The List'!$B1:$AS730,21,FALSE)," ")</f>
        <v>885</v>
      </c>
      <c r="O410" t="s" s="61">
        <f>_xlfn.IFERROR(VLOOKUP($A410,'The List'!$B1:$AS730,22,FALSE)," ")</f>
        <v>885</v>
      </c>
      <c r="P410" t="s" s="61">
        <f>_xlfn.IFERROR(VLOOKUP($A410,'The List'!$B1:$AS730,23,FALSE)," ")</f>
        <v>885</v>
      </c>
      <c r="Q410" t="s" s="61">
        <f>_xlfn.IFERROR(VLOOKUP($A410,'The List'!$B1:$AS730,24,FALSE)," ")</f>
        <v>885</v>
      </c>
      <c r="R410" t="s" s="61">
        <f>_xlfn.IFERROR(VLOOKUP($A410,'The List'!$B1:$AS730,25,FALSE)," ")</f>
        <v>885</v>
      </c>
      <c r="S410" t="s" s="61">
        <f>_xlfn.IFERROR(VLOOKUP($A410,'The List'!$B1:$AS730,26,FALSE)," ")</f>
        <v>885</v>
      </c>
      <c r="T410" t="s" s="61">
        <f>_xlfn.IFERROR(VLOOKUP($A410,'The List'!$B1:$AS730,27,FALSE)," ")</f>
        <v>885</v>
      </c>
      <c r="U410" t="s" s="61">
        <f>_xlfn.IFERROR(VLOOKUP($A410,'The List'!$B1:$AS730,28,FALSE)," ")</f>
        <v>885</v>
      </c>
      <c r="V410" t="s" s="61">
        <f>_xlfn.IFERROR(VLOOKUP($A410,'The List'!$B1:$AS730,29,FALSE)," ")</f>
        <v>885</v>
      </c>
      <c r="W410" t="s" s="61">
        <f>_xlfn.IFERROR(VLOOKUP($A410,'The List'!$B1:$AS730,30,FALSE)," ")</f>
        <v>885</v>
      </c>
      <c r="X410" t="s" s="61">
        <f>_xlfn.IFERROR(VLOOKUP($A410,'The List'!$B1:$AS730,31,FALSE)," ")</f>
        <v>885</v>
      </c>
      <c r="Y410" t="s" s="61">
        <f>_xlfn.IFERROR(VLOOKUP($A410,'The List'!$B1:$AS730,32,FALSE)," ")</f>
        <v>885</v>
      </c>
      <c r="Z410" t="s" s="61">
        <f>_xlfn.IFERROR(VLOOKUP($A410,'The List'!$B1:$AS730,33,FALSE)," ")</f>
        <v>885</v>
      </c>
      <c r="AA410" s="64"/>
      <c r="AB410" s="69"/>
      <c r="AC410" s="69"/>
      <c r="AD410" s="69"/>
      <c r="AE410" s="69"/>
      <c r="AF410" s="69"/>
    </row>
    <row r="411" ht="21.25" customHeight="1">
      <c r="A411" s="29"/>
      <c r="B411" t="s" s="66">
        <f>_xlfn.IFERROR(VLOOKUP($A411,'The List'!$B1:$AS730,3,FALSE)," ")</f>
        <v>885</v>
      </c>
      <c r="C411" t="s" s="70">
        <f>_xlfn.IFERROR(VLOOKUP($A411,'The List'!$B1:$AS730,4,FALSE)," ")</f>
        <v>885</v>
      </c>
      <c r="D411" t="s" s="42">
        <f>_xlfn.IFERROR(VLOOKUP($A411,'The List'!$B1:$AS730,5,FALSE)," ")</f>
        <v>885</v>
      </c>
      <c r="E411" t="s" s="42">
        <f>_xlfn.IFERROR(VLOOKUP($A411,'The List'!$B1:$AS730,6,FALSE)," ")</f>
        <v>885</v>
      </c>
      <c r="F411" t="s" s="60">
        <f>_xlfn.IFERROR(VLOOKUP($A411,'The List'!$B1:$AS730,8,FALSE)," ")</f>
        <v>885</v>
      </c>
      <c r="G411" t="s" s="60">
        <f>_xlfn.IFERROR(VLOOKUP($A411,'The List'!$B1:$AS730,10,FALSE)," ")</f>
        <v>885</v>
      </c>
      <c r="H411" s="46"/>
      <c r="I411" t="s" s="61">
        <f>_xlfn.IFERROR(VLOOKUP($A411,'The List'!$B1:$AS730,16,FALSE)," ")</f>
        <v>885</v>
      </c>
      <c r="J411" t="s" s="61">
        <f>_xlfn.IFERROR(VLOOKUP($A411,'The List'!$B1:$AS730,17,FALSE)," ")</f>
        <v>885</v>
      </c>
      <c r="K411" t="s" s="61">
        <f>_xlfn.IFERROR(VLOOKUP($A411,'The List'!$B1:$AS730,18,FALSE)," ")</f>
        <v>885</v>
      </c>
      <c r="L411" t="s" s="61">
        <f>_xlfn.IFERROR(VLOOKUP($A411,'The List'!$B1:$AS730,19,FALSE)," ")</f>
        <v>885</v>
      </c>
      <c r="M411" t="s" s="61">
        <f>_xlfn.IFERROR(VLOOKUP($A411,'The List'!$B1:$AS730,20,FALSE)," ")</f>
        <v>885</v>
      </c>
      <c r="N411" t="s" s="61">
        <f>_xlfn.IFERROR(VLOOKUP($A411,'The List'!$B1:$AS730,21,FALSE)," ")</f>
        <v>885</v>
      </c>
      <c r="O411" t="s" s="61">
        <f>_xlfn.IFERROR(VLOOKUP($A411,'The List'!$B1:$AS730,22,FALSE)," ")</f>
        <v>885</v>
      </c>
      <c r="P411" t="s" s="61">
        <f>_xlfn.IFERROR(VLOOKUP($A411,'The List'!$B1:$AS730,23,FALSE)," ")</f>
        <v>885</v>
      </c>
      <c r="Q411" t="s" s="61">
        <f>_xlfn.IFERROR(VLOOKUP($A411,'The List'!$B1:$AS730,24,FALSE)," ")</f>
        <v>885</v>
      </c>
      <c r="R411" t="s" s="61">
        <f>_xlfn.IFERROR(VLOOKUP($A411,'The List'!$B1:$AS730,25,FALSE)," ")</f>
        <v>885</v>
      </c>
      <c r="S411" t="s" s="61">
        <f>_xlfn.IFERROR(VLOOKUP($A411,'The List'!$B1:$AS730,26,FALSE)," ")</f>
        <v>885</v>
      </c>
      <c r="T411" t="s" s="61">
        <f>_xlfn.IFERROR(VLOOKUP($A411,'The List'!$B1:$AS730,27,FALSE)," ")</f>
        <v>885</v>
      </c>
      <c r="U411" t="s" s="61">
        <f>_xlfn.IFERROR(VLOOKUP($A411,'The List'!$B1:$AS730,28,FALSE)," ")</f>
        <v>885</v>
      </c>
      <c r="V411" t="s" s="61">
        <f>_xlfn.IFERROR(VLOOKUP($A411,'The List'!$B1:$AS730,29,FALSE)," ")</f>
        <v>885</v>
      </c>
      <c r="W411" t="s" s="61">
        <f>_xlfn.IFERROR(VLOOKUP($A411,'The List'!$B1:$AS730,30,FALSE)," ")</f>
        <v>885</v>
      </c>
      <c r="X411" t="s" s="61">
        <f>_xlfn.IFERROR(VLOOKUP($A411,'The List'!$B1:$AS730,31,FALSE)," ")</f>
        <v>885</v>
      </c>
      <c r="Y411" t="s" s="61">
        <f>_xlfn.IFERROR(VLOOKUP($A411,'The List'!$B1:$AS730,32,FALSE)," ")</f>
        <v>885</v>
      </c>
      <c r="Z411" t="s" s="61">
        <f>_xlfn.IFERROR(VLOOKUP($A411,'The List'!$B1:$AS730,33,FALSE)," ")</f>
        <v>885</v>
      </c>
      <c r="AA411" s="64"/>
      <c r="AB411" s="69"/>
      <c r="AC411" s="69"/>
      <c r="AD411" s="69"/>
      <c r="AE411" s="69"/>
      <c r="AF411" s="69"/>
    </row>
    <row r="412" ht="21.25" customHeight="1">
      <c r="A412" s="29"/>
      <c r="B412" t="s" s="71">
        <f>_xlfn.IFERROR(VLOOKUP($A412,'The List'!$B1:$AS730,3,FALSE)," ")</f>
        <v>885</v>
      </c>
      <c r="C412" t="s" s="73">
        <f>_xlfn.IFERROR(VLOOKUP($A412,'The List'!$B1:$AS730,4,FALSE)," ")</f>
        <v>885</v>
      </c>
      <c r="D412" t="s" s="42">
        <f>_xlfn.IFERROR(VLOOKUP($A412,'The List'!$B1:$AS730,5,FALSE)," ")</f>
        <v>885</v>
      </c>
      <c r="E412" t="s" s="42">
        <f>_xlfn.IFERROR(VLOOKUP($A412,'The List'!$B1:$AS730,6,FALSE)," ")</f>
        <v>885</v>
      </c>
      <c r="F412" t="s" s="60">
        <f>_xlfn.IFERROR(VLOOKUP($A412,'The List'!$B1:$AS730,8,FALSE)," ")</f>
        <v>885</v>
      </c>
      <c r="G412" t="s" s="60">
        <f>_xlfn.IFERROR(VLOOKUP($A412,'The List'!$B1:$AS730,10,FALSE)," ")</f>
        <v>885</v>
      </c>
      <c r="H412" s="46"/>
      <c r="I412" t="s" s="61">
        <f>_xlfn.IFERROR(VLOOKUP($A412,'The List'!$B1:$AS730,16,FALSE)," ")</f>
        <v>885</v>
      </c>
      <c r="J412" t="s" s="61">
        <f>_xlfn.IFERROR(VLOOKUP($A412,'The List'!$B1:$AS730,17,FALSE)," ")</f>
        <v>885</v>
      </c>
      <c r="K412" t="s" s="61">
        <f>_xlfn.IFERROR(VLOOKUP($A412,'The List'!$B1:$AS730,18,FALSE)," ")</f>
        <v>885</v>
      </c>
      <c r="L412" t="s" s="61">
        <f>_xlfn.IFERROR(VLOOKUP($A412,'The List'!$B1:$AS730,19,FALSE)," ")</f>
        <v>885</v>
      </c>
      <c r="M412" t="s" s="61">
        <f>_xlfn.IFERROR(VLOOKUP($A412,'The List'!$B1:$AS730,20,FALSE)," ")</f>
        <v>885</v>
      </c>
      <c r="N412" t="s" s="61">
        <f>_xlfn.IFERROR(VLOOKUP($A412,'The List'!$B1:$AS730,21,FALSE)," ")</f>
        <v>885</v>
      </c>
      <c r="O412" t="s" s="61">
        <f>_xlfn.IFERROR(VLOOKUP($A412,'The List'!$B1:$AS730,22,FALSE)," ")</f>
        <v>885</v>
      </c>
      <c r="P412" t="s" s="61">
        <f>_xlfn.IFERROR(VLOOKUP($A412,'The List'!$B1:$AS730,23,FALSE)," ")</f>
        <v>885</v>
      </c>
      <c r="Q412" t="s" s="61">
        <f>_xlfn.IFERROR(VLOOKUP($A412,'The List'!$B1:$AS730,24,FALSE)," ")</f>
        <v>885</v>
      </c>
      <c r="R412" t="s" s="61">
        <f>_xlfn.IFERROR(VLOOKUP($A412,'The List'!$B1:$AS730,25,FALSE)," ")</f>
        <v>885</v>
      </c>
      <c r="S412" t="s" s="61">
        <f>_xlfn.IFERROR(VLOOKUP($A412,'The List'!$B1:$AS730,26,FALSE)," ")</f>
        <v>885</v>
      </c>
      <c r="T412" t="s" s="61">
        <f>_xlfn.IFERROR(VLOOKUP($A412,'The List'!$B1:$AS730,27,FALSE)," ")</f>
        <v>885</v>
      </c>
      <c r="U412" t="s" s="61">
        <f>_xlfn.IFERROR(VLOOKUP($A412,'The List'!$B1:$AS730,28,FALSE)," ")</f>
        <v>885</v>
      </c>
      <c r="V412" t="s" s="61">
        <f>_xlfn.IFERROR(VLOOKUP($A412,'The List'!$B1:$AS730,29,FALSE)," ")</f>
        <v>885</v>
      </c>
      <c r="W412" t="s" s="61">
        <f>_xlfn.IFERROR(VLOOKUP($A412,'The List'!$B1:$AS730,30,FALSE)," ")</f>
        <v>885</v>
      </c>
      <c r="X412" t="s" s="61">
        <f>_xlfn.IFERROR(VLOOKUP($A412,'The List'!$B1:$AS730,31,FALSE)," ")</f>
        <v>885</v>
      </c>
      <c r="Y412" t="s" s="61">
        <f>_xlfn.IFERROR(VLOOKUP($A412,'The List'!$B1:$AS730,32,FALSE)," ")</f>
        <v>885</v>
      </c>
      <c r="Z412" t="s" s="61">
        <f>_xlfn.IFERROR(VLOOKUP($A412,'The List'!$B1:$AS730,33,FALSE)," ")</f>
        <v>885</v>
      </c>
      <c r="AA412" s="64"/>
      <c r="AB412" s="69"/>
      <c r="AC412" s="69"/>
      <c r="AD412" s="69"/>
      <c r="AE412" s="69"/>
      <c r="AF412" s="69"/>
    </row>
    <row r="413" ht="21.25" customHeight="1">
      <c r="A413" s="29"/>
      <c r="B413" t="s" s="71">
        <f>_xlfn.IFERROR(VLOOKUP($A413,'The List'!$B1:$AS730,3,FALSE)," ")</f>
        <v>885</v>
      </c>
      <c r="C413" t="s" s="73">
        <f>_xlfn.IFERROR(VLOOKUP($A413,'The List'!$B1:$AS730,4,FALSE)," ")</f>
        <v>885</v>
      </c>
      <c r="D413" t="s" s="42">
        <f>_xlfn.IFERROR(VLOOKUP($A413,'The List'!$B1:$AS730,5,FALSE)," ")</f>
        <v>885</v>
      </c>
      <c r="E413" t="s" s="42">
        <f>_xlfn.IFERROR(VLOOKUP($A413,'The List'!$B1:$AS730,6,FALSE)," ")</f>
        <v>885</v>
      </c>
      <c r="F413" t="s" s="60">
        <f>_xlfn.IFERROR(VLOOKUP($A413,'The List'!$B1:$AS730,8,FALSE)," ")</f>
        <v>885</v>
      </c>
      <c r="G413" t="s" s="60">
        <f>_xlfn.IFERROR(VLOOKUP($A413,'The List'!$B1:$AS730,10,FALSE)," ")</f>
        <v>885</v>
      </c>
      <c r="H413" s="46"/>
      <c r="I413" t="s" s="61">
        <f>_xlfn.IFERROR(VLOOKUP($A413,'The List'!$B1:$AS730,16,FALSE)," ")</f>
        <v>885</v>
      </c>
      <c r="J413" t="s" s="61">
        <f>_xlfn.IFERROR(VLOOKUP($A413,'The List'!$B1:$AS730,17,FALSE)," ")</f>
        <v>885</v>
      </c>
      <c r="K413" t="s" s="61">
        <f>_xlfn.IFERROR(VLOOKUP($A413,'The List'!$B1:$AS730,18,FALSE)," ")</f>
        <v>885</v>
      </c>
      <c r="L413" t="s" s="61">
        <f>_xlfn.IFERROR(VLOOKUP($A413,'The List'!$B1:$AS730,19,FALSE)," ")</f>
        <v>885</v>
      </c>
      <c r="M413" t="s" s="61">
        <f>_xlfn.IFERROR(VLOOKUP($A413,'The List'!$B1:$AS730,20,FALSE)," ")</f>
        <v>885</v>
      </c>
      <c r="N413" t="s" s="61">
        <f>_xlfn.IFERROR(VLOOKUP($A413,'The List'!$B1:$AS730,21,FALSE)," ")</f>
        <v>885</v>
      </c>
      <c r="O413" t="s" s="61">
        <f>_xlfn.IFERROR(VLOOKUP($A413,'The List'!$B1:$AS730,22,FALSE)," ")</f>
        <v>885</v>
      </c>
      <c r="P413" t="s" s="61">
        <f>_xlfn.IFERROR(VLOOKUP($A413,'The List'!$B1:$AS730,23,FALSE)," ")</f>
        <v>885</v>
      </c>
      <c r="Q413" t="s" s="61">
        <f>_xlfn.IFERROR(VLOOKUP($A413,'The List'!$B1:$AS730,24,FALSE)," ")</f>
        <v>885</v>
      </c>
      <c r="R413" t="s" s="61">
        <f>_xlfn.IFERROR(VLOOKUP($A413,'The List'!$B1:$AS730,25,FALSE)," ")</f>
        <v>885</v>
      </c>
      <c r="S413" t="s" s="61">
        <f>_xlfn.IFERROR(VLOOKUP($A413,'The List'!$B1:$AS730,26,FALSE)," ")</f>
        <v>885</v>
      </c>
      <c r="T413" t="s" s="61">
        <f>_xlfn.IFERROR(VLOOKUP($A413,'The List'!$B1:$AS730,27,FALSE)," ")</f>
        <v>885</v>
      </c>
      <c r="U413" t="s" s="61">
        <f>_xlfn.IFERROR(VLOOKUP($A413,'The List'!$B1:$AS730,28,FALSE)," ")</f>
        <v>885</v>
      </c>
      <c r="V413" t="s" s="61">
        <f>_xlfn.IFERROR(VLOOKUP($A413,'The List'!$B1:$AS730,29,FALSE)," ")</f>
        <v>885</v>
      </c>
      <c r="W413" t="s" s="61">
        <f>_xlfn.IFERROR(VLOOKUP($A413,'The List'!$B1:$AS730,30,FALSE)," ")</f>
        <v>885</v>
      </c>
      <c r="X413" t="s" s="61">
        <f>_xlfn.IFERROR(VLOOKUP($A413,'The List'!$B1:$AS730,31,FALSE)," ")</f>
        <v>885</v>
      </c>
      <c r="Y413" t="s" s="61">
        <f>_xlfn.IFERROR(VLOOKUP($A413,'The List'!$B1:$AS730,32,FALSE)," ")</f>
        <v>885</v>
      </c>
      <c r="Z413" t="s" s="61">
        <f>_xlfn.IFERROR(VLOOKUP($A413,'The List'!$B1:$AS730,33,FALSE)," ")</f>
        <v>885</v>
      </c>
      <c r="AA413" s="64"/>
      <c r="AB413" s="69"/>
      <c r="AC413" s="69"/>
      <c r="AD413" s="69"/>
      <c r="AE413" s="69"/>
      <c r="AF413" s="69"/>
    </row>
    <row r="414" ht="21.25" customHeight="1">
      <c r="A414" s="29"/>
      <c r="B414" t="s" s="71">
        <f>_xlfn.IFERROR(VLOOKUP($A414,'The List'!$B1:$AS730,3,FALSE)," ")</f>
        <v>885</v>
      </c>
      <c r="C414" t="s" s="73">
        <f>_xlfn.IFERROR(VLOOKUP($A414,'The List'!$B1:$AS730,4,FALSE)," ")</f>
        <v>885</v>
      </c>
      <c r="D414" t="s" s="42">
        <f>_xlfn.IFERROR(VLOOKUP($A414,'The List'!$B1:$AS730,5,FALSE)," ")</f>
        <v>885</v>
      </c>
      <c r="E414" t="s" s="42">
        <f>_xlfn.IFERROR(VLOOKUP($A414,'The List'!$B1:$AS730,6,FALSE)," ")</f>
        <v>885</v>
      </c>
      <c r="F414" t="s" s="60">
        <f>_xlfn.IFERROR(VLOOKUP($A414,'The List'!$B1:$AS730,8,FALSE)," ")</f>
        <v>885</v>
      </c>
      <c r="G414" t="s" s="60">
        <f>_xlfn.IFERROR(VLOOKUP($A414,'The List'!$B1:$AS730,10,FALSE)," ")</f>
        <v>885</v>
      </c>
      <c r="H414" s="46"/>
      <c r="I414" t="s" s="61">
        <f>_xlfn.IFERROR(VLOOKUP($A414,'The List'!$B1:$AS730,16,FALSE)," ")</f>
        <v>885</v>
      </c>
      <c r="J414" t="s" s="61">
        <f>_xlfn.IFERROR(VLOOKUP($A414,'The List'!$B1:$AS730,17,FALSE)," ")</f>
        <v>885</v>
      </c>
      <c r="K414" t="s" s="61">
        <f>_xlfn.IFERROR(VLOOKUP($A414,'The List'!$B1:$AS730,18,FALSE)," ")</f>
        <v>885</v>
      </c>
      <c r="L414" t="s" s="61">
        <f>_xlfn.IFERROR(VLOOKUP($A414,'The List'!$B1:$AS730,19,FALSE)," ")</f>
        <v>885</v>
      </c>
      <c r="M414" t="s" s="61">
        <f>_xlfn.IFERROR(VLOOKUP($A414,'The List'!$B1:$AS730,20,FALSE)," ")</f>
        <v>885</v>
      </c>
      <c r="N414" t="s" s="61">
        <f>_xlfn.IFERROR(VLOOKUP($A414,'The List'!$B1:$AS730,21,FALSE)," ")</f>
        <v>885</v>
      </c>
      <c r="O414" t="s" s="61">
        <f>_xlfn.IFERROR(VLOOKUP($A414,'The List'!$B1:$AS730,22,FALSE)," ")</f>
        <v>885</v>
      </c>
      <c r="P414" t="s" s="61">
        <f>_xlfn.IFERROR(VLOOKUP($A414,'The List'!$B1:$AS730,23,FALSE)," ")</f>
        <v>885</v>
      </c>
      <c r="Q414" t="s" s="61">
        <f>_xlfn.IFERROR(VLOOKUP($A414,'The List'!$B1:$AS730,24,FALSE)," ")</f>
        <v>885</v>
      </c>
      <c r="R414" t="s" s="61">
        <f>_xlfn.IFERROR(VLOOKUP($A414,'The List'!$B1:$AS730,25,FALSE)," ")</f>
        <v>885</v>
      </c>
      <c r="S414" t="s" s="61">
        <f>_xlfn.IFERROR(VLOOKUP($A414,'The List'!$B1:$AS730,26,FALSE)," ")</f>
        <v>885</v>
      </c>
      <c r="T414" t="s" s="61">
        <f>_xlfn.IFERROR(VLOOKUP($A414,'The List'!$B1:$AS730,27,FALSE)," ")</f>
        <v>885</v>
      </c>
      <c r="U414" t="s" s="61">
        <f>_xlfn.IFERROR(VLOOKUP($A414,'The List'!$B1:$AS730,28,FALSE)," ")</f>
        <v>885</v>
      </c>
      <c r="V414" t="s" s="61">
        <f>_xlfn.IFERROR(VLOOKUP($A414,'The List'!$B1:$AS730,29,FALSE)," ")</f>
        <v>885</v>
      </c>
      <c r="W414" t="s" s="61">
        <f>_xlfn.IFERROR(VLOOKUP($A414,'The List'!$B1:$AS730,30,FALSE)," ")</f>
        <v>885</v>
      </c>
      <c r="X414" t="s" s="61">
        <f>_xlfn.IFERROR(VLOOKUP($A414,'The List'!$B1:$AS730,31,FALSE)," ")</f>
        <v>885</v>
      </c>
      <c r="Y414" t="s" s="61">
        <f>_xlfn.IFERROR(VLOOKUP($A414,'The List'!$B1:$AS730,32,FALSE)," ")</f>
        <v>885</v>
      </c>
      <c r="Z414" t="s" s="61">
        <f>_xlfn.IFERROR(VLOOKUP($A414,'The List'!$B1:$AS730,33,FALSE)," ")</f>
        <v>885</v>
      </c>
      <c r="AA414" s="64"/>
      <c r="AB414" s="69"/>
      <c r="AC414" s="69"/>
      <c r="AD414" s="69"/>
      <c r="AE414" s="69"/>
      <c r="AF414" s="69"/>
    </row>
    <row r="415" ht="21.25" customHeight="1">
      <c r="A415" s="29"/>
      <c r="B415" t="s" s="71">
        <f>_xlfn.IFERROR(VLOOKUP($A415,'The List'!$B1:$AS730,3,FALSE)," ")</f>
        <v>885</v>
      </c>
      <c r="C415" t="s" s="73">
        <f>_xlfn.IFERROR(VLOOKUP($A415,'The List'!$B1:$AS730,4,FALSE)," ")</f>
        <v>885</v>
      </c>
      <c r="D415" t="s" s="42">
        <f>_xlfn.IFERROR(VLOOKUP($A415,'The List'!$B1:$AS730,5,FALSE)," ")</f>
        <v>885</v>
      </c>
      <c r="E415" t="s" s="42">
        <f>_xlfn.IFERROR(VLOOKUP($A415,'The List'!$B1:$AS730,6,FALSE)," ")</f>
        <v>885</v>
      </c>
      <c r="F415" t="s" s="60">
        <f>_xlfn.IFERROR(VLOOKUP($A415,'The List'!$B1:$AS730,8,FALSE)," ")</f>
        <v>885</v>
      </c>
      <c r="G415" t="s" s="60">
        <f>_xlfn.IFERROR(VLOOKUP($A415,'The List'!$B1:$AS730,10,FALSE)," ")</f>
        <v>885</v>
      </c>
      <c r="H415" s="46"/>
      <c r="I415" t="s" s="61">
        <f>_xlfn.IFERROR(VLOOKUP($A415,'The List'!$B1:$AS730,16,FALSE)," ")</f>
        <v>885</v>
      </c>
      <c r="J415" t="s" s="61">
        <f>_xlfn.IFERROR(VLOOKUP($A415,'The List'!$B1:$AS730,17,FALSE)," ")</f>
        <v>885</v>
      </c>
      <c r="K415" t="s" s="61">
        <f>_xlfn.IFERROR(VLOOKUP($A415,'The List'!$B1:$AS730,18,FALSE)," ")</f>
        <v>885</v>
      </c>
      <c r="L415" t="s" s="61">
        <f>_xlfn.IFERROR(VLOOKUP($A415,'The List'!$B1:$AS730,19,FALSE)," ")</f>
        <v>885</v>
      </c>
      <c r="M415" t="s" s="61">
        <f>_xlfn.IFERROR(VLOOKUP($A415,'The List'!$B1:$AS730,20,FALSE)," ")</f>
        <v>885</v>
      </c>
      <c r="N415" t="s" s="61">
        <f>_xlfn.IFERROR(VLOOKUP($A415,'The List'!$B1:$AS730,21,FALSE)," ")</f>
        <v>885</v>
      </c>
      <c r="O415" t="s" s="61">
        <f>_xlfn.IFERROR(VLOOKUP($A415,'The List'!$B1:$AS730,22,FALSE)," ")</f>
        <v>885</v>
      </c>
      <c r="P415" t="s" s="61">
        <f>_xlfn.IFERROR(VLOOKUP($A415,'The List'!$B1:$AS730,23,FALSE)," ")</f>
        <v>885</v>
      </c>
      <c r="Q415" t="s" s="61">
        <f>_xlfn.IFERROR(VLOOKUP($A415,'The List'!$B1:$AS730,24,FALSE)," ")</f>
        <v>885</v>
      </c>
      <c r="R415" t="s" s="61">
        <f>_xlfn.IFERROR(VLOOKUP($A415,'The List'!$B1:$AS730,25,FALSE)," ")</f>
        <v>885</v>
      </c>
      <c r="S415" t="s" s="61">
        <f>_xlfn.IFERROR(VLOOKUP($A415,'The List'!$B1:$AS730,26,FALSE)," ")</f>
        <v>885</v>
      </c>
      <c r="T415" t="s" s="61">
        <f>_xlfn.IFERROR(VLOOKUP($A415,'The List'!$B1:$AS730,27,FALSE)," ")</f>
        <v>885</v>
      </c>
      <c r="U415" t="s" s="61">
        <f>_xlfn.IFERROR(VLOOKUP($A415,'The List'!$B1:$AS730,28,FALSE)," ")</f>
        <v>885</v>
      </c>
      <c r="V415" t="s" s="61">
        <f>_xlfn.IFERROR(VLOOKUP($A415,'The List'!$B1:$AS730,29,FALSE)," ")</f>
        <v>885</v>
      </c>
      <c r="W415" t="s" s="61">
        <f>_xlfn.IFERROR(VLOOKUP($A415,'The List'!$B1:$AS730,30,FALSE)," ")</f>
        <v>885</v>
      </c>
      <c r="X415" t="s" s="61">
        <f>_xlfn.IFERROR(VLOOKUP($A415,'The List'!$B1:$AS730,31,FALSE)," ")</f>
        <v>885</v>
      </c>
      <c r="Y415" t="s" s="61">
        <f>_xlfn.IFERROR(VLOOKUP($A415,'The List'!$B1:$AS730,32,FALSE)," ")</f>
        <v>885</v>
      </c>
      <c r="Z415" t="s" s="61">
        <f>_xlfn.IFERROR(VLOOKUP($A415,'The List'!$B1:$AS730,33,FALSE)," ")</f>
        <v>885</v>
      </c>
      <c r="AA415" s="64"/>
      <c r="AB415" s="69"/>
      <c r="AC415" s="69"/>
      <c r="AD415" s="69"/>
      <c r="AE415" s="69"/>
      <c r="AF415" s="69"/>
    </row>
    <row r="416" ht="21.25" customHeight="1">
      <c r="A416" s="29"/>
      <c r="B416" t="s" s="74">
        <f>_xlfn.IFERROR(VLOOKUP($A416,'The List'!$B1:$AS730,3,FALSE)," ")</f>
        <v>885</v>
      </c>
      <c r="C416" t="s" s="76">
        <f>_xlfn.IFERROR(VLOOKUP($A416,'The List'!$B1:$AS730,4,FALSE)," ")</f>
        <v>885</v>
      </c>
      <c r="D416" t="s" s="42">
        <f>_xlfn.IFERROR(VLOOKUP($A416,'The List'!$B1:$AS730,5,FALSE)," ")</f>
        <v>885</v>
      </c>
      <c r="E416" t="s" s="42">
        <f>_xlfn.IFERROR(VLOOKUP($A416,'The List'!$B1:$AS730,6,FALSE)," ")</f>
        <v>885</v>
      </c>
      <c r="F416" t="s" s="60">
        <f>_xlfn.IFERROR(VLOOKUP($A416,'The List'!$B1:$AS730,8,FALSE)," ")</f>
        <v>885</v>
      </c>
      <c r="G416" t="s" s="60">
        <f>_xlfn.IFERROR(VLOOKUP($A416,'The List'!$B1:$AS730,10,FALSE)," ")</f>
        <v>885</v>
      </c>
      <c r="H416" s="46"/>
      <c r="I416" t="s" s="61">
        <f>_xlfn.IFERROR(VLOOKUP($A416,'The List'!$B1:$AS730,16,FALSE)," ")</f>
        <v>885</v>
      </c>
      <c r="J416" t="s" s="61">
        <f>_xlfn.IFERROR(VLOOKUP($A416,'The List'!$B1:$AS730,17,FALSE)," ")</f>
        <v>885</v>
      </c>
      <c r="K416" t="s" s="61">
        <f>_xlfn.IFERROR(VLOOKUP($A416,'The List'!$B1:$AS730,18,FALSE)," ")</f>
        <v>885</v>
      </c>
      <c r="L416" t="s" s="61">
        <f>_xlfn.IFERROR(VLOOKUP($A416,'The List'!$B1:$AS730,19,FALSE)," ")</f>
        <v>885</v>
      </c>
      <c r="M416" t="s" s="61">
        <f>_xlfn.IFERROR(VLOOKUP($A416,'The List'!$B1:$AS730,20,FALSE)," ")</f>
        <v>885</v>
      </c>
      <c r="N416" t="s" s="61">
        <f>_xlfn.IFERROR(VLOOKUP($A416,'The List'!$B1:$AS730,21,FALSE)," ")</f>
        <v>885</v>
      </c>
      <c r="O416" t="s" s="61">
        <f>_xlfn.IFERROR(VLOOKUP($A416,'The List'!$B1:$AS730,22,FALSE)," ")</f>
        <v>885</v>
      </c>
      <c r="P416" t="s" s="61">
        <f>_xlfn.IFERROR(VLOOKUP($A416,'The List'!$B1:$AS730,23,FALSE)," ")</f>
        <v>885</v>
      </c>
      <c r="Q416" t="s" s="61">
        <f>_xlfn.IFERROR(VLOOKUP($A416,'The List'!$B1:$AS730,24,FALSE)," ")</f>
        <v>885</v>
      </c>
      <c r="R416" t="s" s="61">
        <f>_xlfn.IFERROR(VLOOKUP($A416,'The List'!$B1:$AS730,25,FALSE)," ")</f>
        <v>885</v>
      </c>
      <c r="S416" t="s" s="61">
        <f>_xlfn.IFERROR(VLOOKUP($A416,'The List'!$B1:$AS730,26,FALSE)," ")</f>
        <v>885</v>
      </c>
      <c r="T416" t="s" s="61">
        <f>_xlfn.IFERROR(VLOOKUP($A416,'The List'!$B1:$AS730,27,FALSE)," ")</f>
        <v>885</v>
      </c>
      <c r="U416" t="s" s="61">
        <f>_xlfn.IFERROR(VLOOKUP($A416,'The List'!$B1:$AS730,28,FALSE)," ")</f>
        <v>885</v>
      </c>
      <c r="V416" t="s" s="61">
        <f>_xlfn.IFERROR(VLOOKUP($A416,'The List'!$B1:$AS730,29,FALSE)," ")</f>
        <v>885</v>
      </c>
      <c r="W416" t="s" s="61">
        <f>_xlfn.IFERROR(VLOOKUP($A416,'The List'!$B1:$AS730,30,FALSE)," ")</f>
        <v>885</v>
      </c>
      <c r="X416" t="s" s="61">
        <f>_xlfn.IFERROR(VLOOKUP($A416,'The List'!$B1:$AS730,31,FALSE)," ")</f>
        <v>885</v>
      </c>
      <c r="Y416" t="s" s="61">
        <f>_xlfn.IFERROR(VLOOKUP($A416,'The List'!$B1:$AS730,32,FALSE)," ")</f>
        <v>885</v>
      </c>
      <c r="Z416" t="s" s="61">
        <f>_xlfn.IFERROR(VLOOKUP($A416,'The List'!$B1:$AS730,33,FALSE)," ")</f>
        <v>885</v>
      </c>
      <c r="AA416" s="64"/>
      <c r="AB416" s="69"/>
      <c r="AC416" s="69"/>
      <c r="AD416" s="69"/>
      <c r="AE416" s="69"/>
      <c r="AF416" s="69"/>
    </row>
    <row r="417" ht="21.25" customHeight="1">
      <c r="A417" s="29"/>
      <c r="B417" t="s" s="74">
        <f>_xlfn.IFERROR(VLOOKUP($A417,'The List'!$B1:$AS730,3,FALSE)," ")</f>
        <v>885</v>
      </c>
      <c r="C417" t="s" s="76">
        <f>_xlfn.IFERROR(VLOOKUP($A417,'The List'!$B1:$AS730,4,FALSE)," ")</f>
        <v>885</v>
      </c>
      <c r="D417" t="s" s="42">
        <f>_xlfn.IFERROR(VLOOKUP($A417,'The List'!$B1:$AS730,5,FALSE)," ")</f>
        <v>885</v>
      </c>
      <c r="E417" t="s" s="42">
        <f>_xlfn.IFERROR(VLOOKUP($A417,'The List'!$B1:$AS730,6,FALSE)," ")</f>
        <v>885</v>
      </c>
      <c r="F417" t="s" s="60">
        <f>_xlfn.IFERROR(VLOOKUP($A417,'The List'!$B1:$AS730,8,FALSE)," ")</f>
        <v>885</v>
      </c>
      <c r="G417" t="s" s="60">
        <f>_xlfn.IFERROR(VLOOKUP($A417,'The List'!$B1:$AS730,10,FALSE)," ")</f>
        <v>885</v>
      </c>
      <c r="H417" s="46"/>
      <c r="I417" t="s" s="61">
        <f>_xlfn.IFERROR(VLOOKUP($A417,'The List'!$B1:$AS730,16,FALSE)," ")</f>
        <v>885</v>
      </c>
      <c r="J417" t="s" s="61">
        <f>_xlfn.IFERROR(VLOOKUP($A417,'The List'!$B1:$AS730,17,FALSE)," ")</f>
        <v>885</v>
      </c>
      <c r="K417" t="s" s="61">
        <f>_xlfn.IFERROR(VLOOKUP($A417,'The List'!$B1:$AS730,18,FALSE)," ")</f>
        <v>885</v>
      </c>
      <c r="L417" t="s" s="61">
        <f>_xlfn.IFERROR(VLOOKUP($A417,'The List'!$B1:$AS730,19,FALSE)," ")</f>
        <v>885</v>
      </c>
      <c r="M417" t="s" s="61">
        <f>_xlfn.IFERROR(VLOOKUP($A417,'The List'!$B1:$AS730,20,FALSE)," ")</f>
        <v>885</v>
      </c>
      <c r="N417" t="s" s="61">
        <f>_xlfn.IFERROR(VLOOKUP($A417,'The List'!$B1:$AS730,21,FALSE)," ")</f>
        <v>885</v>
      </c>
      <c r="O417" t="s" s="61">
        <f>_xlfn.IFERROR(VLOOKUP($A417,'The List'!$B1:$AS730,22,FALSE)," ")</f>
        <v>885</v>
      </c>
      <c r="P417" t="s" s="61">
        <f>_xlfn.IFERROR(VLOOKUP($A417,'The List'!$B1:$AS730,23,FALSE)," ")</f>
        <v>885</v>
      </c>
      <c r="Q417" t="s" s="61">
        <f>_xlfn.IFERROR(VLOOKUP($A417,'The List'!$B1:$AS730,24,FALSE)," ")</f>
        <v>885</v>
      </c>
      <c r="R417" t="s" s="61">
        <f>_xlfn.IFERROR(VLOOKUP($A417,'The List'!$B1:$AS730,25,FALSE)," ")</f>
        <v>885</v>
      </c>
      <c r="S417" t="s" s="61">
        <f>_xlfn.IFERROR(VLOOKUP($A417,'The List'!$B1:$AS730,26,FALSE)," ")</f>
        <v>885</v>
      </c>
      <c r="T417" t="s" s="61">
        <f>_xlfn.IFERROR(VLOOKUP($A417,'The List'!$B1:$AS730,27,FALSE)," ")</f>
        <v>885</v>
      </c>
      <c r="U417" t="s" s="61">
        <f>_xlfn.IFERROR(VLOOKUP($A417,'The List'!$B1:$AS730,28,FALSE)," ")</f>
        <v>885</v>
      </c>
      <c r="V417" t="s" s="61">
        <f>_xlfn.IFERROR(VLOOKUP($A417,'The List'!$B1:$AS730,29,FALSE)," ")</f>
        <v>885</v>
      </c>
      <c r="W417" t="s" s="61">
        <f>_xlfn.IFERROR(VLOOKUP($A417,'The List'!$B1:$AS730,30,FALSE)," ")</f>
        <v>885</v>
      </c>
      <c r="X417" t="s" s="61">
        <f>_xlfn.IFERROR(VLOOKUP($A417,'The List'!$B1:$AS730,31,FALSE)," ")</f>
        <v>885</v>
      </c>
      <c r="Y417" t="s" s="61">
        <f>_xlfn.IFERROR(VLOOKUP($A417,'The List'!$B1:$AS730,32,FALSE)," ")</f>
        <v>885</v>
      </c>
      <c r="Z417" t="s" s="61">
        <f>_xlfn.IFERROR(VLOOKUP($A417,'The List'!$B1:$AS730,33,FALSE)," ")</f>
        <v>885</v>
      </c>
      <c r="AA417" s="64"/>
      <c r="AB417" s="69"/>
      <c r="AC417" s="69"/>
      <c r="AD417" s="69"/>
      <c r="AE417" s="69"/>
      <c r="AF417" s="69"/>
    </row>
    <row r="418" ht="21.25" customHeight="1">
      <c r="A418" s="29"/>
      <c r="B418" t="s" s="74">
        <f>_xlfn.IFERROR(VLOOKUP($A418,'The List'!$B1:$AS730,3,FALSE)," ")</f>
        <v>885</v>
      </c>
      <c r="C418" t="s" s="76">
        <f>_xlfn.IFERROR(VLOOKUP($A418,'The List'!$B1:$AS730,4,FALSE)," ")</f>
        <v>885</v>
      </c>
      <c r="D418" t="s" s="42">
        <f>_xlfn.IFERROR(VLOOKUP($A418,'The List'!$B1:$AS730,5,FALSE)," ")</f>
        <v>885</v>
      </c>
      <c r="E418" t="s" s="42">
        <f>_xlfn.IFERROR(VLOOKUP($A418,'The List'!$B1:$AS730,6,FALSE)," ")</f>
        <v>885</v>
      </c>
      <c r="F418" t="s" s="60">
        <f>_xlfn.IFERROR(VLOOKUP($A418,'The List'!$B1:$AS730,8,FALSE)," ")</f>
        <v>885</v>
      </c>
      <c r="G418" t="s" s="60">
        <f>_xlfn.IFERROR(VLOOKUP($A418,'The List'!$B1:$AS730,10,FALSE)," ")</f>
        <v>885</v>
      </c>
      <c r="H418" s="46"/>
      <c r="I418" t="s" s="61">
        <f>_xlfn.IFERROR(VLOOKUP($A418,'The List'!$B1:$AS730,16,FALSE)," ")</f>
        <v>885</v>
      </c>
      <c r="J418" t="s" s="61">
        <f>_xlfn.IFERROR(VLOOKUP($A418,'The List'!$B1:$AS730,17,FALSE)," ")</f>
        <v>885</v>
      </c>
      <c r="K418" t="s" s="61">
        <f>_xlfn.IFERROR(VLOOKUP($A418,'The List'!$B1:$AS730,18,FALSE)," ")</f>
        <v>885</v>
      </c>
      <c r="L418" t="s" s="61">
        <f>_xlfn.IFERROR(VLOOKUP($A418,'The List'!$B1:$AS730,19,FALSE)," ")</f>
        <v>885</v>
      </c>
      <c r="M418" t="s" s="61">
        <f>_xlfn.IFERROR(VLOOKUP($A418,'The List'!$B1:$AS730,20,FALSE)," ")</f>
        <v>885</v>
      </c>
      <c r="N418" t="s" s="61">
        <f>_xlfn.IFERROR(VLOOKUP($A418,'The List'!$B1:$AS730,21,FALSE)," ")</f>
        <v>885</v>
      </c>
      <c r="O418" t="s" s="61">
        <f>_xlfn.IFERROR(VLOOKUP($A418,'The List'!$B1:$AS730,22,FALSE)," ")</f>
        <v>885</v>
      </c>
      <c r="P418" t="s" s="61">
        <f>_xlfn.IFERROR(VLOOKUP($A418,'The List'!$B1:$AS730,23,FALSE)," ")</f>
        <v>885</v>
      </c>
      <c r="Q418" t="s" s="61">
        <f>_xlfn.IFERROR(VLOOKUP($A418,'The List'!$B1:$AS730,24,FALSE)," ")</f>
        <v>885</v>
      </c>
      <c r="R418" t="s" s="61">
        <f>_xlfn.IFERROR(VLOOKUP($A418,'The List'!$B1:$AS730,25,FALSE)," ")</f>
        <v>885</v>
      </c>
      <c r="S418" t="s" s="61">
        <f>_xlfn.IFERROR(VLOOKUP($A418,'The List'!$B1:$AS730,26,FALSE)," ")</f>
        <v>885</v>
      </c>
      <c r="T418" t="s" s="61">
        <f>_xlfn.IFERROR(VLOOKUP($A418,'The List'!$B1:$AS730,27,FALSE)," ")</f>
        <v>885</v>
      </c>
      <c r="U418" t="s" s="61">
        <f>_xlfn.IFERROR(VLOOKUP($A418,'The List'!$B1:$AS730,28,FALSE)," ")</f>
        <v>885</v>
      </c>
      <c r="V418" t="s" s="61">
        <f>_xlfn.IFERROR(VLOOKUP($A418,'The List'!$B1:$AS730,29,FALSE)," ")</f>
        <v>885</v>
      </c>
      <c r="W418" t="s" s="61">
        <f>_xlfn.IFERROR(VLOOKUP($A418,'The List'!$B1:$AS730,30,FALSE)," ")</f>
        <v>885</v>
      </c>
      <c r="X418" t="s" s="61">
        <f>_xlfn.IFERROR(VLOOKUP($A418,'The List'!$B1:$AS730,31,FALSE)," ")</f>
        <v>885</v>
      </c>
      <c r="Y418" t="s" s="61">
        <f>_xlfn.IFERROR(VLOOKUP($A418,'The List'!$B1:$AS730,32,FALSE)," ")</f>
        <v>885</v>
      </c>
      <c r="Z418" t="s" s="61">
        <f>_xlfn.IFERROR(VLOOKUP($A418,'The List'!$B1:$AS730,33,FALSE)," ")</f>
        <v>885</v>
      </c>
      <c r="AA418" s="64"/>
      <c r="AB418" s="69"/>
      <c r="AC418" s="69"/>
      <c r="AD418" s="69"/>
      <c r="AE418" s="69"/>
      <c r="AF418" s="69"/>
    </row>
    <row r="419" ht="21.25" customHeight="1">
      <c r="A419" s="29"/>
      <c r="B419" t="s" s="74">
        <f>_xlfn.IFERROR(VLOOKUP($A419,'The List'!$B1:$AS730,3,FALSE)," ")</f>
        <v>885</v>
      </c>
      <c r="C419" t="s" s="76">
        <f>_xlfn.IFERROR(VLOOKUP($A419,'The List'!$B1:$AS730,4,FALSE)," ")</f>
        <v>885</v>
      </c>
      <c r="D419" t="s" s="42">
        <f>_xlfn.IFERROR(VLOOKUP($A419,'The List'!$B1:$AS730,5,FALSE)," ")</f>
        <v>885</v>
      </c>
      <c r="E419" t="s" s="42">
        <f>_xlfn.IFERROR(VLOOKUP($A419,'The List'!$B1:$AS730,6,FALSE)," ")</f>
        <v>885</v>
      </c>
      <c r="F419" t="s" s="60">
        <f>_xlfn.IFERROR(VLOOKUP($A419,'The List'!$B1:$AS730,8,FALSE)," ")</f>
        <v>885</v>
      </c>
      <c r="G419" t="s" s="60">
        <f>_xlfn.IFERROR(VLOOKUP($A419,'The List'!$B1:$AS730,10,FALSE)," ")</f>
        <v>885</v>
      </c>
      <c r="H419" s="46"/>
      <c r="I419" t="s" s="61">
        <f>_xlfn.IFERROR(VLOOKUP($A419,'The List'!$B1:$AS730,16,FALSE)," ")</f>
        <v>885</v>
      </c>
      <c r="J419" t="s" s="61">
        <f>_xlfn.IFERROR(VLOOKUP($A419,'The List'!$B1:$AS730,17,FALSE)," ")</f>
        <v>885</v>
      </c>
      <c r="K419" t="s" s="61">
        <f>_xlfn.IFERROR(VLOOKUP($A419,'The List'!$B1:$AS730,18,FALSE)," ")</f>
        <v>885</v>
      </c>
      <c r="L419" t="s" s="61">
        <f>_xlfn.IFERROR(VLOOKUP($A419,'The List'!$B1:$AS730,19,FALSE)," ")</f>
        <v>885</v>
      </c>
      <c r="M419" t="s" s="61">
        <f>_xlfn.IFERROR(VLOOKUP($A419,'The List'!$B1:$AS730,20,FALSE)," ")</f>
        <v>885</v>
      </c>
      <c r="N419" t="s" s="61">
        <f>_xlfn.IFERROR(VLOOKUP($A419,'The List'!$B1:$AS730,21,FALSE)," ")</f>
        <v>885</v>
      </c>
      <c r="O419" t="s" s="61">
        <f>_xlfn.IFERROR(VLOOKUP($A419,'The List'!$B1:$AS730,22,FALSE)," ")</f>
        <v>885</v>
      </c>
      <c r="P419" t="s" s="61">
        <f>_xlfn.IFERROR(VLOOKUP($A419,'The List'!$B1:$AS730,23,FALSE)," ")</f>
        <v>885</v>
      </c>
      <c r="Q419" t="s" s="61">
        <f>_xlfn.IFERROR(VLOOKUP($A419,'The List'!$B1:$AS730,24,FALSE)," ")</f>
        <v>885</v>
      </c>
      <c r="R419" t="s" s="61">
        <f>_xlfn.IFERROR(VLOOKUP($A419,'The List'!$B1:$AS730,25,FALSE)," ")</f>
        <v>885</v>
      </c>
      <c r="S419" t="s" s="61">
        <f>_xlfn.IFERROR(VLOOKUP($A419,'The List'!$B1:$AS730,26,FALSE)," ")</f>
        <v>885</v>
      </c>
      <c r="T419" t="s" s="61">
        <f>_xlfn.IFERROR(VLOOKUP($A419,'The List'!$B1:$AS730,27,FALSE)," ")</f>
        <v>885</v>
      </c>
      <c r="U419" t="s" s="61">
        <f>_xlfn.IFERROR(VLOOKUP($A419,'The List'!$B1:$AS730,28,FALSE)," ")</f>
        <v>885</v>
      </c>
      <c r="V419" t="s" s="61">
        <f>_xlfn.IFERROR(VLOOKUP($A419,'The List'!$B1:$AS730,29,FALSE)," ")</f>
        <v>885</v>
      </c>
      <c r="W419" t="s" s="61">
        <f>_xlfn.IFERROR(VLOOKUP($A419,'The List'!$B1:$AS730,30,FALSE)," ")</f>
        <v>885</v>
      </c>
      <c r="X419" t="s" s="61">
        <f>_xlfn.IFERROR(VLOOKUP($A419,'The List'!$B1:$AS730,31,FALSE)," ")</f>
        <v>885</v>
      </c>
      <c r="Y419" t="s" s="61">
        <f>_xlfn.IFERROR(VLOOKUP($A419,'The List'!$B1:$AS730,32,FALSE)," ")</f>
        <v>885</v>
      </c>
      <c r="Z419" t="s" s="61">
        <f>_xlfn.IFERROR(VLOOKUP($A419,'The List'!$B1:$AS730,33,FALSE)," ")</f>
        <v>885</v>
      </c>
      <c r="AA419" s="64"/>
      <c r="AB419" s="69"/>
      <c r="AC419" s="69"/>
      <c r="AD419" s="69"/>
      <c r="AE419" s="69"/>
      <c r="AF419" s="69"/>
    </row>
    <row r="420" ht="21.25" customHeight="1">
      <c r="A420" s="29"/>
      <c r="B420" t="s" s="77">
        <f>_xlfn.IFERROR(VLOOKUP($A420,'The List'!$B1:$AS730,3,FALSE)," ")</f>
        <v>885</v>
      </c>
      <c r="C420" t="s" s="79">
        <f>_xlfn.IFERROR(VLOOKUP($A420,'The List'!$B1:$AS730,4,FALSE)," ")</f>
        <v>885</v>
      </c>
      <c r="D420" t="s" s="42">
        <f>_xlfn.IFERROR(VLOOKUP($A420,'The List'!$B1:$AS730,5,FALSE)," ")</f>
        <v>885</v>
      </c>
      <c r="E420" t="s" s="42">
        <f>_xlfn.IFERROR(VLOOKUP($A420,'The List'!$B1:$AS730,6,FALSE)," ")</f>
        <v>885</v>
      </c>
      <c r="F420" t="s" s="60">
        <f>_xlfn.IFERROR(VLOOKUP($A420,'The List'!$B1:$AS730,8,FALSE)," ")</f>
        <v>885</v>
      </c>
      <c r="G420" t="s" s="60">
        <f>_xlfn.IFERROR(VLOOKUP($A420,'The List'!$B1:$AS730,10,FALSE)," ")</f>
        <v>885</v>
      </c>
      <c r="H420" s="46"/>
      <c r="I420" t="s" s="61">
        <f>_xlfn.IFERROR(VLOOKUP($A420,'The List'!$B1:$AS730,16,FALSE)," ")</f>
        <v>885</v>
      </c>
      <c r="J420" t="s" s="61">
        <f>_xlfn.IFERROR(VLOOKUP($A420,'The List'!$B1:$AS730,17,FALSE)," ")</f>
        <v>885</v>
      </c>
      <c r="K420" t="s" s="61">
        <f>_xlfn.IFERROR(VLOOKUP($A420,'The List'!$B1:$AS730,18,FALSE)," ")</f>
        <v>885</v>
      </c>
      <c r="L420" t="s" s="61">
        <f>_xlfn.IFERROR(VLOOKUP($A420,'The List'!$B1:$AS730,19,FALSE)," ")</f>
        <v>885</v>
      </c>
      <c r="M420" t="s" s="61">
        <f>_xlfn.IFERROR(VLOOKUP($A420,'The List'!$B1:$AS730,20,FALSE)," ")</f>
        <v>885</v>
      </c>
      <c r="N420" t="s" s="61">
        <f>_xlfn.IFERROR(VLOOKUP($A420,'The List'!$B1:$AS730,21,FALSE)," ")</f>
        <v>885</v>
      </c>
      <c r="O420" t="s" s="61">
        <f>_xlfn.IFERROR(VLOOKUP($A420,'The List'!$B1:$AS730,22,FALSE)," ")</f>
        <v>885</v>
      </c>
      <c r="P420" t="s" s="61">
        <f>_xlfn.IFERROR(VLOOKUP($A420,'The List'!$B1:$AS730,23,FALSE)," ")</f>
        <v>885</v>
      </c>
      <c r="Q420" t="s" s="61">
        <f>_xlfn.IFERROR(VLOOKUP($A420,'The List'!$B1:$AS730,24,FALSE)," ")</f>
        <v>885</v>
      </c>
      <c r="R420" t="s" s="61">
        <f>_xlfn.IFERROR(VLOOKUP($A420,'The List'!$B1:$AS730,25,FALSE)," ")</f>
        <v>885</v>
      </c>
      <c r="S420" t="s" s="61">
        <f>_xlfn.IFERROR(VLOOKUP($A420,'The List'!$B1:$AS730,26,FALSE)," ")</f>
        <v>885</v>
      </c>
      <c r="T420" t="s" s="61">
        <f>_xlfn.IFERROR(VLOOKUP($A420,'The List'!$B1:$AS730,27,FALSE)," ")</f>
        <v>885</v>
      </c>
      <c r="U420" t="s" s="61">
        <f>_xlfn.IFERROR(VLOOKUP($A420,'The List'!$B1:$AS730,28,FALSE)," ")</f>
        <v>885</v>
      </c>
      <c r="V420" t="s" s="61">
        <f>_xlfn.IFERROR(VLOOKUP($A420,'The List'!$B1:$AS730,29,FALSE)," ")</f>
        <v>885</v>
      </c>
      <c r="W420" t="s" s="61">
        <f>_xlfn.IFERROR(VLOOKUP($A420,'The List'!$B1:$AS730,30,FALSE)," ")</f>
        <v>885</v>
      </c>
      <c r="X420" t="s" s="61">
        <f>_xlfn.IFERROR(VLOOKUP($A420,'The List'!$B1:$AS730,31,FALSE)," ")</f>
        <v>885</v>
      </c>
      <c r="Y420" t="s" s="61">
        <f>_xlfn.IFERROR(VLOOKUP($A420,'The List'!$B1:$AS730,32,FALSE)," ")</f>
        <v>885</v>
      </c>
      <c r="Z420" t="s" s="61">
        <f>_xlfn.IFERROR(VLOOKUP($A420,'The List'!$B1:$AS730,33,FALSE)," ")</f>
        <v>885</v>
      </c>
      <c r="AA420" s="64"/>
      <c r="AB420" s="69"/>
      <c r="AC420" s="69"/>
      <c r="AD420" s="69"/>
      <c r="AE420" s="69"/>
      <c r="AF420" s="69"/>
    </row>
    <row r="421" ht="21.25" customHeight="1">
      <c r="A421" s="29"/>
      <c r="B421" t="s" s="77">
        <f>_xlfn.IFERROR(VLOOKUP($A421,'The List'!$B1:$AS730,3,FALSE)," ")</f>
        <v>885</v>
      </c>
      <c r="C421" t="s" s="79">
        <f>_xlfn.IFERROR(VLOOKUP($A421,'The List'!$B1:$AS730,4,FALSE)," ")</f>
        <v>885</v>
      </c>
      <c r="D421" t="s" s="42">
        <f>_xlfn.IFERROR(VLOOKUP($A421,'The List'!$B1:$AS730,5,FALSE)," ")</f>
        <v>885</v>
      </c>
      <c r="E421" t="s" s="42">
        <f>_xlfn.IFERROR(VLOOKUP($A421,'The List'!$B1:$AS730,6,FALSE)," ")</f>
        <v>885</v>
      </c>
      <c r="F421" t="s" s="60">
        <f>_xlfn.IFERROR(VLOOKUP($A421,'The List'!$B1:$AS730,8,FALSE)," ")</f>
        <v>885</v>
      </c>
      <c r="G421" t="s" s="60">
        <f>_xlfn.IFERROR(VLOOKUP($A421,'The List'!$B1:$AS730,10,FALSE)," ")</f>
        <v>885</v>
      </c>
      <c r="H421" s="46"/>
      <c r="I421" t="s" s="61">
        <f>_xlfn.IFERROR(VLOOKUP($A421,'The List'!$B1:$AS730,16,FALSE)," ")</f>
        <v>885</v>
      </c>
      <c r="J421" t="s" s="61">
        <f>_xlfn.IFERROR(VLOOKUP($A421,'The List'!$B1:$AS730,17,FALSE)," ")</f>
        <v>885</v>
      </c>
      <c r="K421" t="s" s="61">
        <f>_xlfn.IFERROR(VLOOKUP($A421,'The List'!$B1:$AS730,18,FALSE)," ")</f>
        <v>885</v>
      </c>
      <c r="L421" t="s" s="61">
        <f>_xlfn.IFERROR(VLOOKUP($A421,'The List'!$B1:$AS730,19,FALSE)," ")</f>
        <v>885</v>
      </c>
      <c r="M421" t="s" s="61">
        <f>_xlfn.IFERROR(VLOOKUP($A421,'The List'!$B1:$AS730,20,FALSE)," ")</f>
        <v>885</v>
      </c>
      <c r="N421" t="s" s="61">
        <f>_xlfn.IFERROR(VLOOKUP($A421,'The List'!$B1:$AS730,21,FALSE)," ")</f>
        <v>885</v>
      </c>
      <c r="O421" t="s" s="61">
        <f>_xlfn.IFERROR(VLOOKUP($A421,'The List'!$B1:$AS730,22,FALSE)," ")</f>
        <v>885</v>
      </c>
      <c r="P421" t="s" s="61">
        <f>_xlfn.IFERROR(VLOOKUP($A421,'The List'!$B1:$AS730,23,FALSE)," ")</f>
        <v>885</v>
      </c>
      <c r="Q421" t="s" s="61">
        <f>_xlfn.IFERROR(VLOOKUP($A421,'The List'!$B1:$AS730,24,FALSE)," ")</f>
        <v>885</v>
      </c>
      <c r="R421" t="s" s="61">
        <f>_xlfn.IFERROR(VLOOKUP($A421,'The List'!$B1:$AS730,25,FALSE)," ")</f>
        <v>885</v>
      </c>
      <c r="S421" t="s" s="61">
        <f>_xlfn.IFERROR(VLOOKUP($A421,'The List'!$B1:$AS730,26,FALSE)," ")</f>
        <v>885</v>
      </c>
      <c r="T421" t="s" s="61">
        <f>_xlfn.IFERROR(VLOOKUP($A421,'The List'!$B1:$AS730,27,FALSE)," ")</f>
        <v>885</v>
      </c>
      <c r="U421" t="s" s="61">
        <f>_xlfn.IFERROR(VLOOKUP($A421,'The List'!$B1:$AS730,28,FALSE)," ")</f>
        <v>885</v>
      </c>
      <c r="V421" t="s" s="61">
        <f>_xlfn.IFERROR(VLOOKUP($A421,'The List'!$B1:$AS730,29,FALSE)," ")</f>
        <v>885</v>
      </c>
      <c r="W421" t="s" s="61">
        <f>_xlfn.IFERROR(VLOOKUP($A421,'The List'!$B1:$AS730,30,FALSE)," ")</f>
        <v>885</v>
      </c>
      <c r="X421" t="s" s="61">
        <f>_xlfn.IFERROR(VLOOKUP($A421,'The List'!$B1:$AS730,31,FALSE)," ")</f>
        <v>885</v>
      </c>
      <c r="Y421" t="s" s="61">
        <f>_xlfn.IFERROR(VLOOKUP($A421,'The List'!$B1:$AS730,32,FALSE)," ")</f>
        <v>885</v>
      </c>
      <c r="Z421" t="s" s="61">
        <f>_xlfn.IFERROR(VLOOKUP($A421,'The List'!$B1:$AS730,33,FALSE)," ")</f>
        <v>885</v>
      </c>
      <c r="AA421" s="64"/>
      <c r="AB421" s="69"/>
      <c r="AC421" s="69"/>
      <c r="AD421" s="69"/>
      <c r="AE421" s="69"/>
      <c r="AF421" s="69"/>
    </row>
    <row r="422" ht="21.25" customHeight="1">
      <c r="A422" s="29"/>
      <c r="B422" t="s" s="77">
        <f>_xlfn.IFERROR(VLOOKUP($A422,'The List'!$B1:$AS730,3,FALSE)," ")</f>
        <v>885</v>
      </c>
      <c r="C422" t="s" s="79">
        <f>_xlfn.IFERROR(VLOOKUP($A422,'The List'!$B1:$AS730,4,FALSE)," ")</f>
        <v>885</v>
      </c>
      <c r="D422" t="s" s="42">
        <f>_xlfn.IFERROR(VLOOKUP($A422,'The List'!$B1:$AS730,5,FALSE)," ")</f>
        <v>885</v>
      </c>
      <c r="E422" t="s" s="42">
        <f>_xlfn.IFERROR(VLOOKUP($A422,'The List'!$B1:$AS730,6,FALSE)," ")</f>
        <v>885</v>
      </c>
      <c r="F422" t="s" s="60">
        <f>_xlfn.IFERROR(VLOOKUP($A422,'The List'!$B1:$AS730,8,FALSE)," ")</f>
        <v>885</v>
      </c>
      <c r="G422" t="s" s="60">
        <f>_xlfn.IFERROR(VLOOKUP($A422,'The List'!$B1:$AS730,10,FALSE)," ")</f>
        <v>885</v>
      </c>
      <c r="H422" s="46"/>
      <c r="I422" t="s" s="61">
        <f>_xlfn.IFERROR(VLOOKUP($A422,'The List'!$B1:$AS730,16,FALSE)," ")</f>
        <v>885</v>
      </c>
      <c r="J422" t="s" s="61">
        <f>_xlfn.IFERROR(VLOOKUP($A422,'The List'!$B1:$AS730,17,FALSE)," ")</f>
        <v>885</v>
      </c>
      <c r="K422" t="s" s="61">
        <f>_xlfn.IFERROR(VLOOKUP($A422,'The List'!$B1:$AS730,18,FALSE)," ")</f>
        <v>885</v>
      </c>
      <c r="L422" t="s" s="61">
        <f>_xlfn.IFERROR(VLOOKUP($A422,'The List'!$B1:$AS730,19,FALSE)," ")</f>
        <v>885</v>
      </c>
      <c r="M422" t="s" s="61">
        <f>_xlfn.IFERROR(VLOOKUP($A422,'The List'!$B1:$AS730,20,FALSE)," ")</f>
        <v>885</v>
      </c>
      <c r="N422" t="s" s="61">
        <f>_xlfn.IFERROR(VLOOKUP($A422,'The List'!$B1:$AS730,21,FALSE)," ")</f>
        <v>885</v>
      </c>
      <c r="O422" t="s" s="61">
        <f>_xlfn.IFERROR(VLOOKUP($A422,'The List'!$B1:$AS730,22,FALSE)," ")</f>
        <v>885</v>
      </c>
      <c r="P422" t="s" s="61">
        <f>_xlfn.IFERROR(VLOOKUP($A422,'The List'!$B1:$AS730,23,FALSE)," ")</f>
        <v>885</v>
      </c>
      <c r="Q422" t="s" s="61">
        <f>_xlfn.IFERROR(VLOOKUP($A422,'The List'!$B1:$AS730,24,FALSE)," ")</f>
        <v>885</v>
      </c>
      <c r="R422" t="s" s="61">
        <f>_xlfn.IFERROR(VLOOKUP($A422,'The List'!$B1:$AS730,25,FALSE)," ")</f>
        <v>885</v>
      </c>
      <c r="S422" t="s" s="61">
        <f>_xlfn.IFERROR(VLOOKUP($A422,'The List'!$B1:$AS730,26,FALSE)," ")</f>
        <v>885</v>
      </c>
      <c r="T422" t="s" s="61">
        <f>_xlfn.IFERROR(VLOOKUP($A422,'The List'!$B1:$AS730,27,FALSE)," ")</f>
        <v>885</v>
      </c>
      <c r="U422" t="s" s="61">
        <f>_xlfn.IFERROR(VLOOKUP($A422,'The List'!$B1:$AS730,28,FALSE)," ")</f>
        <v>885</v>
      </c>
      <c r="V422" t="s" s="61">
        <f>_xlfn.IFERROR(VLOOKUP($A422,'The List'!$B1:$AS730,29,FALSE)," ")</f>
        <v>885</v>
      </c>
      <c r="W422" t="s" s="61">
        <f>_xlfn.IFERROR(VLOOKUP($A422,'The List'!$B1:$AS730,30,FALSE)," ")</f>
        <v>885</v>
      </c>
      <c r="X422" t="s" s="61">
        <f>_xlfn.IFERROR(VLOOKUP($A422,'The List'!$B1:$AS730,31,FALSE)," ")</f>
        <v>885</v>
      </c>
      <c r="Y422" t="s" s="61">
        <f>_xlfn.IFERROR(VLOOKUP($A422,'The List'!$B1:$AS730,32,FALSE)," ")</f>
        <v>885</v>
      </c>
      <c r="Z422" t="s" s="61">
        <f>_xlfn.IFERROR(VLOOKUP($A422,'The List'!$B1:$AS730,33,FALSE)," ")</f>
        <v>885</v>
      </c>
      <c r="AA422" s="64"/>
      <c r="AB422" s="69"/>
      <c r="AC422" s="69"/>
      <c r="AD422" s="69"/>
      <c r="AE422" s="69"/>
      <c r="AF422" s="69"/>
    </row>
    <row r="423" ht="21.25" customHeight="1">
      <c r="A423" s="29"/>
      <c r="B423" t="s" s="77">
        <f>_xlfn.IFERROR(VLOOKUP($A423,'The List'!$B1:$AS730,3,FALSE)," ")</f>
        <v>885</v>
      </c>
      <c r="C423" t="s" s="79">
        <f>_xlfn.IFERROR(VLOOKUP($A423,'The List'!$B1:$AS730,4,FALSE)," ")</f>
        <v>885</v>
      </c>
      <c r="D423" t="s" s="42">
        <f>_xlfn.IFERROR(VLOOKUP($A423,'The List'!$B1:$AS730,5,FALSE)," ")</f>
        <v>885</v>
      </c>
      <c r="E423" t="s" s="42">
        <f>_xlfn.IFERROR(VLOOKUP($A423,'The List'!$B1:$AS730,6,FALSE)," ")</f>
        <v>885</v>
      </c>
      <c r="F423" t="s" s="60">
        <f>_xlfn.IFERROR(VLOOKUP($A423,'The List'!$B1:$AS730,8,FALSE)," ")</f>
        <v>885</v>
      </c>
      <c r="G423" t="s" s="60">
        <f>_xlfn.IFERROR(VLOOKUP($A423,'The List'!$B1:$AS730,10,FALSE)," ")</f>
        <v>885</v>
      </c>
      <c r="H423" s="46"/>
      <c r="I423" t="s" s="61">
        <f>_xlfn.IFERROR(VLOOKUP($A423,'The List'!$B1:$AS730,16,FALSE)," ")</f>
        <v>885</v>
      </c>
      <c r="J423" t="s" s="61">
        <f>_xlfn.IFERROR(VLOOKUP($A423,'The List'!$B1:$AS730,17,FALSE)," ")</f>
        <v>885</v>
      </c>
      <c r="K423" t="s" s="61">
        <f>_xlfn.IFERROR(VLOOKUP($A423,'The List'!$B1:$AS730,18,FALSE)," ")</f>
        <v>885</v>
      </c>
      <c r="L423" t="s" s="61">
        <f>_xlfn.IFERROR(VLOOKUP($A423,'The List'!$B1:$AS730,19,FALSE)," ")</f>
        <v>885</v>
      </c>
      <c r="M423" t="s" s="61">
        <f>_xlfn.IFERROR(VLOOKUP($A423,'The List'!$B1:$AS730,20,FALSE)," ")</f>
        <v>885</v>
      </c>
      <c r="N423" t="s" s="61">
        <f>_xlfn.IFERROR(VLOOKUP($A423,'The List'!$B1:$AS730,21,FALSE)," ")</f>
        <v>885</v>
      </c>
      <c r="O423" t="s" s="61">
        <f>_xlfn.IFERROR(VLOOKUP($A423,'The List'!$B1:$AS730,22,FALSE)," ")</f>
        <v>885</v>
      </c>
      <c r="P423" t="s" s="61">
        <f>_xlfn.IFERROR(VLOOKUP($A423,'The List'!$B1:$AS730,23,FALSE)," ")</f>
        <v>885</v>
      </c>
      <c r="Q423" t="s" s="61">
        <f>_xlfn.IFERROR(VLOOKUP($A423,'The List'!$B1:$AS730,24,FALSE)," ")</f>
        <v>885</v>
      </c>
      <c r="R423" t="s" s="61">
        <f>_xlfn.IFERROR(VLOOKUP($A423,'The List'!$B1:$AS730,25,FALSE)," ")</f>
        <v>885</v>
      </c>
      <c r="S423" t="s" s="61">
        <f>_xlfn.IFERROR(VLOOKUP($A423,'The List'!$B1:$AS730,26,FALSE)," ")</f>
        <v>885</v>
      </c>
      <c r="T423" t="s" s="61">
        <f>_xlfn.IFERROR(VLOOKUP($A423,'The List'!$B1:$AS730,27,FALSE)," ")</f>
        <v>885</v>
      </c>
      <c r="U423" t="s" s="61">
        <f>_xlfn.IFERROR(VLOOKUP($A423,'The List'!$B1:$AS730,28,FALSE)," ")</f>
        <v>885</v>
      </c>
      <c r="V423" t="s" s="61">
        <f>_xlfn.IFERROR(VLOOKUP($A423,'The List'!$B1:$AS730,29,FALSE)," ")</f>
        <v>885</v>
      </c>
      <c r="W423" t="s" s="61">
        <f>_xlfn.IFERROR(VLOOKUP($A423,'The List'!$B1:$AS730,30,FALSE)," ")</f>
        <v>885</v>
      </c>
      <c r="X423" t="s" s="61">
        <f>_xlfn.IFERROR(VLOOKUP($A423,'The List'!$B1:$AS730,31,FALSE)," ")</f>
        <v>885</v>
      </c>
      <c r="Y423" t="s" s="61">
        <f>_xlfn.IFERROR(VLOOKUP($A423,'The List'!$B1:$AS730,32,FALSE)," ")</f>
        <v>885</v>
      </c>
      <c r="Z423" t="s" s="61">
        <f>_xlfn.IFERROR(VLOOKUP($A423,'The List'!$B1:$AS730,33,FALSE)," ")</f>
        <v>885</v>
      </c>
      <c r="AA423" s="64"/>
      <c r="AB423" s="69"/>
      <c r="AC423" s="69"/>
      <c r="AD423" s="69"/>
      <c r="AE423" s="69"/>
      <c r="AF423" s="69"/>
    </row>
    <row r="424" ht="21.25" customHeight="1">
      <c r="A424" s="29"/>
      <c r="B424" t="s" s="77">
        <f>_xlfn.IFERROR(VLOOKUP($A424,'The List'!$B1:$AS730,3,FALSE)," ")</f>
        <v>885</v>
      </c>
      <c r="C424" t="s" s="79">
        <f>_xlfn.IFERROR(VLOOKUP($A424,'The List'!$B1:$AS730,4,FALSE)," ")</f>
        <v>885</v>
      </c>
      <c r="D424" t="s" s="42">
        <f>_xlfn.IFERROR(VLOOKUP($A424,'The List'!$B1:$AS730,5,FALSE)," ")</f>
        <v>885</v>
      </c>
      <c r="E424" t="s" s="42">
        <f>_xlfn.IFERROR(VLOOKUP($A424,'The List'!$B1:$AS730,6,FALSE)," ")</f>
        <v>885</v>
      </c>
      <c r="F424" t="s" s="60">
        <f>_xlfn.IFERROR(VLOOKUP($A424,'The List'!$B1:$AS730,8,FALSE)," ")</f>
        <v>885</v>
      </c>
      <c r="G424" t="s" s="60">
        <f>_xlfn.IFERROR(VLOOKUP($A424,'The List'!$B1:$AS730,10,FALSE)," ")</f>
        <v>885</v>
      </c>
      <c r="H424" s="46"/>
      <c r="I424" t="s" s="61">
        <f>_xlfn.IFERROR(VLOOKUP($A424,'The List'!$B1:$AS730,16,FALSE)," ")</f>
        <v>885</v>
      </c>
      <c r="J424" t="s" s="61">
        <f>_xlfn.IFERROR(VLOOKUP($A424,'The List'!$B1:$AS730,17,FALSE)," ")</f>
        <v>885</v>
      </c>
      <c r="K424" t="s" s="61">
        <f>_xlfn.IFERROR(VLOOKUP($A424,'The List'!$B1:$AS730,18,FALSE)," ")</f>
        <v>885</v>
      </c>
      <c r="L424" t="s" s="61">
        <f>_xlfn.IFERROR(VLOOKUP($A424,'The List'!$B1:$AS730,19,FALSE)," ")</f>
        <v>885</v>
      </c>
      <c r="M424" t="s" s="61">
        <f>_xlfn.IFERROR(VLOOKUP($A424,'The List'!$B1:$AS730,20,FALSE)," ")</f>
        <v>885</v>
      </c>
      <c r="N424" t="s" s="61">
        <f>_xlfn.IFERROR(VLOOKUP($A424,'The List'!$B1:$AS730,21,FALSE)," ")</f>
        <v>885</v>
      </c>
      <c r="O424" t="s" s="61">
        <f>_xlfn.IFERROR(VLOOKUP($A424,'The List'!$B1:$AS730,22,FALSE)," ")</f>
        <v>885</v>
      </c>
      <c r="P424" t="s" s="61">
        <f>_xlfn.IFERROR(VLOOKUP($A424,'The List'!$B1:$AS730,23,FALSE)," ")</f>
        <v>885</v>
      </c>
      <c r="Q424" t="s" s="61">
        <f>_xlfn.IFERROR(VLOOKUP($A424,'The List'!$B1:$AS730,24,FALSE)," ")</f>
        <v>885</v>
      </c>
      <c r="R424" t="s" s="61">
        <f>_xlfn.IFERROR(VLOOKUP($A424,'The List'!$B1:$AS730,25,FALSE)," ")</f>
        <v>885</v>
      </c>
      <c r="S424" t="s" s="61">
        <f>_xlfn.IFERROR(VLOOKUP($A424,'The List'!$B1:$AS730,26,FALSE)," ")</f>
        <v>885</v>
      </c>
      <c r="T424" t="s" s="61">
        <f>_xlfn.IFERROR(VLOOKUP($A424,'The List'!$B1:$AS730,27,FALSE)," ")</f>
        <v>885</v>
      </c>
      <c r="U424" t="s" s="61">
        <f>_xlfn.IFERROR(VLOOKUP($A424,'The List'!$B1:$AS730,28,FALSE)," ")</f>
        <v>885</v>
      </c>
      <c r="V424" t="s" s="61">
        <f>_xlfn.IFERROR(VLOOKUP($A424,'The List'!$B1:$AS730,29,FALSE)," ")</f>
        <v>885</v>
      </c>
      <c r="W424" t="s" s="61">
        <f>_xlfn.IFERROR(VLOOKUP($A424,'The List'!$B1:$AS730,30,FALSE)," ")</f>
        <v>885</v>
      </c>
      <c r="X424" t="s" s="61">
        <f>_xlfn.IFERROR(VLOOKUP($A424,'The List'!$B1:$AS730,31,FALSE)," ")</f>
        <v>885</v>
      </c>
      <c r="Y424" t="s" s="61">
        <f>_xlfn.IFERROR(VLOOKUP($A424,'The List'!$B1:$AS730,32,FALSE)," ")</f>
        <v>885</v>
      </c>
      <c r="Z424" t="s" s="61">
        <f>_xlfn.IFERROR(VLOOKUP($A424,'The List'!$B1:$AS730,33,FALSE)," ")</f>
        <v>885</v>
      </c>
      <c r="AA424" s="64"/>
      <c r="AB424" s="69"/>
      <c r="AC424" s="69"/>
      <c r="AD424" s="69"/>
      <c r="AE424" s="69"/>
      <c r="AF424" s="69"/>
    </row>
    <row r="425" ht="21.25" customHeight="1">
      <c r="A425" s="29"/>
      <c r="B425" t="s" s="77">
        <f>_xlfn.IFERROR(VLOOKUP($A425,'The List'!$B1:$AS730,3,FALSE)," ")</f>
        <v>885</v>
      </c>
      <c r="C425" t="s" s="79">
        <f>_xlfn.IFERROR(VLOOKUP($A425,'The List'!$B1:$AS730,4,FALSE)," ")</f>
        <v>885</v>
      </c>
      <c r="D425" t="s" s="42">
        <f>_xlfn.IFERROR(VLOOKUP($A425,'The List'!$B1:$AS730,5,FALSE)," ")</f>
        <v>885</v>
      </c>
      <c r="E425" t="s" s="42">
        <f>_xlfn.IFERROR(VLOOKUP($A425,'The List'!$B1:$AS730,6,FALSE)," ")</f>
        <v>885</v>
      </c>
      <c r="F425" t="s" s="60">
        <f>_xlfn.IFERROR(VLOOKUP($A425,'The List'!$B1:$AS730,8,FALSE)," ")</f>
        <v>885</v>
      </c>
      <c r="G425" t="s" s="60">
        <f>_xlfn.IFERROR(VLOOKUP($A425,'The List'!$B1:$AS730,10,FALSE)," ")</f>
        <v>885</v>
      </c>
      <c r="H425" s="46"/>
      <c r="I425" t="s" s="61">
        <f>_xlfn.IFERROR(VLOOKUP($A425,'The List'!$B1:$AS730,16,FALSE)," ")</f>
        <v>885</v>
      </c>
      <c r="J425" t="s" s="61">
        <f>_xlfn.IFERROR(VLOOKUP($A425,'The List'!$B1:$AS730,17,FALSE)," ")</f>
        <v>885</v>
      </c>
      <c r="K425" t="s" s="61">
        <f>_xlfn.IFERROR(VLOOKUP($A425,'The List'!$B1:$AS730,18,FALSE)," ")</f>
        <v>885</v>
      </c>
      <c r="L425" t="s" s="61">
        <f>_xlfn.IFERROR(VLOOKUP($A425,'The List'!$B1:$AS730,19,FALSE)," ")</f>
        <v>885</v>
      </c>
      <c r="M425" t="s" s="61">
        <f>_xlfn.IFERROR(VLOOKUP($A425,'The List'!$B1:$AS730,20,FALSE)," ")</f>
        <v>885</v>
      </c>
      <c r="N425" t="s" s="61">
        <f>_xlfn.IFERROR(VLOOKUP($A425,'The List'!$B1:$AS730,21,FALSE)," ")</f>
        <v>885</v>
      </c>
      <c r="O425" t="s" s="61">
        <f>_xlfn.IFERROR(VLOOKUP($A425,'The List'!$B1:$AS730,22,FALSE)," ")</f>
        <v>885</v>
      </c>
      <c r="P425" t="s" s="61">
        <f>_xlfn.IFERROR(VLOOKUP($A425,'The List'!$B1:$AS730,23,FALSE)," ")</f>
        <v>885</v>
      </c>
      <c r="Q425" t="s" s="61">
        <f>_xlfn.IFERROR(VLOOKUP($A425,'The List'!$B1:$AS730,24,FALSE)," ")</f>
        <v>885</v>
      </c>
      <c r="R425" t="s" s="61">
        <f>_xlfn.IFERROR(VLOOKUP($A425,'The List'!$B1:$AS730,25,FALSE)," ")</f>
        <v>885</v>
      </c>
      <c r="S425" t="s" s="61">
        <f>_xlfn.IFERROR(VLOOKUP($A425,'The List'!$B1:$AS730,26,FALSE)," ")</f>
        <v>885</v>
      </c>
      <c r="T425" t="s" s="61">
        <f>_xlfn.IFERROR(VLOOKUP($A425,'The List'!$B1:$AS730,27,FALSE)," ")</f>
        <v>885</v>
      </c>
      <c r="U425" t="s" s="61">
        <f>_xlfn.IFERROR(VLOOKUP($A425,'The List'!$B1:$AS730,28,FALSE)," ")</f>
        <v>885</v>
      </c>
      <c r="V425" t="s" s="61">
        <f>_xlfn.IFERROR(VLOOKUP($A425,'The List'!$B1:$AS730,29,FALSE)," ")</f>
        <v>885</v>
      </c>
      <c r="W425" t="s" s="61">
        <f>_xlfn.IFERROR(VLOOKUP($A425,'The List'!$B1:$AS730,30,FALSE)," ")</f>
        <v>885</v>
      </c>
      <c r="X425" t="s" s="61">
        <f>_xlfn.IFERROR(VLOOKUP($A425,'The List'!$B1:$AS730,31,FALSE)," ")</f>
        <v>885</v>
      </c>
      <c r="Y425" t="s" s="61">
        <f>_xlfn.IFERROR(VLOOKUP($A425,'The List'!$B1:$AS730,32,FALSE)," ")</f>
        <v>885</v>
      </c>
      <c r="Z425" t="s" s="61">
        <f>_xlfn.IFERROR(VLOOKUP($A425,'The List'!$B1:$AS730,33,FALSE)," ")</f>
        <v>885</v>
      </c>
      <c r="AA425" s="64"/>
      <c r="AB425" s="69"/>
      <c r="AC425" s="69"/>
      <c r="AD425" s="69"/>
      <c r="AE425" s="69"/>
      <c r="AF425" s="69"/>
    </row>
    <row r="426" ht="21.25" customHeight="1">
      <c r="A426" s="29"/>
      <c r="B426" t="s" s="77">
        <f>_xlfn.IFERROR(VLOOKUP($A426,'The List'!$B1:$AS730,3,FALSE)," ")</f>
        <v>885</v>
      </c>
      <c r="C426" t="s" s="79">
        <f>_xlfn.IFERROR(VLOOKUP($A426,'The List'!$B1:$AS730,4,FALSE)," ")</f>
        <v>885</v>
      </c>
      <c r="D426" t="s" s="42">
        <f>_xlfn.IFERROR(VLOOKUP($A426,'The List'!$B1:$AS730,5,FALSE)," ")</f>
        <v>885</v>
      </c>
      <c r="E426" t="s" s="42">
        <f>_xlfn.IFERROR(VLOOKUP($A426,'The List'!$B1:$AS730,6,FALSE)," ")</f>
        <v>885</v>
      </c>
      <c r="F426" t="s" s="60">
        <f>_xlfn.IFERROR(VLOOKUP($A426,'The List'!$B1:$AS730,8,FALSE)," ")</f>
        <v>885</v>
      </c>
      <c r="G426" t="s" s="60">
        <f>_xlfn.IFERROR(VLOOKUP($A426,'The List'!$B1:$AS730,10,FALSE)," ")</f>
        <v>885</v>
      </c>
      <c r="H426" s="46"/>
      <c r="I426" t="s" s="61">
        <f>_xlfn.IFERROR(VLOOKUP($A426,'The List'!$B1:$AS730,16,FALSE)," ")</f>
        <v>885</v>
      </c>
      <c r="J426" t="s" s="61">
        <f>_xlfn.IFERROR(VLOOKUP($A426,'The List'!$B1:$AS730,17,FALSE)," ")</f>
        <v>885</v>
      </c>
      <c r="K426" t="s" s="61">
        <f>_xlfn.IFERROR(VLOOKUP($A426,'The List'!$B1:$AS730,18,FALSE)," ")</f>
        <v>885</v>
      </c>
      <c r="L426" t="s" s="61">
        <f>_xlfn.IFERROR(VLOOKUP($A426,'The List'!$B1:$AS730,19,FALSE)," ")</f>
        <v>885</v>
      </c>
      <c r="M426" t="s" s="61">
        <f>_xlfn.IFERROR(VLOOKUP($A426,'The List'!$B1:$AS730,20,FALSE)," ")</f>
        <v>885</v>
      </c>
      <c r="N426" t="s" s="61">
        <f>_xlfn.IFERROR(VLOOKUP($A426,'The List'!$B1:$AS730,21,FALSE)," ")</f>
        <v>885</v>
      </c>
      <c r="O426" t="s" s="61">
        <f>_xlfn.IFERROR(VLOOKUP($A426,'The List'!$B1:$AS730,22,FALSE)," ")</f>
        <v>885</v>
      </c>
      <c r="P426" t="s" s="61">
        <f>_xlfn.IFERROR(VLOOKUP($A426,'The List'!$B1:$AS730,23,FALSE)," ")</f>
        <v>885</v>
      </c>
      <c r="Q426" t="s" s="61">
        <f>_xlfn.IFERROR(VLOOKUP($A426,'The List'!$B1:$AS730,24,FALSE)," ")</f>
        <v>885</v>
      </c>
      <c r="R426" t="s" s="61">
        <f>_xlfn.IFERROR(VLOOKUP($A426,'The List'!$B1:$AS730,25,FALSE)," ")</f>
        <v>885</v>
      </c>
      <c r="S426" t="s" s="61">
        <f>_xlfn.IFERROR(VLOOKUP($A426,'The List'!$B1:$AS730,26,FALSE)," ")</f>
        <v>885</v>
      </c>
      <c r="T426" t="s" s="61">
        <f>_xlfn.IFERROR(VLOOKUP($A426,'The List'!$B1:$AS730,27,FALSE)," ")</f>
        <v>885</v>
      </c>
      <c r="U426" t="s" s="61">
        <f>_xlfn.IFERROR(VLOOKUP($A426,'The List'!$B1:$AS730,28,FALSE)," ")</f>
        <v>885</v>
      </c>
      <c r="V426" t="s" s="61">
        <f>_xlfn.IFERROR(VLOOKUP($A426,'The List'!$B1:$AS730,29,FALSE)," ")</f>
        <v>885</v>
      </c>
      <c r="W426" t="s" s="61">
        <f>_xlfn.IFERROR(VLOOKUP($A426,'The List'!$B1:$AS730,30,FALSE)," ")</f>
        <v>885</v>
      </c>
      <c r="X426" t="s" s="61">
        <f>_xlfn.IFERROR(VLOOKUP($A426,'The List'!$B1:$AS730,31,FALSE)," ")</f>
        <v>885</v>
      </c>
      <c r="Y426" t="s" s="61">
        <f>_xlfn.IFERROR(VLOOKUP($A426,'The List'!$B1:$AS730,32,FALSE)," ")</f>
        <v>885</v>
      </c>
      <c r="Z426" t="s" s="61">
        <f>_xlfn.IFERROR(VLOOKUP($A426,'The List'!$B1:$AS730,33,FALSE)," ")</f>
        <v>885</v>
      </c>
      <c r="AA426" s="64"/>
      <c r="AB426" s="69"/>
      <c r="AC426" s="69"/>
      <c r="AD426" s="69"/>
      <c r="AE426" s="69"/>
      <c r="AF426" s="69"/>
    </row>
    <row r="427" ht="21.25" customHeight="1">
      <c r="A427" s="81"/>
      <c r="B427" t="s" s="82">
        <f>_xlfn.IFERROR(VLOOKUP($A427,'The List'!$B1:$AS730,3,FALSE)," ")</f>
        <v>885</v>
      </c>
      <c r="C427" t="s" s="83">
        <f>_xlfn.IFERROR(VLOOKUP($A427,'The List'!$B1:$AS730,4,FALSE)," ")</f>
        <v>885</v>
      </c>
      <c r="D427" t="s" s="84">
        <f>_xlfn.IFERROR(VLOOKUP($A427,'The List'!$B1:$AS730,5,FALSE)," ")</f>
        <v>885</v>
      </c>
      <c r="E427" t="s" s="84">
        <f>_xlfn.IFERROR(VLOOKUP($A427,'The List'!$B1:$AS730,6,FALSE)," ")</f>
        <v>885</v>
      </c>
      <c r="F427" t="s" s="85">
        <f>_xlfn.IFERROR(VLOOKUP($A427,'The List'!$B1:$AS730,8,FALSE)," ")</f>
        <v>885</v>
      </c>
      <c r="G427" t="s" s="85">
        <f>_xlfn.IFERROR(VLOOKUP($A427,'The List'!$B1:$AS730,10,FALSE)," ")</f>
        <v>885</v>
      </c>
      <c r="H427" s="86"/>
      <c r="I427" t="s" s="87">
        <f>_xlfn.IFERROR(VLOOKUP($A427,'The List'!$B1:$AS730,16,FALSE)," ")</f>
        <v>885</v>
      </c>
      <c r="J427" t="s" s="87">
        <f>_xlfn.IFERROR(VLOOKUP($A427,'The List'!$B1:$AS730,17,FALSE)," ")</f>
        <v>885</v>
      </c>
      <c r="K427" t="s" s="87">
        <f>_xlfn.IFERROR(VLOOKUP($A427,'The List'!$B1:$AS730,18,FALSE)," ")</f>
        <v>885</v>
      </c>
      <c r="L427" t="s" s="87">
        <f>_xlfn.IFERROR(VLOOKUP($A427,'The List'!$B1:$AS730,19,FALSE)," ")</f>
        <v>885</v>
      </c>
      <c r="M427" t="s" s="87">
        <f>_xlfn.IFERROR(VLOOKUP($A427,'The List'!$B1:$AS730,20,FALSE)," ")</f>
        <v>885</v>
      </c>
      <c r="N427" t="s" s="87">
        <f>_xlfn.IFERROR(VLOOKUP($A427,'The List'!$B1:$AS730,21,FALSE)," ")</f>
        <v>885</v>
      </c>
      <c r="O427" t="s" s="87">
        <f>_xlfn.IFERROR(VLOOKUP($A427,'The List'!$B1:$AS730,22,FALSE)," ")</f>
        <v>885</v>
      </c>
      <c r="P427" t="s" s="87">
        <f>_xlfn.IFERROR(VLOOKUP($A427,'The List'!$B1:$AS730,23,FALSE)," ")</f>
        <v>885</v>
      </c>
      <c r="Q427" t="s" s="87">
        <f>_xlfn.IFERROR(VLOOKUP($A427,'The List'!$B1:$AS730,24,FALSE)," ")</f>
        <v>885</v>
      </c>
      <c r="R427" t="s" s="87">
        <f>_xlfn.IFERROR(VLOOKUP($A427,'The List'!$B1:$AS730,25,FALSE)," ")</f>
        <v>885</v>
      </c>
      <c r="S427" t="s" s="87">
        <f>_xlfn.IFERROR(VLOOKUP($A427,'The List'!$B1:$AS730,26,FALSE)," ")</f>
        <v>885</v>
      </c>
      <c r="T427" t="s" s="87">
        <f>_xlfn.IFERROR(VLOOKUP($A427,'The List'!$B1:$AS730,27,FALSE)," ")</f>
        <v>885</v>
      </c>
      <c r="U427" t="s" s="87">
        <f>_xlfn.IFERROR(VLOOKUP($A427,'The List'!$B1:$AS730,28,FALSE)," ")</f>
        <v>885</v>
      </c>
      <c r="V427" t="s" s="87">
        <f>_xlfn.IFERROR(VLOOKUP($A427,'The List'!$B1:$AS730,29,FALSE)," ")</f>
        <v>885</v>
      </c>
      <c r="W427" t="s" s="87">
        <f>_xlfn.IFERROR(VLOOKUP($A427,'The List'!$B1:$AS730,30,FALSE)," ")</f>
        <v>885</v>
      </c>
      <c r="X427" t="s" s="87">
        <f>_xlfn.IFERROR(VLOOKUP($A427,'The List'!$B1:$AS730,31,FALSE)," ")</f>
        <v>885</v>
      </c>
      <c r="Y427" t="s" s="87">
        <f>_xlfn.IFERROR(VLOOKUP($A427,'The List'!$B1:$AS730,32,FALSE)," ")</f>
        <v>885</v>
      </c>
      <c r="Z427" t="s" s="87">
        <f>_xlfn.IFERROR(VLOOKUP($A427,'The List'!$B1:$AS730,33,FALSE)," ")</f>
        <v>885</v>
      </c>
      <c r="AA427" s="64"/>
      <c r="AB427" s="69"/>
      <c r="AC427" s="69"/>
      <c r="AD427" s="69"/>
      <c r="AE427" s="69"/>
      <c r="AF427" s="69"/>
    </row>
    <row r="428" ht="21.25" customHeight="1">
      <c r="A428" s="88"/>
      <c r="B428" s="89"/>
      <c r="C428" s="90"/>
      <c r="D428" s="91"/>
      <c r="E428" t="s" s="127">
        <f>_xlfn.IFERROR(AVERAGE(E408:E427)," ")</f>
        <v>885</v>
      </c>
      <c r="F428" s="93">
        <f>SUM(F408:F427)</f>
        <v>0</v>
      </c>
      <c r="G428" s="93">
        <f>SUM(G408:G427)</f>
        <v>0</v>
      </c>
      <c r="H428" s="94"/>
      <c r="I428" s="95">
        <f>SUM(I408:I427)</f>
        <v>0</v>
      </c>
      <c r="J428" s="94">
        <f>AVERAGE(J408:J427)</f>
      </c>
      <c r="K428" s="95">
        <f>SUM(K408:K427)</f>
        <v>0</v>
      </c>
      <c r="L428" s="95">
        <f>SUM(L408:L427)</f>
        <v>0</v>
      </c>
      <c r="M428" s="95">
        <f>SUM(M408:M427)</f>
        <v>0</v>
      </c>
      <c r="N428" s="95">
        <f>SUM(N408:N427)</f>
        <v>0</v>
      </c>
      <c r="O428" s="95">
        <f>SUM(O408:O427)</f>
        <v>0</v>
      </c>
      <c r="P428" s="95">
        <f>SUM(P408:P427)</f>
        <v>0</v>
      </c>
      <c r="Q428" s="95">
        <f>SUM(Q408:Q427)</f>
        <v>0</v>
      </c>
      <c r="R428" s="95">
        <f>SUM(R408:R427)</f>
        <v>0</v>
      </c>
      <c r="S428" s="95">
        <f>SUM(S408:S427)</f>
        <v>0</v>
      </c>
      <c r="T428" s="95">
        <f>SUM(T408:T427)</f>
        <v>0</v>
      </c>
      <c r="U428" s="95">
        <f>SUM(U408:U427)</f>
        <v>0</v>
      </c>
      <c r="V428" s="95">
        <f>SUM(V408:V427)</f>
        <v>0</v>
      </c>
      <c r="W428" s="95">
        <f>SUM(W408:W427)</f>
        <v>0</v>
      </c>
      <c r="X428" s="95">
        <f>SUM(X408:X427)</f>
        <v>0</v>
      </c>
      <c r="Y428" s="95">
        <f>SUM(Y408:Y427)</f>
        <v>0</v>
      </c>
      <c r="Z428" s="96">
        <f>_xlfn.IFERROR(X428/(X428+Y428),0)</f>
        <v>0</v>
      </c>
      <c r="AA428" s="64"/>
      <c r="AB428" s="97"/>
      <c r="AC428" s="97"/>
      <c r="AD428" s="97"/>
      <c r="AE428" s="97"/>
      <c r="AF428" s="97"/>
    </row>
    <row r="429" ht="21.25" customHeight="1">
      <c r="A429" s="98"/>
      <c r="B429" s="99"/>
      <c r="C429" s="100"/>
      <c r="D429" s="11"/>
      <c r="E429" s="11"/>
      <c r="F429" s="101"/>
      <c r="G429" s="102"/>
      <c r="H429" s="103"/>
      <c r="I429" s="10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9"/>
      <c r="AC429" s="69"/>
      <c r="AD429" s="69"/>
      <c r="AE429" s="69"/>
      <c r="AF429" s="69"/>
    </row>
    <row r="430" ht="21.25" customHeight="1">
      <c r="A430" t="s" s="31">
        <v>66</v>
      </c>
      <c r="B430" t="s" s="105">
        <v>68</v>
      </c>
      <c r="C430" s="19"/>
      <c r="D430" t="s" s="105">
        <v>69</v>
      </c>
      <c r="E430" t="s" s="105">
        <v>70</v>
      </c>
      <c r="F430" t="s" s="106">
        <v>72</v>
      </c>
      <c r="G430" t="s" s="106">
        <v>74</v>
      </c>
      <c r="H430" s="107"/>
      <c r="I430" t="s" s="108">
        <v>79</v>
      </c>
      <c r="J430" t="s" s="108">
        <v>97</v>
      </c>
      <c r="K430" t="s" s="108">
        <v>98</v>
      </c>
      <c r="L430" t="s" s="108">
        <v>99</v>
      </c>
      <c r="M430" t="s" s="108">
        <v>100</v>
      </c>
      <c r="N430" t="s" s="108">
        <v>101</v>
      </c>
      <c r="O430" t="s" s="108">
        <v>102</v>
      </c>
      <c r="P430" t="s" s="108">
        <v>103</v>
      </c>
      <c r="Q430" t="s" s="108">
        <v>104</v>
      </c>
      <c r="R430" s="64"/>
      <c r="S430" s="64"/>
      <c r="T430" s="64"/>
      <c r="U430" t="s" s="105">
        <v>901</v>
      </c>
      <c r="V430" s="107"/>
      <c r="W430" s="107"/>
      <c r="X430" t="s" s="105">
        <v>902</v>
      </c>
      <c r="Y430" s="107"/>
      <c r="Z430" s="107"/>
      <c r="AA430" s="64"/>
      <c r="AB430" s="64"/>
      <c r="AC430" s="64"/>
      <c r="AD430" s="64"/>
      <c r="AE430" s="64"/>
      <c r="AF430" s="64"/>
    </row>
    <row r="431" ht="21.25" customHeight="1">
      <c r="A431" s="128"/>
      <c r="B431" t="s" s="110">
        <f>_xlfn.IFERROR(VLOOKUP($A431,'The List'!$B1:$AS730,3,FALSE)," ")</f>
        <v>885</v>
      </c>
      <c r="C431" t="s" s="129">
        <f>_xlfn.IFERROR(VLOOKUP($A431,'The List'!$B1:$AS730,4,FALSE)," ")</f>
        <v>885</v>
      </c>
      <c r="D431" t="s" s="112">
        <f>_xlfn.IFERROR(VLOOKUP($A431,'The List'!$B1:$AS730,5,FALSE)," ")</f>
        <v>885</v>
      </c>
      <c r="E431" t="s" s="112">
        <f>_xlfn.IFERROR(VLOOKUP($A431,'The List'!$B1:$AS730,6,FALSE)," ")</f>
        <v>885</v>
      </c>
      <c r="F431" t="s" s="130">
        <f>_xlfn.IFERROR(VLOOKUP($A431,'The List'!$B1:$AS730,8,FALSE)," ")</f>
        <v>885</v>
      </c>
      <c r="G431" t="s" s="130">
        <f>_xlfn.IFERROR(VLOOKUP($A431,'The List'!$B1:$AS730,10,FALSE)," ")</f>
        <v>885</v>
      </c>
      <c r="H431" s="115"/>
      <c r="I431" t="s" s="131">
        <f>_xlfn.IFERROR(VLOOKUP($A431,'The List'!$B1:$AS730,35,FALSE)," ")</f>
        <v>885</v>
      </c>
      <c r="J431" t="s" s="131">
        <f>_xlfn.IFERROR(VLOOKUP($A431,'The List'!$B1:$AS730,36,FALSE)," ")</f>
        <v>885</v>
      </c>
      <c r="K431" t="s" s="131">
        <f>_xlfn.IFERROR(VLOOKUP($A431,'The List'!$B1:$AS730,37,FALSE)," ")</f>
        <v>885</v>
      </c>
      <c r="L431" t="s" s="131">
        <f>_xlfn.IFERROR(VLOOKUP($A431,'The List'!$B1:$AS730,38,FALSE)," ")</f>
        <v>885</v>
      </c>
      <c r="M431" t="s" s="131">
        <f>_xlfn.IFERROR(VLOOKUP($A431,'The List'!$B1:$AS730,39,FALSE)," ")</f>
        <v>885</v>
      </c>
      <c r="N431" t="s" s="131">
        <f>_xlfn.IFERROR(VLOOKUP($A431,'The List'!$B1:$AS730,40,FALSE)," ")</f>
        <v>885</v>
      </c>
      <c r="O431" t="s" s="131">
        <f>_xlfn.IFERROR(VLOOKUP($A431,'The List'!$B1:$AS730,41,FALSE)," ")</f>
        <v>885</v>
      </c>
      <c r="P431" t="s" s="131">
        <f>_xlfn.IFERROR(VLOOKUP($A431,'The List'!$B1:$AS730,42,FALSE)," ")</f>
        <v>885</v>
      </c>
      <c r="Q431" t="s" s="131">
        <f>_xlfn.IFERROR(VLOOKUP($A431,'The List'!$B1:$AS730,43,FALSE)," ")</f>
        <v>885</v>
      </c>
      <c r="R431" s="64"/>
      <c r="S431" s="64"/>
      <c r="T431" t="s" s="119">
        <f>A407</f>
        <v>917</v>
      </c>
      <c r="U431" s="120">
        <f>F428+F434</f>
        <v>0</v>
      </c>
      <c r="V431" s="19"/>
      <c r="W431" s="19"/>
      <c r="X431" s="120">
        <f>G434+G428</f>
        <v>0</v>
      </c>
      <c r="Y431" s="19"/>
      <c r="Z431" s="19"/>
      <c r="AA431" s="64"/>
      <c r="AB431" s="64"/>
      <c r="AC431" s="64"/>
      <c r="AD431" s="64"/>
      <c r="AE431" s="64"/>
      <c r="AF431" s="64"/>
    </row>
    <row r="432" ht="21.25" customHeight="1">
      <c r="A432" s="29"/>
      <c r="B432" t="s" s="121">
        <f>_xlfn.IFERROR(VLOOKUP($A432,'The List'!$B1:$AS730,3,FALSE)," ")</f>
        <v>885</v>
      </c>
      <c r="C432" t="s" s="122">
        <f>_xlfn.IFERROR(VLOOKUP($A432,'The List'!$B1:$AS730,4,FALSE)," ")</f>
        <v>885</v>
      </c>
      <c r="D432" t="s" s="42">
        <f>_xlfn.IFERROR(VLOOKUP($A432,'The List'!$B1:$AS730,5,FALSE)," ")</f>
        <v>885</v>
      </c>
      <c r="E432" t="s" s="42">
        <f>_xlfn.IFERROR(VLOOKUP($A432,'The List'!$B1:$AS730,6,FALSE)," ")</f>
        <v>885</v>
      </c>
      <c r="F432" t="s" s="60">
        <f>_xlfn.IFERROR(VLOOKUP($A432,'The List'!$B1:$AS730,8,FALSE)," ")</f>
        <v>885</v>
      </c>
      <c r="G432" t="s" s="60">
        <f>_xlfn.IFERROR(VLOOKUP($A432,'The List'!$B1:$AS730,10,FALSE)," ")</f>
        <v>885</v>
      </c>
      <c r="H432" s="46"/>
      <c r="I432" t="s" s="61">
        <f>_xlfn.IFERROR(VLOOKUP($A432,'The List'!$B1:$AS730,35,FALSE)," ")</f>
        <v>885</v>
      </c>
      <c r="J432" t="s" s="61">
        <f>_xlfn.IFERROR(VLOOKUP($A432,'The List'!$B1:$AS730,36,FALSE)," ")</f>
        <v>885</v>
      </c>
      <c r="K432" t="s" s="61">
        <f>_xlfn.IFERROR(VLOOKUP($A432,'The List'!$B1:$AS730,37,FALSE)," ")</f>
        <v>885</v>
      </c>
      <c r="L432" t="s" s="61">
        <f>_xlfn.IFERROR(VLOOKUP($A432,'The List'!$B1:$AS730,38,FALSE)," ")</f>
        <v>885</v>
      </c>
      <c r="M432" t="s" s="61">
        <f>_xlfn.IFERROR(VLOOKUP($A432,'The List'!$B1:$AS730,39,FALSE)," ")</f>
        <v>885</v>
      </c>
      <c r="N432" t="s" s="61">
        <f>_xlfn.IFERROR(VLOOKUP($A432,'The List'!$B1:$AS730,40,FALSE)," ")</f>
        <v>885</v>
      </c>
      <c r="O432" t="s" s="61">
        <f>_xlfn.IFERROR(VLOOKUP($A432,'The List'!$B1:$AS730,41,FALSE)," ")</f>
        <v>885</v>
      </c>
      <c r="P432" t="s" s="61">
        <f>_xlfn.IFERROR(VLOOKUP($A432,'The List'!$B1:$AS730,42,FALSE)," ")</f>
        <v>885</v>
      </c>
      <c r="Q432" t="s" s="61">
        <f>_xlfn.IFERROR(VLOOKUP($A432,'The List'!$B1:$AS730,43,FALSE)," ")</f>
        <v>885</v>
      </c>
      <c r="R432" s="64"/>
      <c r="S432" s="64"/>
      <c r="T432" s="64"/>
      <c r="U432" s="19"/>
      <c r="V432" s="19"/>
      <c r="W432" s="19"/>
      <c r="X432" s="19"/>
      <c r="Y432" s="19"/>
      <c r="Z432" s="19"/>
      <c r="AA432" s="64"/>
      <c r="AB432" s="64"/>
      <c r="AC432" s="64"/>
      <c r="AD432" s="64"/>
      <c r="AE432" s="64"/>
      <c r="AF432" s="64"/>
    </row>
    <row r="433" ht="21.25" customHeight="1">
      <c r="A433" s="81"/>
      <c r="B433" t="s" s="123">
        <f>_xlfn.IFERROR(VLOOKUP($A433,'The List'!$B1:$AS730,3,FALSE)," ")</f>
        <v>885</v>
      </c>
      <c r="C433" t="s" s="124">
        <f>_xlfn.IFERROR(VLOOKUP($A433,'The List'!$B1:$AS730,4,FALSE)," ")</f>
        <v>885</v>
      </c>
      <c r="D433" t="s" s="84">
        <f>_xlfn.IFERROR(VLOOKUP($A433,'The List'!$B1:$AS730,5,FALSE)," ")</f>
        <v>885</v>
      </c>
      <c r="E433" t="s" s="84">
        <f>_xlfn.IFERROR(VLOOKUP($A433,'The List'!$B1:$AS730,6,FALSE)," ")</f>
        <v>885</v>
      </c>
      <c r="F433" t="s" s="85">
        <f>_xlfn.IFERROR(VLOOKUP($A433,'The List'!$B1:$AS730,8,FALSE)," ")</f>
        <v>885</v>
      </c>
      <c r="G433" t="s" s="85">
        <f>_xlfn.IFERROR(VLOOKUP($A433,'The List'!$B1:$AS730,10,FALSE)," ")</f>
        <v>885</v>
      </c>
      <c r="H433" s="86"/>
      <c r="I433" t="s" s="87">
        <f>_xlfn.IFERROR(VLOOKUP($A433,'The List'!$B1:$AS730,35,FALSE)," ")</f>
        <v>885</v>
      </c>
      <c r="J433" t="s" s="87">
        <f>_xlfn.IFERROR(VLOOKUP($A433,'The List'!$B1:$AS730,36,FALSE)," ")</f>
        <v>885</v>
      </c>
      <c r="K433" t="s" s="87">
        <f>_xlfn.IFERROR(VLOOKUP($A433,'The List'!$B1:$AS730,37,FALSE)," ")</f>
        <v>885</v>
      </c>
      <c r="L433" t="s" s="87">
        <f>_xlfn.IFERROR(VLOOKUP($A433,'The List'!$B1:$AS730,38,FALSE)," ")</f>
        <v>885</v>
      </c>
      <c r="M433" t="s" s="87">
        <f>_xlfn.IFERROR(VLOOKUP($A433,'The List'!$B1:$AS730,39,FALSE)," ")</f>
        <v>885</v>
      </c>
      <c r="N433" t="s" s="87">
        <f>_xlfn.IFERROR(VLOOKUP($A433,'The List'!$B1:$AS730,40,FALSE)," ")</f>
        <v>885</v>
      </c>
      <c r="O433" t="s" s="87">
        <f>_xlfn.IFERROR(VLOOKUP($A433,'The List'!$B1:$AS730,41,FALSE)," ")</f>
        <v>885</v>
      </c>
      <c r="P433" t="s" s="87">
        <f>_xlfn.IFERROR(VLOOKUP($A433,'The List'!$B1:$AS730,42,FALSE)," ")</f>
        <v>885</v>
      </c>
      <c r="Q433" t="s" s="87">
        <f>_xlfn.IFERROR(VLOOKUP($A433,'The List'!$B1:$AS730,43,FALSE)," ")</f>
        <v>885</v>
      </c>
      <c r="R433" s="64"/>
      <c r="S433" s="64"/>
      <c r="T433" s="64"/>
      <c r="U433" s="19"/>
      <c r="V433" s="19"/>
      <c r="W433" s="19"/>
      <c r="X433" s="19"/>
      <c r="Y433" s="19"/>
      <c r="Z433" s="19"/>
      <c r="AA433" s="64"/>
      <c r="AB433" s="64"/>
      <c r="AC433" s="64"/>
      <c r="AD433" s="64"/>
      <c r="AE433" s="64"/>
      <c r="AF433" s="64"/>
    </row>
    <row r="434" ht="21.25" customHeight="1">
      <c r="A434" s="88"/>
      <c r="B434" s="89"/>
      <c r="C434" s="90"/>
      <c r="D434" s="91"/>
      <c r="E434" t="s" s="127">
        <f>_xlfn.IFERROR(AVERAGE(E431:E433)," ")</f>
        <v>885</v>
      </c>
      <c r="F434" s="93">
        <f>SUM(F431:F433)</f>
        <v>0</v>
      </c>
      <c r="G434" s="93">
        <f>SUM(G431:G433)</f>
        <v>0</v>
      </c>
      <c r="H434" s="94"/>
      <c r="I434" s="95">
        <f>SUM(I431:I433)</f>
        <v>0</v>
      </c>
      <c r="J434" s="94">
        <f>SUM(J431:J433)</f>
        <v>0</v>
      </c>
      <c r="K434" s="95">
        <f>SUM(K431:K433)</f>
        <v>0</v>
      </c>
      <c r="L434" s="95">
        <f>SUM(L431:L433)</f>
        <v>0</v>
      </c>
      <c r="M434" s="95">
        <f>SUM(M431:M433)</f>
        <v>0</v>
      </c>
      <c r="N434" s="95">
        <f>SUM(N431:N433)</f>
        <v>0</v>
      </c>
      <c r="O434" s="95">
        <f>SUM(O431:O433)</f>
        <v>0</v>
      </c>
      <c r="P434" s="125">
        <f>1-(O434/(N434+O434))</f>
      </c>
      <c r="Q434" s="126">
        <f>O434/I434</f>
      </c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</row>
    <row r="435" ht="70.85" customHeight="1">
      <c r="A435" s="98"/>
      <c r="B435" s="99"/>
      <c r="C435" s="100"/>
      <c r="D435" s="11"/>
      <c r="E435" s="11"/>
      <c r="F435" s="101"/>
      <c r="G435" s="102"/>
      <c r="H435" s="103"/>
      <c r="I435" s="10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9"/>
      <c r="AB435" s="69"/>
      <c r="AC435" s="69"/>
      <c r="AD435" s="69"/>
      <c r="AE435" s="69"/>
      <c r="AF435" s="69"/>
    </row>
    <row r="436" ht="21.25" customHeight="1">
      <c r="A436" t="s" s="32">
        <v>900</v>
      </c>
      <c r="B436" t="s" s="33">
        <v>68</v>
      </c>
      <c r="C436" s="25"/>
      <c r="D436" t="s" s="33">
        <v>69</v>
      </c>
      <c r="E436" t="s" s="33">
        <v>70</v>
      </c>
      <c r="F436" t="s" s="34">
        <v>72</v>
      </c>
      <c r="G436" t="s" s="34">
        <v>74</v>
      </c>
      <c r="H436" s="35"/>
      <c r="I436" t="s" s="37">
        <v>79</v>
      </c>
      <c r="J436" t="s" s="37">
        <v>80</v>
      </c>
      <c r="K436" t="s" s="37">
        <v>81</v>
      </c>
      <c r="L436" t="s" s="37">
        <v>82</v>
      </c>
      <c r="M436" t="s" s="37">
        <v>83</v>
      </c>
      <c r="N436" t="s" s="37">
        <v>84</v>
      </c>
      <c r="O436" t="s" s="37">
        <v>85</v>
      </c>
      <c r="P436" t="s" s="37">
        <v>86</v>
      </c>
      <c r="Q436" t="s" s="37">
        <v>87</v>
      </c>
      <c r="R436" t="s" s="37">
        <v>88</v>
      </c>
      <c r="S436" t="s" s="37">
        <v>89</v>
      </c>
      <c r="T436" t="s" s="37">
        <v>90</v>
      </c>
      <c r="U436" t="s" s="37">
        <v>91</v>
      </c>
      <c r="V436" t="s" s="37">
        <v>92</v>
      </c>
      <c r="W436" t="s" s="37">
        <v>93</v>
      </c>
      <c r="X436" t="s" s="37">
        <v>94</v>
      </c>
      <c r="Y436" t="s" s="37">
        <v>95</v>
      </c>
      <c r="Z436" t="s" s="37">
        <v>96</v>
      </c>
      <c r="AA436" s="64"/>
      <c r="AB436" s="65"/>
      <c r="AC436" s="65"/>
      <c r="AD436" s="65"/>
      <c r="AE436" s="65"/>
      <c r="AF436" s="65"/>
    </row>
    <row r="437" ht="21.25" customHeight="1">
      <c r="A437" s="29"/>
      <c r="B437" t="s" s="66">
        <f>_xlfn.IFERROR(VLOOKUP($A437,'The List'!$B1:$AS730,3,FALSE)," ")</f>
        <v>885</v>
      </c>
      <c r="C437" t="s" s="70">
        <f>_xlfn.IFERROR(VLOOKUP($A437,'The List'!$B1:$AS730,4,FALSE)," ")</f>
        <v>885</v>
      </c>
      <c r="D437" t="s" s="42">
        <f>_xlfn.IFERROR(VLOOKUP($A437,'The List'!$B1:$AS730,5,FALSE)," ")</f>
        <v>885</v>
      </c>
      <c r="E437" t="s" s="42">
        <f>_xlfn.IFERROR(VLOOKUP($A437,'The List'!$B1:$AS730,6,FALSE)," ")</f>
        <v>885</v>
      </c>
      <c r="F437" t="s" s="60">
        <f>_xlfn.IFERROR(VLOOKUP($A437,'The List'!$B1:$AS730,8,FALSE)," ")</f>
        <v>885</v>
      </c>
      <c r="G437" t="s" s="60">
        <f>_xlfn.IFERROR(VLOOKUP($A437,'The List'!$B1:$AS730,10,FALSE)," ")</f>
        <v>885</v>
      </c>
      <c r="H437" s="46"/>
      <c r="I437" t="s" s="61">
        <f>_xlfn.IFERROR(VLOOKUP($A437,'The List'!$B1:$AS730,16,FALSE)," ")</f>
        <v>885</v>
      </c>
      <c r="J437" t="s" s="61">
        <f>_xlfn.IFERROR(VLOOKUP($A437,'The List'!$B1:$AS730,17,FALSE)," ")</f>
        <v>885</v>
      </c>
      <c r="K437" t="s" s="61">
        <f>_xlfn.IFERROR(VLOOKUP($A437,'The List'!$B1:$AS730,18,FALSE)," ")</f>
        <v>885</v>
      </c>
      <c r="L437" t="s" s="61">
        <f>_xlfn.IFERROR(VLOOKUP($A437,'The List'!$B1:$AS730,19,FALSE)," ")</f>
        <v>885</v>
      </c>
      <c r="M437" t="s" s="61">
        <f>_xlfn.IFERROR(VLOOKUP($A437,'The List'!$B1:$AS730,20,FALSE)," ")</f>
        <v>885</v>
      </c>
      <c r="N437" t="s" s="61">
        <f>_xlfn.IFERROR(VLOOKUP($A437,'The List'!$B1:$AS730,21,FALSE)," ")</f>
        <v>885</v>
      </c>
      <c r="O437" t="s" s="61">
        <f>_xlfn.IFERROR(VLOOKUP($A437,'The List'!$B1:$AS730,22,FALSE)," ")</f>
        <v>885</v>
      </c>
      <c r="P437" t="s" s="61">
        <f>_xlfn.IFERROR(VLOOKUP($A437,'The List'!$B1:$AS730,23,FALSE)," ")</f>
        <v>885</v>
      </c>
      <c r="Q437" t="s" s="61">
        <f>_xlfn.IFERROR(VLOOKUP($A437,'The List'!$B1:$AS730,24,FALSE)," ")</f>
        <v>885</v>
      </c>
      <c r="R437" t="s" s="61">
        <f>_xlfn.IFERROR(VLOOKUP($A437,'The List'!$B1:$AS730,25,FALSE)," ")</f>
        <v>885</v>
      </c>
      <c r="S437" t="s" s="61">
        <f>_xlfn.IFERROR(VLOOKUP($A437,'The List'!$B1:$AS730,26,FALSE)," ")</f>
        <v>885</v>
      </c>
      <c r="T437" t="s" s="61">
        <f>_xlfn.IFERROR(VLOOKUP($A437,'The List'!$B1:$AS730,27,FALSE)," ")</f>
        <v>885</v>
      </c>
      <c r="U437" t="s" s="61">
        <f>_xlfn.IFERROR(VLOOKUP($A437,'The List'!$B1:$AS730,28,FALSE)," ")</f>
        <v>885</v>
      </c>
      <c r="V437" t="s" s="61">
        <f>_xlfn.IFERROR(VLOOKUP($A437,'The List'!$B1:$AS730,29,FALSE)," ")</f>
        <v>885</v>
      </c>
      <c r="W437" t="s" s="61">
        <f>_xlfn.IFERROR(VLOOKUP($A437,'The List'!$B1:$AS730,30,FALSE)," ")</f>
        <v>885</v>
      </c>
      <c r="X437" t="s" s="61">
        <f>_xlfn.IFERROR(VLOOKUP($A437,'The List'!$B1:$AS730,31,FALSE)," ")</f>
        <v>885</v>
      </c>
      <c r="Y437" t="s" s="61">
        <f>_xlfn.IFERROR(VLOOKUP($A437,'The List'!$B1:$AS730,32,FALSE)," ")</f>
        <v>885</v>
      </c>
      <c r="Z437" t="s" s="61">
        <f>_xlfn.IFERROR(VLOOKUP($A437,'The List'!$B1:$AS730,33,FALSE)," ")</f>
        <v>885</v>
      </c>
      <c r="AA437" s="64"/>
      <c r="AB437" s="69"/>
      <c r="AC437" s="69"/>
      <c r="AD437" s="69"/>
      <c r="AE437" s="69"/>
      <c r="AF437" s="69"/>
    </row>
    <row r="438" ht="21.25" customHeight="1">
      <c r="A438" s="29"/>
      <c r="B438" t="s" s="66">
        <f>_xlfn.IFERROR(VLOOKUP($A438,'The List'!$B1:$AS730,3,FALSE)," ")</f>
        <v>885</v>
      </c>
      <c r="C438" t="s" s="70">
        <f>_xlfn.IFERROR(VLOOKUP($A438,'The List'!$B1:$AS730,4,FALSE)," ")</f>
        <v>885</v>
      </c>
      <c r="D438" t="s" s="42">
        <f>_xlfn.IFERROR(VLOOKUP($A438,'The List'!$B1:$AS730,5,FALSE)," ")</f>
        <v>885</v>
      </c>
      <c r="E438" t="s" s="42">
        <f>_xlfn.IFERROR(VLOOKUP($A438,'The List'!$B1:$AS730,6,FALSE)," ")</f>
        <v>885</v>
      </c>
      <c r="F438" t="s" s="60">
        <f>_xlfn.IFERROR(VLOOKUP($A438,'The List'!$B1:$AS730,8,FALSE)," ")</f>
        <v>885</v>
      </c>
      <c r="G438" t="s" s="60">
        <f>_xlfn.IFERROR(VLOOKUP($A438,'The List'!$B1:$AS730,10,FALSE)," ")</f>
        <v>885</v>
      </c>
      <c r="H438" s="46"/>
      <c r="I438" t="s" s="61">
        <f>_xlfn.IFERROR(VLOOKUP($A438,'The List'!$B1:$AS730,16,FALSE)," ")</f>
        <v>885</v>
      </c>
      <c r="J438" t="s" s="61">
        <f>_xlfn.IFERROR(VLOOKUP($A438,'The List'!$B1:$AS730,17,FALSE)," ")</f>
        <v>885</v>
      </c>
      <c r="K438" t="s" s="61">
        <f>_xlfn.IFERROR(VLOOKUP($A438,'The List'!$B1:$AS730,18,FALSE)," ")</f>
        <v>885</v>
      </c>
      <c r="L438" t="s" s="61">
        <f>_xlfn.IFERROR(VLOOKUP($A438,'The List'!$B1:$AS730,19,FALSE)," ")</f>
        <v>885</v>
      </c>
      <c r="M438" t="s" s="61">
        <f>_xlfn.IFERROR(VLOOKUP($A438,'The List'!$B1:$AS730,20,FALSE)," ")</f>
        <v>885</v>
      </c>
      <c r="N438" t="s" s="61">
        <f>_xlfn.IFERROR(VLOOKUP($A438,'The List'!$B1:$AS730,21,FALSE)," ")</f>
        <v>885</v>
      </c>
      <c r="O438" t="s" s="61">
        <f>_xlfn.IFERROR(VLOOKUP($A438,'The List'!$B1:$AS730,22,FALSE)," ")</f>
        <v>885</v>
      </c>
      <c r="P438" t="s" s="61">
        <f>_xlfn.IFERROR(VLOOKUP($A438,'The List'!$B1:$AS730,23,FALSE)," ")</f>
        <v>885</v>
      </c>
      <c r="Q438" t="s" s="61">
        <f>_xlfn.IFERROR(VLOOKUP($A438,'The List'!$B1:$AS730,24,FALSE)," ")</f>
        <v>885</v>
      </c>
      <c r="R438" t="s" s="61">
        <f>_xlfn.IFERROR(VLOOKUP($A438,'The List'!$B1:$AS730,25,FALSE)," ")</f>
        <v>885</v>
      </c>
      <c r="S438" t="s" s="61">
        <f>_xlfn.IFERROR(VLOOKUP($A438,'The List'!$B1:$AS730,26,FALSE)," ")</f>
        <v>885</v>
      </c>
      <c r="T438" t="s" s="61">
        <f>_xlfn.IFERROR(VLOOKUP($A438,'The List'!$B1:$AS730,27,FALSE)," ")</f>
        <v>885</v>
      </c>
      <c r="U438" t="s" s="61">
        <f>_xlfn.IFERROR(VLOOKUP($A438,'The List'!$B1:$AS730,28,FALSE)," ")</f>
        <v>885</v>
      </c>
      <c r="V438" t="s" s="61">
        <f>_xlfn.IFERROR(VLOOKUP($A438,'The List'!$B1:$AS730,29,FALSE)," ")</f>
        <v>885</v>
      </c>
      <c r="W438" t="s" s="61">
        <f>_xlfn.IFERROR(VLOOKUP($A438,'The List'!$B1:$AS730,30,FALSE)," ")</f>
        <v>885</v>
      </c>
      <c r="X438" t="s" s="61">
        <f>_xlfn.IFERROR(VLOOKUP($A438,'The List'!$B1:$AS730,31,FALSE)," ")</f>
        <v>885</v>
      </c>
      <c r="Y438" t="s" s="61">
        <f>_xlfn.IFERROR(VLOOKUP($A438,'The List'!$B1:$AS730,32,FALSE)," ")</f>
        <v>885</v>
      </c>
      <c r="Z438" t="s" s="61">
        <f>_xlfn.IFERROR(VLOOKUP($A438,'The List'!$B1:$AS730,33,FALSE)," ")</f>
        <v>885</v>
      </c>
      <c r="AA438" s="64"/>
      <c r="AB438" s="69"/>
      <c r="AC438" s="69"/>
      <c r="AD438" s="69"/>
      <c r="AE438" s="69"/>
      <c r="AF438" s="69"/>
    </row>
    <row r="439" ht="21.25" customHeight="1">
      <c r="A439" s="29"/>
      <c r="B439" t="s" s="66">
        <f>_xlfn.IFERROR(VLOOKUP($A439,'The List'!$B1:$AS730,3,FALSE)," ")</f>
        <v>885</v>
      </c>
      <c r="C439" t="s" s="70">
        <f>_xlfn.IFERROR(VLOOKUP($A439,'The List'!$B1:$AS730,4,FALSE)," ")</f>
        <v>885</v>
      </c>
      <c r="D439" t="s" s="42">
        <f>_xlfn.IFERROR(VLOOKUP($A439,'The List'!$B1:$AS730,5,FALSE)," ")</f>
        <v>885</v>
      </c>
      <c r="E439" t="s" s="42">
        <f>_xlfn.IFERROR(VLOOKUP($A439,'The List'!$B1:$AS730,6,FALSE)," ")</f>
        <v>885</v>
      </c>
      <c r="F439" t="s" s="60">
        <f>_xlfn.IFERROR(VLOOKUP($A439,'The List'!$B1:$AS730,8,FALSE)," ")</f>
        <v>885</v>
      </c>
      <c r="G439" t="s" s="60">
        <f>_xlfn.IFERROR(VLOOKUP($A439,'The List'!$B1:$AS730,10,FALSE)," ")</f>
        <v>885</v>
      </c>
      <c r="H439" s="46"/>
      <c r="I439" t="s" s="61">
        <f>_xlfn.IFERROR(VLOOKUP($A439,'The List'!$B1:$AS730,16,FALSE)," ")</f>
        <v>885</v>
      </c>
      <c r="J439" t="s" s="61">
        <f>_xlfn.IFERROR(VLOOKUP($A439,'The List'!$B1:$AS730,17,FALSE)," ")</f>
        <v>885</v>
      </c>
      <c r="K439" t="s" s="61">
        <f>_xlfn.IFERROR(VLOOKUP($A439,'The List'!$B1:$AS730,18,FALSE)," ")</f>
        <v>885</v>
      </c>
      <c r="L439" t="s" s="61">
        <f>_xlfn.IFERROR(VLOOKUP($A439,'The List'!$B1:$AS730,19,FALSE)," ")</f>
        <v>885</v>
      </c>
      <c r="M439" t="s" s="61">
        <f>_xlfn.IFERROR(VLOOKUP($A439,'The List'!$B1:$AS730,20,FALSE)," ")</f>
        <v>885</v>
      </c>
      <c r="N439" t="s" s="61">
        <f>_xlfn.IFERROR(VLOOKUP($A439,'The List'!$B1:$AS730,21,FALSE)," ")</f>
        <v>885</v>
      </c>
      <c r="O439" t="s" s="61">
        <f>_xlfn.IFERROR(VLOOKUP($A439,'The List'!$B1:$AS730,22,FALSE)," ")</f>
        <v>885</v>
      </c>
      <c r="P439" t="s" s="61">
        <f>_xlfn.IFERROR(VLOOKUP($A439,'The List'!$B1:$AS730,23,FALSE)," ")</f>
        <v>885</v>
      </c>
      <c r="Q439" t="s" s="61">
        <f>_xlfn.IFERROR(VLOOKUP($A439,'The List'!$B1:$AS730,24,FALSE)," ")</f>
        <v>885</v>
      </c>
      <c r="R439" t="s" s="61">
        <f>_xlfn.IFERROR(VLOOKUP($A439,'The List'!$B1:$AS730,25,FALSE)," ")</f>
        <v>885</v>
      </c>
      <c r="S439" t="s" s="61">
        <f>_xlfn.IFERROR(VLOOKUP($A439,'The List'!$B1:$AS730,26,FALSE)," ")</f>
        <v>885</v>
      </c>
      <c r="T439" t="s" s="61">
        <f>_xlfn.IFERROR(VLOOKUP($A439,'The List'!$B1:$AS730,27,FALSE)," ")</f>
        <v>885</v>
      </c>
      <c r="U439" t="s" s="61">
        <f>_xlfn.IFERROR(VLOOKUP($A439,'The List'!$B1:$AS730,28,FALSE)," ")</f>
        <v>885</v>
      </c>
      <c r="V439" t="s" s="61">
        <f>_xlfn.IFERROR(VLOOKUP($A439,'The List'!$B1:$AS730,29,FALSE)," ")</f>
        <v>885</v>
      </c>
      <c r="W439" t="s" s="61">
        <f>_xlfn.IFERROR(VLOOKUP($A439,'The List'!$B1:$AS730,30,FALSE)," ")</f>
        <v>885</v>
      </c>
      <c r="X439" t="s" s="61">
        <f>_xlfn.IFERROR(VLOOKUP($A439,'The List'!$B1:$AS730,31,FALSE)," ")</f>
        <v>885</v>
      </c>
      <c r="Y439" t="s" s="61">
        <f>_xlfn.IFERROR(VLOOKUP($A439,'The List'!$B1:$AS730,32,FALSE)," ")</f>
        <v>885</v>
      </c>
      <c r="Z439" t="s" s="61">
        <f>_xlfn.IFERROR(VLOOKUP($A439,'The List'!$B1:$AS730,33,FALSE)," ")</f>
        <v>885</v>
      </c>
      <c r="AA439" s="64"/>
      <c r="AB439" s="69"/>
      <c r="AC439" s="69"/>
      <c r="AD439" s="69"/>
      <c r="AE439" s="69"/>
      <c r="AF439" s="69"/>
    </row>
    <row r="440" ht="21.25" customHeight="1">
      <c r="A440" s="29"/>
      <c r="B440" t="s" s="66">
        <f>_xlfn.IFERROR(VLOOKUP($A440,'The List'!$B1:$AS730,3,FALSE)," ")</f>
        <v>885</v>
      </c>
      <c r="C440" t="s" s="70">
        <f>_xlfn.IFERROR(VLOOKUP($A440,'The List'!$B1:$AS730,4,FALSE)," ")</f>
        <v>885</v>
      </c>
      <c r="D440" t="s" s="42">
        <f>_xlfn.IFERROR(VLOOKUP($A440,'The List'!$B1:$AS730,5,FALSE)," ")</f>
        <v>885</v>
      </c>
      <c r="E440" t="s" s="42">
        <f>_xlfn.IFERROR(VLOOKUP($A440,'The List'!$B1:$AS730,6,FALSE)," ")</f>
        <v>885</v>
      </c>
      <c r="F440" t="s" s="60">
        <f>_xlfn.IFERROR(VLOOKUP($A440,'The List'!$B1:$AS730,8,FALSE)," ")</f>
        <v>885</v>
      </c>
      <c r="G440" t="s" s="60">
        <f>_xlfn.IFERROR(VLOOKUP($A440,'The List'!$B1:$AS730,10,FALSE)," ")</f>
        <v>885</v>
      </c>
      <c r="H440" s="46"/>
      <c r="I440" t="s" s="61">
        <f>_xlfn.IFERROR(VLOOKUP($A440,'The List'!$B1:$AS730,16,FALSE)," ")</f>
        <v>885</v>
      </c>
      <c r="J440" t="s" s="61">
        <f>_xlfn.IFERROR(VLOOKUP($A440,'The List'!$B1:$AS730,17,FALSE)," ")</f>
        <v>885</v>
      </c>
      <c r="K440" t="s" s="61">
        <f>_xlfn.IFERROR(VLOOKUP($A440,'The List'!$B1:$AS730,18,FALSE)," ")</f>
        <v>885</v>
      </c>
      <c r="L440" t="s" s="61">
        <f>_xlfn.IFERROR(VLOOKUP($A440,'The List'!$B1:$AS730,19,FALSE)," ")</f>
        <v>885</v>
      </c>
      <c r="M440" t="s" s="61">
        <f>_xlfn.IFERROR(VLOOKUP($A440,'The List'!$B1:$AS730,20,FALSE)," ")</f>
        <v>885</v>
      </c>
      <c r="N440" t="s" s="61">
        <f>_xlfn.IFERROR(VLOOKUP($A440,'The List'!$B1:$AS730,21,FALSE)," ")</f>
        <v>885</v>
      </c>
      <c r="O440" t="s" s="61">
        <f>_xlfn.IFERROR(VLOOKUP($A440,'The List'!$B1:$AS730,22,FALSE)," ")</f>
        <v>885</v>
      </c>
      <c r="P440" t="s" s="61">
        <f>_xlfn.IFERROR(VLOOKUP($A440,'The List'!$B1:$AS730,23,FALSE)," ")</f>
        <v>885</v>
      </c>
      <c r="Q440" t="s" s="61">
        <f>_xlfn.IFERROR(VLOOKUP($A440,'The List'!$B1:$AS730,24,FALSE)," ")</f>
        <v>885</v>
      </c>
      <c r="R440" t="s" s="61">
        <f>_xlfn.IFERROR(VLOOKUP($A440,'The List'!$B1:$AS730,25,FALSE)," ")</f>
        <v>885</v>
      </c>
      <c r="S440" t="s" s="61">
        <f>_xlfn.IFERROR(VLOOKUP($A440,'The List'!$B1:$AS730,26,FALSE)," ")</f>
        <v>885</v>
      </c>
      <c r="T440" t="s" s="61">
        <f>_xlfn.IFERROR(VLOOKUP($A440,'The List'!$B1:$AS730,27,FALSE)," ")</f>
        <v>885</v>
      </c>
      <c r="U440" t="s" s="61">
        <f>_xlfn.IFERROR(VLOOKUP($A440,'The List'!$B1:$AS730,28,FALSE)," ")</f>
        <v>885</v>
      </c>
      <c r="V440" t="s" s="61">
        <f>_xlfn.IFERROR(VLOOKUP($A440,'The List'!$B1:$AS730,29,FALSE)," ")</f>
        <v>885</v>
      </c>
      <c r="W440" t="s" s="61">
        <f>_xlfn.IFERROR(VLOOKUP($A440,'The List'!$B1:$AS730,30,FALSE)," ")</f>
        <v>885</v>
      </c>
      <c r="X440" t="s" s="61">
        <f>_xlfn.IFERROR(VLOOKUP($A440,'The List'!$B1:$AS730,31,FALSE)," ")</f>
        <v>885</v>
      </c>
      <c r="Y440" t="s" s="61">
        <f>_xlfn.IFERROR(VLOOKUP($A440,'The List'!$B1:$AS730,32,FALSE)," ")</f>
        <v>885</v>
      </c>
      <c r="Z440" t="s" s="61">
        <f>_xlfn.IFERROR(VLOOKUP($A440,'The List'!$B1:$AS730,33,FALSE)," ")</f>
        <v>885</v>
      </c>
      <c r="AA440" s="64"/>
      <c r="AB440" s="69"/>
      <c r="AC440" s="69"/>
      <c r="AD440" s="69"/>
      <c r="AE440" s="69"/>
      <c r="AF440" s="69"/>
    </row>
    <row r="441" ht="21.25" customHeight="1">
      <c r="A441" s="29"/>
      <c r="B441" t="s" s="71">
        <f>_xlfn.IFERROR(VLOOKUP($A441,'The List'!$B1:$AS730,3,FALSE)," ")</f>
        <v>885</v>
      </c>
      <c r="C441" t="s" s="73">
        <f>_xlfn.IFERROR(VLOOKUP($A441,'The List'!$B1:$AS730,4,FALSE)," ")</f>
        <v>885</v>
      </c>
      <c r="D441" t="s" s="42">
        <f>_xlfn.IFERROR(VLOOKUP($A441,'The List'!$B1:$AS730,5,FALSE)," ")</f>
        <v>885</v>
      </c>
      <c r="E441" t="s" s="42">
        <f>_xlfn.IFERROR(VLOOKUP($A441,'The List'!$B1:$AS730,6,FALSE)," ")</f>
        <v>885</v>
      </c>
      <c r="F441" t="s" s="60">
        <f>_xlfn.IFERROR(VLOOKUP($A441,'The List'!$B1:$AS730,8,FALSE)," ")</f>
        <v>885</v>
      </c>
      <c r="G441" t="s" s="60">
        <f>_xlfn.IFERROR(VLOOKUP($A441,'The List'!$B1:$AS730,10,FALSE)," ")</f>
        <v>885</v>
      </c>
      <c r="H441" s="46"/>
      <c r="I441" t="s" s="61">
        <f>_xlfn.IFERROR(VLOOKUP($A441,'The List'!$B1:$AS730,16,FALSE)," ")</f>
        <v>885</v>
      </c>
      <c r="J441" t="s" s="61">
        <f>_xlfn.IFERROR(VLOOKUP($A441,'The List'!$B1:$AS730,17,FALSE)," ")</f>
        <v>885</v>
      </c>
      <c r="K441" t="s" s="61">
        <f>_xlfn.IFERROR(VLOOKUP($A441,'The List'!$B1:$AS730,18,FALSE)," ")</f>
        <v>885</v>
      </c>
      <c r="L441" t="s" s="61">
        <f>_xlfn.IFERROR(VLOOKUP($A441,'The List'!$B1:$AS730,19,FALSE)," ")</f>
        <v>885</v>
      </c>
      <c r="M441" t="s" s="61">
        <f>_xlfn.IFERROR(VLOOKUP($A441,'The List'!$B1:$AS730,20,FALSE)," ")</f>
        <v>885</v>
      </c>
      <c r="N441" t="s" s="61">
        <f>_xlfn.IFERROR(VLOOKUP($A441,'The List'!$B1:$AS730,21,FALSE)," ")</f>
        <v>885</v>
      </c>
      <c r="O441" t="s" s="61">
        <f>_xlfn.IFERROR(VLOOKUP($A441,'The List'!$B1:$AS730,22,FALSE)," ")</f>
        <v>885</v>
      </c>
      <c r="P441" t="s" s="61">
        <f>_xlfn.IFERROR(VLOOKUP($A441,'The List'!$B1:$AS730,23,FALSE)," ")</f>
        <v>885</v>
      </c>
      <c r="Q441" t="s" s="61">
        <f>_xlfn.IFERROR(VLOOKUP($A441,'The List'!$B1:$AS730,24,FALSE)," ")</f>
        <v>885</v>
      </c>
      <c r="R441" t="s" s="61">
        <f>_xlfn.IFERROR(VLOOKUP($A441,'The List'!$B1:$AS730,25,FALSE)," ")</f>
        <v>885</v>
      </c>
      <c r="S441" t="s" s="61">
        <f>_xlfn.IFERROR(VLOOKUP($A441,'The List'!$B1:$AS730,26,FALSE)," ")</f>
        <v>885</v>
      </c>
      <c r="T441" t="s" s="61">
        <f>_xlfn.IFERROR(VLOOKUP($A441,'The List'!$B1:$AS730,27,FALSE)," ")</f>
        <v>885</v>
      </c>
      <c r="U441" t="s" s="61">
        <f>_xlfn.IFERROR(VLOOKUP($A441,'The List'!$B1:$AS730,28,FALSE)," ")</f>
        <v>885</v>
      </c>
      <c r="V441" t="s" s="61">
        <f>_xlfn.IFERROR(VLOOKUP($A441,'The List'!$B1:$AS730,29,FALSE)," ")</f>
        <v>885</v>
      </c>
      <c r="W441" t="s" s="61">
        <f>_xlfn.IFERROR(VLOOKUP($A441,'The List'!$B1:$AS730,30,FALSE)," ")</f>
        <v>885</v>
      </c>
      <c r="X441" t="s" s="61">
        <f>_xlfn.IFERROR(VLOOKUP($A441,'The List'!$B1:$AS730,31,FALSE)," ")</f>
        <v>885</v>
      </c>
      <c r="Y441" t="s" s="61">
        <f>_xlfn.IFERROR(VLOOKUP($A441,'The List'!$B1:$AS730,32,FALSE)," ")</f>
        <v>885</v>
      </c>
      <c r="Z441" t="s" s="61">
        <f>_xlfn.IFERROR(VLOOKUP($A441,'The List'!$B1:$AS730,33,FALSE)," ")</f>
        <v>885</v>
      </c>
      <c r="AA441" s="64"/>
      <c r="AB441" s="69"/>
      <c r="AC441" s="69"/>
      <c r="AD441" s="69"/>
      <c r="AE441" s="69"/>
      <c r="AF441" s="69"/>
    </row>
    <row r="442" ht="21.25" customHeight="1">
      <c r="A442" s="29"/>
      <c r="B442" t="s" s="71">
        <f>_xlfn.IFERROR(VLOOKUP($A442,'The List'!$B1:$AS730,3,FALSE)," ")</f>
        <v>885</v>
      </c>
      <c r="C442" t="s" s="73">
        <f>_xlfn.IFERROR(VLOOKUP($A442,'The List'!$B1:$AS730,4,FALSE)," ")</f>
        <v>885</v>
      </c>
      <c r="D442" t="s" s="42">
        <f>_xlfn.IFERROR(VLOOKUP($A442,'The List'!$B1:$AS730,5,FALSE)," ")</f>
        <v>885</v>
      </c>
      <c r="E442" t="s" s="42">
        <f>_xlfn.IFERROR(VLOOKUP($A442,'The List'!$B1:$AS730,6,FALSE)," ")</f>
        <v>885</v>
      </c>
      <c r="F442" t="s" s="60">
        <f>_xlfn.IFERROR(VLOOKUP($A442,'The List'!$B1:$AS730,8,FALSE)," ")</f>
        <v>885</v>
      </c>
      <c r="G442" t="s" s="60">
        <f>_xlfn.IFERROR(VLOOKUP($A442,'The List'!$B1:$AS730,10,FALSE)," ")</f>
        <v>885</v>
      </c>
      <c r="H442" s="46"/>
      <c r="I442" t="s" s="61">
        <f>_xlfn.IFERROR(VLOOKUP($A442,'The List'!$B1:$AS730,16,FALSE)," ")</f>
        <v>885</v>
      </c>
      <c r="J442" t="s" s="61">
        <f>_xlfn.IFERROR(VLOOKUP($A442,'The List'!$B1:$AS730,17,FALSE)," ")</f>
        <v>885</v>
      </c>
      <c r="K442" t="s" s="61">
        <f>_xlfn.IFERROR(VLOOKUP($A442,'The List'!$B1:$AS730,18,FALSE)," ")</f>
        <v>885</v>
      </c>
      <c r="L442" t="s" s="61">
        <f>_xlfn.IFERROR(VLOOKUP($A442,'The List'!$B1:$AS730,19,FALSE)," ")</f>
        <v>885</v>
      </c>
      <c r="M442" t="s" s="61">
        <f>_xlfn.IFERROR(VLOOKUP($A442,'The List'!$B1:$AS730,20,FALSE)," ")</f>
        <v>885</v>
      </c>
      <c r="N442" t="s" s="61">
        <f>_xlfn.IFERROR(VLOOKUP($A442,'The List'!$B1:$AS730,21,FALSE)," ")</f>
        <v>885</v>
      </c>
      <c r="O442" t="s" s="61">
        <f>_xlfn.IFERROR(VLOOKUP($A442,'The List'!$B1:$AS730,22,FALSE)," ")</f>
        <v>885</v>
      </c>
      <c r="P442" t="s" s="61">
        <f>_xlfn.IFERROR(VLOOKUP($A442,'The List'!$B1:$AS730,23,FALSE)," ")</f>
        <v>885</v>
      </c>
      <c r="Q442" t="s" s="61">
        <f>_xlfn.IFERROR(VLOOKUP($A442,'The List'!$B1:$AS730,24,FALSE)," ")</f>
        <v>885</v>
      </c>
      <c r="R442" t="s" s="61">
        <f>_xlfn.IFERROR(VLOOKUP($A442,'The List'!$B1:$AS730,25,FALSE)," ")</f>
        <v>885</v>
      </c>
      <c r="S442" t="s" s="61">
        <f>_xlfn.IFERROR(VLOOKUP($A442,'The List'!$B1:$AS730,26,FALSE)," ")</f>
        <v>885</v>
      </c>
      <c r="T442" t="s" s="61">
        <f>_xlfn.IFERROR(VLOOKUP($A442,'The List'!$B1:$AS730,27,FALSE)," ")</f>
        <v>885</v>
      </c>
      <c r="U442" t="s" s="61">
        <f>_xlfn.IFERROR(VLOOKUP($A442,'The List'!$B1:$AS730,28,FALSE)," ")</f>
        <v>885</v>
      </c>
      <c r="V442" t="s" s="61">
        <f>_xlfn.IFERROR(VLOOKUP($A442,'The List'!$B1:$AS730,29,FALSE)," ")</f>
        <v>885</v>
      </c>
      <c r="W442" t="s" s="61">
        <f>_xlfn.IFERROR(VLOOKUP($A442,'The List'!$B1:$AS730,30,FALSE)," ")</f>
        <v>885</v>
      </c>
      <c r="X442" t="s" s="61">
        <f>_xlfn.IFERROR(VLOOKUP($A442,'The List'!$B1:$AS730,31,FALSE)," ")</f>
        <v>885</v>
      </c>
      <c r="Y442" t="s" s="61">
        <f>_xlfn.IFERROR(VLOOKUP($A442,'The List'!$B1:$AS730,32,FALSE)," ")</f>
        <v>885</v>
      </c>
      <c r="Z442" t="s" s="61">
        <f>_xlfn.IFERROR(VLOOKUP($A442,'The List'!$B1:$AS730,33,FALSE)," ")</f>
        <v>885</v>
      </c>
      <c r="AA442" s="64"/>
      <c r="AB442" s="69"/>
      <c r="AC442" s="69"/>
      <c r="AD442" s="69"/>
      <c r="AE442" s="69"/>
      <c r="AF442" s="69"/>
    </row>
    <row r="443" ht="21.25" customHeight="1">
      <c r="A443" s="29"/>
      <c r="B443" t="s" s="71">
        <f>_xlfn.IFERROR(VLOOKUP($A443,'The List'!$B1:$AS730,3,FALSE)," ")</f>
        <v>885</v>
      </c>
      <c r="C443" t="s" s="73">
        <f>_xlfn.IFERROR(VLOOKUP($A443,'The List'!$B1:$AS730,4,FALSE)," ")</f>
        <v>885</v>
      </c>
      <c r="D443" t="s" s="42">
        <f>_xlfn.IFERROR(VLOOKUP($A443,'The List'!$B1:$AS730,5,FALSE)," ")</f>
        <v>885</v>
      </c>
      <c r="E443" t="s" s="42">
        <f>_xlfn.IFERROR(VLOOKUP($A443,'The List'!$B1:$AS730,6,FALSE)," ")</f>
        <v>885</v>
      </c>
      <c r="F443" t="s" s="60">
        <f>_xlfn.IFERROR(VLOOKUP($A443,'The List'!$B1:$AS730,8,FALSE)," ")</f>
        <v>885</v>
      </c>
      <c r="G443" t="s" s="60">
        <f>_xlfn.IFERROR(VLOOKUP($A443,'The List'!$B1:$AS730,10,FALSE)," ")</f>
        <v>885</v>
      </c>
      <c r="H443" s="46"/>
      <c r="I443" t="s" s="61">
        <f>_xlfn.IFERROR(VLOOKUP($A443,'The List'!$B1:$AS730,16,FALSE)," ")</f>
        <v>885</v>
      </c>
      <c r="J443" t="s" s="61">
        <f>_xlfn.IFERROR(VLOOKUP($A443,'The List'!$B1:$AS730,17,FALSE)," ")</f>
        <v>885</v>
      </c>
      <c r="K443" t="s" s="61">
        <f>_xlfn.IFERROR(VLOOKUP($A443,'The List'!$B1:$AS730,18,FALSE)," ")</f>
        <v>885</v>
      </c>
      <c r="L443" t="s" s="61">
        <f>_xlfn.IFERROR(VLOOKUP($A443,'The List'!$B1:$AS730,19,FALSE)," ")</f>
        <v>885</v>
      </c>
      <c r="M443" t="s" s="61">
        <f>_xlfn.IFERROR(VLOOKUP($A443,'The List'!$B1:$AS730,20,FALSE)," ")</f>
        <v>885</v>
      </c>
      <c r="N443" t="s" s="61">
        <f>_xlfn.IFERROR(VLOOKUP($A443,'The List'!$B1:$AS730,21,FALSE)," ")</f>
        <v>885</v>
      </c>
      <c r="O443" t="s" s="61">
        <f>_xlfn.IFERROR(VLOOKUP($A443,'The List'!$B1:$AS730,22,FALSE)," ")</f>
        <v>885</v>
      </c>
      <c r="P443" t="s" s="61">
        <f>_xlfn.IFERROR(VLOOKUP($A443,'The List'!$B1:$AS730,23,FALSE)," ")</f>
        <v>885</v>
      </c>
      <c r="Q443" t="s" s="61">
        <f>_xlfn.IFERROR(VLOOKUP($A443,'The List'!$B1:$AS730,24,FALSE)," ")</f>
        <v>885</v>
      </c>
      <c r="R443" t="s" s="61">
        <f>_xlfn.IFERROR(VLOOKUP($A443,'The List'!$B1:$AS730,25,FALSE)," ")</f>
        <v>885</v>
      </c>
      <c r="S443" t="s" s="61">
        <f>_xlfn.IFERROR(VLOOKUP($A443,'The List'!$B1:$AS730,26,FALSE)," ")</f>
        <v>885</v>
      </c>
      <c r="T443" t="s" s="61">
        <f>_xlfn.IFERROR(VLOOKUP($A443,'The List'!$B1:$AS730,27,FALSE)," ")</f>
        <v>885</v>
      </c>
      <c r="U443" t="s" s="61">
        <f>_xlfn.IFERROR(VLOOKUP($A443,'The List'!$B1:$AS730,28,FALSE)," ")</f>
        <v>885</v>
      </c>
      <c r="V443" t="s" s="61">
        <f>_xlfn.IFERROR(VLOOKUP($A443,'The List'!$B1:$AS730,29,FALSE)," ")</f>
        <v>885</v>
      </c>
      <c r="W443" t="s" s="61">
        <f>_xlfn.IFERROR(VLOOKUP($A443,'The List'!$B1:$AS730,30,FALSE)," ")</f>
        <v>885</v>
      </c>
      <c r="X443" t="s" s="61">
        <f>_xlfn.IFERROR(VLOOKUP($A443,'The List'!$B1:$AS730,31,FALSE)," ")</f>
        <v>885</v>
      </c>
      <c r="Y443" t="s" s="61">
        <f>_xlfn.IFERROR(VLOOKUP($A443,'The List'!$B1:$AS730,32,FALSE)," ")</f>
        <v>885</v>
      </c>
      <c r="Z443" t="s" s="61">
        <f>_xlfn.IFERROR(VLOOKUP($A443,'The List'!$B1:$AS730,33,FALSE)," ")</f>
        <v>885</v>
      </c>
      <c r="AA443" s="64"/>
      <c r="AB443" s="69"/>
      <c r="AC443" s="69"/>
      <c r="AD443" s="69"/>
      <c r="AE443" s="69"/>
      <c r="AF443" s="69"/>
    </row>
    <row r="444" ht="21.25" customHeight="1">
      <c r="A444" s="29"/>
      <c r="B444" t="s" s="71">
        <f>_xlfn.IFERROR(VLOOKUP($A444,'The List'!$B1:$AS730,3,FALSE)," ")</f>
        <v>885</v>
      </c>
      <c r="C444" t="s" s="73">
        <f>_xlfn.IFERROR(VLOOKUP($A444,'The List'!$B1:$AS730,4,FALSE)," ")</f>
        <v>885</v>
      </c>
      <c r="D444" t="s" s="42">
        <f>_xlfn.IFERROR(VLOOKUP($A444,'The List'!$B1:$AS730,5,FALSE)," ")</f>
        <v>885</v>
      </c>
      <c r="E444" t="s" s="42">
        <f>_xlfn.IFERROR(VLOOKUP($A444,'The List'!$B1:$AS730,6,FALSE)," ")</f>
        <v>885</v>
      </c>
      <c r="F444" t="s" s="60">
        <f>_xlfn.IFERROR(VLOOKUP($A444,'The List'!$B1:$AS730,8,FALSE)," ")</f>
        <v>885</v>
      </c>
      <c r="G444" t="s" s="60">
        <f>_xlfn.IFERROR(VLOOKUP($A444,'The List'!$B1:$AS730,10,FALSE)," ")</f>
        <v>885</v>
      </c>
      <c r="H444" s="46"/>
      <c r="I444" t="s" s="61">
        <f>_xlfn.IFERROR(VLOOKUP($A444,'The List'!$B1:$AS730,16,FALSE)," ")</f>
        <v>885</v>
      </c>
      <c r="J444" t="s" s="61">
        <f>_xlfn.IFERROR(VLOOKUP($A444,'The List'!$B1:$AS730,17,FALSE)," ")</f>
        <v>885</v>
      </c>
      <c r="K444" t="s" s="61">
        <f>_xlfn.IFERROR(VLOOKUP($A444,'The List'!$B1:$AS730,18,FALSE)," ")</f>
        <v>885</v>
      </c>
      <c r="L444" t="s" s="61">
        <f>_xlfn.IFERROR(VLOOKUP($A444,'The List'!$B1:$AS730,19,FALSE)," ")</f>
        <v>885</v>
      </c>
      <c r="M444" t="s" s="61">
        <f>_xlfn.IFERROR(VLOOKUP($A444,'The List'!$B1:$AS730,20,FALSE)," ")</f>
        <v>885</v>
      </c>
      <c r="N444" t="s" s="61">
        <f>_xlfn.IFERROR(VLOOKUP($A444,'The List'!$B1:$AS730,21,FALSE)," ")</f>
        <v>885</v>
      </c>
      <c r="O444" t="s" s="61">
        <f>_xlfn.IFERROR(VLOOKUP($A444,'The List'!$B1:$AS730,22,FALSE)," ")</f>
        <v>885</v>
      </c>
      <c r="P444" t="s" s="61">
        <f>_xlfn.IFERROR(VLOOKUP($A444,'The List'!$B1:$AS730,23,FALSE)," ")</f>
        <v>885</v>
      </c>
      <c r="Q444" t="s" s="61">
        <f>_xlfn.IFERROR(VLOOKUP($A444,'The List'!$B1:$AS730,24,FALSE)," ")</f>
        <v>885</v>
      </c>
      <c r="R444" t="s" s="61">
        <f>_xlfn.IFERROR(VLOOKUP($A444,'The List'!$B1:$AS730,25,FALSE)," ")</f>
        <v>885</v>
      </c>
      <c r="S444" t="s" s="61">
        <f>_xlfn.IFERROR(VLOOKUP($A444,'The List'!$B1:$AS730,26,FALSE)," ")</f>
        <v>885</v>
      </c>
      <c r="T444" t="s" s="61">
        <f>_xlfn.IFERROR(VLOOKUP($A444,'The List'!$B1:$AS730,27,FALSE)," ")</f>
        <v>885</v>
      </c>
      <c r="U444" t="s" s="61">
        <f>_xlfn.IFERROR(VLOOKUP($A444,'The List'!$B1:$AS730,28,FALSE)," ")</f>
        <v>885</v>
      </c>
      <c r="V444" t="s" s="61">
        <f>_xlfn.IFERROR(VLOOKUP($A444,'The List'!$B1:$AS730,29,FALSE)," ")</f>
        <v>885</v>
      </c>
      <c r="W444" t="s" s="61">
        <f>_xlfn.IFERROR(VLOOKUP($A444,'The List'!$B1:$AS730,30,FALSE)," ")</f>
        <v>885</v>
      </c>
      <c r="X444" t="s" s="61">
        <f>_xlfn.IFERROR(VLOOKUP($A444,'The List'!$B1:$AS730,31,FALSE)," ")</f>
        <v>885</v>
      </c>
      <c r="Y444" t="s" s="61">
        <f>_xlfn.IFERROR(VLOOKUP($A444,'The List'!$B1:$AS730,32,FALSE)," ")</f>
        <v>885</v>
      </c>
      <c r="Z444" t="s" s="61">
        <f>_xlfn.IFERROR(VLOOKUP($A444,'The List'!$B1:$AS730,33,FALSE)," ")</f>
        <v>885</v>
      </c>
      <c r="AA444" s="64"/>
      <c r="AB444" s="69"/>
      <c r="AC444" s="69"/>
      <c r="AD444" s="69"/>
      <c r="AE444" s="69"/>
      <c r="AF444" s="69"/>
    </row>
    <row r="445" ht="21.25" customHeight="1">
      <c r="A445" s="29"/>
      <c r="B445" t="s" s="74">
        <f>_xlfn.IFERROR(VLOOKUP($A445,'The List'!$B1:$AS730,3,FALSE)," ")</f>
        <v>885</v>
      </c>
      <c r="C445" t="s" s="76">
        <f>_xlfn.IFERROR(VLOOKUP($A445,'The List'!$B1:$AS730,4,FALSE)," ")</f>
        <v>885</v>
      </c>
      <c r="D445" t="s" s="42">
        <f>_xlfn.IFERROR(VLOOKUP($A445,'The List'!$B1:$AS730,5,FALSE)," ")</f>
        <v>885</v>
      </c>
      <c r="E445" t="s" s="42">
        <f>_xlfn.IFERROR(VLOOKUP($A445,'The List'!$B1:$AS730,6,FALSE)," ")</f>
        <v>885</v>
      </c>
      <c r="F445" t="s" s="60">
        <f>_xlfn.IFERROR(VLOOKUP($A445,'The List'!$B1:$AS730,8,FALSE)," ")</f>
        <v>885</v>
      </c>
      <c r="G445" t="s" s="60">
        <f>_xlfn.IFERROR(VLOOKUP($A445,'The List'!$B1:$AS730,10,FALSE)," ")</f>
        <v>885</v>
      </c>
      <c r="H445" s="46"/>
      <c r="I445" t="s" s="61">
        <f>_xlfn.IFERROR(VLOOKUP($A445,'The List'!$B1:$AS730,16,FALSE)," ")</f>
        <v>885</v>
      </c>
      <c r="J445" t="s" s="61">
        <f>_xlfn.IFERROR(VLOOKUP($A445,'The List'!$B1:$AS730,17,FALSE)," ")</f>
        <v>885</v>
      </c>
      <c r="K445" t="s" s="61">
        <f>_xlfn.IFERROR(VLOOKUP($A445,'The List'!$B1:$AS730,18,FALSE)," ")</f>
        <v>885</v>
      </c>
      <c r="L445" t="s" s="61">
        <f>_xlfn.IFERROR(VLOOKUP($A445,'The List'!$B1:$AS730,19,FALSE)," ")</f>
        <v>885</v>
      </c>
      <c r="M445" t="s" s="61">
        <f>_xlfn.IFERROR(VLOOKUP($A445,'The List'!$B1:$AS730,20,FALSE)," ")</f>
        <v>885</v>
      </c>
      <c r="N445" t="s" s="61">
        <f>_xlfn.IFERROR(VLOOKUP($A445,'The List'!$B1:$AS730,21,FALSE)," ")</f>
        <v>885</v>
      </c>
      <c r="O445" t="s" s="61">
        <f>_xlfn.IFERROR(VLOOKUP($A445,'The List'!$B1:$AS730,22,FALSE)," ")</f>
        <v>885</v>
      </c>
      <c r="P445" t="s" s="61">
        <f>_xlfn.IFERROR(VLOOKUP($A445,'The List'!$B1:$AS730,23,FALSE)," ")</f>
        <v>885</v>
      </c>
      <c r="Q445" t="s" s="61">
        <f>_xlfn.IFERROR(VLOOKUP($A445,'The List'!$B1:$AS730,24,FALSE)," ")</f>
        <v>885</v>
      </c>
      <c r="R445" t="s" s="61">
        <f>_xlfn.IFERROR(VLOOKUP($A445,'The List'!$B1:$AS730,25,FALSE)," ")</f>
        <v>885</v>
      </c>
      <c r="S445" t="s" s="61">
        <f>_xlfn.IFERROR(VLOOKUP($A445,'The List'!$B1:$AS730,26,FALSE)," ")</f>
        <v>885</v>
      </c>
      <c r="T445" t="s" s="61">
        <f>_xlfn.IFERROR(VLOOKUP($A445,'The List'!$B1:$AS730,27,FALSE)," ")</f>
        <v>885</v>
      </c>
      <c r="U445" t="s" s="61">
        <f>_xlfn.IFERROR(VLOOKUP($A445,'The List'!$B1:$AS730,28,FALSE)," ")</f>
        <v>885</v>
      </c>
      <c r="V445" t="s" s="61">
        <f>_xlfn.IFERROR(VLOOKUP($A445,'The List'!$B1:$AS730,29,FALSE)," ")</f>
        <v>885</v>
      </c>
      <c r="W445" t="s" s="61">
        <f>_xlfn.IFERROR(VLOOKUP($A445,'The List'!$B1:$AS730,30,FALSE)," ")</f>
        <v>885</v>
      </c>
      <c r="X445" t="s" s="61">
        <f>_xlfn.IFERROR(VLOOKUP($A445,'The List'!$B1:$AS730,31,FALSE)," ")</f>
        <v>885</v>
      </c>
      <c r="Y445" t="s" s="61">
        <f>_xlfn.IFERROR(VLOOKUP($A445,'The List'!$B1:$AS730,32,FALSE)," ")</f>
        <v>885</v>
      </c>
      <c r="Z445" t="s" s="61">
        <f>_xlfn.IFERROR(VLOOKUP($A445,'The List'!$B1:$AS730,33,FALSE)," ")</f>
        <v>885</v>
      </c>
      <c r="AA445" s="64"/>
      <c r="AB445" s="69"/>
      <c r="AC445" s="69"/>
      <c r="AD445" s="69"/>
      <c r="AE445" s="69"/>
      <c r="AF445" s="69"/>
    </row>
    <row r="446" ht="21.25" customHeight="1">
      <c r="A446" s="29"/>
      <c r="B446" t="s" s="74">
        <f>_xlfn.IFERROR(VLOOKUP($A446,'The List'!$B1:$AS730,3,FALSE)," ")</f>
        <v>885</v>
      </c>
      <c r="C446" t="s" s="76">
        <f>_xlfn.IFERROR(VLOOKUP($A446,'The List'!$B1:$AS730,4,FALSE)," ")</f>
        <v>885</v>
      </c>
      <c r="D446" t="s" s="42">
        <f>_xlfn.IFERROR(VLOOKUP($A446,'The List'!$B1:$AS730,5,FALSE)," ")</f>
        <v>885</v>
      </c>
      <c r="E446" t="s" s="42">
        <f>_xlfn.IFERROR(VLOOKUP($A446,'The List'!$B1:$AS730,6,FALSE)," ")</f>
        <v>885</v>
      </c>
      <c r="F446" t="s" s="60">
        <f>_xlfn.IFERROR(VLOOKUP($A446,'The List'!$B1:$AS730,8,FALSE)," ")</f>
        <v>885</v>
      </c>
      <c r="G446" t="s" s="60">
        <f>_xlfn.IFERROR(VLOOKUP($A446,'The List'!$B1:$AS730,10,FALSE)," ")</f>
        <v>885</v>
      </c>
      <c r="H446" s="46"/>
      <c r="I446" t="s" s="61">
        <f>_xlfn.IFERROR(VLOOKUP($A446,'The List'!$B1:$AS730,16,FALSE)," ")</f>
        <v>885</v>
      </c>
      <c r="J446" t="s" s="61">
        <f>_xlfn.IFERROR(VLOOKUP($A446,'The List'!$B1:$AS730,17,FALSE)," ")</f>
        <v>885</v>
      </c>
      <c r="K446" t="s" s="61">
        <f>_xlfn.IFERROR(VLOOKUP($A446,'The List'!$B1:$AS730,18,FALSE)," ")</f>
        <v>885</v>
      </c>
      <c r="L446" t="s" s="61">
        <f>_xlfn.IFERROR(VLOOKUP($A446,'The List'!$B1:$AS730,19,FALSE)," ")</f>
        <v>885</v>
      </c>
      <c r="M446" t="s" s="61">
        <f>_xlfn.IFERROR(VLOOKUP($A446,'The List'!$B1:$AS730,20,FALSE)," ")</f>
        <v>885</v>
      </c>
      <c r="N446" t="s" s="61">
        <f>_xlfn.IFERROR(VLOOKUP($A446,'The List'!$B1:$AS730,21,FALSE)," ")</f>
        <v>885</v>
      </c>
      <c r="O446" t="s" s="61">
        <f>_xlfn.IFERROR(VLOOKUP($A446,'The List'!$B1:$AS730,22,FALSE)," ")</f>
        <v>885</v>
      </c>
      <c r="P446" t="s" s="61">
        <f>_xlfn.IFERROR(VLOOKUP($A446,'The List'!$B1:$AS730,23,FALSE)," ")</f>
        <v>885</v>
      </c>
      <c r="Q446" t="s" s="61">
        <f>_xlfn.IFERROR(VLOOKUP($A446,'The List'!$B1:$AS730,24,FALSE)," ")</f>
        <v>885</v>
      </c>
      <c r="R446" t="s" s="61">
        <f>_xlfn.IFERROR(VLOOKUP($A446,'The List'!$B1:$AS730,25,FALSE)," ")</f>
        <v>885</v>
      </c>
      <c r="S446" t="s" s="61">
        <f>_xlfn.IFERROR(VLOOKUP($A446,'The List'!$B1:$AS730,26,FALSE)," ")</f>
        <v>885</v>
      </c>
      <c r="T446" t="s" s="61">
        <f>_xlfn.IFERROR(VLOOKUP($A446,'The List'!$B1:$AS730,27,FALSE)," ")</f>
        <v>885</v>
      </c>
      <c r="U446" t="s" s="61">
        <f>_xlfn.IFERROR(VLOOKUP($A446,'The List'!$B1:$AS730,28,FALSE)," ")</f>
        <v>885</v>
      </c>
      <c r="V446" t="s" s="61">
        <f>_xlfn.IFERROR(VLOOKUP($A446,'The List'!$B1:$AS730,29,FALSE)," ")</f>
        <v>885</v>
      </c>
      <c r="W446" t="s" s="61">
        <f>_xlfn.IFERROR(VLOOKUP($A446,'The List'!$B1:$AS730,30,FALSE)," ")</f>
        <v>885</v>
      </c>
      <c r="X446" t="s" s="61">
        <f>_xlfn.IFERROR(VLOOKUP($A446,'The List'!$B1:$AS730,31,FALSE)," ")</f>
        <v>885</v>
      </c>
      <c r="Y446" t="s" s="61">
        <f>_xlfn.IFERROR(VLOOKUP($A446,'The List'!$B1:$AS730,32,FALSE)," ")</f>
        <v>885</v>
      </c>
      <c r="Z446" t="s" s="61">
        <f>_xlfn.IFERROR(VLOOKUP($A446,'The List'!$B1:$AS730,33,FALSE)," ")</f>
        <v>885</v>
      </c>
      <c r="AA446" s="64"/>
      <c r="AB446" s="69"/>
      <c r="AC446" s="69"/>
      <c r="AD446" s="69"/>
      <c r="AE446" s="69"/>
      <c r="AF446" s="69"/>
    </row>
    <row r="447" ht="21.25" customHeight="1">
      <c r="A447" s="29"/>
      <c r="B447" t="s" s="74">
        <f>_xlfn.IFERROR(VLOOKUP($A447,'The List'!$B1:$AS730,3,FALSE)," ")</f>
        <v>885</v>
      </c>
      <c r="C447" t="s" s="76">
        <f>_xlfn.IFERROR(VLOOKUP($A447,'The List'!$B1:$AS730,4,FALSE)," ")</f>
        <v>885</v>
      </c>
      <c r="D447" t="s" s="42">
        <f>_xlfn.IFERROR(VLOOKUP($A447,'The List'!$B1:$AS730,5,FALSE)," ")</f>
        <v>885</v>
      </c>
      <c r="E447" t="s" s="42">
        <f>_xlfn.IFERROR(VLOOKUP($A447,'The List'!$B1:$AS730,6,FALSE)," ")</f>
        <v>885</v>
      </c>
      <c r="F447" t="s" s="60">
        <f>_xlfn.IFERROR(VLOOKUP($A447,'The List'!$B1:$AS730,8,FALSE)," ")</f>
        <v>885</v>
      </c>
      <c r="G447" t="s" s="60">
        <f>_xlfn.IFERROR(VLOOKUP($A447,'The List'!$B1:$AS730,10,FALSE)," ")</f>
        <v>885</v>
      </c>
      <c r="H447" s="46"/>
      <c r="I447" t="s" s="61">
        <f>_xlfn.IFERROR(VLOOKUP($A447,'The List'!$B1:$AS730,16,FALSE)," ")</f>
        <v>885</v>
      </c>
      <c r="J447" t="s" s="61">
        <f>_xlfn.IFERROR(VLOOKUP($A447,'The List'!$B1:$AS730,17,FALSE)," ")</f>
        <v>885</v>
      </c>
      <c r="K447" t="s" s="61">
        <f>_xlfn.IFERROR(VLOOKUP($A447,'The List'!$B1:$AS730,18,FALSE)," ")</f>
        <v>885</v>
      </c>
      <c r="L447" t="s" s="61">
        <f>_xlfn.IFERROR(VLOOKUP($A447,'The List'!$B1:$AS730,19,FALSE)," ")</f>
        <v>885</v>
      </c>
      <c r="M447" t="s" s="61">
        <f>_xlfn.IFERROR(VLOOKUP($A447,'The List'!$B1:$AS730,20,FALSE)," ")</f>
        <v>885</v>
      </c>
      <c r="N447" t="s" s="61">
        <f>_xlfn.IFERROR(VLOOKUP($A447,'The List'!$B1:$AS730,21,FALSE)," ")</f>
        <v>885</v>
      </c>
      <c r="O447" t="s" s="61">
        <f>_xlfn.IFERROR(VLOOKUP($A447,'The List'!$B1:$AS730,22,FALSE)," ")</f>
        <v>885</v>
      </c>
      <c r="P447" t="s" s="61">
        <f>_xlfn.IFERROR(VLOOKUP($A447,'The List'!$B1:$AS730,23,FALSE)," ")</f>
        <v>885</v>
      </c>
      <c r="Q447" t="s" s="61">
        <f>_xlfn.IFERROR(VLOOKUP($A447,'The List'!$B1:$AS730,24,FALSE)," ")</f>
        <v>885</v>
      </c>
      <c r="R447" t="s" s="61">
        <f>_xlfn.IFERROR(VLOOKUP($A447,'The List'!$B1:$AS730,25,FALSE)," ")</f>
        <v>885</v>
      </c>
      <c r="S447" t="s" s="61">
        <f>_xlfn.IFERROR(VLOOKUP($A447,'The List'!$B1:$AS730,26,FALSE)," ")</f>
        <v>885</v>
      </c>
      <c r="T447" t="s" s="61">
        <f>_xlfn.IFERROR(VLOOKUP($A447,'The List'!$B1:$AS730,27,FALSE)," ")</f>
        <v>885</v>
      </c>
      <c r="U447" t="s" s="61">
        <f>_xlfn.IFERROR(VLOOKUP($A447,'The List'!$B1:$AS730,28,FALSE)," ")</f>
        <v>885</v>
      </c>
      <c r="V447" t="s" s="61">
        <f>_xlfn.IFERROR(VLOOKUP($A447,'The List'!$B1:$AS730,29,FALSE)," ")</f>
        <v>885</v>
      </c>
      <c r="W447" t="s" s="61">
        <f>_xlfn.IFERROR(VLOOKUP($A447,'The List'!$B1:$AS730,30,FALSE)," ")</f>
        <v>885</v>
      </c>
      <c r="X447" t="s" s="61">
        <f>_xlfn.IFERROR(VLOOKUP($A447,'The List'!$B1:$AS730,31,FALSE)," ")</f>
        <v>885</v>
      </c>
      <c r="Y447" t="s" s="61">
        <f>_xlfn.IFERROR(VLOOKUP($A447,'The List'!$B1:$AS730,32,FALSE)," ")</f>
        <v>885</v>
      </c>
      <c r="Z447" t="s" s="61">
        <f>_xlfn.IFERROR(VLOOKUP($A447,'The List'!$B1:$AS730,33,FALSE)," ")</f>
        <v>885</v>
      </c>
      <c r="AA447" s="64"/>
      <c r="AB447" s="69"/>
      <c r="AC447" s="69"/>
      <c r="AD447" s="69"/>
      <c r="AE447" s="69"/>
      <c r="AF447" s="69"/>
    </row>
    <row r="448" ht="21.25" customHeight="1">
      <c r="A448" s="29"/>
      <c r="B448" t="s" s="74">
        <f>_xlfn.IFERROR(VLOOKUP($A448,'The List'!$B1:$AS730,3,FALSE)," ")</f>
        <v>885</v>
      </c>
      <c r="C448" t="s" s="76">
        <f>_xlfn.IFERROR(VLOOKUP($A448,'The List'!$B1:$AS730,4,FALSE)," ")</f>
        <v>885</v>
      </c>
      <c r="D448" t="s" s="42">
        <f>_xlfn.IFERROR(VLOOKUP($A448,'The List'!$B1:$AS730,5,FALSE)," ")</f>
        <v>885</v>
      </c>
      <c r="E448" t="s" s="42">
        <f>_xlfn.IFERROR(VLOOKUP($A448,'The List'!$B1:$AS730,6,FALSE)," ")</f>
        <v>885</v>
      </c>
      <c r="F448" t="s" s="60">
        <f>_xlfn.IFERROR(VLOOKUP($A448,'The List'!$B1:$AS730,8,FALSE)," ")</f>
        <v>885</v>
      </c>
      <c r="G448" t="s" s="60">
        <f>_xlfn.IFERROR(VLOOKUP($A448,'The List'!$B1:$AS730,10,FALSE)," ")</f>
        <v>885</v>
      </c>
      <c r="H448" s="46"/>
      <c r="I448" t="s" s="61">
        <f>_xlfn.IFERROR(VLOOKUP($A448,'The List'!$B1:$AS730,16,FALSE)," ")</f>
        <v>885</v>
      </c>
      <c r="J448" t="s" s="61">
        <f>_xlfn.IFERROR(VLOOKUP($A448,'The List'!$B1:$AS730,17,FALSE)," ")</f>
        <v>885</v>
      </c>
      <c r="K448" t="s" s="61">
        <f>_xlfn.IFERROR(VLOOKUP($A448,'The List'!$B1:$AS730,18,FALSE)," ")</f>
        <v>885</v>
      </c>
      <c r="L448" t="s" s="61">
        <f>_xlfn.IFERROR(VLOOKUP($A448,'The List'!$B1:$AS730,19,FALSE)," ")</f>
        <v>885</v>
      </c>
      <c r="M448" t="s" s="61">
        <f>_xlfn.IFERROR(VLOOKUP($A448,'The List'!$B1:$AS730,20,FALSE)," ")</f>
        <v>885</v>
      </c>
      <c r="N448" t="s" s="61">
        <f>_xlfn.IFERROR(VLOOKUP($A448,'The List'!$B1:$AS730,21,FALSE)," ")</f>
        <v>885</v>
      </c>
      <c r="O448" t="s" s="61">
        <f>_xlfn.IFERROR(VLOOKUP($A448,'The List'!$B1:$AS730,22,FALSE)," ")</f>
        <v>885</v>
      </c>
      <c r="P448" t="s" s="61">
        <f>_xlfn.IFERROR(VLOOKUP($A448,'The List'!$B1:$AS730,23,FALSE)," ")</f>
        <v>885</v>
      </c>
      <c r="Q448" t="s" s="61">
        <f>_xlfn.IFERROR(VLOOKUP($A448,'The List'!$B1:$AS730,24,FALSE)," ")</f>
        <v>885</v>
      </c>
      <c r="R448" t="s" s="61">
        <f>_xlfn.IFERROR(VLOOKUP($A448,'The List'!$B1:$AS730,25,FALSE)," ")</f>
        <v>885</v>
      </c>
      <c r="S448" t="s" s="61">
        <f>_xlfn.IFERROR(VLOOKUP($A448,'The List'!$B1:$AS730,26,FALSE)," ")</f>
        <v>885</v>
      </c>
      <c r="T448" t="s" s="61">
        <f>_xlfn.IFERROR(VLOOKUP($A448,'The List'!$B1:$AS730,27,FALSE)," ")</f>
        <v>885</v>
      </c>
      <c r="U448" t="s" s="61">
        <f>_xlfn.IFERROR(VLOOKUP($A448,'The List'!$B1:$AS730,28,FALSE)," ")</f>
        <v>885</v>
      </c>
      <c r="V448" t="s" s="61">
        <f>_xlfn.IFERROR(VLOOKUP($A448,'The List'!$B1:$AS730,29,FALSE)," ")</f>
        <v>885</v>
      </c>
      <c r="W448" t="s" s="61">
        <f>_xlfn.IFERROR(VLOOKUP($A448,'The List'!$B1:$AS730,30,FALSE)," ")</f>
        <v>885</v>
      </c>
      <c r="X448" t="s" s="61">
        <f>_xlfn.IFERROR(VLOOKUP($A448,'The List'!$B1:$AS730,31,FALSE)," ")</f>
        <v>885</v>
      </c>
      <c r="Y448" t="s" s="61">
        <f>_xlfn.IFERROR(VLOOKUP($A448,'The List'!$B1:$AS730,32,FALSE)," ")</f>
        <v>885</v>
      </c>
      <c r="Z448" t="s" s="61">
        <f>_xlfn.IFERROR(VLOOKUP($A448,'The List'!$B1:$AS730,33,FALSE)," ")</f>
        <v>885</v>
      </c>
      <c r="AA448" s="64"/>
      <c r="AB448" s="69"/>
      <c r="AC448" s="69"/>
      <c r="AD448" s="69"/>
      <c r="AE448" s="69"/>
      <c r="AF448" s="69"/>
    </row>
    <row r="449" ht="21.25" customHeight="1">
      <c r="A449" s="29"/>
      <c r="B449" t="s" s="77">
        <f>_xlfn.IFERROR(VLOOKUP($A449,'The List'!$B1:$AS730,3,FALSE)," ")</f>
        <v>885</v>
      </c>
      <c r="C449" t="s" s="79">
        <f>_xlfn.IFERROR(VLOOKUP($A449,'The List'!$B1:$AS730,4,FALSE)," ")</f>
        <v>885</v>
      </c>
      <c r="D449" t="s" s="42">
        <f>_xlfn.IFERROR(VLOOKUP($A449,'The List'!$B1:$AS730,5,FALSE)," ")</f>
        <v>885</v>
      </c>
      <c r="E449" t="s" s="42">
        <f>_xlfn.IFERROR(VLOOKUP($A449,'The List'!$B1:$AS730,6,FALSE)," ")</f>
        <v>885</v>
      </c>
      <c r="F449" t="s" s="60">
        <f>_xlfn.IFERROR(VLOOKUP($A449,'The List'!$B1:$AS730,8,FALSE)," ")</f>
        <v>885</v>
      </c>
      <c r="G449" t="s" s="60">
        <f>_xlfn.IFERROR(VLOOKUP($A449,'The List'!$B1:$AS730,10,FALSE)," ")</f>
        <v>885</v>
      </c>
      <c r="H449" s="46"/>
      <c r="I449" t="s" s="61">
        <f>_xlfn.IFERROR(VLOOKUP($A449,'The List'!$B1:$AS730,16,FALSE)," ")</f>
        <v>885</v>
      </c>
      <c r="J449" t="s" s="61">
        <f>_xlfn.IFERROR(VLOOKUP($A449,'The List'!$B1:$AS730,17,FALSE)," ")</f>
        <v>885</v>
      </c>
      <c r="K449" t="s" s="61">
        <f>_xlfn.IFERROR(VLOOKUP($A449,'The List'!$B1:$AS730,18,FALSE)," ")</f>
        <v>885</v>
      </c>
      <c r="L449" t="s" s="61">
        <f>_xlfn.IFERROR(VLOOKUP($A449,'The List'!$B1:$AS730,19,FALSE)," ")</f>
        <v>885</v>
      </c>
      <c r="M449" t="s" s="61">
        <f>_xlfn.IFERROR(VLOOKUP($A449,'The List'!$B1:$AS730,20,FALSE)," ")</f>
        <v>885</v>
      </c>
      <c r="N449" t="s" s="61">
        <f>_xlfn.IFERROR(VLOOKUP($A449,'The List'!$B1:$AS730,21,FALSE)," ")</f>
        <v>885</v>
      </c>
      <c r="O449" t="s" s="61">
        <f>_xlfn.IFERROR(VLOOKUP($A449,'The List'!$B1:$AS730,22,FALSE)," ")</f>
        <v>885</v>
      </c>
      <c r="P449" t="s" s="61">
        <f>_xlfn.IFERROR(VLOOKUP($A449,'The List'!$B1:$AS730,23,FALSE)," ")</f>
        <v>885</v>
      </c>
      <c r="Q449" t="s" s="61">
        <f>_xlfn.IFERROR(VLOOKUP($A449,'The List'!$B1:$AS730,24,FALSE)," ")</f>
        <v>885</v>
      </c>
      <c r="R449" t="s" s="61">
        <f>_xlfn.IFERROR(VLOOKUP($A449,'The List'!$B1:$AS730,25,FALSE)," ")</f>
        <v>885</v>
      </c>
      <c r="S449" t="s" s="61">
        <f>_xlfn.IFERROR(VLOOKUP($A449,'The List'!$B1:$AS730,26,FALSE)," ")</f>
        <v>885</v>
      </c>
      <c r="T449" t="s" s="61">
        <f>_xlfn.IFERROR(VLOOKUP($A449,'The List'!$B1:$AS730,27,FALSE)," ")</f>
        <v>885</v>
      </c>
      <c r="U449" t="s" s="61">
        <f>_xlfn.IFERROR(VLOOKUP($A449,'The List'!$B1:$AS730,28,FALSE)," ")</f>
        <v>885</v>
      </c>
      <c r="V449" t="s" s="61">
        <f>_xlfn.IFERROR(VLOOKUP($A449,'The List'!$B1:$AS730,29,FALSE)," ")</f>
        <v>885</v>
      </c>
      <c r="W449" t="s" s="61">
        <f>_xlfn.IFERROR(VLOOKUP($A449,'The List'!$B1:$AS730,30,FALSE)," ")</f>
        <v>885</v>
      </c>
      <c r="X449" t="s" s="61">
        <f>_xlfn.IFERROR(VLOOKUP($A449,'The List'!$B1:$AS730,31,FALSE)," ")</f>
        <v>885</v>
      </c>
      <c r="Y449" t="s" s="61">
        <f>_xlfn.IFERROR(VLOOKUP($A449,'The List'!$B1:$AS730,32,FALSE)," ")</f>
        <v>885</v>
      </c>
      <c r="Z449" t="s" s="61">
        <f>_xlfn.IFERROR(VLOOKUP($A449,'The List'!$B1:$AS730,33,FALSE)," ")</f>
        <v>885</v>
      </c>
      <c r="AA449" s="64"/>
      <c r="AB449" s="69"/>
      <c r="AC449" s="69"/>
      <c r="AD449" s="69"/>
      <c r="AE449" s="69"/>
      <c r="AF449" s="69"/>
    </row>
    <row r="450" ht="21.25" customHeight="1">
      <c r="A450" s="29"/>
      <c r="B450" t="s" s="77">
        <f>_xlfn.IFERROR(VLOOKUP($A450,'The List'!$B1:$AS730,3,FALSE)," ")</f>
        <v>885</v>
      </c>
      <c r="C450" t="s" s="79">
        <f>_xlfn.IFERROR(VLOOKUP($A450,'The List'!$B1:$AS730,4,FALSE)," ")</f>
        <v>885</v>
      </c>
      <c r="D450" t="s" s="42">
        <f>_xlfn.IFERROR(VLOOKUP($A450,'The List'!$B1:$AS730,5,FALSE)," ")</f>
        <v>885</v>
      </c>
      <c r="E450" t="s" s="42">
        <f>_xlfn.IFERROR(VLOOKUP($A450,'The List'!$B1:$AS730,6,FALSE)," ")</f>
        <v>885</v>
      </c>
      <c r="F450" t="s" s="60">
        <f>_xlfn.IFERROR(VLOOKUP($A450,'The List'!$B1:$AS730,8,FALSE)," ")</f>
        <v>885</v>
      </c>
      <c r="G450" t="s" s="60">
        <f>_xlfn.IFERROR(VLOOKUP($A450,'The List'!$B1:$AS730,10,FALSE)," ")</f>
        <v>885</v>
      </c>
      <c r="H450" s="46"/>
      <c r="I450" t="s" s="61">
        <f>_xlfn.IFERROR(VLOOKUP($A450,'The List'!$B1:$AS730,16,FALSE)," ")</f>
        <v>885</v>
      </c>
      <c r="J450" t="s" s="61">
        <f>_xlfn.IFERROR(VLOOKUP($A450,'The List'!$B1:$AS730,17,FALSE)," ")</f>
        <v>885</v>
      </c>
      <c r="K450" t="s" s="61">
        <f>_xlfn.IFERROR(VLOOKUP($A450,'The List'!$B1:$AS730,18,FALSE)," ")</f>
        <v>885</v>
      </c>
      <c r="L450" t="s" s="61">
        <f>_xlfn.IFERROR(VLOOKUP($A450,'The List'!$B1:$AS730,19,FALSE)," ")</f>
        <v>885</v>
      </c>
      <c r="M450" t="s" s="61">
        <f>_xlfn.IFERROR(VLOOKUP($A450,'The List'!$B1:$AS730,20,FALSE)," ")</f>
        <v>885</v>
      </c>
      <c r="N450" t="s" s="61">
        <f>_xlfn.IFERROR(VLOOKUP($A450,'The List'!$B1:$AS730,21,FALSE)," ")</f>
        <v>885</v>
      </c>
      <c r="O450" t="s" s="61">
        <f>_xlfn.IFERROR(VLOOKUP($A450,'The List'!$B1:$AS730,22,FALSE)," ")</f>
        <v>885</v>
      </c>
      <c r="P450" t="s" s="61">
        <f>_xlfn.IFERROR(VLOOKUP($A450,'The List'!$B1:$AS730,23,FALSE)," ")</f>
        <v>885</v>
      </c>
      <c r="Q450" t="s" s="61">
        <f>_xlfn.IFERROR(VLOOKUP($A450,'The List'!$B1:$AS730,24,FALSE)," ")</f>
        <v>885</v>
      </c>
      <c r="R450" t="s" s="61">
        <f>_xlfn.IFERROR(VLOOKUP($A450,'The List'!$B1:$AS730,25,FALSE)," ")</f>
        <v>885</v>
      </c>
      <c r="S450" t="s" s="61">
        <f>_xlfn.IFERROR(VLOOKUP($A450,'The List'!$B1:$AS730,26,FALSE)," ")</f>
        <v>885</v>
      </c>
      <c r="T450" t="s" s="61">
        <f>_xlfn.IFERROR(VLOOKUP($A450,'The List'!$B1:$AS730,27,FALSE)," ")</f>
        <v>885</v>
      </c>
      <c r="U450" t="s" s="61">
        <f>_xlfn.IFERROR(VLOOKUP($A450,'The List'!$B1:$AS730,28,FALSE)," ")</f>
        <v>885</v>
      </c>
      <c r="V450" t="s" s="61">
        <f>_xlfn.IFERROR(VLOOKUP($A450,'The List'!$B1:$AS730,29,FALSE)," ")</f>
        <v>885</v>
      </c>
      <c r="W450" t="s" s="61">
        <f>_xlfn.IFERROR(VLOOKUP($A450,'The List'!$B1:$AS730,30,FALSE)," ")</f>
        <v>885</v>
      </c>
      <c r="X450" t="s" s="61">
        <f>_xlfn.IFERROR(VLOOKUP($A450,'The List'!$B1:$AS730,31,FALSE)," ")</f>
        <v>885</v>
      </c>
      <c r="Y450" t="s" s="61">
        <f>_xlfn.IFERROR(VLOOKUP($A450,'The List'!$B1:$AS730,32,FALSE)," ")</f>
        <v>885</v>
      </c>
      <c r="Z450" t="s" s="61">
        <f>_xlfn.IFERROR(VLOOKUP($A450,'The List'!$B1:$AS730,33,FALSE)," ")</f>
        <v>885</v>
      </c>
      <c r="AA450" s="64"/>
      <c r="AB450" s="69"/>
      <c r="AC450" s="69"/>
      <c r="AD450" s="69"/>
      <c r="AE450" s="69"/>
      <c r="AF450" s="69"/>
    </row>
    <row r="451" ht="21.25" customHeight="1">
      <c r="A451" s="29"/>
      <c r="B451" t="s" s="77">
        <f>_xlfn.IFERROR(VLOOKUP($A451,'The List'!$B1:$AS730,3,FALSE)," ")</f>
        <v>885</v>
      </c>
      <c r="C451" t="s" s="79">
        <f>_xlfn.IFERROR(VLOOKUP($A451,'The List'!$B1:$AS730,4,FALSE)," ")</f>
        <v>885</v>
      </c>
      <c r="D451" t="s" s="42">
        <f>_xlfn.IFERROR(VLOOKUP($A451,'The List'!$B1:$AS730,5,FALSE)," ")</f>
        <v>885</v>
      </c>
      <c r="E451" t="s" s="42">
        <f>_xlfn.IFERROR(VLOOKUP($A451,'The List'!$B1:$AS730,6,FALSE)," ")</f>
        <v>885</v>
      </c>
      <c r="F451" t="s" s="60">
        <f>_xlfn.IFERROR(VLOOKUP($A451,'The List'!$B1:$AS730,8,FALSE)," ")</f>
        <v>885</v>
      </c>
      <c r="G451" t="s" s="60">
        <f>_xlfn.IFERROR(VLOOKUP($A451,'The List'!$B1:$AS730,10,FALSE)," ")</f>
        <v>885</v>
      </c>
      <c r="H451" s="46"/>
      <c r="I451" t="s" s="61">
        <f>_xlfn.IFERROR(VLOOKUP($A451,'The List'!$B1:$AS730,16,FALSE)," ")</f>
        <v>885</v>
      </c>
      <c r="J451" t="s" s="61">
        <f>_xlfn.IFERROR(VLOOKUP($A451,'The List'!$B1:$AS730,17,FALSE)," ")</f>
        <v>885</v>
      </c>
      <c r="K451" t="s" s="61">
        <f>_xlfn.IFERROR(VLOOKUP($A451,'The List'!$B1:$AS730,18,FALSE)," ")</f>
        <v>885</v>
      </c>
      <c r="L451" t="s" s="61">
        <f>_xlfn.IFERROR(VLOOKUP($A451,'The List'!$B1:$AS730,19,FALSE)," ")</f>
        <v>885</v>
      </c>
      <c r="M451" t="s" s="61">
        <f>_xlfn.IFERROR(VLOOKUP($A451,'The List'!$B1:$AS730,20,FALSE)," ")</f>
        <v>885</v>
      </c>
      <c r="N451" t="s" s="61">
        <f>_xlfn.IFERROR(VLOOKUP($A451,'The List'!$B1:$AS730,21,FALSE)," ")</f>
        <v>885</v>
      </c>
      <c r="O451" t="s" s="61">
        <f>_xlfn.IFERROR(VLOOKUP($A451,'The List'!$B1:$AS730,22,FALSE)," ")</f>
        <v>885</v>
      </c>
      <c r="P451" t="s" s="61">
        <f>_xlfn.IFERROR(VLOOKUP($A451,'The List'!$B1:$AS730,23,FALSE)," ")</f>
        <v>885</v>
      </c>
      <c r="Q451" t="s" s="61">
        <f>_xlfn.IFERROR(VLOOKUP($A451,'The List'!$B1:$AS730,24,FALSE)," ")</f>
        <v>885</v>
      </c>
      <c r="R451" t="s" s="61">
        <f>_xlfn.IFERROR(VLOOKUP($A451,'The List'!$B1:$AS730,25,FALSE)," ")</f>
        <v>885</v>
      </c>
      <c r="S451" t="s" s="61">
        <f>_xlfn.IFERROR(VLOOKUP($A451,'The List'!$B1:$AS730,26,FALSE)," ")</f>
        <v>885</v>
      </c>
      <c r="T451" t="s" s="61">
        <f>_xlfn.IFERROR(VLOOKUP($A451,'The List'!$B1:$AS730,27,FALSE)," ")</f>
        <v>885</v>
      </c>
      <c r="U451" t="s" s="61">
        <f>_xlfn.IFERROR(VLOOKUP($A451,'The List'!$B1:$AS730,28,FALSE)," ")</f>
        <v>885</v>
      </c>
      <c r="V451" t="s" s="61">
        <f>_xlfn.IFERROR(VLOOKUP($A451,'The List'!$B1:$AS730,29,FALSE)," ")</f>
        <v>885</v>
      </c>
      <c r="W451" t="s" s="61">
        <f>_xlfn.IFERROR(VLOOKUP($A451,'The List'!$B1:$AS730,30,FALSE)," ")</f>
        <v>885</v>
      </c>
      <c r="X451" t="s" s="61">
        <f>_xlfn.IFERROR(VLOOKUP($A451,'The List'!$B1:$AS730,31,FALSE)," ")</f>
        <v>885</v>
      </c>
      <c r="Y451" t="s" s="61">
        <f>_xlfn.IFERROR(VLOOKUP($A451,'The List'!$B1:$AS730,32,FALSE)," ")</f>
        <v>885</v>
      </c>
      <c r="Z451" t="s" s="61">
        <f>_xlfn.IFERROR(VLOOKUP($A451,'The List'!$B1:$AS730,33,FALSE)," ")</f>
        <v>885</v>
      </c>
      <c r="AA451" s="64"/>
      <c r="AB451" s="69"/>
      <c r="AC451" s="69"/>
      <c r="AD451" s="69"/>
      <c r="AE451" s="69"/>
      <c r="AF451" s="69"/>
    </row>
    <row r="452" ht="21.25" customHeight="1">
      <c r="A452" s="29"/>
      <c r="B452" t="s" s="77">
        <f>_xlfn.IFERROR(VLOOKUP($A452,'The List'!$B1:$AS730,3,FALSE)," ")</f>
        <v>885</v>
      </c>
      <c r="C452" t="s" s="79">
        <f>_xlfn.IFERROR(VLOOKUP($A452,'The List'!$B1:$AS730,4,FALSE)," ")</f>
        <v>885</v>
      </c>
      <c r="D452" t="s" s="42">
        <f>_xlfn.IFERROR(VLOOKUP($A452,'The List'!$B1:$AS730,5,FALSE)," ")</f>
        <v>885</v>
      </c>
      <c r="E452" t="s" s="42">
        <f>_xlfn.IFERROR(VLOOKUP($A452,'The List'!$B1:$AS730,6,FALSE)," ")</f>
        <v>885</v>
      </c>
      <c r="F452" t="s" s="60">
        <f>_xlfn.IFERROR(VLOOKUP($A452,'The List'!$B1:$AS730,8,FALSE)," ")</f>
        <v>885</v>
      </c>
      <c r="G452" t="s" s="60">
        <f>_xlfn.IFERROR(VLOOKUP($A452,'The List'!$B1:$AS730,10,FALSE)," ")</f>
        <v>885</v>
      </c>
      <c r="H452" s="46"/>
      <c r="I452" t="s" s="61">
        <f>_xlfn.IFERROR(VLOOKUP($A452,'The List'!$B1:$AS730,16,FALSE)," ")</f>
        <v>885</v>
      </c>
      <c r="J452" t="s" s="61">
        <f>_xlfn.IFERROR(VLOOKUP($A452,'The List'!$B1:$AS730,17,FALSE)," ")</f>
        <v>885</v>
      </c>
      <c r="K452" t="s" s="61">
        <f>_xlfn.IFERROR(VLOOKUP($A452,'The List'!$B1:$AS730,18,FALSE)," ")</f>
        <v>885</v>
      </c>
      <c r="L452" t="s" s="61">
        <f>_xlfn.IFERROR(VLOOKUP($A452,'The List'!$B1:$AS730,19,FALSE)," ")</f>
        <v>885</v>
      </c>
      <c r="M452" t="s" s="61">
        <f>_xlfn.IFERROR(VLOOKUP($A452,'The List'!$B1:$AS730,20,FALSE)," ")</f>
        <v>885</v>
      </c>
      <c r="N452" t="s" s="61">
        <f>_xlfn.IFERROR(VLOOKUP($A452,'The List'!$B1:$AS730,21,FALSE)," ")</f>
        <v>885</v>
      </c>
      <c r="O452" t="s" s="61">
        <f>_xlfn.IFERROR(VLOOKUP($A452,'The List'!$B1:$AS730,22,FALSE)," ")</f>
        <v>885</v>
      </c>
      <c r="P452" t="s" s="61">
        <f>_xlfn.IFERROR(VLOOKUP($A452,'The List'!$B1:$AS730,23,FALSE)," ")</f>
        <v>885</v>
      </c>
      <c r="Q452" t="s" s="61">
        <f>_xlfn.IFERROR(VLOOKUP($A452,'The List'!$B1:$AS730,24,FALSE)," ")</f>
        <v>885</v>
      </c>
      <c r="R452" t="s" s="61">
        <f>_xlfn.IFERROR(VLOOKUP($A452,'The List'!$B1:$AS730,25,FALSE)," ")</f>
        <v>885</v>
      </c>
      <c r="S452" t="s" s="61">
        <f>_xlfn.IFERROR(VLOOKUP($A452,'The List'!$B1:$AS730,26,FALSE)," ")</f>
        <v>885</v>
      </c>
      <c r="T452" t="s" s="61">
        <f>_xlfn.IFERROR(VLOOKUP($A452,'The List'!$B1:$AS730,27,FALSE)," ")</f>
        <v>885</v>
      </c>
      <c r="U452" t="s" s="61">
        <f>_xlfn.IFERROR(VLOOKUP($A452,'The List'!$B1:$AS730,28,FALSE)," ")</f>
        <v>885</v>
      </c>
      <c r="V452" t="s" s="61">
        <f>_xlfn.IFERROR(VLOOKUP($A452,'The List'!$B1:$AS730,29,FALSE)," ")</f>
        <v>885</v>
      </c>
      <c r="W452" t="s" s="61">
        <f>_xlfn.IFERROR(VLOOKUP($A452,'The List'!$B1:$AS730,30,FALSE)," ")</f>
        <v>885</v>
      </c>
      <c r="X452" t="s" s="61">
        <f>_xlfn.IFERROR(VLOOKUP($A452,'The List'!$B1:$AS730,31,FALSE)," ")</f>
        <v>885</v>
      </c>
      <c r="Y452" t="s" s="61">
        <f>_xlfn.IFERROR(VLOOKUP($A452,'The List'!$B1:$AS730,32,FALSE)," ")</f>
        <v>885</v>
      </c>
      <c r="Z452" t="s" s="61">
        <f>_xlfn.IFERROR(VLOOKUP($A452,'The List'!$B1:$AS730,33,FALSE)," ")</f>
        <v>885</v>
      </c>
      <c r="AA452" s="64"/>
      <c r="AB452" s="69"/>
      <c r="AC452" s="69"/>
      <c r="AD452" s="69"/>
      <c r="AE452" s="69"/>
      <c r="AF452" s="69"/>
    </row>
    <row r="453" ht="21.25" customHeight="1">
      <c r="A453" s="29"/>
      <c r="B453" t="s" s="77">
        <f>_xlfn.IFERROR(VLOOKUP($A453,'The List'!$B1:$AS730,3,FALSE)," ")</f>
        <v>885</v>
      </c>
      <c r="C453" t="s" s="79">
        <f>_xlfn.IFERROR(VLOOKUP($A453,'The List'!$B1:$AS730,4,FALSE)," ")</f>
        <v>885</v>
      </c>
      <c r="D453" t="s" s="42">
        <f>_xlfn.IFERROR(VLOOKUP($A453,'The List'!$B1:$AS730,5,FALSE)," ")</f>
        <v>885</v>
      </c>
      <c r="E453" t="s" s="42">
        <f>_xlfn.IFERROR(VLOOKUP($A453,'The List'!$B1:$AS730,6,FALSE)," ")</f>
        <v>885</v>
      </c>
      <c r="F453" t="s" s="60">
        <f>_xlfn.IFERROR(VLOOKUP($A453,'The List'!$B1:$AS730,8,FALSE)," ")</f>
        <v>885</v>
      </c>
      <c r="G453" t="s" s="60">
        <f>_xlfn.IFERROR(VLOOKUP($A453,'The List'!$B1:$AS730,10,FALSE)," ")</f>
        <v>885</v>
      </c>
      <c r="H453" s="46"/>
      <c r="I453" t="s" s="61">
        <f>_xlfn.IFERROR(VLOOKUP($A453,'The List'!$B1:$AS730,16,FALSE)," ")</f>
        <v>885</v>
      </c>
      <c r="J453" t="s" s="61">
        <f>_xlfn.IFERROR(VLOOKUP($A453,'The List'!$B1:$AS730,17,FALSE)," ")</f>
        <v>885</v>
      </c>
      <c r="K453" t="s" s="61">
        <f>_xlfn.IFERROR(VLOOKUP($A453,'The List'!$B1:$AS730,18,FALSE)," ")</f>
        <v>885</v>
      </c>
      <c r="L453" t="s" s="61">
        <f>_xlfn.IFERROR(VLOOKUP($A453,'The List'!$B1:$AS730,19,FALSE)," ")</f>
        <v>885</v>
      </c>
      <c r="M453" t="s" s="61">
        <f>_xlfn.IFERROR(VLOOKUP($A453,'The List'!$B1:$AS730,20,FALSE)," ")</f>
        <v>885</v>
      </c>
      <c r="N453" t="s" s="61">
        <f>_xlfn.IFERROR(VLOOKUP($A453,'The List'!$B1:$AS730,21,FALSE)," ")</f>
        <v>885</v>
      </c>
      <c r="O453" t="s" s="61">
        <f>_xlfn.IFERROR(VLOOKUP($A453,'The List'!$B1:$AS730,22,FALSE)," ")</f>
        <v>885</v>
      </c>
      <c r="P453" t="s" s="61">
        <f>_xlfn.IFERROR(VLOOKUP($A453,'The List'!$B1:$AS730,23,FALSE)," ")</f>
        <v>885</v>
      </c>
      <c r="Q453" t="s" s="61">
        <f>_xlfn.IFERROR(VLOOKUP($A453,'The List'!$B1:$AS730,24,FALSE)," ")</f>
        <v>885</v>
      </c>
      <c r="R453" t="s" s="61">
        <f>_xlfn.IFERROR(VLOOKUP($A453,'The List'!$B1:$AS730,25,FALSE)," ")</f>
        <v>885</v>
      </c>
      <c r="S453" t="s" s="61">
        <f>_xlfn.IFERROR(VLOOKUP($A453,'The List'!$B1:$AS730,26,FALSE)," ")</f>
        <v>885</v>
      </c>
      <c r="T453" t="s" s="61">
        <f>_xlfn.IFERROR(VLOOKUP($A453,'The List'!$B1:$AS730,27,FALSE)," ")</f>
        <v>885</v>
      </c>
      <c r="U453" t="s" s="61">
        <f>_xlfn.IFERROR(VLOOKUP($A453,'The List'!$B1:$AS730,28,FALSE)," ")</f>
        <v>885</v>
      </c>
      <c r="V453" t="s" s="61">
        <f>_xlfn.IFERROR(VLOOKUP($A453,'The List'!$B1:$AS730,29,FALSE)," ")</f>
        <v>885</v>
      </c>
      <c r="W453" t="s" s="61">
        <f>_xlfn.IFERROR(VLOOKUP($A453,'The List'!$B1:$AS730,30,FALSE)," ")</f>
        <v>885</v>
      </c>
      <c r="X453" t="s" s="61">
        <f>_xlfn.IFERROR(VLOOKUP($A453,'The List'!$B1:$AS730,31,FALSE)," ")</f>
        <v>885</v>
      </c>
      <c r="Y453" t="s" s="61">
        <f>_xlfn.IFERROR(VLOOKUP($A453,'The List'!$B1:$AS730,32,FALSE)," ")</f>
        <v>885</v>
      </c>
      <c r="Z453" t="s" s="61">
        <f>_xlfn.IFERROR(VLOOKUP($A453,'The List'!$B1:$AS730,33,FALSE)," ")</f>
        <v>885</v>
      </c>
      <c r="AA453" s="64"/>
      <c r="AB453" s="69"/>
      <c r="AC453" s="69"/>
      <c r="AD453" s="69"/>
      <c r="AE453" s="69"/>
      <c r="AF453" s="69"/>
    </row>
    <row r="454" ht="21.25" customHeight="1">
      <c r="A454" s="29"/>
      <c r="B454" t="s" s="77">
        <f>_xlfn.IFERROR(VLOOKUP($A454,'The List'!$B1:$AS730,3,FALSE)," ")</f>
        <v>885</v>
      </c>
      <c r="C454" t="s" s="79">
        <f>_xlfn.IFERROR(VLOOKUP($A454,'The List'!$B1:$AS730,4,FALSE)," ")</f>
        <v>885</v>
      </c>
      <c r="D454" t="s" s="42">
        <f>_xlfn.IFERROR(VLOOKUP($A454,'The List'!$B1:$AS730,5,FALSE)," ")</f>
        <v>885</v>
      </c>
      <c r="E454" t="s" s="42">
        <f>_xlfn.IFERROR(VLOOKUP($A454,'The List'!$B1:$AS730,6,FALSE)," ")</f>
        <v>885</v>
      </c>
      <c r="F454" t="s" s="60">
        <f>_xlfn.IFERROR(VLOOKUP($A454,'The List'!$B1:$AS730,8,FALSE)," ")</f>
        <v>885</v>
      </c>
      <c r="G454" t="s" s="60">
        <f>_xlfn.IFERROR(VLOOKUP($A454,'The List'!$B1:$AS730,10,FALSE)," ")</f>
        <v>885</v>
      </c>
      <c r="H454" s="46"/>
      <c r="I454" t="s" s="61">
        <f>_xlfn.IFERROR(VLOOKUP($A454,'The List'!$B1:$AS730,16,FALSE)," ")</f>
        <v>885</v>
      </c>
      <c r="J454" t="s" s="61">
        <f>_xlfn.IFERROR(VLOOKUP($A454,'The List'!$B1:$AS730,17,FALSE)," ")</f>
        <v>885</v>
      </c>
      <c r="K454" t="s" s="61">
        <f>_xlfn.IFERROR(VLOOKUP($A454,'The List'!$B1:$AS730,18,FALSE)," ")</f>
        <v>885</v>
      </c>
      <c r="L454" t="s" s="61">
        <f>_xlfn.IFERROR(VLOOKUP($A454,'The List'!$B1:$AS730,19,FALSE)," ")</f>
        <v>885</v>
      </c>
      <c r="M454" t="s" s="61">
        <f>_xlfn.IFERROR(VLOOKUP($A454,'The List'!$B1:$AS730,20,FALSE)," ")</f>
        <v>885</v>
      </c>
      <c r="N454" t="s" s="61">
        <f>_xlfn.IFERROR(VLOOKUP($A454,'The List'!$B1:$AS730,21,FALSE)," ")</f>
        <v>885</v>
      </c>
      <c r="O454" t="s" s="61">
        <f>_xlfn.IFERROR(VLOOKUP($A454,'The List'!$B1:$AS730,22,FALSE)," ")</f>
        <v>885</v>
      </c>
      <c r="P454" t="s" s="61">
        <f>_xlfn.IFERROR(VLOOKUP($A454,'The List'!$B1:$AS730,23,FALSE)," ")</f>
        <v>885</v>
      </c>
      <c r="Q454" t="s" s="61">
        <f>_xlfn.IFERROR(VLOOKUP($A454,'The List'!$B1:$AS730,24,FALSE)," ")</f>
        <v>885</v>
      </c>
      <c r="R454" t="s" s="61">
        <f>_xlfn.IFERROR(VLOOKUP($A454,'The List'!$B1:$AS730,25,FALSE)," ")</f>
        <v>885</v>
      </c>
      <c r="S454" t="s" s="61">
        <f>_xlfn.IFERROR(VLOOKUP($A454,'The List'!$B1:$AS730,26,FALSE)," ")</f>
        <v>885</v>
      </c>
      <c r="T454" t="s" s="61">
        <f>_xlfn.IFERROR(VLOOKUP($A454,'The List'!$B1:$AS730,27,FALSE)," ")</f>
        <v>885</v>
      </c>
      <c r="U454" t="s" s="61">
        <f>_xlfn.IFERROR(VLOOKUP($A454,'The List'!$B1:$AS730,28,FALSE)," ")</f>
        <v>885</v>
      </c>
      <c r="V454" t="s" s="61">
        <f>_xlfn.IFERROR(VLOOKUP($A454,'The List'!$B1:$AS730,29,FALSE)," ")</f>
        <v>885</v>
      </c>
      <c r="W454" t="s" s="61">
        <f>_xlfn.IFERROR(VLOOKUP($A454,'The List'!$B1:$AS730,30,FALSE)," ")</f>
        <v>885</v>
      </c>
      <c r="X454" t="s" s="61">
        <f>_xlfn.IFERROR(VLOOKUP($A454,'The List'!$B1:$AS730,31,FALSE)," ")</f>
        <v>885</v>
      </c>
      <c r="Y454" t="s" s="61">
        <f>_xlfn.IFERROR(VLOOKUP($A454,'The List'!$B1:$AS730,32,FALSE)," ")</f>
        <v>885</v>
      </c>
      <c r="Z454" t="s" s="61">
        <f>_xlfn.IFERROR(VLOOKUP($A454,'The List'!$B1:$AS730,33,FALSE)," ")</f>
        <v>885</v>
      </c>
      <c r="AA454" s="64"/>
      <c r="AB454" s="69"/>
      <c r="AC454" s="69"/>
      <c r="AD454" s="69"/>
      <c r="AE454" s="69"/>
      <c r="AF454" s="69"/>
    </row>
    <row r="455" ht="21.25" customHeight="1">
      <c r="A455" s="29"/>
      <c r="B455" t="s" s="77">
        <f>_xlfn.IFERROR(VLOOKUP($A455,'The List'!$B1:$AS730,3,FALSE)," ")</f>
        <v>885</v>
      </c>
      <c r="C455" t="s" s="79">
        <f>_xlfn.IFERROR(VLOOKUP($A455,'The List'!$B1:$AS730,4,FALSE)," ")</f>
        <v>885</v>
      </c>
      <c r="D455" t="s" s="42">
        <f>_xlfn.IFERROR(VLOOKUP($A455,'The List'!$B1:$AS730,5,FALSE)," ")</f>
        <v>885</v>
      </c>
      <c r="E455" t="s" s="42">
        <f>_xlfn.IFERROR(VLOOKUP($A455,'The List'!$B1:$AS730,6,FALSE)," ")</f>
        <v>885</v>
      </c>
      <c r="F455" t="s" s="60">
        <f>_xlfn.IFERROR(VLOOKUP($A455,'The List'!$B1:$AS730,8,FALSE)," ")</f>
        <v>885</v>
      </c>
      <c r="G455" t="s" s="60">
        <f>_xlfn.IFERROR(VLOOKUP($A455,'The List'!$B1:$AS730,10,FALSE)," ")</f>
        <v>885</v>
      </c>
      <c r="H455" s="46"/>
      <c r="I455" t="s" s="61">
        <f>_xlfn.IFERROR(VLOOKUP($A455,'The List'!$B1:$AS730,16,FALSE)," ")</f>
        <v>885</v>
      </c>
      <c r="J455" t="s" s="61">
        <f>_xlfn.IFERROR(VLOOKUP($A455,'The List'!$B1:$AS730,17,FALSE)," ")</f>
        <v>885</v>
      </c>
      <c r="K455" t="s" s="61">
        <f>_xlfn.IFERROR(VLOOKUP($A455,'The List'!$B1:$AS730,18,FALSE)," ")</f>
        <v>885</v>
      </c>
      <c r="L455" t="s" s="61">
        <f>_xlfn.IFERROR(VLOOKUP($A455,'The List'!$B1:$AS730,19,FALSE)," ")</f>
        <v>885</v>
      </c>
      <c r="M455" t="s" s="61">
        <f>_xlfn.IFERROR(VLOOKUP($A455,'The List'!$B1:$AS730,20,FALSE)," ")</f>
        <v>885</v>
      </c>
      <c r="N455" t="s" s="61">
        <f>_xlfn.IFERROR(VLOOKUP($A455,'The List'!$B1:$AS730,21,FALSE)," ")</f>
        <v>885</v>
      </c>
      <c r="O455" t="s" s="61">
        <f>_xlfn.IFERROR(VLOOKUP($A455,'The List'!$B1:$AS730,22,FALSE)," ")</f>
        <v>885</v>
      </c>
      <c r="P455" t="s" s="61">
        <f>_xlfn.IFERROR(VLOOKUP($A455,'The List'!$B1:$AS730,23,FALSE)," ")</f>
        <v>885</v>
      </c>
      <c r="Q455" t="s" s="61">
        <f>_xlfn.IFERROR(VLOOKUP($A455,'The List'!$B1:$AS730,24,FALSE)," ")</f>
        <v>885</v>
      </c>
      <c r="R455" t="s" s="61">
        <f>_xlfn.IFERROR(VLOOKUP($A455,'The List'!$B1:$AS730,25,FALSE)," ")</f>
        <v>885</v>
      </c>
      <c r="S455" t="s" s="61">
        <f>_xlfn.IFERROR(VLOOKUP($A455,'The List'!$B1:$AS730,26,FALSE)," ")</f>
        <v>885</v>
      </c>
      <c r="T455" t="s" s="61">
        <f>_xlfn.IFERROR(VLOOKUP($A455,'The List'!$B1:$AS730,27,FALSE)," ")</f>
        <v>885</v>
      </c>
      <c r="U455" t="s" s="61">
        <f>_xlfn.IFERROR(VLOOKUP($A455,'The List'!$B1:$AS730,28,FALSE)," ")</f>
        <v>885</v>
      </c>
      <c r="V455" t="s" s="61">
        <f>_xlfn.IFERROR(VLOOKUP($A455,'The List'!$B1:$AS730,29,FALSE)," ")</f>
        <v>885</v>
      </c>
      <c r="W455" t="s" s="61">
        <f>_xlfn.IFERROR(VLOOKUP($A455,'The List'!$B1:$AS730,30,FALSE)," ")</f>
        <v>885</v>
      </c>
      <c r="X455" t="s" s="61">
        <f>_xlfn.IFERROR(VLOOKUP($A455,'The List'!$B1:$AS730,31,FALSE)," ")</f>
        <v>885</v>
      </c>
      <c r="Y455" t="s" s="61">
        <f>_xlfn.IFERROR(VLOOKUP($A455,'The List'!$B1:$AS730,32,FALSE)," ")</f>
        <v>885</v>
      </c>
      <c r="Z455" t="s" s="61">
        <f>_xlfn.IFERROR(VLOOKUP($A455,'The List'!$B1:$AS730,33,FALSE)," ")</f>
        <v>885</v>
      </c>
      <c r="AA455" s="64"/>
      <c r="AB455" s="69"/>
      <c r="AC455" s="69"/>
      <c r="AD455" s="69"/>
      <c r="AE455" s="69"/>
      <c r="AF455" s="69"/>
    </row>
    <row r="456" ht="21.25" customHeight="1">
      <c r="A456" s="81"/>
      <c r="B456" t="s" s="82">
        <f>_xlfn.IFERROR(VLOOKUP($A456,'The List'!$B1:$AS730,3,FALSE)," ")</f>
        <v>885</v>
      </c>
      <c r="C456" t="s" s="83">
        <f>_xlfn.IFERROR(VLOOKUP($A456,'The List'!$B1:$AS730,4,FALSE)," ")</f>
        <v>885</v>
      </c>
      <c r="D456" t="s" s="84">
        <f>_xlfn.IFERROR(VLOOKUP($A456,'The List'!$B1:$AS730,5,FALSE)," ")</f>
        <v>885</v>
      </c>
      <c r="E456" t="s" s="84">
        <f>_xlfn.IFERROR(VLOOKUP($A456,'The List'!$B1:$AS730,6,FALSE)," ")</f>
        <v>885</v>
      </c>
      <c r="F456" t="s" s="85">
        <f>_xlfn.IFERROR(VLOOKUP($A456,'The List'!$B1:$AS730,8,FALSE)," ")</f>
        <v>885</v>
      </c>
      <c r="G456" t="s" s="85">
        <f>_xlfn.IFERROR(VLOOKUP($A456,'The List'!$B1:$AS730,10,FALSE)," ")</f>
        <v>885</v>
      </c>
      <c r="H456" s="86"/>
      <c r="I456" t="s" s="87">
        <f>_xlfn.IFERROR(VLOOKUP($A456,'The List'!$B1:$AS730,16,FALSE)," ")</f>
        <v>885</v>
      </c>
      <c r="J456" t="s" s="87">
        <f>_xlfn.IFERROR(VLOOKUP($A456,'The List'!$B1:$AS730,17,FALSE)," ")</f>
        <v>885</v>
      </c>
      <c r="K456" t="s" s="87">
        <f>_xlfn.IFERROR(VLOOKUP($A456,'The List'!$B1:$AS730,18,FALSE)," ")</f>
        <v>885</v>
      </c>
      <c r="L456" t="s" s="87">
        <f>_xlfn.IFERROR(VLOOKUP($A456,'The List'!$B1:$AS730,19,FALSE)," ")</f>
        <v>885</v>
      </c>
      <c r="M456" t="s" s="87">
        <f>_xlfn.IFERROR(VLOOKUP($A456,'The List'!$B1:$AS730,20,FALSE)," ")</f>
        <v>885</v>
      </c>
      <c r="N456" t="s" s="87">
        <f>_xlfn.IFERROR(VLOOKUP($A456,'The List'!$B1:$AS730,21,FALSE)," ")</f>
        <v>885</v>
      </c>
      <c r="O456" t="s" s="87">
        <f>_xlfn.IFERROR(VLOOKUP($A456,'The List'!$B1:$AS730,22,FALSE)," ")</f>
        <v>885</v>
      </c>
      <c r="P456" t="s" s="87">
        <f>_xlfn.IFERROR(VLOOKUP($A456,'The List'!$B1:$AS730,23,FALSE)," ")</f>
        <v>885</v>
      </c>
      <c r="Q456" t="s" s="87">
        <f>_xlfn.IFERROR(VLOOKUP($A456,'The List'!$B1:$AS730,24,FALSE)," ")</f>
        <v>885</v>
      </c>
      <c r="R456" t="s" s="87">
        <f>_xlfn.IFERROR(VLOOKUP($A456,'The List'!$B1:$AS730,25,FALSE)," ")</f>
        <v>885</v>
      </c>
      <c r="S456" t="s" s="87">
        <f>_xlfn.IFERROR(VLOOKUP($A456,'The List'!$B1:$AS730,26,FALSE)," ")</f>
        <v>885</v>
      </c>
      <c r="T456" t="s" s="87">
        <f>_xlfn.IFERROR(VLOOKUP($A456,'The List'!$B1:$AS730,27,FALSE)," ")</f>
        <v>885</v>
      </c>
      <c r="U456" t="s" s="87">
        <f>_xlfn.IFERROR(VLOOKUP($A456,'The List'!$B1:$AS730,28,FALSE)," ")</f>
        <v>885</v>
      </c>
      <c r="V456" t="s" s="87">
        <f>_xlfn.IFERROR(VLOOKUP($A456,'The List'!$B1:$AS730,29,FALSE)," ")</f>
        <v>885</v>
      </c>
      <c r="W456" t="s" s="87">
        <f>_xlfn.IFERROR(VLOOKUP($A456,'The List'!$B1:$AS730,30,FALSE)," ")</f>
        <v>885</v>
      </c>
      <c r="X456" t="s" s="87">
        <f>_xlfn.IFERROR(VLOOKUP($A456,'The List'!$B1:$AS730,31,FALSE)," ")</f>
        <v>885</v>
      </c>
      <c r="Y456" t="s" s="87">
        <f>_xlfn.IFERROR(VLOOKUP($A456,'The List'!$B1:$AS730,32,FALSE)," ")</f>
        <v>885</v>
      </c>
      <c r="Z456" t="s" s="87">
        <f>_xlfn.IFERROR(VLOOKUP($A456,'The List'!$B1:$AS730,33,FALSE)," ")</f>
        <v>885</v>
      </c>
      <c r="AA456" s="64"/>
      <c r="AB456" s="69"/>
      <c r="AC456" s="69"/>
      <c r="AD456" s="69"/>
      <c r="AE456" s="69"/>
      <c r="AF456" s="69"/>
    </row>
    <row r="457" ht="21.25" customHeight="1">
      <c r="A457" s="88"/>
      <c r="B457" s="89"/>
      <c r="C457" s="90"/>
      <c r="D457" s="91"/>
      <c r="E457" t="s" s="127">
        <f>_xlfn.IFERROR(AVERAGE(E437:E456)," ")</f>
        <v>885</v>
      </c>
      <c r="F457" s="93">
        <f>SUM(F437:F456)</f>
        <v>0</v>
      </c>
      <c r="G457" s="93">
        <f>SUM(G437:G456)</f>
        <v>0</v>
      </c>
      <c r="H457" s="94"/>
      <c r="I457" s="95">
        <f>SUM(I437:I456)</f>
        <v>0</v>
      </c>
      <c r="J457" s="94">
        <f>AVERAGE(J437:J456)</f>
      </c>
      <c r="K457" s="95">
        <f>SUM(K437:K456)</f>
        <v>0</v>
      </c>
      <c r="L457" s="95">
        <f>SUM(L437:L456)</f>
        <v>0</v>
      </c>
      <c r="M457" s="95">
        <f>SUM(M437:M456)</f>
        <v>0</v>
      </c>
      <c r="N457" s="95">
        <f>SUM(N437:N456)</f>
        <v>0</v>
      </c>
      <c r="O457" s="95">
        <f>SUM(O437:O456)</f>
        <v>0</v>
      </c>
      <c r="P457" s="95">
        <f>SUM(P437:P456)</f>
        <v>0</v>
      </c>
      <c r="Q457" s="95">
        <f>SUM(Q437:Q456)</f>
        <v>0</v>
      </c>
      <c r="R457" s="95">
        <f>SUM(R437:R456)</f>
        <v>0</v>
      </c>
      <c r="S457" s="95">
        <f>SUM(S437:S456)</f>
        <v>0</v>
      </c>
      <c r="T457" s="95">
        <f>SUM(T437:T456)</f>
        <v>0</v>
      </c>
      <c r="U457" s="95">
        <f>SUM(U437:U456)</f>
        <v>0</v>
      </c>
      <c r="V457" s="95">
        <f>SUM(V437:V456)</f>
        <v>0</v>
      </c>
      <c r="W457" s="95">
        <f>SUM(W437:W456)</f>
        <v>0</v>
      </c>
      <c r="X457" s="95">
        <f>SUM(X437:X456)</f>
        <v>0</v>
      </c>
      <c r="Y457" s="95">
        <f>SUM(Y437:Y456)</f>
        <v>0</v>
      </c>
      <c r="Z457" s="96">
        <f>_xlfn.IFERROR(X457/(X457+Y457),0)</f>
        <v>0</v>
      </c>
      <c r="AA457" s="64"/>
      <c r="AB457" s="97"/>
      <c r="AC457" s="97"/>
      <c r="AD457" s="97"/>
      <c r="AE457" s="97"/>
      <c r="AF457" s="97"/>
    </row>
    <row r="458" ht="21.25" customHeight="1">
      <c r="A458" s="98"/>
      <c r="B458" s="99"/>
      <c r="C458" s="100"/>
      <c r="D458" s="11"/>
      <c r="E458" s="11"/>
      <c r="F458" s="101"/>
      <c r="G458" s="102"/>
      <c r="H458" s="103"/>
      <c r="I458" s="10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9"/>
      <c r="AC458" s="69"/>
      <c r="AD458" s="69"/>
      <c r="AE458" s="69"/>
      <c r="AF458" s="69"/>
    </row>
    <row r="459" ht="21.25" customHeight="1">
      <c r="A459" t="s" s="31">
        <v>66</v>
      </c>
      <c r="B459" t="s" s="105">
        <v>68</v>
      </c>
      <c r="C459" s="19"/>
      <c r="D459" t="s" s="105">
        <v>69</v>
      </c>
      <c r="E459" t="s" s="105">
        <v>70</v>
      </c>
      <c r="F459" t="s" s="106">
        <v>72</v>
      </c>
      <c r="G459" t="s" s="106">
        <v>74</v>
      </c>
      <c r="H459" s="107"/>
      <c r="I459" t="s" s="108">
        <v>79</v>
      </c>
      <c r="J459" t="s" s="108">
        <v>97</v>
      </c>
      <c r="K459" t="s" s="108">
        <v>98</v>
      </c>
      <c r="L459" t="s" s="108">
        <v>99</v>
      </c>
      <c r="M459" t="s" s="108">
        <v>100</v>
      </c>
      <c r="N459" t="s" s="108">
        <v>101</v>
      </c>
      <c r="O459" t="s" s="108">
        <v>102</v>
      </c>
      <c r="P459" t="s" s="108">
        <v>103</v>
      </c>
      <c r="Q459" t="s" s="108">
        <v>104</v>
      </c>
      <c r="R459" s="64"/>
      <c r="S459" s="64"/>
      <c r="T459" s="64"/>
      <c r="U459" t="s" s="105">
        <v>901</v>
      </c>
      <c r="V459" s="107"/>
      <c r="W459" s="107"/>
      <c r="X459" t="s" s="105">
        <v>902</v>
      </c>
      <c r="Y459" s="107"/>
      <c r="Z459" s="107"/>
      <c r="AA459" s="64"/>
      <c r="AB459" s="64"/>
      <c r="AC459" s="64"/>
      <c r="AD459" s="64"/>
      <c r="AE459" s="64"/>
      <c r="AF459" s="64"/>
    </row>
    <row r="460" ht="21.25" customHeight="1">
      <c r="A460" s="128"/>
      <c r="B460" t="s" s="110">
        <f>_xlfn.IFERROR(VLOOKUP($A460,'The List'!$B1:$AS730,3,FALSE)," ")</f>
        <v>885</v>
      </c>
      <c r="C460" t="s" s="129">
        <f>_xlfn.IFERROR(VLOOKUP($A460,'The List'!$B1:$AS730,4,FALSE)," ")</f>
        <v>885</v>
      </c>
      <c r="D460" t="s" s="112">
        <f>_xlfn.IFERROR(VLOOKUP($A460,'The List'!$B1:$AS730,5,FALSE)," ")</f>
        <v>885</v>
      </c>
      <c r="E460" t="s" s="112">
        <f>_xlfn.IFERROR(VLOOKUP($A460,'The List'!$B1:$AS730,6,FALSE)," ")</f>
        <v>885</v>
      </c>
      <c r="F460" t="s" s="130">
        <f>_xlfn.IFERROR(VLOOKUP($A460,'The List'!$B1:$AS730,8,FALSE)," ")</f>
        <v>885</v>
      </c>
      <c r="G460" t="s" s="130">
        <f>_xlfn.IFERROR(VLOOKUP($A460,'The List'!$B1:$AS730,10,FALSE)," ")</f>
        <v>885</v>
      </c>
      <c r="H460" s="115"/>
      <c r="I460" t="s" s="131">
        <f>_xlfn.IFERROR(VLOOKUP($A460,'The List'!$B1:$AS730,35,FALSE)," ")</f>
        <v>885</v>
      </c>
      <c r="J460" t="s" s="131">
        <f>_xlfn.IFERROR(VLOOKUP($A460,'The List'!$B1:$AS730,36,FALSE)," ")</f>
        <v>885</v>
      </c>
      <c r="K460" t="s" s="131">
        <f>_xlfn.IFERROR(VLOOKUP($A460,'The List'!$B1:$AS730,37,FALSE)," ")</f>
        <v>885</v>
      </c>
      <c r="L460" t="s" s="131">
        <f>_xlfn.IFERROR(VLOOKUP($A460,'The List'!$B1:$AS730,38,FALSE)," ")</f>
        <v>885</v>
      </c>
      <c r="M460" t="s" s="131">
        <f>_xlfn.IFERROR(VLOOKUP($A460,'The List'!$B1:$AS730,39,FALSE)," ")</f>
        <v>885</v>
      </c>
      <c r="N460" t="s" s="131">
        <f>_xlfn.IFERROR(VLOOKUP($A460,'The List'!$B1:$AS730,40,FALSE)," ")</f>
        <v>885</v>
      </c>
      <c r="O460" t="s" s="131">
        <f>_xlfn.IFERROR(VLOOKUP($A460,'The List'!$B1:$AS730,41,FALSE)," ")</f>
        <v>885</v>
      </c>
      <c r="P460" t="s" s="131">
        <f>_xlfn.IFERROR(VLOOKUP($A460,'The List'!$B1:$AS730,42,FALSE)," ")</f>
        <v>885</v>
      </c>
      <c r="Q460" t="s" s="131">
        <f>_xlfn.IFERROR(VLOOKUP($A460,'The List'!$B1:$AS730,43,FALSE)," ")</f>
        <v>885</v>
      </c>
      <c r="R460" s="64"/>
      <c r="S460" s="64"/>
      <c r="T460" t="s" s="119">
        <f>A436</f>
        <v>918</v>
      </c>
      <c r="U460" s="120">
        <f>F457+F463</f>
        <v>0</v>
      </c>
      <c r="V460" s="19"/>
      <c r="W460" s="19"/>
      <c r="X460" s="120">
        <f>G463+G457</f>
        <v>0</v>
      </c>
      <c r="Y460" s="19"/>
      <c r="Z460" s="19"/>
      <c r="AA460" s="64"/>
      <c r="AB460" s="64"/>
      <c r="AC460" s="64"/>
      <c r="AD460" s="64"/>
      <c r="AE460" s="64"/>
      <c r="AF460" s="64"/>
    </row>
    <row r="461" ht="21.25" customHeight="1">
      <c r="A461" s="29"/>
      <c r="B461" t="s" s="121">
        <f>_xlfn.IFERROR(VLOOKUP($A461,'The List'!$B1:$AS730,3,FALSE)," ")</f>
        <v>885</v>
      </c>
      <c r="C461" t="s" s="122">
        <f>_xlfn.IFERROR(VLOOKUP($A461,'The List'!$B1:$AS730,4,FALSE)," ")</f>
        <v>885</v>
      </c>
      <c r="D461" t="s" s="42">
        <f>_xlfn.IFERROR(VLOOKUP($A461,'The List'!$B1:$AS730,5,FALSE)," ")</f>
        <v>885</v>
      </c>
      <c r="E461" t="s" s="42">
        <f>_xlfn.IFERROR(VLOOKUP($A461,'The List'!$B1:$AS730,6,FALSE)," ")</f>
        <v>885</v>
      </c>
      <c r="F461" t="s" s="60">
        <f>_xlfn.IFERROR(VLOOKUP($A461,'The List'!$B1:$AS730,8,FALSE)," ")</f>
        <v>885</v>
      </c>
      <c r="G461" t="s" s="60">
        <f>_xlfn.IFERROR(VLOOKUP($A461,'The List'!$B1:$AS730,10,FALSE)," ")</f>
        <v>885</v>
      </c>
      <c r="H461" s="46"/>
      <c r="I461" t="s" s="61">
        <f>_xlfn.IFERROR(VLOOKUP($A461,'The List'!$B1:$AS730,35,FALSE)," ")</f>
        <v>885</v>
      </c>
      <c r="J461" t="s" s="61">
        <f>_xlfn.IFERROR(VLOOKUP($A461,'The List'!$B1:$AS730,36,FALSE)," ")</f>
        <v>885</v>
      </c>
      <c r="K461" t="s" s="61">
        <f>_xlfn.IFERROR(VLOOKUP($A461,'The List'!$B1:$AS730,37,FALSE)," ")</f>
        <v>885</v>
      </c>
      <c r="L461" t="s" s="61">
        <f>_xlfn.IFERROR(VLOOKUP($A461,'The List'!$B1:$AS730,38,FALSE)," ")</f>
        <v>885</v>
      </c>
      <c r="M461" t="s" s="61">
        <f>_xlfn.IFERROR(VLOOKUP($A461,'The List'!$B1:$AS730,39,FALSE)," ")</f>
        <v>885</v>
      </c>
      <c r="N461" t="s" s="61">
        <f>_xlfn.IFERROR(VLOOKUP($A461,'The List'!$B1:$AS730,40,FALSE)," ")</f>
        <v>885</v>
      </c>
      <c r="O461" t="s" s="61">
        <f>_xlfn.IFERROR(VLOOKUP($A461,'The List'!$B1:$AS730,41,FALSE)," ")</f>
        <v>885</v>
      </c>
      <c r="P461" t="s" s="61">
        <f>_xlfn.IFERROR(VLOOKUP($A461,'The List'!$B1:$AS730,42,FALSE)," ")</f>
        <v>885</v>
      </c>
      <c r="Q461" t="s" s="61">
        <f>_xlfn.IFERROR(VLOOKUP($A461,'The List'!$B1:$AS730,43,FALSE)," ")</f>
        <v>885</v>
      </c>
      <c r="R461" s="64"/>
      <c r="S461" s="64"/>
      <c r="T461" s="64"/>
      <c r="U461" s="19"/>
      <c r="V461" s="19"/>
      <c r="W461" s="19"/>
      <c r="X461" s="19"/>
      <c r="Y461" s="19"/>
      <c r="Z461" s="19"/>
      <c r="AA461" s="64"/>
      <c r="AB461" s="64"/>
      <c r="AC461" s="64"/>
      <c r="AD461" s="64"/>
      <c r="AE461" s="64"/>
      <c r="AF461" s="64"/>
    </row>
    <row r="462" ht="21.25" customHeight="1">
      <c r="A462" s="81"/>
      <c r="B462" t="s" s="123">
        <f>_xlfn.IFERROR(VLOOKUP($A462,'The List'!$B1:$AS730,3,FALSE)," ")</f>
        <v>885</v>
      </c>
      <c r="C462" t="s" s="124">
        <f>_xlfn.IFERROR(VLOOKUP($A462,'The List'!$B1:$AS730,4,FALSE)," ")</f>
        <v>885</v>
      </c>
      <c r="D462" t="s" s="84">
        <f>_xlfn.IFERROR(VLOOKUP($A462,'The List'!$B1:$AS730,5,FALSE)," ")</f>
        <v>885</v>
      </c>
      <c r="E462" t="s" s="84">
        <f>_xlfn.IFERROR(VLOOKUP($A462,'The List'!$B1:$AS730,6,FALSE)," ")</f>
        <v>885</v>
      </c>
      <c r="F462" t="s" s="85">
        <f>_xlfn.IFERROR(VLOOKUP($A462,'The List'!$B1:$AS730,8,FALSE)," ")</f>
        <v>885</v>
      </c>
      <c r="G462" t="s" s="85">
        <f>_xlfn.IFERROR(VLOOKUP($A462,'The List'!$B1:$AS730,10,FALSE)," ")</f>
        <v>885</v>
      </c>
      <c r="H462" s="86"/>
      <c r="I462" t="s" s="87">
        <f>_xlfn.IFERROR(VLOOKUP($A462,'The List'!$B1:$AS730,35,FALSE)," ")</f>
        <v>885</v>
      </c>
      <c r="J462" t="s" s="87">
        <f>_xlfn.IFERROR(VLOOKUP($A462,'The List'!$B1:$AS730,36,FALSE)," ")</f>
        <v>885</v>
      </c>
      <c r="K462" t="s" s="87">
        <f>_xlfn.IFERROR(VLOOKUP($A462,'The List'!$B1:$AS730,37,FALSE)," ")</f>
        <v>885</v>
      </c>
      <c r="L462" t="s" s="87">
        <f>_xlfn.IFERROR(VLOOKUP($A462,'The List'!$B1:$AS730,38,FALSE)," ")</f>
        <v>885</v>
      </c>
      <c r="M462" t="s" s="87">
        <f>_xlfn.IFERROR(VLOOKUP($A462,'The List'!$B1:$AS730,39,FALSE)," ")</f>
        <v>885</v>
      </c>
      <c r="N462" t="s" s="87">
        <f>_xlfn.IFERROR(VLOOKUP($A462,'The List'!$B1:$AS730,40,FALSE)," ")</f>
        <v>885</v>
      </c>
      <c r="O462" t="s" s="87">
        <f>_xlfn.IFERROR(VLOOKUP($A462,'The List'!$B1:$AS730,41,FALSE)," ")</f>
        <v>885</v>
      </c>
      <c r="P462" t="s" s="87">
        <f>_xlfn.IFERROR(VLOOKUP($A462,'The List'!$B1:$AS730,42,FALSE)," ")</f>
        <v>885</v>
      </c>
      <c r="Q462" t="s" s="87">
        <f>_xlfn.IFERROR(VLOOKUP($A462,'The List'!$B1:$AS730,43,FALSE)," ")</f>
        <v>885</v>
      </c>
      <c r="R462" s="64"/>
      <c r="S462" s="64"/>
      <c r="T462" s="64"/>
      <c r="U462" s="19"/>
      <c r="V462" s="19"/>
      <c r="W462" s="19"/>
      <c r="X462" s="19"/>
      <c r="Y462" s="19"/>
      <c r="Z462" s="19"/>
      <c r="AA462" s="64"/>
      <c r="AB462" s="64"/>
      <c r="AC462" s="64"/>
      <c r="AD462" s="64"/>
      <c r="AE462" s="64"/>
      <c r="AF462" s="64"/>
    </row>
    <row r="463" ht="21.25" customHeight="1">
      <c r="A463" s="88"/>
      <c r="B463" s="89"/>
      <c r="C463" s="90"/>
      <c r="D463" s="91"/>
      <c r="E463" t="s" s="127">
        <f>_xlfn.IFERROR(AVERAGE(E460:E462)," ")</f>
        <v>885</v>
      </c>
      <c r="F463" s="93">
        <f>SUM(F460:F462)</f>
        <v>0</v>
      </c>
      <c r="G463" s="93">
        <f>SUM(G460:G462)</f>
        <v>0</v>
      </c>
      <c r="H463" s="94"/>
      <c r="I463" s="95">
        <f>SUM(I460:I462)</f>
        <v>0</v>
      </c>
      <c r="J463" s="94">
        <f>SUM(J460:J462)</f>
        <v>0</v>
      </c>
      <c r="K463" s="95">
        <f>SUM(K460:K462)</f>
        <v>0</v>
      </c>
      <c r="L463" s="95">
        <f>SUM(L460:L462)</f>
        <v>0</v>
      </c>
      <c r="M463" s="95">
        <f>SUM(M460:M462)</f>
        <v>0</v>
      </c>
      <c r="N463" s="95">
        <f>SUM(N460:N462)</f>
        <v>0</v>
      </c>
      <c r="O463" s="95">
        <f>SUM(O460:O462)</f>
        <v>0</v>
      </c>
      <c r="P463" s="125">
        <f>1-(O463/(N463+O463))</f>
      </c>
      <c r="Q463" s="126">
        <f>O463/I463</f>
      </c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</row>
    <row r="464" ht="21.25" customHeight="1">
      <c r="A464" s="98"/>
      <c r="B464" s="99"/>
      <c r="C464" s="100"/>
      <c r="D464" s="11"/>
      <c r="E464" s="11"/>
      <c r="F464" s="101"/>
      <c r="G464" s="102"/>
      <c r="H464" s="103"/>
      <c r="I464" s="10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9"/>
      <c r="AB464" s="69"/>
      <c r="AC464" s="69"/>
      <c r="AD464" s="69"/>
      <c r="AE464" s="69"/>
      <c r="AF464" s="69"/>
    </row>
  </sheetData>
  <mergeCells count="96">
    <mergeCell ref="B1:C1"/>
    <mergeCell ref="B24:C24"/>
    <mergeCell ref="U24:W24"/>
    <mergeCell ref="U25:W27"/>
    <mergeCell ref="X24:Z24"/>
    <mergeCell ref="X25:Z27"/>
    <mergeCell ref="B30:C30"/>
    <mergeCell ref="B59:C59"/>
    <mergeCell ref="B88:C88"/>
    <mergeCell ref="B117:C117"/>
    <mergeCell ref="B146:C146"/>
    <mergeCell ref="B175:C175"/>
    <mergeCell ref="B204:C204"/>
    <mergeCell ref="B233:C233"/>
    <mergeCell ref="B262:C262"/>
    <mergeCell ref="B291:C291"/>
    <mergeCell ref="B320:C320"/>
    <mergeCell ref="B349:C349"/>
    <mergeCell ref="B378:C378"/>
    <mergeCell ref="B407:C407"/>
    <mergeCell ref="B436:C436"/>
    <mergeCell ref="B53:C53"/>
    <mergeCell ref="U53:W53"/>
    <mergeCell ref="U54:W56"/>
    <mergeCell ref="X53:Z53"/>
    <mergeCell ref="X54:Z56"/>
    <mergeCell ref="B82:C82"/>
    <mergeCell ref="U82:W82"/>
    <mergeCell ref="U83:W85"/>
    <mergeCell ref="X82:Z82"/>
    <mergeCell ref="X83:Z85"/>
    <mergeCell ref="B111:C111"/>
    <mergeCell ref="U111:W111"/>
    <mergeCell ref="U112:W114"/>
    <mergeCell ref="X111:Z111"/>
    <mergeCell ref="X112:Z114"/>
    <mergeCell ref="B140:C140"/>
    <mergeCell ref="U140:W140"/>
    <mergeCell ref="U141:W143"/>
    <mergeCell ref="X140:Z140"/>
    <mergeCell ref="X141:Z143"/>
    <mergeCell ref="B169:C169"/>
    <mergeCell ref="U169:W169"/>
    <mergeCell ref="U170:W172"/>
    <mergeCell ref="X169:Z169"/>
    <mergeCell ref="X170:Z172"/>
    <mergeCell ref="B198:C198"/>
    <mergeCell ref="U198:W198"/>
    <mergeCell ref="U199:W201"/>
    <mergeCell ref="X198:Z198"/>
    <mergeCell ref="X199:Z201"/>
    <mergeCell ref="B227:C227"/>
    <mergeCell ref="U227:W227"/>
    <mergeCell ref="U228:W230"/>
    <mergeCell ref="X227:Z227"/>
    <mergeCell ref="X228:Z230"/>
    <mergeCell ref="B256:C256"/>
    <mergeCell ref="U256:W256"/>
    <mergeCell ref="U257:W259"/>
    <mergeCell ref="X256:Z256"/>
    <mergeCell ref="X257:Z259"/>
    <mergeCell ref="B285:C285"/>
    <mergeCell ref="U285:W285"/>
    <mergeCell ref="U286:W288"/>
    <mergeCell ref="X285:Z285"/>
    <mergeCell ref="X286:Z288"/>
    <mergeCell ref="B314:C314"/>
    <mergeCell ref="U314:W314"/>
    <mergeCell ref="U315:W317"/>
    <mergeCell ref="X314:Z314"/>
    <mergeCell ref="X315:Z317"/>
    <mergeCell ref="B343:C343"/>
    <mergeCell ref="U343:W343"/>
    <mergeCell ref="U344:W346"/>
    <mergeCell ref="X343:Z343"/>
    <mergeCell ref="X344:Z346"/>
    <mergeCell ref="B372:C372"/>
    <mergeCell ref="U372:W372"/>
    <mergeCell ref="U373:W375"/>
    <mergeCell ref="X372:Z372"/>
    <mergeCell ref="X373:Z375"/>
    <mergeCell ref="B401:C401"/>
    <mergeCell ref="U401:W401"/>
    <mergeCell ref="U402:W404"/>
    <mergeCell ref="X401:Z401"/>
    <mergeCell ref="X402:Z404"/>
    <mergeCell ref="B430:C430"/>
    <mergeCell ref="U430:W430"/>
    <mergeCell ref="U431:W433"/>
    <mergeCell ref="X430:Z430"/>
    <mergeCell ref="X431:Z433"/>
    <mergeCell ref="B459:C459"/>
    <mergeCell ref="U459:W459"/>
    <mergeCell ref="U460:W462"/>
    <mergeCell ref="X459:Z459"/>
    <mergeCell ref="X460:Z462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17" priority="1" stopIfTrue="1" text="/">
      <formula>NOT(ISERROR(FIND(UPPER("/"),UPPER(C2))))</formula>
      <formula>"/"</formula>
    </cfRule>
    <cfRule type="containsText" dxfId="18" priority="2" stopIfTrue="1" text="C">
      <formula>NOT(ISERROR(FIND(UPPER("C"),UPPER(C2))))</formula>
      <formula>"C"</formula>
    </cfRule>
    <cfRule type="containsText" dxfId="19" priority="3" stopIfTrue="1" text="D">
      <formula>NOT(ISERROR(FIND(UPPER("D"),UPPER(C2))))</formula>
      <formula>"D"</formula>
    </cfRule>
    <cfRule type="containsText" dxfId="20" priority="4" stopIfTrue="1" text="LW">
      <formula>NOT(ISERROR(FIND(UPPER("LW"),UPPER(C2))))</formula>
      <formula>"LW"</formula>
    </cfRule>
    <cfRule type="containsText" dxfId="21" priority="5" stopIfTrue="1" text="RW">
      <formula>NOT(ISERROR(FIND(UPPER("RW"),UPPER(C2))))</formula>
      <formula>"RW"</formula>
    </cfRule>
    <cfRule type="containsText" dxfId="22" priority="6" stopIfTrue="1" text="G">
      <formula>NOT(ISERROR(FIND(UPPER("G"),UPPER(C2))))</formula>
      <formula>"G"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432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32" customWidth="1"/>
    <col min="2" max="2" width="7.10938" style="132" customWidth="1"/>
    <col min="3" max="3" width="5.92969" style="132" customWidth="1"/>
    <col min="4" max="6" width="8.28125" style="132" customWidth="1"/>
    <col min="7" max="10" width="1.35156" style="132" customWidth="1"/>
    <col min="11" max="16384" width="8" style="132" customWidth="1"/>
  </cols>
  <sheetData>
    <row r="1" ht="28.3" customHeight="1">
      <c r="A1" t="s" s="133">
        <v>919</v>
      </c>
      <c r="B1" t="s" s="134">
        <v>920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'Settings'!F2+'Settings'!F3+'Settings'!F4</f>
        <v>96</v>
      </c>
      <c r="C2" s="143"/>
      <c r="D2" s="144"/>
      <c r="E2" s="145"/>
      <c r="F2" s="145"/>
      <c r="G2" s="145"/>
      <c r="H2" s="146"/>
      <c r="I2" s="147"/>
      <c r="J2" s="147"/>
    </row>
    <row r="3" ht="21.25" customHeight="1">
      <c r="A3" t="s" s="8">
        <v>105</v>
      </c>
      <c r="B3" t="s" s="148">
        <f>VLOOKUP(A3,'The List'!B1:D730,3,FALSE)</f>
        <v>107</v>
      </c>
      <c r="C3" s="54">
        <f>IF('Settings'!$E$15="POINTS",RANK(E3,E3:E432),H3)</f>
        <v>1</v>
      </c>
      <c r="D3" t="s" s="42">
        <f>VLOOKUP(A3,'The List'!B1:F730,5,FALSE)</f>
        <v>108</v>
      </c>
      <c r="E3" s="46">
        <f>VLOOKUP(A3,'The List'!B1:I730,8,FALSE)</f>
        <v>720.352510769289</v>
      </c>
      <c r="F3" s="46">
        <f>IF('Settings'!$E$15="POINTS",E3-VLOOKUP(B$2,C1:E432,3,FALSE),J3)</f>
        <v>370.524535364075</v>
      </c>
      <c r="G3" s="46"/>
      <c r="H3" s="149">
        <f>RANK(I3,I3:I432)</f>
        <v>1</v>
      </c>
      <c r="I3" s="150">
        <f>VLOOKUP(A3,'Standard Deviations'!A1:C731,3,FALSE)</f>
        <v>19.4395921085322</v>
      </c>
      <c r="J3" s="150">
        <f>I3-VLOOKUP(B$2,H1:J432,2,FALSE)</f>
        <v>16.1608379851469</v>
      </c>
    </row>
    <row r="4" ht="21.25" customHeight="1">
      <c r="A4" t="s" s="8">
        <v>110</v>
      </c>
      <c r="B4" t="s" s="148">
        <f>VLOOKUP(A4,'The List'!B1:D730,3,FALSE)</f>
        <v>111</v>
      </c>
      <c r="C4" s="54">
        <f>IF('Settings'!$E$15="POINTS",RANK(E4,E3:E432),H4)</f>
        <v>4</v>
      </c>
      <c r="D4" t="s" s="42">
        <f>VLOOKUP(A4,'The List'!B1:F730,5,FALSE)</f>
        <v>108</v>
      </c>
      <c r="E4" s="46">
        <f>VLOOKUP(A4,'The List'!B1:I730,8,FALSE)</f>
        <v>601.765307633416</v>
      </c>
      <c r="F4" s="46">
        <f>IF('Settings'!$E$15="POINTS",E4-VLOOKUP(B$2,C1:E432,3,FALSE),J4)</f>
        <v>251.937332228202</v>
      </c>
      <c r="G4" s="46"/>
      <c r="H4" s="149">
        <f>RANK(I4,I3:I432)</f>
        <v>3</v>
      </c>
      <c r="I4" s="150">
        <f>VLOOKUP(A4,'Standard Deviations'!A1:C731,3,FALSE)</f>
        <v>14.836899308559</v>
      </c>
      <c r="J4" s="150">
        <f>I4-VLOOKUP(B$2,H1:J432,2,FALSE)</f>
        <v>11.5581451851737</v>
      </c>
    </row>
    <row r="5" ht="21.25" customHeight="1">
      <c r="A5" t="s" s="8">
        <v>112</v>
      </c>
      <c r="B5" t="s" s="148">
        <f>VLOOKUP(A5,'The List'!B1:D730,3,FALSE)</f>
        <v>107</v>
      </c>
      <c r="C5" s="54">
        <f>IF('Settings'!$E$15="POINTS",RANK(E5,E3:E432),H5)</f>
        <v>3</v>
      </c>
      <c r="D5" t="s" s="42">
        <f>VLOOKUP(A5,'The List'!B1:F730,5,FALSE)</f>
        <v>113</v>
      </c>
      <c r="E5" s="46">
        <f>VLOOKUP(A5,'The List'!B1:I730,8,FALSE)</f>
        <v>622.933121694688</v>
      </c>
      <c r="F5" s="46">
        <f>IF('Settings'!$E$15="POINTS",E5-VLOOKUP(B$2,C1:E432,3,FALSE),J5)</f>
        <v>273.105146289474</v>
      </c>
      <c r="G5" s="46"/>
      <c r="H5" s="149">
        <f>RANK(I5,I3:I432)</f>
        <v>4</v>
      </c>
      <c r="I5" s="150">
        <f>VLOOKUP(A5,'Standard Deviations'!A1:C731,3,FALSE)</f>
        <v>14.7595033384156</v>
      </c>
      <c r="J5" s="150">
        <f>I5-VLOOKUP(B$2,H1:J432,2,FALSE)</f>
        <v>11.4807492150303</v>
      </c>
    </row>
    <row r="6" ht="21.25" customHeight="1">
      <c r="A6" t="s" s="8">
        <v>117</v>
      </c>
      <c r="B6" t="s" s="148">
        <f>VLOOKUP(A6,'The List'!B1:D730,3,FALSE)</f>
        <v>118</v>
      </c>
      <c r="C6" s="54">
        <f>IF('Settings'!$E$15="POINTS",RANK(E6,E3:E432),H6)</f>
        <v>6</v>
      </c>
      <c r="D6" t="s" s="42">
        <f>VLOOKUP(A6,'The List'!B1:F730,5,FALSE)</f>
        <v>119</v>
      </c>
      <c r="E6" s="46">
        <f>VLOOKUP(A6,'The List'!B1:I730,8,FALSE)</f>
        <v>574.238329765201</v>
      </c>
      <c r="F6" s="46">
        <f>IF('Settings'!$E$15="POINTS",E6-VLOOKUP(B$2,C1:E432,3,FALSE),J6)</f>
        <v>224.410354359987</v>
      </c>
      <c r="G6" s="46"/>
      <c r="H6" s="149">
        <f>RANK(I6,I3:I432)</f>
        <v>5</v>
      </c>
      <c r="I6" s="150">
        <f>VLOOKUP(A6,'Standard Deviations'!A1:C731,3,FALSE)</f>
        <v>13.5656220887624</v>
      </c>
      <c r="J6" s="150">
        <f>I6-VLOOKUP(B$2,H1:J432,2,FALSE)</f>
        <v>10.2868679653771</v>
      </c>
    </row>
    <row r="7" ht="21.25" customHeight="1">
      <c r="A7" t="s" s="8">
        <v>114</v>
      </c>
      <c r="B7" t="s" s="148">
        <f>VLOOKUP(A7,'The List'!B1:D730,3,FALSE)</f>
        <v>107</v>
      </c>
      <c r="C7" s="54">
        <f>IF('Settings'!$E$15="POINTS",RANK(E7,E3:E432),H7)</f>
        <v>2</v>
      </c>
      <c r="D7" t="s" s="42">
        <f>VLOOKUP(A7,'The List'!B1:F730,5,FALSE)</f>
        <v>115</v>
      </c>
      <c r="E7" s="46">
        <f>VLOOKUP(A7,'The List'!B1:I730,8,FALSE)</f>
        <v>632.5553771395849</v>
      </c>
      <c r="F7" s="46">
        <f>IF('Settings'!$E$15="POINTS",E7-VLOOKUP(B$2,C1:E432,3,FALSE),J7)</f>
        <v>282.727401734371</v>
      </c>
      <c r="G7" s="46"/>
      <c r="H7" s="149">
        <f>RANK(I7,I3:I432)</f>
        <v>2</v>
      </c>
      <c r="I7" s="150">
        <f>VLOOKUP(A7,'Standard Deviations'!A1:C731,3,FALSE)</f>
        <v>15.8147064578014</v>
      </c>
      <c r="J7" s="150">
        <f>I7-VLOOKUP(B$2,H1:J432,2,FALSE)</f>
        <v>12.5359523344161</v>
      </c>
    </row>
    <row r="8" ht="21.25" customHeight="1">
      <c r="A8" t="s" s="8">
        <v>120</v>
      </c>
      <c r="B8" t="s" s="148">
        <f>VLOOKUP(A8,'The List'!B1:D730,3,FALSE)</f>
        <v>121</v>
      </c>
      <c r="C8" s="54">
        <f>IF('Settings'!$E$15="POINTS",RANK(E8,E3:E432),H8)</f>
        <v>5</v>
      </c>
      <c r="D8" t="s" s="42">
        <f>VLOOKUP(A8,'The List'!B1:F730,5,FALSE)</f>
        <v>122</v>
      </c>
      <c r="E8" s="46">
        <f>VLOOKUP(A8,'The List'!B1:I730,8,FALSE)</f>
        <v>582.797881387140</v>
      </c>
      <c r="F8" s="46">
        <f>IF('Settings'!$E$15="POINTS",E8-VLOOKUP(B$2,C1:E432,3,FALSE),J8)</f>
        <v>232.969905981926</v>
      </c>
      <c r="G8" s="46"/>
      <c r="H8" s="149">
        <f>RANK(I8,I3:I432)</f>
        <v>7</v>
      </c>
      <c r="I8" s="150">
        <f>VLOOKUP(A8,'Standard Deviations'!A1:C731,3,FALSE)</f>
        <v>12.5037375337248</v>
      </c>
      <c r="J8" s="150">
        <f>I8-VLOOKUP(B$2,H1:J432,2,FALSE)</f>
        <v>9.22498341033948</v>
      </c>
    </row>
    <row r="9" ht="21.25" customHeight="1">
      <c r="A9" t="s" s="8">
        <v>123</v>
      </c>
      <c r="B9" t="s" s="148">
        <f>VLOOKUP(A9,'The List'!B1:D730,3,FALSE)</f>
        <v>121</v>
      </c>
      <c r="C9" s="54">
        <f>IF('Settings'!$E$15="POINTS",RANK(E9,E3:E432),H9)</f>
        <v>12</v>
      </c>
      <c r="D9" t="s" s="42">
        <f>VLOOKUP(A9,'The List'!B1:F730,5,FALSE)</f>
        <v>124</v>
      </c>
      <c r="E9" s="46">
        <f>VLOOKUP(A9,'The List'!B1:I730,8,FALSE)</f>
        <v>523.300589385885</v>
      </c>
      <c r="F9" s="46">
        <f>IF('Settings'!$E$15="POINTS",E9-VLOOKUP(B$2,C1:E432,3,FALSE),J9)</f>
        <v>173.472613980671</v>
      </c>
      <c r="G9" s="46"/>
      <c r="H9" s="149">
        <f>RANK(I9,I3:I432)</f>
        <v>11</v>
      </c>
      <c r="I9" s="150">
        <f>VLOOKUP(A9,'Standard Deviations'!A1:C731,3,FALSE)</f>
        <v>10.8233943339678</v>
      </c>
      <c r="J9" s="150">
        <f>I9-VLOOKUP(B$2,H1:J432,2,FALSE)</f>
        <v>7.54464021058248</v>
      </c>
    </row>
    <row r="10" ht="21.25" customHeight="1">
      <c r="A10" t="s" s="8">
        <v>125</v>
      </c>
      <c r="B10" t="s" s="148">
        <f>VLOOKUP(A10,'The List'!B1:D730,3,FALSE)</f>
        <v>121</v>
      </c>
      <c r="C10" s="54">
        <f>IF('Settings'!$E$15="POINTS",RANK(E10,E3:E432),H10)</f>
        <v>7</v>
      </c>
      <c r="D10" t="s" s="42">
        <f>VLOOKUP(A10,'The List'!B1:F730,5,FALSE)</f>
        <v>113</v>
      </c>
      <c r="E10" s="46">
        <f>VLOOKUP(A10,'The List'!B1:I730,8,FALSE)</f>
        <v>569.046791687203</v>
      </c>
      <c r="F10" s="46">
        <f>IF('Settings'!$E$15="POINTS",E10-VLOOKUP(B$2,C1:E432,3,FALSE),J10)</f>
        <v>219.218816281989</v>
      </c>
      <c r="G10" s="46"/>
      <c r="H10" s="149">
        <f>RANK(I10,I3:I432)</f>
        <v>6</v>
      </c>
      <c r="I10" s="150">
        <f>VLOOKUP(A10,'Standard Deviations'!A1:C731,3,FALSE)</f>
        <v>12.998086716641</v>
      </c>
      <c r="J10" s="150">
        <f>I10-VLOOKUP(B$2,H1:J432,2,FALSE)</f>
        <v>9.719332593255681</v>
      </c>
    </row>
    <row r="11" ht="21.25" customHeight="1">
      <c r="A11" t="s" s="8">
        <v>132</v>
      </c>
      <c r="B11" t="s" s="148">
        <f>VLOOKUP(A11,'The List'!B1:D730,3,FALSE)</f>
        <v>133</v>
      </c>
      <c r="C11" s="54">
        <f>IF('Settings'!$E$15="POINTS",RANK(E11,E3:E432),H11)</f>
        <v>8</v>
      </c>
      <c r="D11" t="s" s="42">
        <f>VLOOKUP(A11,'The List'!B1:F730,5,FALSE)</f>
        <v>134</v>
      </c>
      <c r="E11" s="46">
        <f>VLOOKUP(A11,'The List'!B1:I730,8,FALSE)</f>
        <v>549.7520817707421</v>
      </c>
      <c r="F11" s="46">
        <f>IF('Settings'!$E$15="POINTS",E11-VLOOKUP(B$2,C1:E432,3,FALSE),J11)</f>
        <v>199.924106365528</v>
      </c>
      <c r="G11" s="46"/>
      <c r="H11" s="149">
        <f>RANK(I11,I3:I432)</f>
        <v>9</v>
      </c>
      <c r="I11" s="150">
        <f>VLOOKUP(A11,'Standard Deviations'!A1:C731,3,FALSE)</f>
        <v>11.0864676589073</v>
      </c>
      <c r="J11" s="150">
        <f>I11-VLOOKUP(B$2,H1:J432,2,FALSE)</f>
        <v>7.80771353552198</v>
      </c>
    </row>
    <row r="12" ht="21.25" customHeight="1">
      <c r="A12" t="s" s="8">
        <v>126</v>
      </c>
      <c r="B12" t="s" s="148">
        <f>VLOOKUP(A12,'The List'!B1:D730,3,FALSE)</f>
        <v>111</v>
      </c>
      <c r="C12" s="54">
        <f>IF('Settings'!$E$15="POINTS",RANK(E12,E3:E432),H12)</f>
        <v>9</v>
      </c>
      <c r="D12" t="s" s="42">
        <f>VLOOKUP(A12,'The List'!B1:F730,5,FALSE)</f>
        <v>127</v>
      </c>
      <c r="E12" s="46">
        <f>VLOOKUP(A12,'The List'!B1:I730,8,FALSE)</f>
        <v>549.712369600232</v>
      </c>
      <c r="F12" s="46">
        <f>IF('Settings'!$E$15="POINTS",E12-VLOOKUP(B$2,C1:E432,3,FALSE),J12)</f>
        <v>199.884394195018</v>
      </c>
      <c r="G12" s="46"/>
      <c r="H12" s="149">
        <f>RANK(I12,I3:I432)</f>
        <v>12</v>
      </c>
      <c r="I12" s="150">
        <f>VLOOKUP(A12,'Standard Deviations'!A1:C731,3,FALSE)</f>
        <v>10.6013146790712</v>
      </c>
      <c r="J12" s="150">
        <f>I12-VLOOKUP(B$2,H1:J432,2,FALSE)</f>
        <v>7.32256055568588</v>
      </c>
    </row>
    <row r="13" ht="21.25" customHeight="1">
      <c r="A13" t="s" s="8">
        <v>135</v>
      </c>
      <c r="B13" t="s" s="148">
        <f>VLOOKUP(A13,'The List'!B1:D730,3,FALSE)</f>
        <v>133</v>
      </c>
      <c r="C13" s="54">
        <f>IF('Settings'!$E$15="POINTS",RANK(E13,E3:E432),H13)</f>
        <v>11</v>
      </c>
      <c r="D13" t="s" s="42">
        <f>VLOOKUP(A13,'The List'!B1:F730,5,FALSE)</f>
        <v>136</v>
      </c>
      <c r="E13" s="46">
        <f>VLOOKUP(A13,'The List'!B1:I730,8,FALSE)</f>
        <v>528.358407614709</v>
      </c>
      <c r="F13" s="46">
        <f>IF('Settings'!$E$15="POINTS",E13-VLOOKUP(B$2,C1:E432,3,FALSE),J13)</f>
        <v>178.530432209495</v>
      </c>
      <c r="G13" s="46"/>
      <c r="H13" s="149">
        <f>RANK(I13,I3:I432)</f>
        <v>8</v>
      </c>
      <c r="I13" s="150">
        <f>VLOOKUP(A13,'Standard Deviations'!A1:C731,3,FALSE)</f>
        <v>12.2438382709695</v>
      </c>
      <c r="J13" s="150">
        <f>I13-VLOOKUP(B$2,H1:J432,2,FALSE)</f>
        <v>8.96508414758418</v>
      </c>
    </row>
    <row r="14" ht="21.25" customHeight="1">
      <c r="A14" t="s" s="8">
        <v>138</v>
      </c>
      <c r="B14" t="s" s="148">
        <f>VLOOKUP(A14,'The List'!B1:D730,3,FALSE)</f>
        <v>107</v>
      </c>
      <c r="C14" s="54">
        <f>IF('Settings'!$E$15="POINTS",RANK(E14,E3:E432),H14)</f>
        <v>10</v>
      </c>
      <c r="D14" t="s" s="42">
        <f>VLOOKUP(A14,'The List'!B1:F730,5,FALSE)</f>
        <v>139</v>
      </c>
      <c r="E14" s="46">
        <f>VLOOKUP(A14,'The List'!B1:I730,8,FALSE)</f>
        <v>528.449978419635</v>
      </c>
      <c r="F14" s="46">
        <f>IF('Settings'!$E$15="POINTS",E14-VLOOKUP(B$2,C1:E432,3,FALSE),J14)</f>
        <v>178.622003014421</v>
      </c>
      <c r="G14" s="46"/>
      <c r="H14" s="149">
        <f>RANK(I14,I3:I432)</f>
        <v>16</v>
      </c>
      <c r="I14" s="150">
        <f>VLOOKUP(A14,'Standard Deviations'!A1:C731,3,FALSE)</f>
        <v>9.257874012621469</v>
      </c>
      <c r="J14" s="150">
        <f>I14-VLOOKUP(B$2,H1:J432,2,FALSE)</f>
        <v>5.97911988923615</v>
      </c>
    </row>
    <row r="15" ht="21.25" customHeight="1">
      <c r="A15" t="s" s="8">
        <v>137</v>
      </c>
      <c r="B15" t="s" s="148">
        <f>VLOOKUP(A15,'The List'!B1:D730,3,FALSE)</f>
        <v>121</v>
      </c>
      <c r="C15" s="54">
        <f>IF('Settings'!$E$15="POINTS",RANK(E15,E3:E432),H15)</f>
        <v>15</v>
      </c>
      <c r="D15" t="s" s="42">
        <f>VLOOKUP(A15,'The List'!B1:F730,5,FALSE)</f>
        <v>115</v>
      </c>
      <c r="E15" s="46">
        <f>VLOOKUP(A15,'The List'!B1:I730,8,FALSE)</f>
        <v>504.879890978459</v>
      </c>
      <c r="F15" s="46">
        <f>IF('Settings'!$E$15="POINTS",E15-VLOOKUP(B$2,C1:E432,3,FALSE),J15)</f>
        <v>155.051915573245</v>
      </c>
      <c r="G15" s="46"/>
      <c r="H15" s="149">
        <f>RANK(I15,I3:I432)</f>
        <v>10</v>
      </c>
      <c r="I15" s="150">
        <f>VLOOKUP(A15,'Standard Deviations'!A1:C731,3,FALSE)</f>
        <v>11.021143621193</v>
      </c>
      <c r="J15" s="150">
        <f>I15-VLOOKUP(B$2,H1:J432,2,FALSE)</f>
        <v>7.74238949780768</v>
      </c>
    </row>
    <row r="16" ht="21.25" customHeight="1">
      <c r="A16" t="s" s="8">
        <v>160</v>
      </c>
      <c r="B16" t="s" s="148">
        <f>VLOOKUP(A16,'The List'!B1:D730,3,FALSE)</f>
        <v>107</v>
      </c>
      <c r="C16" s="54">
        <f>IF('Settings'!$E$15="POINTS",RANK(E16,E3:E432),H16)</f>
        <v>18</v>
      </c>
      <c r="D16" t="s" s="42">
        <f>VLOOKUP(A16,'The List'!B1:F730,5,FALSE)</f>
        <v>151</v>
      </c>
      <c r="E16" s="46">
        <f>VLOOKUP(A16,'The List'!B1:I730,8,FALSE)</f>
        <v>489.974481264590</v>
      </c>
      <c r="F16" s="46">
        <f>IF('Settings'!$E$15="POINTS",E16-VLOOKUP(B$2,C1:E432,3,FALSE),J16)</f>
        <v>140.146505859376</v>
      </c>
      <c r="G16" s="46"/>
      <c r="H16" s="149">
        <f>RANK(I16,I3:I432)</f>
        <v>14</v>
      </c>
      <c r="I16" s="150">
        <f>VLOOKUP(A16,'Standard Deviations'!A1:C731,3,FALSE)</f>
        <v>9.976349054803711</v>
      </c>
      <c r="J16" s="150">
        <f>I16-VLOOKUP(B$2,H1:J432,2,FALSE)</f>
        <v>6.69759493141839</v>
      </c>
    </row>
    <row r="17" ht="21.25" customHeight="1">
      <c r="A17" t="s" s="8">
        <v>161</v>
      </c>
      <c r="B17" t="s" s="148">
        <f>VLOOKUP(A17,'The List'!B1:D730,3,FALSE)</f>
        <v>107</v>
      </c>
      <c r="C17" s="54">
        <f>IF('Settings'!$E$15="POINTS",RANK(E17,E3:E432),H17)</f>
        <v>20</v>
      </c>
      <c r="D17" t="s" s="42">
        <f>VLOOKUP(A17,'The List'!B1:F730,5,FALSE)</f>
        <v>119</v>
      </c>
      <c r="E17" s="46">
        <f>VLOOKUP(A17,'The List'!B1:I730,8,FALSE)</f>
        <v>483.428323637468</v>
      </c>
      <c r="F17" s="46">
        <f>IF('Settings'!$E$15="POINTS",E17-VLOOKUP(B$2,C1:E432,3,FALSE),J17)</f>
        <v>133.600348232254</v>
      </c>
      <c r="G17" s="46"/>
      <c r="H17" s="149">
        <f>RANK(I17,I3:I432)</f>
        <v>15</v>
      </c>
      <c r="I17" s="150">
        <f>VLOOKUP(A17,'Standard Deviations'!A1:C731,3,FALSE)</f>
        <v>9.54068082082088</v>
      </c>
      <c r="J17" s="150">
        <f>I17-VLOOKUP(B$2,H1:J432,2,FALSE)</f>
        <v>6.26192669743556</v>
      </c>
    </row>
    <row r="18" ht="21.25" customHeight="1">
      <c r="A18" t="s" s="8">
        <v>144</v>
      </c>
      <c r="B18" t="s" s="148">
        <f>VLOOKUP(A18,'The List'!B1:D730,3,FALSE)</f>
        <v>121</v>
      </c>
      <c r="C18" s="54">
        <f>IF('Settings'!$E$15="POINTS",RANK(E18,E3:E432),H18)</f>
        <v>22</v>
      </c>
      <c r="D18" t="s" s="42">
        <f>VLOOKUP(A18,'The List'!B1:F730,5,FALSE)</f>
        <v>115</v>
      </c>
      <c r="E18" s="46">
        <f>VLOOKUP(A18,'The List'!B1:I730,8,FALSE)</f>
        <v>481.260414040655</v>
      </c>
      <c r="F18" s="46">
        <f>IF('Settings'!$E$15="POINTS",E18-VLOOKUP(B$2,C1:E432,3,FALSE),J18)</f>
        <v>131.432438635441</v>
      </c>
      <c r="G18" s="46"/>
      <c r="H18" s="149">
        <f>RANK(I18,I3:I432)</f>
        <v>13</v>
      </c>
      <c r="I18" s="150">
        <f>VLOOKUP(A18,'Standard Deviations'!A1:C731,3,FALSE)</f>
        <v>10.1078611649642</v>
      </c>
      <c r="J18" s="150">
        <f>I18-VLOOKUP(B$2,H1:J432,2,FALSE)</f>
        <v>6.82910704157888</v>
      </c>
    </row>
    <row r="19" ht="21.25" customHeight="1">
      <c r="A19" t="s" s="8">
        <v>169</v>
      </c>
      <c r="B19" t="s" s="148">
        <f>VLOOKUP(A19,'The List'!B1:D730,3,FALSE)</f>
        <v>107</v>
      </c>
      <c r="C19" s="54">
        <f>IF('Settings'!$E$15="POINTS",RANK(E19,E3:E432),H19)</f>
        <v>24</v>
      </c>
      <c r="D19" t="s" s="42">
        <f>VLOOKUP(A19,'The List'!B1:F730,5,FALSE)</f>
        <v>170</v>
      </c>
      <c r="E19" s="46">
        <f>VLOOKUP(A19,'The List'!B1:I730,8,FALSE)</f>
        <v>469.456069680912</v>
      </c>
      <c r="F19" s="46">
        <f>IF('Settings'!$E$15="POINTS",E19-VLOOKUP(B$2,C1:E432,3,FALSE),J19)</f>
        <v>119.628094275698</v>
      </c>
      <c r="G19" s="46"/>
      <c r="H19" s="149">
        <f>RANK(I19,I3:I432)</f>
        <v>17</v>
      </c>
      <c r="I19" s="150">
        <f>VLOOKUP(A19,'Standard Deviations'!A1:C731,3,FALSE)</f>
        <v>9.04588136393412</v>
      </c>
      <c r="J19" s="150">
        <f>I19-VLOOKUP(B$2,H1:J432,2,FALSE)</f>
        <v>5.7671272405488</v>
      </c>
    </row>
    <row r="20" ht="21.25" customHeight="1">
      <c r="A20" t="s" s="8">
        <v>178</v>
      </c>
      <c r="B20" t="s" s="148">
        <f>VLOOKUP(A20,'The List'!B1:D730,3,FALSE)</f>
        <v>111</v>
      </c>
      <c r="C20" s="54">
        <f>IF('Settings'!$E$15="POINTS",RANK(E20,E3:E432),H20)</f>
        <v>28</v>
      </c>
      <c r="D20" t="s" s="42">
        <f>VLOOKUP(A20,'The List'!B1:F730,5,FALSE)</f>
        <v>124</v>
      </c>
      <c r="E20" s="46">
        <f>VLOOKUP(A20,'The List'!B1:I730,8,FALSE)</f>
        <v>452.923928827016</v>
      </c>
      <c r="F20" s="46">
        <f>IF('Settings'!$E$15="POINTS",E20-VLOOKUP(B$2,C1:E432,3,FALSE),J20)</f>
        <v>103.095953421802</v>
      </c>
      <c r="G20" s="46"/>
      <c r="H20" s="149">
        <f>RANK(I20,I3:I432)</f>
        <v>34</v>
      </c>
      <c r="I20" s="150">
        <f>VLOOKUP(A20,'Standard Deviations'!A1:C731,3,FALSE)</f>
        <v>7.59672120324704</v>
      </c>
      <c r="J20" s="150">
        <f>I20-VLOOKUP(B$2,H1:J432,2,FALSE)</f>
        <v>4.31796707986172</v>
      </c>
    </row>
    <row r="21" ht="21.25" customHeight="1">
      <c r="A21" t="s" s="8">
        <v>163</v>
      </c>
      <c r="B21" t="s" s="148">
        <f>VLOOKUP(A21,'The List'!B1:D730,3,FALSE)</f>
        <v>133</v>
      </c>
      <c r="C21" s="54">
        <f>IF('Settings'!$E$15="POINTS",RANK(E21,E3:E432),H21)</f>
        <v>23</v>
      </c>
      <c r="D21" t="s" s="42">
        <f>VLOOKUP(A21,'The List'!B1:F730,5,FALSE)</f>
        <v>164</v>
      </c>
      <c r="E21" s="46">
        <f>VLOOKUP(A21,'The List'!B1:I730,8,FALSE)</f>
        <v>470.301445210573</v>
      </c>
      <c r="F21" s="46">
        <f>IF('Settings'!$E$15="POINTS",E21-VLOOKUP(B$2,C1:E432,3,FALSE),J21)</f>
        <v>120.473469805359</v>
      </c>
      <c r="G21" s="46"/>
      <c r="H21" s="149">
        <f>RANK(I21,I3:I432)</f>
        <v>32</v>
      </c>
      <c r="I21" s="150">
        <f>VLOOKUP(A21,'Standard Deviations'!A1:C731,3,FALSE)</f>
        <v>7.69991012941532</v>
      </c>
      <c r="J21" s="150">
        <f>I21-VLOOKUP(B$2,H1:J432,2,FALSE)</f>
        <v>4.421156006030</v>
      </c>
    </row>
    <row r="22" ht="21.25" customHeight="1">
      <c r="A22" t="s" s="8">
        <v>165</v>
      </c>
      <c r="B22" t="s" s="148">
        <f>VLOOKUP(A22,'The List'!B1:D730,3,FALSE)</f>
        <v>133</v>
      </c>
      <c r="C22" s="54">
        <f>IF('Settings'!$E$15="POINTS",RANK(E22,E3:E432),H22)</f>
        <v>13</v>
      </c>
      <c r="D22" t="s" s="42">
        <f>VLOOKUP(A22,'The List'!B1:F730,5,FALSE)</f>
        <v>166</v>
      </c>
      <c r="E22" s="46">
        <f>VLOOKUP(A22,'The List'!B1:I730,8,FALSE)</f>
        <v>511.774973121382</v>
      </c>
      <c r="F22" s="46">
        <f>IF('Settings'!$E$15="POINTS",E22-VLOOKUP(B$2,C1:E432,3,FALSE),J22)</f>
        <v>161.946997716168</v>
      </c>
      <c r="G22" s="46"/>
      <c r="H22" s="149">
        <f>RANK(I22,I3:I432)</f>
        <v>38</v>
      </c>
      <c r="I22" s="150">
        <f>VLOOKUP(A22,'Standard Deviations'!A1:C731,3,FALSE)</f>
        <v>7.17379043498783</v>
      </c>
      <c r="J22" s="150">
        <f>I22-VLOOKUP(B$2,H1:J432,2,FALSE)</f>
        <v>3.89503631160251</v>
      </c>
    </row>
    <row r="23" ht="21.25" customHeight="1">
      <c r="A23" t="s" s="8">
        <v>168</v>
      </c>
      <c r="B23" t="s" s="148">
        <f>VLOOKUP(A23,'The List'!B1:D730,3,FALSE)</f>
        <v>133</v>
      </c>
      <c r="C23" s="54">
        <f>IF('Settings'!$E$15="POINTS",RANK(E23,E3:E432),H23)</f>
        <v>42</v>
      </c>
      <c r="D23" t="s" s="42">
        <f>VLOOKUP(A23,'The List'!B1:F730,5,FALSE)</f>
        <v>151</v>
      </c>
      <c r="E23" s="46">
        <f>VLOOKUP(A23,'The List'!B1:I730,8,FALSE)</f>
        <v>428.644826895263</v>
      </c>
      <c r="F23" s="46">
        <f>IF('Settings'!$E$15="POINTS",E23-VLOOKUP(B$2,C1:E432,3,FALSE),J23)</f>
        <v>78.816851490049</v>
      </c>
      <c r="G23" s="46"/>
      <c r="H23" s="149">
        <f>RANK(I23,I3:I432)</f>
        <v>22</v>
      </c>
      <c r="I23" s="150">
        <f>VLOOKUP(A23,'Standard Deviations'!A1:C731,3,FALSE)</f>
        <v>8.336268884633309</v>
      </c>
      <c r="J23" s="150">
        <f>I23-VLOOKUP(B$2,H1:J432,2,FALSE)</f>
        <v>5.05751476124799</v>
      </c>
    </row>
    <row r="24" ht="21.25" customHeight="1">
      <c r="A24" t="s" s="8">
        <v>162</v>
      </c>
      <c r="B24" t="s" s="148">
        <f>VLOOKUP(A24,'The List'!B1:D730,3,FALSE)</f>
        <v>107</v>
      </c>
      <c r="C24" s="54">
        <f>IF('Settings'!$E$15="POINTS",RANK(E24,E3:E432),H24)</f>
        <v>14</v>
      </c>
      <c r="D24" t="s" s="42">
        <f>VLOOKUP(A24,'The List'!B1:F730,5,FALSE)</f>
        <v>156</v>
      </c>
      <c r="E24" s="46">
        <f>VLOOKUP(A24,'The List'!B1:I730,8,FALSE)</f>
        <v>506.445392367650</v>
      </c>
      <c r="F24" s="46">
        <f>IF('Settings'!$E$15="POINTS",E24-VLOOKUP(B$2,C1:E432,3,FALSE),J24)</f>
        <v>156.617416962436</v>
      </c>
      <c r="G24" s="46"/>
      <c r="H24" s="149">
        <f>RANK(I24,I3:I432)</f>
        <v>18</v>
      </c>
      <c r="I24" s="150">
        <f>VLOOKUP(A24,'Standard Deviations'!A1:C731,3,FALSE)</f>
        <v>9.00164665167647</v>
      </c>
      <c r="J24" s="150">
        <f>I24-VLOOKUP(B$2,H1:J432,2,FALSE)</f>
        <v>5.72289252829115</v>
      </c>
    </row>
    <row r="25" ht="21.25" customHeight="1">
      <c r="A25" t="s" s="8">
        <v>188</v>
      </c>
      <c r="B25" t="s" s="148">
        <f>VLOOKUP(A25,'The List'!B1:D730,3,FALSE)</f>
        <v>133</v>
      </c>
      <c r="C25" s="54">
        <f>IF('Settings'!$E$15="POINTS",RANK(E25,E3:E432),H25)</f>
        <v>49</v>
      </c>
      <c r="D25" t="s" s="42">
        <f>VLOOKUP(A25,'The List'!B1:F730,5,FALSE)</f>
        <v>189</v>
      </c>
      <c r="E25" s="46">
        <f>VLOOKUP(A25,'The List'!B1:I730,8,FALSE)</f>
        <v>419.154061876327</v>
      </c>
      <c r="F25" s="46">
        <f>IF('Settings'!$E$15="POINTS",E25-VLOOKUP(B$2,C1:E432,3,FALSE),J25)</f>
        <v>69.326086471113</v>
      </c>
      <c r="G25" s="46"/>
      <c r="H25" s="149">
        <f>RANK(I25,I3:I432)</f>
        <v>60</v>
      </c>
      <c r="I25" s="150">
        <f>VLOOKUP(A25,'Standard Deviations'!A1:C731,3,FALSE)</f>
        <v>5.32901082125136</v>
      </c>
      <c r="J25" s="150">
        <f>I25-VLOOKUP(B$2,H1:J432,2,FALSE)</f>
        <v>2.05025669786604</v>
      </c>
    </row>
    <row r="26" ht="21.25" customHeight="1">
      <c r="A26" t="s" s="8">
        <v>171</v>
      </c>
      <c r="B26" t="s" s="148">
        <f>VLOOKUP(A26,'The List'!B1:D730,3,FALSE)</f>
        <v>107</v>
      </c>
      <c r="C26" s="54">
        <f>IF('Settings'!$E$15="POINTS",RANK(E26,E3:E432),H26)</f>
        <v>21</v>
      </c>
      <c r="D26" t="s" s="42">
        <f>VLOOKUP(A26,'The List'!B1:F730,5,FALSE)</f>
        <v>124</v>
      </c>
      <c r="E26" s="46">
        <f>VLOOKUP(A26,'The List'!B1:I730,8,FALSE)</f>
        <v>481.349097389320</v>
      </c>
      <c r="F26" s="46">
        <f>IF('Settings'!$E$15="POINTS",E26-VLOOKUP(B$2,C1:E432,3,FALSE),J26)</f>
        <v>131.521121984106</v>
      </c>
      <c r="G26" s="46"/>
      <c r="H26" s="149">
        <f>RANK(I26,I3:I432)</f>
        <v>23</v>
      </c>
      <c r="I26" s="150">
        <f>VLOOKUP(A26,'Standard Deviations'!A1:C731,3,FALSE)</f>
        <v>8.26735342637329</v>
      </c>
      <c r="J26" s="150">
        <f>I26-VLOOKUP(B$2,H1:J432,2,FALSE)</f>
        <v>4.98859930298797</v>
      </c>
    </row>
    <row r="27" ht="21.25" customHeight="1">
      <c r="A27" t="s" s="8">
        <v>176</v>
      </c>
      <c r="B27" t="s" s="148">
        <f>VLOOKUP(A27,'The List'!B1:D730,3,FALSE)</f>
        <v>118</v>
      </c>
      <c r="C27" s="54">
        <f>IF('Settings'!$E$15="POINTS",RANK(E27,E3:E432),H27)</f>
        <v>19</v>
      </c>
      <c r="D27" t="s" s="42">
        <f>VLOOKUP(A27,'The List'!B1:F730,5,FALSE)</f>
        <v>127</v>
      </c>
      <c r="E27" s="46">
        <f>VLOOKUP(A27,'The List'!B1:I730,8,FALSE)</f>
        <v>486.315232579732</v>
      </c>
      <c r="F27" s="46">
        <f>IF('Settings'!$E$15="POINTS",E27-VLOOKUP(B$2,C1:E432,3,FALSE),J27)</f>
        <v>136.487257174518</v>
      </c>
      <c r="G27" s="46"/>
      <c r="H27" s="149">
        <f>RANK(I27,I3:I432)</f>
        <v>26</v>
      </c>
      <c r="I27" s="150">
        <f>VLOOKUP(A27,'Standard Deviations'!A1:C731,3,FALSE)</f>
        <v>8.04425479570744</v>
      </c>
      <c r="J27" s="150">
        <f>I27-VLOOKUP(B$2,H1:J432,2,FALSE)</f>
        <v>4.76550067232212</v>
      </c>
    </row>
    <row r="28" ht="21.25" customHeight="1">
      <c r="A28" t="s" s="8">
        <v>186</v>
      </c>
      <c r="B28" t="s" s="148">
        <f>VLOOKUP(A28,'The List'!B1:D730,3,FALSE)</f>
        <v>187</v>
      </c>
      <c r="C28" s="54">
        <f>IF('Settings'!$E$15="POINTS",RANK(E28,E3:E432),H28)</f>
        <v>27</v>
      </c>
      <c r="D28" t="s" s="42">
        <f>VLOOKUP(A28,'The List'!B1:F730,5,FALSE)</f>
        <v>156</v>
      </c>
      <c r="E28" s="46">
        <f>VLOOKUP(A28,'The List'!B1:I730,8,FALSE)</f>
        <v>456.358891763996</v>
      </c>
      <c r="F28" s="46">
        <f>IF('Settings'!$E$15="POINTS",E28-VLOOKUP(B$2,C1:E432,3,FALSE),J28)</f>
        <v>106.530916358782</v>
      </c>
      <c r="G28" s="46"/>
      <c r="H28" s="149">
        <f>RANK(I28,I3:I432)</f>
        <v>41</v>
      </c>
      <c r="I28" s="150">
        <f>VLOOKUP(A28,'Standard Deviations'!A1:C731,3,FALSE)</f>
        <v>6.58013071104636</v>
      </c>
      <c r="J28" s="150">
        <f>I28-VLOOKUP(B$2,H1:J432,2,FALSE)</f>
        <v>3.30137658766104</v>
      </c>
    </row>
    <row r="29" ht="21.25" customHeight="1">
      <c r="A29" t="s" s="8">
        <v>179</v>
      </c>
      <c r="B29" t="s" s="148">
        <f>VLOOKUP(A29,'The List'!B1:D730,3,FALSE)</f>
        <v>133</v>
      </c>
      <c r="C29" s="54">
        <f>IF('Settings'!$E$15="POINTS",RANK(E29,E3:E432),H29)</f>
        <v>16</v>
      </c>
      <c r="D29" t="s" s="42">
        <f>VLOOKUP(A29,'The List'!B1:F730,5,FALSE)</f>
        <v>173</v>
      </c>
      <c r="E29" s="46">
        <f>VLOOKUP(A29,'The List'!B1:I730,8,FALSE)</f>
        <v>494.699551842002</v>
      </c>
      <c r="F29" s="46">
        <f>IF('Settings'!$E$15="POINTS",E29-VLOOKUP(B$2,C1:E432,3,FALSE),J29)</f>
        <v>144.871576436788</v>
      </c>
      <c r="G29" s="46"/>
      <c r="H29" s="149">
        <f>RANK(I29,I3:I432)</f>
        <v>36</v>
      </c>
      <c r="I29" s="150">
        <f>VLOOKUP(A29,'Standard Deviations'!A1:C731,3,FALSE)</f>
        <v>7.30968689676203</v>
      </c>
      <c r="J29" s="150">
        <f>I29-VLOOKUP(B$2,H1:J432,2,FALSE)</f>
        <v>4.03093277337671</v>
      </c>
    </row>
    <row r="30" ht="21.25" customHeight="1">
      <c r="A30" t="s" s="8">
        <v>181</v>
      </c>
      <c r="B30" t="s" s="148">
        <f>VLOOKUP(A30,'The List'!B1:D730,3,FALSE)</f>
        <v>107</v>
      </c>
      <c r="C30" s="54">
        <f>IF('Settings'!$E$15="POINTS",RANK(E30,E3:E432),H30)</f>
        <v>31</v>
      </c>
      <c r="D30" t="s" s="42">
        <f>VLOOKUP(A30,'The List'!B1:F730,5,FALSE)</f>
        <v>115</v>
      </c>
      <c r="E30" s="46">
        <f>VLOOKUP(A30,'The List'!B1:I730,8,FALSE)</f>
        <v>446.554781156434</v>
      </c>
      <c r="F30" s="46">
        <f>IF('Settings'!$E$15="POINTS",E30-VLOOKUP(B$2,C1:E432,3,FALSE),J30)</f>
        <v>96.726805751220</v>
      </c>
      <c r="G30" s="46"/>
      <c r="H30" s="149">
        <f>RANK(I30,I3:I432)</f>
        <v>19</v>
      </c>
      <c r="I30" s="150">
        <f>VLOOKUP(A30,'Standard Deviations'!A1:C731,3,FALSE)</f>
        <v>8.6459745473715</v>
      </c>
      <c r="J30" s="150">
        <f>I30-VLOOKUP(B$2,H1:J432,2,FALSE)</f>
        <v>5.36722042398618</v>
      </c>
    </row>
    <row r="31" ht="21.25" customHeight="1">
      <c r="A31" t="s" s="8">
        <v>172</v>
      </c>
      <c r="B31" t="s" s="148">
        <f>VLOOKUP(A31,'The List'!B1:D730,3,FALSE)</f>
        <v>111</v>
      </c>
      <c r="C31" s="54">
        <f>IF('Settings'!$E$15="POINTS",RANK(E31,E3:E432),H31)</f>
        <v>17</v>
      </c>
      <c r="D31" t="s" s="42">
        <f>VLOOKUP(A31,'The List'!B1:F730,5,FALSE)</f>
        <v>173</v>
      </c>
      <c r="E31" s="46">
        <f>VLOOKUP(A31,'The List'!B1:I730,8,FALSE)</f>
        <v>490.670853892633</v>
      </c>
      <c r="F31" s="46">
        <f>IF('Settings'!$E$15="POINTS",E31-VLOOKUP(B$2,C1:E432,3,FALSE),J31)</f>
        <v>140.842878487419</v>
      </c>
      <c r="G31" s="46"/>
      <c r="H31" s="149">
        <f>RANK(I31,I3:I432)</f>
        <v>25</v>
      </c>
      <c r="I31" s="150">
        <f>VLOOKUP(A31,'Standard Deviations'!A1:C731,3,FALSE)</f>
        <v>8.11364838981782</v>
      </c>
      <c r="J31" s="150">
        <f>I31-VLOOKUP(B$2,H1:J432,2,FALSE)</f>
        <v>4.8348942664325</v>
      </c>
    </row>
    <row r="32" ht="21.25" customHeight="1">
      <c r="A32" t="s" s="8">
        <v>193</v>
      </c>
      <c r="B32" t="s" s="148">
        <f>VLOOKUP(A32,'The List'!B1:D730,3,FALSE)</f>
        <v>187</v>
      </c>
      <c r="C32" s="54">
        <f>IF('Settings'!$E$15="POINTS",RANK(E32,E3:E432),H32)</f>
        <v>46</v>
      </c>
      <c r="D32" t="s" s="42">
        <f>VLOOKUP(A32,'The List'!B1:F730,5,FALSE)</f>
        <v>194</v>
      </c>
      <c r="E32" s="46">
        <f>VLOOKUP(A32,'The List'!B1:I730,8,FALSE)</f>
        <v>425.025066985041</v>
      </c>
      <c r="F32" s="46">
        <f>IF('Settings'!$E$15="POINTS",E32-VLOOKUP(B$2,C1:E432,3,FALSE),J32)</f>
        <v>75.197091579827</v>
      </c>
      <c r="G32" s="46"/>
      <c r="H32" s="149">
        <f>RANK(I32,I3:I432)</f>
        <v>73</v>
      </c>
      <c r="I32" s="150">
        <f>VLOOKUP(A32,'Standard Deviations'!A1:C731,3,FALSE)</f>
        <v>4.96687775391134</v>
      </c>
      <c r="J32" s="150">
        <f>I32-VLOOKUP(B$2,H1:J432,2,FALSE)</f>
        <v>1.68812363052602</v>
      </c>
    </row>
    <row r="33" ht="21.25" customHeight="1">
      <c r="A33" t="s" s="8">
        <v>182</v>
      </c>
      <c r="B33" t="s" s="148">
        <f>VLOOKUP(A33,'The List'!B1:D730,3,FALSE)</f>
        <v>133</v>
      </c>
      <c r="C33" s="54">
        <f>IF('Settings'!$E$15="POINTS",RANK(E33,E3:E432),H33)</f>
        <v>25</v>
      </c>
      <c r="D33" t="s" s="42">
        <f>VLOOKUP(A33,'The List'!B1:F730,5,FALSE)</f>
        <v>170</v>
      </c>
      <c r="E33" s="46">
        <f>VLOOKUP(A33,'The List'!B1:I730,8,FALSE)</f>
        <v>463.518644352683</v>
      </c>
      <c r="F33" s="46">
        <f>IF('Settings'!$E$15="POINTS",E33-VLOOKUP(B$2,C1:E432,3,FALSE),J33)</f>
        <v>113.690668947469</v>
      </c>
      <c r="G33" s="46"/>
      <c r="H33" s="149">
        <f>RANK(I33,I3:I432)</f>
        <v>29</v>
      </c>
      <c r="I33" s="150">
        <f>VLOOKUP(A33,'Standard Deviations'!A1:C731,3,FALSE)</f>
        <v>7.93666401781686</v>
      </c>
      <c r="J33" s="150">
        <f>I33-VLOOKUP(B$2,H1:J432,2,FALSE)</f>
        <v>4.65790989443154</v>
      </c>
    </row>
    <row r="34" ht="21.25" customHeight="1">
      <c r="A34" t="s" s="8">
        <v>185</v>
      </c>
      <c r="B34" t="s" s="148">
        <f>VLOOKUP(A34,'The List'!B1:D730,3,FALSE)</f>
        <v>111</v>
      </c>
      <c r="C34" s="54">
        <f>IF('Settings'!$E$15="POINTS",RANK(E34,E3:E432),H34)</f>
        <v>54</v>
      </c>
      <c r="D34" t="s" s="42">
        <f>VLOOKUP(A34,'The List'!B1:F730,5,FALSE)</f>
        <v>108</v>
      </c>
      <c r="E34" s="46">
        <f>VLOOKUP(A34,'The List'!B1:I730,8,FALSE)</f>
        <v>409.977300222820</v>
      </c>
      <c r="F34" s="46">
        <f>IF('Settings'!$E$15="POINTS",E34-VLOOKUP(B$2,C1:E432,3,FALSE),J34)</f>
        <v>60.149324817606</v>
      </c>
      <c r="G34" s="46"/>
      <c r="H34" s="149">
        <f>RANK(I34,I3:I432)</f>
        <v>21</v>
      </c>
      <c r="I34" s="150">
        <f>VLOOKUP(A34,'Standard Deviations'!A1:C731,3,FALSE)</f>
        <v>8.447075415815309</v>
      </c>
      <c r="J34" s="150">
        <f>I34-VLOOKUP(B$2,H1:J432,2,FALSE)</f>
        <v>5.16832129242999</v>
      </c>
    </row>
    <row r="35" ht="21.25" customHeight="1">
      <c r="A35" t="s" s="8">
        <v>195</v>
      </c>
      <c r="B35" t="s" s="148">
        <f>VLOOKUP(A35,'The List'!B1:D730,3,FALSE)</f>
        <v>118</v>
      </c>
      <c r="C35" s="54">
        <f>IF('Settings'!$E$15="POINTS",RANK(E35,E3:E432),H35)</f>
        <v>36</v>
      </c>
      <c r="D35" t="s" s="42">
        <f>VLOOKUP(A35,'The List'!B1:F730,5,FALSE)</f>
        <v>196</v>
      </c>
      <c r="E35" s="46">
        <f>VLOOKUP(A35,'The List'!B1:I730,8,FALSE)</f>
        <v>436.923136684366</v>
      </c>
      <c r="F35" s="46">
        <f>IF('Settings'!$E$15="POINTS",E35-VLOOKUP(B$2,C1:E432,3,FALSE),J35)</f>
        <v>87.09516127915199</v>
      </c>
      <c r="G35" s="46"/>
      <c r="H35" s="149">
        <f>RANK(I35,I3:I432)</f>
        <v>61</v>
      </c>
      <c r="I35" s="150">
        <f>VLOOKUP(A35,'Standard Deviations'!A1:C731,3,FALSE)</f>
        <v>5.32240911100815</v>
      </c>
      <c r="J35" s="150">
        <f>I35-VLOOKUP(B$2,H1:J432,2,FALSE)</f>
        <v>2.04365498762283</v>
      </c>
    </row>
    <row r="36" ht="21.25" customHeight="1">
      <c r="A36" t="s" s="8">
        <v>206</v>
      </c>
      <c r="B36" t="s" s="148">
        <f>VLOOKUP(A36,'The List'!B1:D730,3,FALSE)</f>
        <v>107</v>
      </c>
      <c r="C36" s="54">
        <f>IF('Settings'!$E$15="POINTS",RANK(E36,E3:E432),H36)</f>
        <v>29</v>
      </c>
      <c r="D36" t="s" s="42">
        <f>VLOOKUP(A36,'The List'!B1:F730,5,FALSE)</f>
        <v>202</v>
      </c>
      <c r="E36" s="46">
        <f>VLOOKUP(A36,'The List'!B1:I730,8,FALSE)</f>
        <v>451.340998637869</v>
      </c>
      <c r="F36" s="46">
        <f>IF('Settings'!$E$15="POINTS",E36-VLOOKUP(B$2,C1:E432,3,FALSE),J36)</f>
        <v>101.513023232655</v>
      </c>
      <c r="G36" s="46"/>
      <c r="H36" s="149">
        <f>RANK(I36,I3:I432)</f>
        <v>24</v>
      </c>
      <c r="I36" s="150">
        <f>VLOOKUP(A36,'Standard Deviations'!A1:C731,3,FALSE)</f>
        <v>8.153177769447931</v>
      </c>
      <c r="J36" s="150">
        <f>I36-VLOOKUP(B$2,H1:J432,2,FALSE)</f>
        <v>4.87442364606261</v>
      </c>
    </row>
    <row r="37" ht="21.25" customHeight="1">
      <c r="A37" t="s" s="8">
        <v>180</v>
      </c>
      <c r="B37" t="s" s="148">
        <f>VLOOKUP(A37,'The List'!B1:D730,3,FALSE)</f>
        <v>118</v>
      </c>
      <c r="C37" s="54">
        <f>IF('Settings'!$E$15="POINTS",RANK(E37,E3:E432),H37)</f>
        <v>33</v>
      </c>
      <c r="D37" t="s" s="42">
        <f>VLOOKUP(A37,'The List'!B1:F730,5,FALSE)</f>
        <v>134</v>
      </c>
      <c r="E37" s="46">
        <f>VLOOKUP(A37,'The List'!B1:I730,8,FALSE)</f>
        <v>442.531869414092</v>
      </c>
      <c r="F37" s="46">
        <f>IF('Settings'!$E$15="POINTS",E37-VLOOKUP(B$2,C1:E432,3,FALSE),J37)</f>
        <v>92.703894008878</v>
      </c>
      <c r="G37" s="46"/>
      <c r="H37" s="149">
        <f>RANK(I37,I3:I432)</f>
        <v>28</v>
      </c>
      <c r="I37" s="150">
        <f>VLOOKUP(A37,'Standard Deviations'!A1:C731,3,FALSE)</f>
        <v>7.96005453380587</v>
      </c>
      <c r="J37" s="150">
        <f>I37-VLOOKUP(B$2,H1:J432,2,FALSE)</f>
        <v>4.68130041042055</v>
      </c>
    </row>
    <row r="38" ht="21.25" customHeight="1">
      <c r="A38" t="s" s="8">
        <v>203</v>
      </c>
      <c r="B38" t="s" s="148">
        <f>VLOOKUP(A38,'The List'!B1:D730,3,FALSE)</f>
        <v>133</v>
      </c>
      <c r="C38" s="54">
        <f>IF('Settings'!$E$15="POINTS",RANK(E38,E3:E432),H38)</f>
        <v>47</v>
      </c>
      <c r="D38" t="s" s="42">
        <f>VLOOKUP(A38,'The List'!B1:F730,5,FALSE)</f>
        <v>204</v>
      </c>
      <c r="E38" s="46">
        <f>VLOOKUP(A38,'The List'!B1:I730,8,FALSE)</f>
        <v>423.508691485408</v>
      </c>
      <c r="F38" s="46">
        <f>IF('Settings'!$E$15="POINTS",E38-VLOOKUP(B$2,C1:E432,3,FALSE),J38)</f>
        <v>73.680716080194</v>
      </c>
      <c r="G38" s="46"/>
      <c r="H38" s="149">
        <f>RANK(I38,I3:I432)</f>
        <v>50</v>
      </c>
      <c r="I38" s="150">
        <f>VLOOKUP(A38,'Standard Deviations'!A1:C731,3,FALSE)</f>
        <v>6.04159723217599</v>
      </c>
      <c r="J38" s="150">
        <f>I38-VLOOKUP(B$2,H1:J432,2,FALSE)</f>
        <v>2.76284310879067</v>
      </c>
    </row>
    <row r="39" ht="21.25" customHeight="1">
      <c r="A39" t="s" s="8">
        <v>192</v>
      </c>
      <c r="B39" t="s" s="148">
        <f>VLOOKUP(A39,'The List'!B1:D730,3,FALSE)</f>
        <v>107</v>
      </c>
      <c r="C39" s="54">
        <f>IF('Settings'!$E$15="POINTS",RANK(E39,E3:E432),H39)</f>
        <v>26</v>
      </c>
      <c r="D39" t="s" s="42">
        <f>VLOOKUP(A39,'The List'!B1:F730,5,FALSE)</f>
        <v>127</v>
      </c>
      <c r="E39" s="46">
        <f>VLOOKUP(A39,'The List'!B1:I730,8,FALSE)</f>
        <v>460.547741778813</v>
      </c>
      <c r="F39" s="46">
        <f>IF('Settings'!$E$15="POINTS",E39-VLOOKUP(B$2,C1:E432,3,FALSE),J39)</f>
        <v>110.719766373599</v>
      </c>
      <c r="G39" s="46"/>
      <c r="H39" s="149">
        <f>RANK(I39,I3:I432)</f>
        <v>35</v>
      </c>
      <c r="I39" s="150">
        <f>VLOOKUP(A39,'Standard Deviations'!A1:C731,3,FALSE)</f>
        <v>7.42201412852861</v>
      </c>
      <c r="J39" s="150">
        <f>I39-VLOOKUP(B$2,H1:J432,2,FALSE)</f>
        <v>4.14326000514329</v>
      </c>
    </row>
    <row r="40" ht="21.25" customHeight="1">
      <c r="A40" t="s" s="8">
        <v>216</v>
      </c>
      <c r="B40" t="s" s="148">
        <f>VLOOKUP(A40,'The List'!B1:D730,3,FALSE)</f>
        <v>111</v>
      </c>
      <c r="C40" s="54">
        <f>IF('Settings'!$E$15="POINTS",RANK(E40,E3:E432),H40)</f>
        <v>50</v>
      </c>
      <c r="D40" t="s" s="42">
        <f>VLOOKUP(A40,'The List'!B1:F730,5,FALSE)</f>
        <v>194</v>
      </c>
      <c r="E40" s="46">
        <f>VLOOKUP(A40,'The List'!B1:I730,8,FALSE)</f>
        <v>417.887478326887</v>
      </c>
      <c r="F40" s="46">
        <f>IF('Settings'!$E$15="POINTS",E40-VLOOKUP(B$2,C1:E432,3,FALSE),J40)</f>
        <v>68.059502921673</v>
      </c>
      <c r="G40" s="46"/>
      <c r="H40" s="149">
        <f>RANK(I40,I3:I432)</f>
        <v>63</v>
      </c>
      <c r="I40" s="150">
        <f>VLOOKUP(A40,'Standard Deviations'!A1:C731,3,FALSE)</f>
        <v>5.29247492065536</v>
      </c>
      <c r="J40" s="150">
        <f>I40-VLOOKUP(B$2,H1:J432,2,FALSE)</f>
        <v>2.01372079727004</v>
      </c>
    </row>
    <row r="41" ht="21.25" customHeight="1">
      <c r="A41" t="s" s="8">
        <v>198</v>
      </c>
      <c r="B41" t="s" s="148">
        <f>VLOOKUP(A41,'The List'!B1:D730,3,FALSE)</f>
        <v>118</v>
      </c>
      <c r="C41" s="54">
        <f>IF('Settings'!$E$15="POINTS",RANK(E41,E3:E432),H41)</f>
        <v>37</v>
      </c>
      <c r="D41" t="s" s="42">
        <f>VLOOKUP(A41,'The List'!B1:F730,5,FALSE)</f>
        <v>108</v>
      </c>
      <c r="E41" s="46">
        <f>VLOOKUP(A41,'The List'!B1:I730,8,FALSE)</f>
        <v>434.537076182727</v>
      </c>
      <c r="F41" s="46">
        <f>IF('Settings'!$E$15="POINTS",E41-VLOOKUP(B$2,C1:E432,3,FALSE),J41)</f>
        <v>84.709100777513</v>
      </c>
      <c r="G41" s="46"/>
      <c r="H41" s="149">
        <f>RANK(I41,I3:I432)</f>
        <v>30</v>
      </c>
      <c r="I41" s="150">
        <f>VLOOKUP(A41,'Standard Deviations'!A1:C731,3,FALSE)</f>
        <v>7.90186134607692</v>
      </c>
      <c r="J41" s="150">
        <f>I41-VLOOKUP(B$2,H1:J432,2,FALSE)</f>
        <v>4.6231072226916</v>
      </c>
    </row>
    <row r="42" ht="21.25" customHeight="1">
      <c r="A42" t="s" s="8">
        <v>239</v>
      </c>
      <c r="B42" t="s" s="148">
        <f>VLOOKUP(A42,'The List'!B1:D730,3,FALSE)</f>
        <v>107</v>
      </c>
      <c r="C42" s="54">
        <f>IF('Settings'!$E$15="POINTS",RANK(E42,E3:E432),H42)</f>
        <v>61</v>
      </c>
      <c r="D42" t="s" s="42">
        <f>VLOOKUP(A42,'The List'!B1:F730,5,FALSE)</f>
        <v>225</v>
      </c>
      <c r="E42" s="46">
        <f>VLOOKUP(A42,'The List'!B1:I730,8,FALSE)</f>
        <v>402.123785067730</v>
      </c>
      <c r="F42" s="46">
        <f>IF('Settings'!$E$15="POINTS",E42-VLOOKUP(B$2,C1:E432,3,FALSE),J42)</f>
        <v>52.295809662516</v>
      </c>
      <c r="G42" s="46"/>
      <c r="H42" s="149">
        <f>RANK(I42,I3:I432)</f>
        <v>57</v>
      </c>
      <c r="I42" s="150">
        <f>VLOOKUP(A42,'Standard Deviations'!A1:C731,3,FALSE)</f>
        <v>5.57064864773065</v>
      </c>
      <c r="J42" s="150">
        <f>I42-VLOOKUP(B$2,H1:J432,2,FALSE)</f>
        <v>2.29189452434533</v>
      </c>
    </row>
    <row r="43" ht="21.25" customHeight="1">
      <c r="A43" t="s" s="8">
        <v>210</v>
      </c>
      <c r="B43" t="s" s="148">
        <f>VLOOKUP(A43,'The List'!B1:D730,3,FALSE)</f>
        <v>107</v>
      </c>
      <c r="C43" s="54">
        <f>IF('Settings'!$E$15="POINTS",RANK(E43,E3:E432),H43)</f>
        <v>35</v>
      </c>
      <c r="D43" t="s" s="42">
        <f>VLOOKUP(A43,'The List'!B1:F730,5,FALSE)</f>
        <v>136</v>
      </c>
      <c r="E43" s="46">
        <f>VLOOKUP(A43,'The List'!B1:I730,8,FALSE)</f>
        <v>438.310084617597</v>
      </c>
      <c r="F43" s="46">
        <f>IF('Settings'!$E$15="POINTS",E43-VLOOKUP(B$2,C1:E432,3,FALSE),J43)</f>
        <v>88.48210921238299</v>
      </c>
      <c r="G43" s="46"/>
      <c r="H43" s="149">
        <f>RANK(I43,I3:I432)</f>
        <v>20</v>
      </c>
      <c r="I43" s="150">
        <f>VLOOKUP(A43,'Standard Deviations'!A1:C731,3,FALSE)</f>
        <v>8.47737890282724</v>
      </c>
      <c r="J43" s="150">
        <f>I43-VLOOKUP(B$2,H1:J432,2,FALSE)</f>
        <v>5.19862477944192</v>
      </c>
    </row>
    <row r="44" ht="21.25" customHeight="1">
      <c r="A44" t="s" s="8">
        <v>209</v>
      </c>
      <c r="B44" t="s" s="148">
        <f>VLOOKUP(A44,'The List'!B1:D730,3,FALSE)</f>
        <v>121</v>
      </c>
      <c r="C44" s="54">
        <f>IF('Settings'!$E$15="POINTS",RANK(E44,E3:E432),H44)</f>
        <v>38</v>
      </c>
      <c r="D44" t="s" s="42">
        <f>VLOOKUP(A44,'The List'!B1:F730,5,FALSE)</f>
        <v>139</v>
      </c>
      <c r="E44" s="46">
        <f>VLOOKUP(A44,'The List'!B1:I730,8,FALSE)</f>
        <v>434.114582276578</v>
      </c>
      <c r="F44" s="46">
        <f>IF('Settings'!$E$15="POINTS",E44-VLOOKUP(B$2,C1:E432,3,FALSE),J44)</f>
        <v>84.286606871364</v>
      </c>
      <c r="G44" s="46"/>
      <c r="H44" s="149">
        <f>RANK(I44,I3:I432)</f>
        <v>46</v>
      </c>
      <c r="I44" s="150">
        <f>VLOOKUP(A44,'Standard Deviations'!A1:C731,3,FALSE)</f>
        <v>6.35565197395985</v>
      </c>
      <c r="J44" s="150">
        <f>I44-VLOOKUP(B$2,H1:J432,2,FALSE)</f>
        <v>3.07689785057453</v>
      </c>
    </row>
    <row r="45" ht="21.25" customHeight="1">
      <c r="A45" t="s" s="8">
        <v>190</v>
      </c>
      <c r="B45" t="s" s="148">
        <f>VLOOKUP(A45,'The List'!B1:D730,3,FALSE)</f>
        <v>107</v>
      </c>
      <c r="C45" s="54">
        <f>IF('Settings'!$E$15="POINTS",RANK(E45,E3:E432),H45)</f>
        <v>32</v>
      </c>
      <c r="D45" t="s" s="42">
        <f>VLOOKUP(A45,'The List'!B1:F730,5,FALSE)</f>
        <v>184</v>
      </c>
      <c r="E45" s="46">
        <f>VLOOKUP(A45,'The List'!B1:I730,8,FALSE)</f>
        <v>444.144068374983</v>
      </c>
      <c r="F45" s="46">
        <f>IF('Settings'!$E$15="POINTS",E45-VLOOKUP(B$2,C1:E432,3,FALSE),J45)</f>
        <v>94.316092969769</v>
      </c>
      <c r="G45" s="46"/>
      <c r="H45" s="149">
        <f>RANK(I45,I3:I432)</f>
        <v>52</v>
      </c>
      <c r="I45" s="150">
        <f>VLOOKUP(A45,'Standard Deviations'!A1:C731,3,FALSE)</f>
        <v>5.98244358498005</v>
      </c>
      <c r="J45" s="150">
        <f>I45-VLOOKUP(B$2,H1:J432,2,FALSE)</f>
        <v>2.70368946159473</v>
      </c>
    </row>
    <row r="46" ht="21.25" customHeight="1">
      <c r="A46" t="s" s="8">
        <v>232</v>
      </c>
      <c r="B46" t="s" s="148">
        <f>VLOOKUP(A46,'The List'!B1:D730,3,FALSE)</f>
        <v>187</v>
      </c>
      <c r="C46" s="54">
        <f>IF('Settings'!$E$15="POINTS",RANK(E46,E3:E432),H46)</f>
        <v>63</v>
      </c>
      <c r="D46" t="s" s="42">
        <f>VLOOKUP(A46,'The List'!B1:F730,5,FALSE)</f>
        <v>119</v>
      </c>
      <c r="E46" s="46">
        <f>VLOOKUP(A46,'The List'!B1:I730,8,FALSE)</f>
        <v>399.565113963845</v>
      </c>
      <c r="F46" s="46">
        <f>IF('Settings'!$E$15="POINTS",E46-VLOOKUP(B$2,C1:E432,3,FALSE),J46)</f>
        <v>49.737138558631</v>
      </c>
      <c r="G46" s="46"/>
      <c r="H46" s="149">
        <f>RANK(I46,I3:I432)</f>
        <v>44</v>
      </c>
      <c r="I46" s="150">
        <f>VLOOKUP(A46,'Standard Deviations'!A1:C731,3,FALSE)</f>
        <v>6.39061856439438</v>
      </c>
      <c r="J46" s="150">
        <f>I46-VLOOKUP(B$2,H1:J432,2,FALSE)</f>
        <v>3.11186444100906</v>
      </c>
    </row>
    <row r="47" ht="21.25" customHeight="1">
      <c r="A47" t="s" s="8">
        <v>199</v>
      </c>
      <c r="B47" t="s" s="148">
        <f>VLOOKUP(A47,'The List'!B1:D730,3,FALSE)</f>
        <v>118</v>
      </c>
      <c r="C47" s="54">
        <f>IF('Settings'!$E$15="POINTS",RANK(E47,E3:E432),H47)</f>
        <v>39</v>
      </c>
      <c r="D47" t="s" s="42">
        <f>VLOOKUP(A47,'The List'!B1:F730,5,FALSE)</f>
        <v>184</v>
      </c>
      <c r="E47" s="46">
        <f>VLOOKUP(A47,'The List'!B1:I730,8,FALSE)</f>
        <v>432.441434397072</v>
      </c>
      <c r="F47" s="46">
        <f>IF('Settings'!$E$15="POINTS",E47-VLOOKUP(B$2,C1:E432,3,FALSE),J47)</f>
        <v>82.613458991858</v>
      </c>
      <c r="G47" s="46"/>
      <c r="H47" s="149">
        <f>RANK(I47,I3:I432)</f>
        <v>54</v>
      </c>
      <c r="I47" s="150">
        <f>VLOOKUP(A47,'Standard Deviations'!A1:C731,3,FALSE)</f>
        <v>5.73198421064116</v>
      </c>
      <c r="J47" s="150">
        <f>I47-VLOOKUP(B$2,H1:J432,2,FALSE)</f>
        <v>2.45323008725584</v>
      </c>
    </row>
    <row r="48" ht="21.25" customHeight="1">
      <c r="A48" t="s" s="8">
        <v>223</v>
      </c>
      <c r="B48" t="s" s="148">
        <f>VLOOKUP(A48,'The List'!B1:D730,3,FALSE)</f>
        <v>133</v>
      </c>
      <c r="C48" s="54">
        <f>IF('Settings'!$E$15="POINTS",RANK(E48,E3:E432),H48)</f>
        <v>59</v>
      </c>
      <c r="D48" t="s" s="42">
        <f>VLOOKUP(A48,'The List'!B1:F730,5,FALSE)</f>
        <v>122</v>
      </c>
      <c r="E48" s="46">
        <f>VLOOKUP(A48,'The List'!B1:I730,8,FALSE)</f>
        <v>404.216115972245</v>
      </c>
      <c r="F48" s="46">
        <f>IF('Settings'!$E$15="POINTS",E48-VLOOKUP(B$2,C1:E432,3,FALSE),J48)</f>
        <v>54.388140567031</v>
      </c>
      <c r="G48" s="46"/>
      <c r="H48" s="149">
        <f>RANK(I48,I3:I432)</f>
        <v>37</v>
      </c>
      <c r="I48" s="150">
        <f>VLOOKUP(A48,'Standard Deviations'!A1:C731,3,FALSE)</f>
        <v>7.19169678900462</v>
      </c>
      <c r="J48" s="150">
        <f>I48-VLOOKUP(B$2,H1:J432,2,FALSE)</f>
        <v>3.9129426656193</v>
      </c>
    </row>
    <row r="49" ht="21.25" customHeight="1">
      <c r="A49" t="s" s="8">
        <v>226</v>
      </c>
      <c r="B49" t="s" s="148">
        <f>VLOOKUP(A49,'The List'!B1:D730,3,FALSE)</f>
        <v>111</v>
      </c>
      <c r="C49" s="54">
        <f>IF('Settings'!$E$15="POINTS",RANK(E49,E3:E432),H49)</f>
        <v>45</v>
      </c>
      <c r="D49" t="s" s="42">
        <f>VLOOKUP(A49,'The List'!B1:F730,5,FALSE)</f>
        <v>119</v>
      </c>
      <c r="E49" s="46">
        <f>VLOOKUP(A49,'The List'!B1:I730,8,FALSE)</f>
        <v>426.295752779934</v>
      </c>
      <c r="F49" s="46">
        <f>IF('Settings'!$E$15="POINTS",E49-VLOOKUP(B$2,C1:E432,3,FALSE),J49)</f>
        <v>76.467777374720</v>
      </c>
      <c r="G49" s="46"/>
      <c r="H49" s="149">
        <f>RANK(I49,I3:I432)</f>
        <v>39</v>
      </c>
      <c r="I49" s="150">
        <f>VLOOKUP(A49,'Standard Deviations'!A1:C731,3,FALSE)</f>
        <v>7.10854151458907</v>
      </c>
      <c r="J49" s="150">
        <f>I49-VLOOKUP(B$2,H1:J432,2,FALSE)</f>
        <v>3.82978739120375</v>
      </c>
    </row>
    <row r="50" ht="21.25" customHeight="1">
      <c r="A50" t="s" s="8">
        <v>201</v>
      </c>
      <c r="B50" t="s" s="148">
        <f>VLOOKUP(A50,'The List'!B1:D730,3,FALSE)</f>
        <v>118</v>
      </c>
      <c r="C50" s="54">
        <f>IF('Settings'!$E$15="POINTS",RANK(E50,E3:E432),H50)</f>
        <v>30</v>
      </c>
      <c r="D50" t="s" s="42">
        <f>VLOOKUP(A50,'The List'!B1:F730,5,FALSE)</f>
        <v>202</v>
      </c>
      <c r="E50" s="46">
        <f>VLOOKUP(A50,'The List'!B1:I730,8,FALSE)</f>
        <v>447.158630910392</v>
      </c>
      <c r="F50" s="46">
        <f>IF('Settings'!$E$15="POINTS",E50-VLOOKUP(B$2,C1:E432,3,FALSE),J50)</f>
        <v>97.330655505178</v>
      </c>
      <c r="G50" s="46"/>
      <c r="H50" s="149">
        <f>RANK(I50,I3:I432)</f>
        <v>27</v>
      </c>
      <c r="I50" s="150">
        <f>VLOOKUP(A50,'Standard Deviations'!A1:C731,3,FALSE)</f>
        <v>7.99051447788819</v>
      </c>
      <c r="J50" s="150">
        <f>I50-VLOOKUP(B$2,H1:J432,2,FALSE)</f>
        <v>4.71176035450287</v>
      </c>
    </row>
    <row r="51" ht="21.25" customHeight="1">
      <c r="A51" t="s" s="8">
        <v>231</v>
      </c>
      <c r="B51" t="s" s="148">
        <f>VLOOKUP(A51,'The List'!B1:D730,3,FALSE)</f>
        <v>133</v>
      </c>
      <c r="C51" s="54">
        <f>IF('Settings'!$E$15="POINTS",RANK(E51,E3:E432),H51)</f>
        <v>62</v>
      </c>
      <c r="D51" t="s" s="42">
        <f>VLOOKUP(A51,'The List'!B1:F730,5,FALSE)</f>
        <v>139</v>
      </c>
      <c r="E51" s="46">
        <f>VLOOKUP(A51,'The List'!B1:I730,8,FALSE)</f>
        <v>401.654553591353</v>
      </c>
      <c r="F51" s="46">
        <f>IF('Settings'!$E$15="POINTS",E51-VLOOKUP(B$2,C1:E432,3,FALSE),J51)</f>
        <v>51.826578186139</v>
      </c>
      <c r="G51" s="46"/>
      <c r="H51" s="149">
        <f>RANK(I51,I3:I432)</f>
        <v>65</v>
      </c>
      <c r="I51" s="150">
        <f>VLOOKUP(A51,'Standard Deviations'!A1:C731,3,FALSE)</f>
        <v>5.22647385310589</v>
      </c>
      <c r="J51" s="150">
        <f>I51-VLOOKUP(B$2,H1:J432,2,FALSE)</f>
        <v>1.94771972972057</v>
      </c>
    </row>
    <row r="52" ht="21.25" customHeight="1">
      <c r="A52" t="s" s="8">
        <v>215</v>
      </c>
      <c r="B52" t="s" s="148">
        <f>VLOOKUP(A52,'The List'!B1:D730,3,FALSE)</f>
        <v>118</v>
      </c>
      <c r="C52" s="54">
        <f>IF('Settings'!$E$15="POINTS",RANK(E52,E3:E432),H52)</f>
        <v>68</v>
      </c>
      <c r="D52" t="s" s="42">
        <f>VLOOKUP(A52,'The List'!B1:F730,5,FALSE)</f>
        <v>127</v>
      </c>
      <c r="E52" s="46">
        <f>VLOOKUP(A52,'The List'!B1:I730,8,FALSE)</f>
        <v>393.266774983083</v>
      </c>
      <c r="F52" s="46">
        <f>IF('Settings'!$E$15="POINTS",E52-VLOOKUP(B$2,C1:E432,3,FALSE),J52)</f>
        <v>43.438799577869</v>
      </c>
      <c r="G52" s="46"/>
      <c r="H52" s="149">
        <f>RANK(I52,I3:I432)</f>
        <v>56</v>
      </c>
      <c r="I52" s="150">
        <f>VLOOKUP(A52,'Standard Deviations'!A1:C731,3,FALSE)</f>
        <v>5.60164737026356</v>
      </c>
      <c r="J52" s="150">
        <f>I52-VLOOKUP(B$2,H1:J432,2,FALSE)</f>
        <v>2.32289324687824</v>
      </c>
    </row>
    <row r="53" ht="21.25" customHeight="1">
      <c r="A53" t="s" s="8">
        <v>221</v>
      </c>
      <c r="B53" t="s" s="148">
        <f>VLOOKUP(A53,'The List'!B1:D730,3,FALSE)</f>
        <v>118</v>
      </c>
      <c r="C53" s="54">
        <f>IF('Settings'!$E$15="POINTS",RANK(E53,E3:E432),H53)</f>
        <v>56</v>
      </c>
      <c r="D53" t="s" s="42">
        <f>VLOOKUP(A53,'The List'!B1:F730,5,FALSE)</f>
        <v>189</v>
      </c>
      <c r="E53" s="46">
        <f>VLOOKUP(A53,'The List'!B1:I730,8,FALSE)</f>
        <v>404.837501140412</v>
      </c>
      <c r="F53" s="46">
        <f>IF('Settings'!$E$15="POINTS",E53-VLOOKUP(B$2,C1:E432,3,FALSE),J53)</f>
        <v>55.009525735198</v>
      </c>
      <c r="G53" s="46"/>
      <c r="H53" s="149">
        <f>RANK(I53,I3:I432)</f>
        <v>87</v>
      </c>
      <c r="I53" s="150">
        <f>VLOOKUP(A53,'Standard Deviations'!A1:C731,3,FALSE)</f>
        <v>4.21121454432261</v>
      </c>
      <c r="J53" s="150">
        <f>I53-VLOOKUP(B$2,H1:J432,2,FALSE)</f>
        <v>0.93246042093729</v>
      </c>
    </row>
    <row r="54" ht="21.25" customHeight="1">
      <c r="A54" t="s" s="8">
        <v>217</v>
      </c>
      <c r="B54" t="s" s="148">
        <f>VLOOKUP(A54,'The List'!B1:D730,3,FALSE)</f>
        <v>107</v>
      </c>
      <c r="C54" s="54">
        <f>IF('Settings'!$E$15="POINTS",RANK(E54,E3:E432),H54)</f>
        <v>40</v>
      </c>
      <c r="D54" t="s" s="42">
        <f>VLOOKUP(A54,'The List'!B1:F730,5,FALSE)</f>
        <v>218</v>
      </c>
      <c r="E54" s="46">
        <f>VLOOKUP(A54,'The List'!B1:I730,8,FALSE)</f>
        <v>430.634958060113</v>
      </c>
      <c r="F54" s="46">
        <f>IF('Settings'!$E$15="POINTS",E54-VLOOKUP(B$2,C1:E432,3,FALSE),J54)</f>
        <v>80.806982654899</v>
      </c>
      <c r="G54" s="46"/>
      <c r="H54" s="149">
        <f>RANK(I54,I3:I432)</f>
        <v>33</v>
      </c>
      <c r="I54" s="150">
        <f>VLOOKUP(A54,'Standard Deviations'!A1:C731,3,FALSE)</f>
        <v>7.64825685043151</v>
      </c>
      <c r="J54" s="150">
        <f>I54-VLOOKUP(B$2,H1:J432,2,FALSE)</f>
        <v>4.36950272704619</v>
      </c>
    </row>
    <row r="55" ht="21.25" customHeight="1">
      <c r="A55" t="s" s="8">
        <v>208</v>
      </c>
      <c r="B55" t="s" s="148">
        <f>VLOOKUP(A55,'The List'!B1:D730,3,FALSE)</f>
        <v>107</v>
      </c>
      <c r="C55" s="54">
        <f>IF('Settings'!$E$15="POINTS",RANK(E55,E3:E432),H55)</f>
        <v>41</v>
      </c>
      <c r="D55" t="s" s="42">
        <f>VLOOKUP(A55,'The List'!B1:F730,5,FALSE)</f>
        <v>139</v>
      </c>
      <c r="E55" s="46">
        <f>VLOOKUP(A55,'The List'!B1:I730,8,FALSE)</f>
        <v>429.280053189410</v>
      </c>
      <c r="F55" s="46">
        <f>IF('Settings'!$E$15="POINTS",E55-VLOOKUP(B$2,C1:E432,3,FALSE),J55)</f>
        <v>79.45207778419601</v>
      </c>
      <c r="G55" s="46"/>
      <c r="H55" s="149">
        <f>RANK(I55,I3:I432)</f>
        <v>59</v>
      </c>
      <c r="I55" s="150">
        <f>VLOOKUP(A55,'Standard Deviations'!A1:C731,3,FALSE)</f>
        <v>5.43262590035221</v>
      </c>
      <c r="J55" s="150">
        <f>I55-VLOOKUP(B$2,H1:J432,2,FALSE)</f>
        <v>2.15387177696689</v>
      </c>
    </row>
    <row r="56" ht="21.25" customHeight="1">
      <c r="A56" t="s" s="8">
        <v>228</v>
      </c>
      <c r="B56" t="s" s="148">
        <f>VLOOKUP(A56,'The List'!B1:D730,3,FALSE)</f>
        <v>107</v>
      </c>
      <c r="C56" s="54">
        <f>IF('Settings'!$E$15="POINTS",RANK(E56,E3:E432),H56)</f>
        <v>34</v>
      </c>
      <c r="D56" t="s" s="42">
        <f>VLOOKUP(A56,'The List'!B1:F730,5,FALSE)</f>
        <v>149</v>
      </c>
      <c r="E56" s="46">
        <f>VLOOKUP(A56,'The List'!B1:I730,8,FALSE)</f>
        <v>441.402765266841</v>
      </c>
      <c r="F56" s="46">
        <f>IF('Settings'!$E$15="POINTS",E56-VLOOKUP(B$2,C1:E432,3,FALSE),J56)</f>
        <v>91.574789861627</v>
      </c>
      <c r="G56" s="46"/>
      <c r="H56" s="149">
        <f>RANK(I56,I3:I432)</f>
        <v>47</v>
      </c>
      <c r="I56" s="150">
        <f>VLOOKUP(A56,'Standard Deviations'!A1:C731,3,FALSE)</f>
        <v>6.31410716630591</v>
      </c>
      <c r="J56" s="150">
        <f>I56-VLOOKUP(B$2,H1:J432,2,FALSE)</f>
        <v>3.03535304292059</v>
      </c>
    </row>
    <row r="57" ht="21.25" customHeight="1">
      <c r="A57" t="s" s="8">
        <v>235</v>
      </c>
      <c r="B57" t="s" s="148">
        <f>VLOOKUP(A57,'The List'!B1:D730,3,FALSE)</f>
        <v>121</v>
      </c>
      <c r="C57" s="54">
        <f>IF('Settings'!$E$15="POINTS",RANK(E57,E3:E432),H57)</f>
        <v>44</v>
      </c>
      <c r="D57" t="s" s="42">
        <f>VLOOKUP(A57,'The List'!B1:F730,5,FALSE)</f>
        <v>236</v>
      </c>
      <c r="E57" s="46">
        <f>VLOOKUP(A57,'The List'!B1:I730,8,FALSE)</f>
        <v>426.759260047710</v>
      </c>
      <c r="F57" s="46">
        <f>IF('Settings'!$E$15="POINTS",E57-VLOOKUP(B$2,C1:E432,3,FALSE),J57)</f>
        <v>76.931284642496</v>
      </c>
      <c r="G57" s="46"/>
      <c r="H57" s="149">
        <f>RANK(I57,I3:I432)</f>
        <v>91</v>
      </c>
      <c r="I57" s="150">
        <f>VLOOKUP(A57,'Standard Deviations'!A1:C731,3,FALSE)</f>
        <v>3.66835664639186</v>
      </c>
      <c r="J57" s="150">
        <f>I57-VLOOKUP(B$2,H1:J432,2,FALSE)</f>
        <v>0.38960252300654</v>
      </c>
    </row>
    <row r="58" ht="21.25" customHeight="1">
      <c r="A58" t="s" s="8">
        <v>251</v>
      </c>
      <c r="B58" t="s" s="148">
        <f>VLOOKUP(A58,'The List'!B1:D730,3,FALSE)</f>
        <v>107</v>
      </c>
      <c r="C58" s="54">
        <f>IF('Settings'!$E$15="POINTS",RANK(E58,E3:E432),H58)</f>
        <v>51</v>
      </c>
      <c r="D58" t="s" s="42">
        <f>VLOOKUP(A58,'The List'!B1:F730,5,FALSE)</f>
        <v>238</v>
      </c>
      <c r="E58" s="46">
        <f>VLOOKUP(A58,'The List'!B1:I730,8,FALSE)</f>
        <v>412.971004757655</v>
      </c>
      <c r="F58" s="46">
        <f>IF('Settings'!$E$15="POINTS",E58-VLOOKUP(B$2,C1:E432,3,FALSE),J58)</f>
        <v>63.143029352441</v>
      </c>
      <c r="G58" s="46"/>
      <c r="H58" s="149">
        <f>RANK(I58,I3:I432)</f>
        <v>42</v>
      </c>
      <c r="I58" s="150">
        <f>VLOOKUP(A58,'Standard Deviations'!A1:C731,3,FALSE)</f>
        <v>6.54983777148024</v>
      </c>
      <c r="J58" s="150">
        <f>I58-VLOOKUP(B$2,H1:J432,2,FALSE)</f>
        <v>3.27108364809492</v>
      </c>
    </row>
    <row r="59" ht="21.25" customHeight="1">
      <c r="A59" t="s" s="8">
        <v>230</v>
      </c>
      <c r="B59" t="s" s="148">
        <f>VLOOKUP(A59,'The List'!B1:D730,3,FALSE)</f>
        <v>107</v>
      </c>
      <c r="C59" s="54">
        <f>IF('Settings'!$E$15="POINTS",RANK(E59,E3:E432),H59)</f>
        <v>48</v>
      </c>
      <c r="D59" t="s" s="42">
        <f>VLOOKUP(A59,'The List'!B1:F730,5,FALSE)</f>
        <v>164</v>
      </c>
      <c r="E59" s="46">
        <f>VLOOKUP(A59,'The List'!B1:I730,8,FALSE)</f>
        <v>420.257771304693</v>
      </c>
      <c r="F59" s="46">
        <f>IF('Settings'!$E$15="POINTS",E59-VLOOKUP(B$2,C1:E432,3,FALSE),J59)</f>
        <v>70.429795899479</v>
      </c>
      <c r="G59" s="46"/>
      <c r="H59" s="149">
        <f>RANK(I59,I3:I432)</f>
        <v>51</v>
      </c>
      <c r="I59" s="150">
        <f>VLOOKUP(A59,'Standard Deviations'!A1:C731,3,FALSE)</f>
        <v>6.00964313038038</v>
      </c>
      <c r="J59" s="150">
        <f>I59-VLOOKUP(B$2,H1:J432,2,FALSE)</f>
        <v>2.73088900699506</v>
      </c>
    </row>
    <row r="60" ht="21.25" customHeight="1">
      <c r="A60" t="s" s="8">
        <v>255</v>
      </c>
      <c r="B60" t="s" s="148">
        <f>VLOOKUP(A60,'The List'!B1:D730,3,FALSE)</f>
        <v>121</v>
      </c>
      <c r="C60" s="54">
        <f>IF('Settings'!$E$15="POINTS",RANK(E60,E3:E432),H60)</f>
        <v>92</v>
      </c>
      <c r="D60" t="s" s="42">
        <f>VLOOKUP(A60,'The List'!B1:F730,5,FALSE)</f>
        <v>134</v>
      </c>
      <c r="E60" s="46">
        <f>VLOOKUP(A60,'The List'!B1:I730,8,FALSE)</f>
        <v>356.936483815501</v>
      </c>
      <c r="F60" s="46">
        <f>IF('Settings'!$E$15="POINTS",E60-VLOOKUP(B$2,C1:E432,3,FALSE),J60)</f>
        <v>7.108508410287</v>
      </c>
      <c r="G60" s="46"/>
      <c r="H60" s="149">
        <f>RANK(I60,I3:I432)</f>
        <v>64</v>
      </c>
      <c r="I60" s="150">
        <f>VLOOKUP(A60,'Standard Deviations'!A1:C731,3,FALSE)</f>
        <v>5.26715207091269</v>
      </c>
      <c r="J60" s="150">
        <f>I60-VLOOKUP(B$2,H1:J432,2,FALSE)</f>
        <v>1.98839794752737</v>
      </c>
    </row>
    <row r="61" ht="21.25" customHeight="1">
      <c r="A61" t="s" s="8">
        <v>233</v>
      </c>
      <c r="B61" t="s" s="148">
        <f>VLOOKUP(A61,'The List'!B1:D730,3,FALSE)</f>
        <v>107</v>
      </c>
      <c r="C61" s="54">
        <f>IF('Settings'!$E$15="POINTS",RANK(E61,E3:E432),H61)</f>
        <v>57</v>
      </c>
      <c r="D61" t="s" s="42">
        <f>VLOOKUP(A61,'The List'!B1:F730,5,FALSE)</f>
        <v>234</v>
      </c>
      <c r="E61" s="46">
        <f>VLOOKUP(A61,'The List'!B1:I730,8,FALSE)</f>
        <v>404.285265978265</v>
      </c>
      <c r="F61" s="46">
        <f>IF('Settings'!$E$15="POINTS",E61-VLOOKUP(B$2,C1:E432,3,FALSE),J61)</f>
        <v>54.457290573051</v>
      </c>
      <c r="G61" s="46"/>
      <c r="H61" s="149">
        <f>RANK(I61,I3:I432)</f>
        <v>105</v>
      </c>
      <c r="I61" s="150">
        <f>VLOOKUP(A61,'Standard Deviations'!A1:C731,3,FALSE)</f>
        <v>2.79390252567511</v>
      </c>
      <c r="J61" s="150">
        <f>I61-VLOOKUP(B$2,H1:J432,2,FALSE)</f>
        <v>-0.48485159771021</v>
      </c>
    </row>
    <row r="62" ht="21.25" customHeight="1">
      <c r="A62" t="s" s="8">
        <v>241</v>
      </c>
      <c r="B62" t="s" s="148">
        <f>VLOOKUP(A62,'The List'!B1:D730,3,FALSE)</f>
        <v>121</v>
      </c>
      <c r="C62" s="54">
        <f>IF('Settings'!$E$15="POINTS",RANK(E62,E3:E432),H62)</f>
        <v>66</v>
      </c>
      <c r="D62" t="s" s="42">
        <f>VLOOKUP(A62,'The List'!B1:F730,5,FALSE)</f>
        <v>234</v>
      </c>
      <c r="E62" s="46">
        <f>VLOOKUP(A62,'The List'!B1:I730,8,FALSE)</f>
        <v>395.124213032265</v>
      </c>
      <c r="F62" s="46">
        <f>IF('Settings'!$E$15="POINTS",E62-VLOOKUP(B$2,C1:E432,3,FALSE),J62)</f>
        <v>45.296237627051</v>
      </c>
      <c r="G62" s="46"/>
      <c r="H62" s="149">
        <f>RANK(I62,I3:I432)</f>
        <v>101</v>
      </c>
      <c r="I62" s="150">
        <f>VLOOKUP(A62,'Standard Deviations'!A1:C731,3,FALSE)</f>
        <v>3.02880325371513</v>
      </c>
      <c r="J62" s="150">
        <f>I62-VLOOKUP(B$2,H1:J432,2,FALSE)</f>
        <v>-0.24995086967019</v>
      </c>
    </row>
    <row r="63" ht="21.25" customHeight="1">
      <c r="A63" t="s" s="8">
        <v>244</v>
      </c>
      <c r="B63" t="s" s="148">
        <f>VLOOKUP(A63,'The List'!B1:D730,3,FALSE)</f>
        <v>187</v>
      </c>
      <c r="C63" s="54">
        <f>IF('Settings'!$E$15="POINTS",RANK(E63,E3:E432),H63)</f>
        <v>65</v>
      </c>
      <c r="D63" t="s" s="42">
        <f>VLOOKUP(A63,'The List'!B1:F730,5,FALSE)</f>
        <v>136</v>
      </c>
      <c r="E63" s="46">
        <f>VLOOKUP(A63,'The List'!B1:I730,8,FALSE)</f>
        <v>395.774201636015</v>
      </c>
      <c r="F63" s="46">
        <f>IF('Settings'!$E$15="POINTS",E63-VLOOKUP(B$2,C1:E432,3,FALSE),J63)</f>
        <v>45.946226230801</v>
      </c>
      <c r="G63" s="46"/>
      <c r="H63" s="149">
        <f>RANK(I63,I3:I432)</f>
        <v>31</v>
      </c>
      <c r="I63" s="150">
        <f>VLOOKUP(A63,'Standard Deviations'!A1:C731,3,FALSE)</f>
        <v>7.77637529810552</v>
      </c>
      <c r="J63" s="150">
        <f>I63-VLOOKUP(B$2,H1:J432,2,FALSE)</f>
        <v>4.4976211747202</v>
      </c>
    </row>
    <row r="64" ht="21.25" customHeight="1">
      <c r="A64" t="s" s="8">
        <v>245</v>
      </c>
      <c r="B64" t="s" s="148">
        <f>VLOOKUP(A64,'The List'!B1:D730,3,FALSE)</f>
        <v>121</v>
      </c>
      <c r="C64" s="54">
        <f>IF('Settings'!$E$15="POINTS",RANK(E64,E3:E432),H64)</f>
        <v>67</v>
      </c>
      <c r="D64" t="s" s="42">
        <f>VLOOKUP(A64,'The List'!B1:F730,5,FALSE)</f>
        <v>218</v>
      </c>
      <c r="E64" s="46">
        <f>VLOOKUP(A64,'The List'!B1:I730,8,FALSE)</f>
        <v>394.587522466748</v>
      </c>
      <c r="F64" s="46">
        <f>IF('Settings'!$E$15="POINTS",E64-VLOOKUP(B$2,C1:E432,3,FALSE),J64)</f>
        <v>44.759547061534</v>
      </c>
      <c r="G64" s="46"/>
      <c r="H64" s="149">
        <f>RANK(I64,I3:I432)</f>
        <v>53</v>
      </c>
      <c r="I64" s="150">
        <f>VLOOKUP(A64,'Standard Deviations'!A1:C731,3,FALSE)</f>
        <v>5.97058994350369</v>
      </c>
      <c r="J64" s="150">
        <f>I64-VLOOKUP(B$2,H1:J432,2,FALSE)</f>
        <v>2.69183582011837</v>
      </c>
    </row>
    <row r="65" ht="21.25" customHeight="1">
      <c r="A65" t="s" s="8">
        <v>242</v>
      </c>
      <c r="B65" t="s" s="148">
        <f>VLOOKUP(A65,'The List'!B1:D730,3,FALSE)</f>
        <v>107</v>
      </c>
      <c r="C65" s="54">
        <f>IF('Settings'!$E$15="POINTS",RANK(E65,E3:E432),H65)</f>
        <v>43</v>
      </c>
      <c r="D65" t="s" s="42">
        <f>VLOOKUP(A65,'The List'!B1:F730,5,FALSE)</f>
        <v>134</v>
      </c>
      <c r="E65" s="46">
        <f>VLOOKUP(A65,'The List'!B1:I730,8,FALSE)</f>
        <v>428.276917866636</v>
      </c>
      <c r="F65" s="46">
        <f>IF('Settings'!$E$15="POINTS",E65-VLOOKUP(B$2,C1:E432,3,FALSE),J65)</f>
        <v>78.44894246142201</v>
      </c>
      <c r="G65" s="46"/>
      <c r="H65" s="149">
        <f>RANK(I65,I3:I432)</f>
        <v>40</v>
      </c>
      <c r="I65" s="150">
        <f>VLOOKUP(A65,'Standard Deviations'!A1:C731,3,FALSE)</f>
        <v>6.94616677299309</v>
      </c>
      <c r="J65" s="150">
        <f>I65-VLOOKUP(B$2,H1:J432,2,FALSE)</f>
        <v>3.66741264960777</v>
      </c>
    </row>
    <row r="66" ht="21.25" customHeight="1">
      <c r="A66" t="s" s="8">
        <v>243</v>
      </c>
      <c r="B66" t="s" s="148">
        <f>VLOOKUP(A66,'The List'!B1:D730,3,FALSE)</f>
        <v>107</v>
      </c>
      <c r="C66" s="54">
        <f>IF('Settings'!$E$15="POINTS",RANK(E66,E3:E432),H66)</f>
        <v>76</v>
      </c>
      <c r="D66" t="s" s="42">
        <f>VLOOKUP(A66,'The List'!B1:F730,5,FALSE)</f>
        <v>170</v>
      </c>
      <c r="E66" s="46">
        <f>VLOOKUP(A66,'The List'!B1:I730,8,FALSE)</f>
        <v>378.678996168849</v>
      </c>
      <c r="F66" s="46">
        <f>IF('Settings'!$E$15="POINTS",E66-VLOOKUP(B$2,C1:E432,3,FALSE),J66)</f>
        <v>28.851020763635</v>
      </c>
      <c r="G66" s="46"/>
      <c r="H66" s="149">
        <f>RANK(I66,I3:I432)</f>
        <v>48</v>
      </c>
      <c r="I66" s="150">
        <f>VLOOKUP(A66,'Standard Deviations'!A1:C731,3,FALSE)</f>
        <v>6.15435874869361</v>
      </c>
      <c r="J66" s="150">
        <f>I66-VLOOKUP(B$2,H1:J432,2,FALSE)</f>
        <v>2.87560462530829</v>
      </c>
    </row>
    <row r="67" ht="21.25" customHeight="1">
      <c r="A67" t="s" s="8">
        <v>249</v>
      </c>
      <c r="B67" t="s" s="148">
        <f>VLOOKUP(A67,'The List'!B1:D730,3,FALSE)</f>
        <v>187</v>
      </c>
      <c r="C67" s="54">
        <f>IF('Settings'!$E$15="POINTS",RANK(E67,E3:E432),H67)</f>
        <v>73</v>
      </c>
      <c r="D67" t="s" s="42">
        <f>VLOOKUP(A67,'The List'!B1:F730,5,FALSE)</f>
        <v>202</v>
      </c>
      <c r="E67" s="46">
        <f>VLOOKUP(A67,'The List'!B1:I730,8,FALSE)</f>
        <v>383.059770401307</v>
      </c>
      <c r="F67" s="46">
        <f>IF('Settings'!$E$15="POINTS",E67-VLOOKUP(B$2,C1:E432,3,FALSE),J67)</f>
        <v>33.231794996093</v>
      </c>
      <c r="G67" s="46"/>
      <c r="H67" s="149">
        <f>RANK(I67,I3:I432)</f>
        <v>49</v>
      </c>
      <c r="I67" s="150">
        <f>VLOOKUP(A67,'Standard Deviations'!A1:C731,3,FALSE)</f>
        <v>6.10556114419272</v>
      </c>
      <c r="J67" s="150">
        <f>I67-VLOOKUP(B$2,H1:J432,2,FALSE)</f>
        <v>2.8268070208074</v>
      </c>
    </row>
    <row r="68" ht="21.25" customHeight="1">
      <c r="A68" t="s" s="8">
        <v>253</v>
      </c>
      <c r="B68" t="s" s="148">
        <f>VLOOKUP(A68,'The List'!B1:D730,3,FALSE)</f>
        <v>133</v>
      </c>
      <c r="C68" s="54">
        <f>IF('Settings'!$E$15="POINTS",RANK(E68,E3:E432),H68)</f>
        <v>78</v>
      </c>
      <c r="D68" t="s" s="42">
        <f>VLOOKUP(A68,'The List'!B1:F730,5,FALSE)</f>
        <v>238</v>
      </c>
      <c r="E68" s="46">
        <f>VLOOKUP(A68,'The List'!B1:I730,8,FALSE)</f>
        <v>377.869432920536</v>
      </c>
      <c r="F68" s="46">
        <f>IF('Settings'!$E$15="POINTS",E68-VLOOKUP(B$2,C1:E432,3,FALSE),J68)</f>
        <v>28.041457515322</v>
      </c>
      <c r="G68" s="46"/>
      <c r="H68" s="149">
        <f>RANK(I68,I3:I432)</f>
        <v>62</v>
      </c>
      <c r="I68" s="150">
        <f>VLOOKUP(A68,'Standard Deviations'!A1:C731,3,FALSE)</f>
        <v>5.30764858263421</v>
      </c>
      <c r="J68" s="150">
        <f>I68-VLOOKUP(B$2,H1:J432,2,FALSE)</f>
        <v>2.02889445924889</v>
      </c>
    </row>
    <row r="69" ht="21.25" customHeight="1">
      <c r="A69" t="s" s="8">
        <v>260</v>
      </c>
      <c r="B69" t="s" s="148">
        <f>VLOOKUP(A69,'The List'!B1:D730,3,FALSE)</f>
        <v>107</v>
      </c>
      <c r="C69" s="54">
        <f>IF('Settings'!$E$15="POINTS",RANK(E69,E3:E432),H69)</f>
        <v>60</v>
      </c>
      <c r="D69" t="s" s="42">
        <f>VLOOKUP(A69,'The List'!B1:F730,5,FALSE)</f>
        <v>149</v>
      </c>
      <c r="E69" s="46">
        <f>VLOOKUP(A69,'The List'!B1:I730,8,FALSE)</f>
        <v>402.232228471616</v>
      </c>
      <c r="F69" s="46">
        <f>IF('Settings'!$E$15="POINTS",E69-VLOOKUP(B$2,C1:E432,3,FALSE),J69)</f>
        <v>52.404253066402</v>
      </c>
      <c r="G69" s="46"/>
      <c r="H69" s="149">
        <f>RANK(I69,I3:I432)</f>
        <v>58</v>
      </c>
      <c r="I69" s="150">
        <f>VLOOKUP(A69,'Standard Deviations'!A1:C731,3,FALSE)</f>
        <v>5.56465126732554</v>
      </c>
      <c r="J69" s="150">
        <f>I69-VLOOKUP(B$2,H1:J432,2,FALSE)</f>
        <v>2.28589714394022</v>
      </c>
    </row>
    <row r="70" ht="21.25" customHeight="1">
      <c r="A70" t="s" s="8">
        <v>285</v>
      </c>
      <c r="B70" t="s" s="148">
        <f>VLOOKUP(A70,'The List'!B1:D730,3,FALSE)</f>
        <v>107</v>
      </c>
      <c r="C70" s="54">
        <f>IF('Settings'!$E$15="POINTS",RANK(E70,E3:E432),H70)</f>
        <v>77</v>
      </c>
      <c r="D70" t="s" s="42">
        <f>VLOOKUP(A70,'The List'!B1:F730,5,FALSE)</f>
        <v>141</v>
      </c>
      <c r="E70" s="46">
        <f>VLOOKUP(A70,'The List'!B1:I730,8,FALSE)</f>
        <v>378.161877422354</v>
      </c>
      <c r="F70" s="46">
        <f>IF('Settings'!$E$15="POINTS",E70-VLOOKUP(B$2,C1:E432,3,FALSE),J70)</f>
        <v>28.333902017140</v>
      </c>
      <c r="G70" s="46"/>
      <c r="H70" s="149">
        <f>RANK(I70,I3:I432)</f>
        <v>79</v>
      </c>
      <c r="I70" s="150">
        <f>VLOOKUP(A70,'Standard Deviations'!A1:C731,3,FALSE)</f>
        <v>4.67668052588961</v>
      </c>
      <c r="J70" s="150">
        <f>I70-VLOOKUP(B$2,H1:J432,2,FALSE)</f>
        <v>1.39792640250429</v>
      </c>
    </row>
    <row r="71" ht="21.25" customHeight="1">
      <c r="A71" t="s" s="8">
        <v>252</v>
      </c>
      <c r="B71" t="s" s="148">
        <f>VLOOKUP(A71,'The List'!B1:D730,3,FALSE)</f>
        <v>118</v>
      </c>
      <c r="C71" s="54">
        <f>IF('Settings'!$E$15="POINTS",RANK(E71,E3:E432),H71)</f>
        <v>64</v>
      </c>
      <c r="D71" t="s" s="42">
        <f>VLOOKUP(A71,'The List'!B1:F730,5,FALSE)</f>
        <v>113</v>
      </c>
      <c r="E71" s="46">
        <f>VLOOKUP(A71,'The List'!B1:I730,8,FALSE)</f>
        <v>397.404159517415</v>
      </c>
      <c r="F71" s="46">
        <f>IF('Settings'!$E$15="POINTS",E71-VLOOKUP(B$2,C1:E432,3,FALSE),J71)</f>
        <v>47.576184112201</v>
      </c>
      <c r="G71" s="46"/>
      <c r="H71" s="149">
        <f>RANK(I71,I3:I432)</f>
        <v>45</v>
      </c>
      <c r="I71" s="150">
        <f>VLOOKUP(A71,'Standard Deviations'!A1:C731,3,FALSE)</f>
        <v>6.37758556902017</v>
      </c>
      <c r="J71" s="150">
        <f>I71-VLOOKUP(B$2,H1:J432,2,FALSE)</f>
        <v>3.09883144563485</v>
      </c>
    </row>
    <row r="72" ht="21.25" customHeight="1">
      <c r="A72" t="s" s="8">
        <v>274</v>
      </c>
      <c r="B72" t="s" s="148">
        <f>VLOOKUP(A72,'The List'!B1:D730,3,FALSE)</f>
        <v>107</v>
      </c>
      <c r="C72" s="54">
        <f>IF('Settings'!$E$15="POINTS",RANK(E72,E3:E432),H72)</f>
        <v>79</v>
      </c>
      <c r="D72" t="s" s="42">
        <f>VLOOKUP(A72,'The List'!B1:F730,5,FALSE)</f>
        <v>238</v>
      </c>
      <c r="E72" s="46">
        <f>VLOOKUP(A72,'The List'!B1:I730,8,FALSE)</f>
        <v>376.159464868079</v>
      </c>
      <c r="F72" s="46">
        <f>IF('Settings'!$E$15="POINTS",E72-VLOOKUP(B$2,C1:E432,3,FALSE),J72)</f>
        <v>26.331489462865</v>
      </c>
      <c r="G72" s="46"/>
      <c r="H72" s="149">
        <f>RANK(I72,I3:I432)</f>
        <v>72</v>
      </c>
      <c r="I72" s="150">
        <f>VLOOKUP(A72,'Standard Deviations'!A1:C731,3,FALSE)</f>
        <v>4.99473721155809</v>
      </c>
      <c r="J72" s="150">
        <f>I72-VLOOKUP(B$2,H1:J432,2,FALSE)</f>
        <v>1.71598308817277</v>
      </c>
    </row>
    <row r="73" ht="21.25" customHeight="1">
      <c r="A73" t="s" s="8">
        <v>240</v>
      </c>
      <c r="B73" t="s" s="148">
        <f>VLOOKUP(A73,'The List'!B1:D730,3,FALSE)</f>
        <v>187</v>
      </c>
      <c r="C73" s="54">
        <f>IF('Settings'!$E$15="POINTS",RANK(E73,E3:E432),H73)</f>
        <v>82</v>
      </c>
      <c r="D73" t="s" s="42">
        <f>VLOOKUP(A73,'The List'!B1:F730,5,FALSE)</f>
        <v>149</v>
      </c>
      <c r="E73" s="46">
        <f>VLOOKUP(A73,'The List'!B1:I730,8,FALSE)</f>
        <v>370.596662049552</v>
      </c>
      <c r="F73" s="46">
        <f>IF('Settings'!$E$15="POINTS",E73-VLOOKUP(B$2,C1:E432,3,FALSE),J73)</f>
        <v>20.768686644338</v>
      </c>
      <c r="G73" s="46"/>
      <c r="H73" s="149">
        <f>RANK(I73,I3:I432)</f>
        <v>55</v>
      </c>
      <c r="I73" s="150">
        <f>VLOOKUP(A73,'Standard Deviations'!A1:C731,3,FALSE)</f>
        <v>5.63464338047043</v>
      </c>
      <c r="J73" s="150">
        <f>I73-VLOOKUP(B$2,H1:J432,2,FALSE)</f>
        <v>2.35588925708511</v>
      </c>
    </row>
    <row r="74" ht="21.25" customHeight="1">
      <c r="A74" t="s" s="8">
        <v>250</v>
      </c>
      <c r="B74" t="s" s="148">
        <f>VLOOKUP(A74,'The List'!B1:D730,3,FALSE)</f>
        <v>133</v>
      </c>
      <c r="C74" s="54">
        <f>IF('Settings'!$E$15="POINTS",RANK(E74,E3:E432),H74)</f>
        <v>52</v>
      </c>
      <c r="D74" t="s" s="42">
        <f>VLOOKUP(A74,'The List'!B1:F730,5,FALSE)</f>
        <v>131</v>
      </c>
      <c r="E74" s="46">
        <f>VLOOKUP(A74,'The List'!B1:I730,8,FALSE)</f>
        <v>411.621822454147</v>
      </c>
      <c r="F74" s="46">
        <f>IF('Settings'!$E$15="POINTS",E74-VLOOKUP(B$2,C1:E432,3,FALSE),J74)</f>
        <v>61.793847048933</v>
      </c>
      <c r="G74" s="46"/>
      <c r="H74" s="149">
        <f>RANK(I74,I3:I432)</f>
        <v>69</v>
      </c>
      <c r="I74" s="150">
        <f>VLOOKUP(A74,'Standard Deviations'!A1:C731,3,FALSE)</f>
        <v>5.05410760709115</v>
      </c>
      <c r="J74" s="150">
        <f>I74-VLOOKUP(B$2,H1:J432,2,FALSE)</f>
        <v>1.77535348370583</v>
      </c>
    </row>
    <row r="75" ht="21.25" customHeight="1">
      <c r="A75" t="s" s="8">
        <v>256</v>
      </c>
      <c r="B75" t="s" s="148">
        <f>VLOOKUP(A75,'The List'!B1:D730,3,FALSE)</f>
        <v>187</v>
      </c>
      <c r="C75" s="54">
        <f>IF('Settings'!$E$15="POINTS",RANK(E75,E3:E432),H75)</f>
        <v>53</v>
      </c>
      <c r="D75" t="s" s="42">
        <f>VLOOKUP(A75,'The List'!B1:F730,5,FALSE)</f>
        <v>204</v>
      </c>
      <c r="E75" s="46">
        <f>VLOOKUP(A75,'The List'!B1:I730,8,FALSE)</f>
        <v>410.7826647549</v>
      </c>
      <c r="F75" s="46">
        <f>IF('Settings'!$E$15="POINTS",E75-VLOOKUP(B$2,C1:E432,3,FALSE),J75)</f>
        <v>60.954689349686</v>
      </c>
      <c r="G75" s="46"/>
      <c r="H75" s="149">
        <f>RANK(I75,I3:I432)</f>
        <v>78</v>
      </c>
      <c r="I75" s="150">
        <f>VLOOKUP(A75,'Standard Deviations'!A1:C731,3,FALSE)</f>
        <v>4.73394617412908</v>
      </c>
      <c r="J75" s="150">
        <f>I75-VLOOKUP(B$2,H1:J432,2,FALSE)</f>
        <v>1.45519205074376</v>
      </c>
    </row>
    <row r="76" ht="21.25" customHeight="1">
      <c r="A76" t="s" s="8">
        <v>266</v>
      </c>
      <c r="B76" t="s" s="148">
        <f>VLOOKUP(A76,'The List'!B1:D730,3,FALSE)</f>
        <v>111</v>
      </c>
      <c r="C76" s="54">
        <f>IF('Settings'!$E$15="POINTS",RANK(E76,E3:E432),H76)</f>
        <v>71</v>
      </c>
      <c r="D76" t="s" s="42">
        <f>VLOOKUP(A76,'The List'!B1:F730,5,FALSE)</f>
        <v>204</v>
      </c>
      <c r="E76" s="46">
        <f>VLOOKUP(A76,'The List'!B1:I730,8,FALSE)</f>
        <v>388.528267213397</v>
      </c>
      <c r="F76" s="46">
        <f>IF('Settings'!$E$15="POINTS",E76-VLOOKUP(B$2,C1:E432,3,FALSE),J76)</f>
        <v>38.700291808183</v>
      </c>
      <c r="G76" s="46"/>
      <c r="H76" s="149">
        <f>RANK(I76,I3:I432)</f>
        <v>70</v>
      </c>
      <c r="I76" s="150">
        <f>VLOOKUP(A76,'Standard Deviations'!A1:C731,3,FALSE)</f>
        <v>5.02695051357294</v>
      </c>
      <c r="J76" s="150">
        <f>I76-VLOOKUP(B$2,H1:J432,2,FALSE)</f>
        <v>1.74819639018762</v>
      </c>
    </row>
    <row r="77" ht="21.25" customHeight="1">
      <c r="A77" t="s" s="8">
        <v>275</v>
      </c>
      <c r="B77" t="s" s="148">
        <f>VLOOKUP(A77,'The List'!B1:D730,3,FALSE)</f>
        <v>107</v>
      </c>
      <c r="C77" s="54">
        <f>IF('Settings'!$E$15="POINTS",RANK(E77,E3:E432),H77)</f>
        <v>72</v>
      </c>
      <c r="D77" t="s" s="42">
        <f>VLOOKUP(A77,'The List'!B1:F730,5,FALSE)</f>
        <v>258</v>
      </c>
      <c r="E77" s="46">
        <f>VLOOKUP(A77,'The List'!B1:I730,8,FALSE)</f>
        <v>387.391391386555</v>
      </c>
      <c r="F77" s="46">
        <f>IF('Settings'!$E$15="POINTS",E77-VLOOKUP(B$2,C1:E432,3,FALSE),J77)</f>
        <v>37.563415981341</v>
      </c>
      <c r="G77" s="46"/>
      <c r="H77" s="149">
        <f>RANK(I77,I3:I432)</f>
        <v>113</v>
      </c>
      <c r="I77" s="150">
        <f>VLOOKUP(A77,'Standard Deviations'!A1:C731,3,FALSE)</f>
        <v>2.52615937618543</v>
      </c>
      <c r="J77" s="150">
        <f>I77-VLOOKUP(B$2,H1:J432,2,FALSE)</f>
        <v>-0.7525947471998899</v>
      </c>
    </row>
    <row r="78" ht="21.25" customHeight="1">
      <c r="A78" t="s" s="8">
        <v>259</v>
      </c>
      <c r="B78" t="s" s="148">
        <f>VLOOKUP(A78,'The List'!B1:D730,3,FALSE)</f>
        <v>121</v>
      </c>
      <c r="C78" s="54">
        <f>IF('Settings'!$E$15="POINTS",RANK(E78,E3:E432),H78)</f>
        <v>80</v>
      </c>
      <c r="D78" t="s" s="42">
        <f>VLOOKUP(A78,'The List'!B1:F730,5,FALSE)</f>
        <v>173</v>
      </c>
      <c r="E78" s="46">
        <f>VLOOKUP(A78,'The List'!B1:I730,8,FALSE)</f>
        <v>375.663050828843</v>
      </c>
      <c r="F78" s="46">
        <f>IF('Settings'!$E$15="POINTS",E78-VLOOKUP(B$2,C1:E432,3,FALSE),J78)</f>
        <v>25.835075423629</v>
      </c>
      <c r="G78" s="46"/>
      <c r="H78" s="149">
        <f>RANK(I78,I3:I432)</f>
        <v>81</v>
      </c>
      <c r="I78" s="150">
        <f>VLOOKUP(A78,'Standard Deviations'!A1:C731,3,FALSE)</f>
        <v>4.59497297936382</v>
      </c>
      <c r="J78" s="150">
        <f>I78-VLOOKUP(B$2,H1:J432,2,FALSE)</f>
        <v>1.3162188559785</v>
      </c>
    </row>
    <row r="79" ht="21.25" customHeight="1">
      <c r="A79" t="s" s="8">
        <v>272</v>
      </c>
      <c r="B79" t="s" s="148">
        <f>VLOOKUP(A79,'The List'!B1:D730,3,FALSE)</f>
        <v>133</v>
      </c>
      <c r="C79" s="54">
        <f>IF('Settings'!$E$15="POINTS",RANK(E79,E3:E432),H79)</f>
        <v>55</v>
      </c>
      <c r="D79" t="s" s="42">
        <f>VLOOKUP(A79,'The List'!B1:F730,5,FALSE)</f>
        <v>151</v>
      </c>
      <c r="E79" s="46">
        <f>VLOOKUP(A79,'The List'!B1:I730,8,FALSE)</f>
        <v>407.034072335718</v>
      </c>
      <c r="F79" s="46">
        <f>IF('Settings'!$E$15="POINTS",E79-VLOOKUP(B$2,C1:E432,3,FALSE),J79)</f>
        <v>57.206096930504</v>
      </c>
      <c r="G79" s="46"/>
      <c r="H79" s="149">
        <f>RANK(I79,I3:I432)</f>
        <v>43</v>
      </c>
      <c r="I79" s="150">
        <f>VLOOKUP(A79,'Standard Deviations'!A1:C731,3,FALSE)</f>
        <v>6.41151333761591</v>
      </c>
      <c r="J79" s="150">
        <f>I79-VLOOKUP(B$2,H1:J432,2,FALSE)</f>
        <v>3.13275921423059</v>
      </c>
    </row>
    <row r="80" ht="21.25" customHeight="1">
      <c r="A80" t="s" s="8">
        <v>273</v>
      </c>
      <c r="B80" t="s" s="148">
        <f>VLOOKUP(A80,'The List'!B1:D730,3,FALSE)</f>
        <v>133</v>
      </c>
      <c r="C80" s="54">
        <f>IF('Settings'!$E$15="POINTS",RANK(E80,E3:E432),H80)</f>
        <v>83</v>
      </c>
      <c r="D80" t="s" s="42">
        <f>VLOOKUP(A80,'The List'!B1:F730,5,FALSE)</f>
        <v>164</v>
      </c>
      <c r="E80" s="46">
        <f>VLOOKUP(A80,'The List'!B1:I730,8,FALSE)</f>
        <v>366.991176402012</v>
      </c>
      <c r="F80" s="46">
        <f>IF('Settings'!$E$15="POINTS",E80-VLOOKUP(B$2,C1:E432,3,FALSE),J80)</f>
        <v>17.163200996798</v>
      </c>
      <c r="G80" s="46"/>
      <c r="H80" s="149">
        <f>RANK(I80,I3:I432)</f>
        <v>68</v>
      </c>
      <c r="I80" s="150">
        <f>VLOOKUP(A80,'Standard Deviations'!A1:C731,3,FALSE)</f>
        <v>5.08469635369281</v>
      </c>
      <c r="J80" s="150">
        <f>I80-VLOOKUP(B$2,H1:J432,2,FALSE)</f>
        <v>1.80594223030749</v>
      </c>
    </row>
    <row r="81" ht="21.25" customHeight="1">
      <c r="A81" t="s" s="8">
        <v>284</v>
      </c>
      <c r="B81" t="s" s="148">
        <f>VLOOKUP(A81,'The List'!B1:D730,3,FALSE)</f>
        <v>107</v>
      </c>
      <c r="C81" s="54">
        <f>IF('Settings'!$E$15="POINTS",RANK(E81,E3:E432),H81)</f>
        <v>75</v>
      </c>
      <c r="D81" t="s" s="42">
        <f>VLOOKUP(A81,'The List'!B1:F730,5,FALSE)</f>
        <v>204</v>
      </c>
      <c r="E81" s="46">
        <f>VLOOKUP(A81,'The List'!B1:I730,8,FALSE)</f>
        <v>379.245532040092</v>
      </c>
      <c r="F81" s="46">
        <f>IF('Settings'!$E$15="POINTS",E81-VLOOKUP(B$2,C1:E432,3,FALSE),J81)</f>
        <v>29.417556634878</v>
      </c>
      <c r="G81" s="46"/>
      <c r="H81" s="149">
        <f>RANK(I81,I3:I432)</f>
        <v>71</v>
      </c>
      <c r="I81" s="150">
        <f>VLOOKUP(A81,'Standard Deviations'!A1:C731,3,FALSE)</f>
        <v>5.01129207286021</v>
      </c>
      <c r="J81" s="150">
        <f>I81-VLOOKUP(B$2,H1:J432,2,FALSE)</f>
        <v>1.73253794947489</v>
      </c>
    </row>
    <row r="82" ht="21.25" customHeight="1">
      <c r="A82" t="s" s="8">
        <v>286</v>
      </c>
      <c r="B82" t="s" s="148">
        <f>VLOOKUP(A82,'The List'!B1:D730,3,FALSE)</f>
        <v>107</v>
      </c>
      <c r="C82" s="54">
        <f>IF('Settings'!$E$15="POINTS",RANK(E82,E3:E432),H82)</f>
        <v>98</v>
      </c>
      <c r="D82" t="s" s="42">
        <f>VLOOKUP(A82,'The List'!B1:F730,5,FALSE)</f>
        <v>194</v>
      </c>
      <c r="E82" s="46">
        <f>VLOOKUP(A82,'The List'!B1:I730,8,FALSE)</f>
        <v>347.827043003708</v>
      </c>
      <c r="F82" s="46">
        <f>IF('Settings'!$E$15="POINTS",E82-VLOOKUP(B$2,C1:E432,3,FALSE),J82)</f>
        <v>-2.000932401506</v>
      </c>
      <c r="G82" s="46"/>
      <c r="H82" s="149">
        <f>RANK(I82,I3:I432)</f>
        <v>98</v>
      </c>
      <c r="I82" s="150">
        <f>VLOOKUP(A82,'Standard Deviations'!A1:C731,3,FALSE)</f>
        <v>3.09437473900614</v>
      </c>
      <c r="J82" s="150">
        <f>I82-VLOOKUP(B$2,H1:J432,2,FALSE)</f>
        <v>-0.18437938437918</v>
      </c>
    </row>
    <row r="83" ht="21.25" customHeight="1">
      <c r="A83" t="s" s="8">
        <v>278</v>
      </c>
      <c r="B83" t="s" s="148">
        <f>VLOOKUP(A83,'The List'!B1:D730,3,FALSE)</f>
        <v>133</v>
      </c>
      <c r="C83" s="54">
        <f>IF('Settings'!$E$15="POINTS",RANK(E83,E3:E432),H83)</f>
        <v>70</v>
      </c>
      <c r="D83" t="s" s="42">
        <f>VLOOKUP(A83,'The List'!B1:F730,5,FALSE)</f>
        <v>248</v>
      </c>
      <c r="E83" s="46">
        <f>VLOOKUP(A83,'The List'!B1:I730,8,FALSE)</f>
        <v>388.748545245847</v>
      </c>
      <c r="F83" s="46">
        <f>IF('Settings'!$E$15="POINTS",E83-VLOOKUP(B$2,C1:E432,3,FALSE),J83)</f>
        <v>38.920569840633</v>
      </c>
      <c r="G83" s="46"/>
      <c r="H83" s="149">
        <f>RANK(I83,I3:I432)</f>
        <v>77</v>
      </c>
      <c r="I83" s="150">
        <f>VLOOKUP(A83,'Standard Deviations'!A1:C731,3,FALSE)</f>
        <v>4.75429115398183</v>
      </c>
      <c r="J83" s="150">
        <f>I83-VLOOKUP(B$2,H1:J432,2,FALSE)</f>
        <v>1.47553703059651</v>
      </c>
    </row>
    <row r="84" ht="21.25" customHeight="1">
      <c r="A84" t="s" s="8">
        <v>268</v>
      </c>
      <c r="B84" t="s" s="148">
        <f>VLOOKUP(A84,'The List'!B1:D730,3,FALSE)</f>
        <v>107</v>
      </c>
      <c r="C84" s="54">
        <f>IF('Settings'!$E$15="POINTS",RANK(E84,E3:E432),H84)</f>
        <v>58</v>
      </c>
      <c r="D84" t="s" s="42">
        <f>VLOOKUP(A84,'The List'!B1:F730,5,FALSE)</f>
        <v>248</v>
      </c>
      <c r="E84" s="46">
        <f>VLOOKUP(A84,'The List'!B1:I730,8,FALSE)</f>
        <v>404.252312586028</v>
      </c>
      <c r="F84" s="46">
        <f>IF('Settings'!$E$15="POINTS",E84-VLOOKUP(B$2,C1:E432,3,FALSE),J84)</f>
        <v>54.424337180814</v>
      </c>
      <c r="G84" s="46"/>
      <c r="H84" s="149">
        <f>RANK(I84,I3:I432)</f>
        <v>66</v>
      </c>
      <c r="I84" s="150">
        <f>VLOOKUP(A84,'Standard Deviations'!A1:C731,3,FALSE)</f>
        <v>5.18746366108494</v>
      </c>
      <c r="J84" s="150">
        <f>I84-VLOOKUP(B$2,H1:J432,2,FALSE)</f>
        <v>1.90870953769962</v>
      </c>
    </row>
    <row r="85" ht="21.25" customHeight="1">
      <c r="A85" t="s" s="8">
        <v>257</v>
      </c>
      <c r="B85" t="s" s="148">
        <f>VLOOKUP(A85,'The List'!B1:D730,3,FALSE)</f>
        <v>118</v>
      </c>
      <c r="C85" s="54">
        <f>IF('Settings'!$E$15="POINTS",RANK(E85,E3:E432),H85)</f>
        <v>74</v>
      </c>
      <c r="D85" t="s" s="42">
        <f>VLOOKUP(A85,'The List'!B1:F730,5,FALSE)</f>
        <v>258</v>
      </c>
      <c r="E85" s="46">
        <f>VLOOKUP(A85,'The List'!B1:I730,8,FALSE)</f>
        <v>381.628563706356</v>
      </c>
      <c r="F85" s="46">
        <f>IF('Settings'!$E$15="POINTS",E85-VLOOKUP(B$2,C1:E432,3,FALSE),J85)</f>
        <v>31.800588301142</v>
      </c>
      <c r="G85" s="46"/>
      <c r="H85" s="149">
        <f>RANK(I85,I3:I432)</f>
        <v>112</v>
      </c>
      <c r="I85" s="150">
        <f>VLOOKUP(A85,'Standard Deviations'!A1:C731,3,FALSE)</f>
        <v>2.57954691677968</v>
      </c>
      <c r="J85" s="150">
        <f>I85-VLOOKUP(B$2,H1:J432,2,FALSE)</f>
        <v>-0.69920720660564</v>
      </c>
    </row>
    <row r="86" ht="21.25" customHeight="1">
      <c r="A86" t="s" s="8">
        <v>288</v>
      </c>
      <c r="B86" t="s" s="148">
        <f>VLOOKUP(A86,'The List'!B1:D730,3,FALSE)</f>
        <v>133</v>
      </c>
      <c r="C86" s="54">
        <f>IF('Settings'!$E$15="POINTS",RANK(E86,E3:E432),H86)</f>
        <v>69</v>
      </c>
      <c r="D86" t="s" s="42">
        <f>VLOOKUP(A86,'The List'!B1:F730,5,FALSE)</f>
        <v>124</v>
      </c>
      <c r="E86" s="46">
        <f>VLOOKUP(A86,'The List'!B1:I730,8,FALSE)</f>
        <v>391.009231973882</v>
      </c>
      <c r="F86" s="46">
        <f>IF('Settings'!$E$15="POINTS",E86-VLOOKUP(B$2,C1:E432,3,FALSE),J86)</f>
        <v>41.181256568668</v>
      </c>
      <c r="G86" s="46"/>
      <c r="H86" s="149">
        <f>RANK(I86,I3:I432)</f>
        <v>83</v>
      </c>
      <c r="I86" s="150">
        <f>VLOOKUP(A86,'Standard Deviations'!A1:C731,3,FALSE)</f>
        <v>4.40064250250331</v>
      </c>
      <c r="J86" s="150">
        <f>I86-VLOOKUP(B$2,H1:J432,2,FALSE)</f>
        <v>1.12188837911799</v>
      </c>
    </row>
    <row r="87" ht="21.25" customHeight="1">
      <c r="A87" t="s" s="8">
        <v>281</v>
      </c>
      <c r="B87" t="s" s="148">
        <f>VLOOKUP(A87,'The List'!B1:D730,3,FALSE)</f>
        <v>187</v>
      </c>
      <c r="C87" s="54">
        <f>IF('Settings'!$E$15="POINTS",RANK(E87,E3:E432),H87)</f>
        <v>90</v>
      </c>
      <c r="D87" t="s" s="42">
        <f>VLOOKUP(A87,'The List'!B1:F730,5,FALSE)</f>
        <v>196</v>
      </c>
      <c r="E87" s="46">
        <f>VLOOKUP(A87,'The List'!B1:I730,8,FALSE)</f>
        <v>362.001897235797</v>
      </c>
      <c r="F87" s="46">
        <f>IF('Settings'!$E$15="POINTS",E87-VLOOKUP(B$2,C1:E432,3,FALSE),J87)</f>
        <v>12.173921830583</v>
      </c>
      <c r="G87" s="46"/>
      <c r="H87" s="149">
        <f>RANK(I87,I3:I432)</f>
        <v>96</v>
      </c>
      <c r="I87" s="150">
        <f>VLOOKUP(A87,'Standard Deviations'!A1:C731,3,FALSE)</f>
        <v>3.27875412338532</v>
      </c>
      <c r="J87" s="150">
        <f>I87-VLOOKUP(B$2,H1:J432,2,FALSE)</f>
        <v>0</v>
      </c>
    </row>
    <row r="88" ht="21.25" customHeight="1">
      <c r="A88" t="s" s="8">
        <v>305</v>
      </c>
      <c r="B88" t="s" s="148">
        <f>VLOOKUP(A88,'The List'!B1:D730,3,FALSE)</f>
        <v>133</v>
      </c>
      <c r="C88" s="54">
        <f>IF('Settings'!$E$15="POINTS",RANK(E88,E3:E432),H88)</f>
        <v>97</v>
      </c>
      <c r="D88" t="s" s="42">
        <f>VLOOKUP(A88,'The List'!B1:F730,5,FALSE)</f>
        <v>156</v>
      </c>
      <c r="E88" s="46">
        <f>VLOOKUP(A88,'The List'!B1:I730,8,FALSE)</f>
        <v>348.758348390877</v>
      </c>
      <c r="F88" s="46">
        <f>IF('Settings'!$E$15="POINTS",E88-VLOOKUP(B$2,C1:E432,3,FALSE),J88)</f>
        <v>-1.069627014337</v>
      </c>
      <c r="G88" s="46"/>
      <c r="H88" s="149">
        <f>RANK(I88,I3:I432)</f>
        <v>90</v>
      </c>
      <c r="I88" s="150">
        <f>VLOOKUP(A88,'Standard Deviations'!A1:C731,3,FALSE)</f>
        <v>3.77306136760975</v>
      </c>
      <c r="J88" s="150">
        <f>I88-VLOOKUP(B$2,H1:J432,2,FALSE)</f>
        <v>0.49430724422443</v>
      </c>
    </row>
    <row r="89" ht="21.25" customHeight="1">
      <c r="A89" t="s" s="8">
        <v>301</v>
      </c>
      <c r="B89" t="s" s="148">
        <f>VLOOKUP(A89,'The List'!B1:D730,3,FALSE)</f>
        <v>107</v>
      </c>
      <c r="C89" s="54">
        <f>IF('Settings'!$E$15="POINTS",RANK(E89,E3:E432),H89)</f>
        <v>81</v>
      </c>
      <c r="D89" t="s" s="42">
        <f>VLOOKUP(A89,'The List'!B1:F730,5,FALSE)</f>
        <v>141</v>
      </c>
      <c r="E89" s="46">
        <f>VLOOKUP(A89,'The List'!B1:I730,8,FALSE)</f>
        <v>375.145434324828</v>
      </c>
      <c r="F89" s="46">
        <f>IF('Settings'!$E$15="POINTS",E89-VLOOKUP(B$2,C1:E432,3,FALSE),J89)</f>
        <v>25.317458919614</v>
      </c>
      <c r="G89" s="46"/>
      <c r="H89" s="149">
        <f>RANK(I89,I3:I432)</f>
        <v>82</v>
      </c>
      <c r="I89" s="150">
        <f>VLOOKUP(A89,'Standard Deviations'!A1:C731,3,FALSE)</f>
        <v>4.40114113302351</v>
      </c>
      <c r="J89" s="150">
        <f>I89-VLOOKUP(B$2,H1:J432,2,FALSE)</f>
        <v>1.12238700963819</v>
      </c>
    </row>
    <row r="90" ht="21.25" customHeight="1">
      <c r="A90" t="s" s="8">
        <v>289</v>
      </c>
      <c r="B90" t="s" s="148">
        <f>VLOOKUP(A90,'The List'!B1:D730,3,FALSE)</f>
        <v>187</v>
      </c>
      <c r="C90" s="54">
        <f>IF('Settings'!$E$15="POINTS",RANK(E90,E3:E432),H90)</f>
        <v>89</v>
      </c>
      <c r="D90" t="s" s="42">
        <f>VLOOKUP(A90,'The List'!B1:F730,5,FALSE)</f>
        <v>173</v>
      </c>
      <c r="E90" s="46">
        <f>VLOOKUP(A90,'The List'!B1:I730,8,FALSE)</f>
        <v>362.056336886222</v>
      </c>
      <c r="F90" s="46">
        <f>IF('Settings'!$E$15="POINTS",E90-VLOOKUP(B$2,C1:E432,3,FALSE),J90)</f>
        <v>12.228361481008</v>
      </c>
      <c r="G90" s="46"/>
      <c r="H90" s="149">
        <f>RANK(I90,I3:I432)</f>
        <v>85</v>
      </c>
      <c r="I90" s="150">
        <f>VLOOKUP(A90,'Standard Deviations'!A1:C731,3,FALSE)</f>
        <v>4.24477425595924</v>
      </c>
      <c r="J90" s="150">
        <f>I90-VLOOKUP(B$2,H1:J432,2,FALSE)</f>
        <v>0.9660201325739201</v>
      </c>
    </row>
    <row r="91" ht="21.25" customHeight="1">
      <c r="A91" t="s" s="8">
        <v>291</v>
      </c>
      <c r="B91" t="s" s="148">
        <f>VLOOKUP(A91,'The List'!B1:D730,3,FALSE)</f>
        <v>121</v>
      </c>
      <c r="C91" s="54">
        <f>IF('Settings'!$E$15="POINTS",RANK(E91,E3:E432),H91)</f>
        <v>114</v>
      </c>
      <c r="D91" t="s" s="42">
        <f>VLOOKUP(A91,'The List'!B1:F730,5,FALSE)</f>
        <v>292</v>
      </c>
      <c r="E91" s="46">
        <f>VLOOKUP(A91,'The List'!B1:I730,8,FALSE)</f>
        <v>322.589205019801</v>
      </c>
      <c r="F91" s="46">
        <f>IF('Settings'!$E$15="POINTS",E91-VLOOKUP(B$2,C1:E432,3,FALSE),J91)</f>
        <v>-27.238770385413</v>
      </c>
      <c r="G91" s="46"/>
      <c r="H91" s="149">
        <f>RANK(I91,I3:I432)</f>
        <v>102</v>
      </c>
      <c r="I91" s="150">
        <f>VLOOKUP(A91,'Standard Deviations'!A1:C731,3,FALSE)</f>
        <v>2.99383724864377</v>
      </c>
      <c r="J91" s="150">
        <f>I91-VLOOKUP(B$2,H1:J432,2,FALSE)</f>
        <v>-0.28491687474155</v>
      </c>
    </row>
    <row r="92" ht="21.25" customHeight="1">
      <c r="A92" t="s" s="8">
        <v>300</v>
      </c>
      <c r="B92" t="s" s="148">
        <f>VLOOKUP(A92,'The List'!B1:D730,3,FALSE)</f>
        <v>133</v>
      </c>
      <c r="C92" s="54">
        <f>IF('Settings'!$E$15="POINTS",RANK(E92,E3:E432),H92)</f>
        <v>87</v>
      </c>
      <c r="D92" t="s" s="42">
        <f>VLOOKUP(A92,'The List'!B1:F730,5,FALSE)</f>
        <v>113</v>
      </c>
      <c r="E92" s="46">
        <f>VLOOKUP(A92,'The List'!B1:I730,8,FALSE)</f>
        <v>363.943015492360</v>
      </c>
      <c r="F92" s="46">
        <f>IF('Settings'!$E$15="POINTS",E92-VLOOKUP(B$2,C1:E432,3,FALSE),J92)</f>
        <v>14.115040087146</v>
      </c>
      <c r="G92" s="46"/>
      <c r="H92" s="149">
        <f>RANK(I92,I3:I432)</f>
        <v>67</v>
      </c>
      <c r="I92" s="150">
        <f>VLOOKUP(A92,'Standard Deviations'!A1:C731,3,FALSE)</f>
        <v>5.12322940850465</v>
      </c>
      <c r="J92" s="150">
        <f>I92-VLOOKUP(B$2,H1:J432,2,FALSE)</f>
        <v>1.84447528511933</v>
      </c>
    </row>
    <row r="93" ht="21.25" customHeight="1">
      <c r="A93" t="s" s="8">
        <v>309</v>
      </c>
      <c r="B93" t="s" s="148">
        <f>VLOOKUP(A93,'The List'!B1:D730,3,FALSE)</f>
        <v>107</v>
      </c>
      <c r="C93" s="54">
        <f>IF('Settings'!$E$15="POINTS",RANK(E93,E3:E432),H93)</f>
        <v>93</v>
      </c>
      <c r="D93" t="s" s="42">
        <f>VLOOKUP(A93,'The List'!B1:F730,5,FALSE)</f>
        <v>122</v>
      </c>
      <c r="E93" s="46">
        <f>VLOOKUP(A93,'The List'!B1:I730,8,FALSE)</f>
        <v>356.089745401664</v>
      </c>
      <c r="F93" s="46">
        <f>IF('Settings'!$E$15="POINTS",E93-VLOOKUP(B$2,C1:E432,3,FALSE),J93)</f>
        <v>6.261769996450</v>
      </c>
      <c r="G93" s="46"/>
      <c r="H93" s="149">
        <f>RANK(I93,I3:I432)</f>
        <v>88</v>
      </c>
      <c r="I93" s="150">
        <f>VLOOKUP(A93,'Standard Deviations'!A1:C731,3,FALSE)</f>
        <v>4.01022660985968</v>
      </c>
      <c r="J93" s="150">
        <f>I93-VLOOKUP(B$2,H1:J432,2,FALSE)</f>
        <v>0.73147248647436</v>
      </c>
    </row>
    <row r="94" ht="21.25" customHeight="1">
      <c r="A94" t="s" s="8">
        <v>290</v>
      </c>
      <c r="B94" t="s" s="148">
        <f>VLOOKUP(A94,'The List'!B1:D730,3,FALSE)</f>
        <v>133</v>
      </c>
      <c r="C94" s="54">
        <f>IF('Settings'!$E$15="POINTS",RANK(E94,E3:E432),H94)</f>
        <v>91</v>
      </c>
      <c r="D94" t="s" s="42">
        <f>VLOOKUP(A94,'The List'!B1:F730,5,FALSE)</f>
        <v>225</v>
      </c>
      <c r="E94" s="46">
        <f>VLOOKUP(A94,'The List'!B1:I730,8,FALSE)</f>
        <v>360.319622607085</v>
      </c>
      <c r="F94" s="46">
        <f>IF('Settings'!$E$15="POINTS",E94-VLOOKUP(B$2,C1:E432,3,FALSE),J94)</f>
        <v>10.491647201871</v>
      </c>
      <c r="G94" s="46"/>
      <c r="H94" s="149">
        <f>RANK(I94,I3:I432)</f>
        <v>108</v>
      </c>
      <c r="I94" s="150">
        <f>VLOOKUP(A94,'Standard Deviations'!A1:C731,3,FALSE)</f>
        <v>2.76328697664863</v>
      </c>
      <c r="J94" s="150">
        <f>I94-VLOOKUP(B$2,H1:J432,2,FALSE)</f>
        <v>-0.51546714673669</v>
      </c>
    </row>
    <row r="95" ht="21.25" customHeight="1">
      <c r="A95" t="s" s="8">
        <v>297</v>
      </c>
      <c r="B95" t="s" s="148">
        <f>VLOOKUP(A95,'The List'!B1:D730,3,FALSE)</f>
        <v>118</v>
      </c>
      <c r="C95" s="54">
        <f>IF('Settings'!$E$15="POINTS",RANK(E95,E3:E432),H95)</f>
        <v>88</v>
      </c>
      <c r="D95" t="s" s="42">
        <f>VLOOKUP(A95,'The List'!B1:F730,5,FALSE)</f>
        <v>122</v>
      </c>
      <c r="E95" s="46">
        <f>VLOOKUP(A95,'The List'!B1:I730,8,FALSE)</f>
        <v>362.697105030608</v>
      </c>
      <c r="F95" s="46">
        <f>IF('Settings'!$E$15="POINTS",E95-VLOOKUP(B$2,C1:E432,3,FALSE),J95)</f>
        <v>12.869129625394</v>
      </c>
      <c r="G95" s="46"/>
      <c r="H95" s="149">
        <f>RANK(I95,I3:I432)</f>
        <v>76</v>
      </c>
      <c r="I95" s="150">
        <f>VLOOKUP(A95,'Standard Deviations'!A1:C731,3,FALSE)</f>
        <v>4.87272303246251</v>
      </c>
      <c r="J95" s="150">
        <f>I95-VLOOKUP(B$2,H1:J432,2,FALSE)</f>
        <v>1.59396890907719</v>
      </c>
    </row>
    <row r="96" ht="21.25" customHeight="1">
      <c r="A96" t="s" s="8">
        <v>312</v>
      </c>
      <c r="B96" t="s" s="148">
        <f>VLOOKUP(A96,'The List'!B1:D730,3,FALSE)</f>
        <v>121</v>
      </c>
      <c r="C96" s="54">
        <f>IF('Settings'!$E$15="POINTS",RANK(E96,E3:E432),H96)</f>
        <v>100</v>
      </c>
      <c r="D96" t="s" s="42">
        <f>VLOOKUP(A96,'The List'!B1:F730,5,FALSE)</f>
        <v>127</v>
      </c>
      <c r="E96" s="46">
        <f>VLOOKUP(A96,'The List'!B1:I730,8,FALSE)</f>
        <v>343.863932480076</v>
      </c>
      <c r="F96" s="46">
        <f>IF('Settings'!$E$15="POINTS",E96-VLOOKUP(B$2,C1:E432,3,FALSE),J96)</f>
        <v>-5.964042925138</v>
      </c>
      <c r="G96" s="46"/>
      <c r="H96" s="149">
        <f>RANK(I96,I3:I432)</f>
        <v>103</v>
      </c>
      <c r="I96" s="150">
        <f>VLOOKUP(A96,'Standard Deviations'!A1:C731,3,FALSE)</f>
        <v>2.92857223973338</v>
      </c>
      <c r="J96" s="150">
        <f>I96-VLOOKUP(B$2,H1:J432,2,FALSE)</f>
        <v>-0.35018188365194</v>
      </c>
    </row>
    <row r="97" ht="21.25" customHeight="1">
      <c r="A97" t="s" s="8">
        <v>299</v>
      </c>
      <c r="B97" t="s" s="148">
        <f>VLOOKUP(A97,'The List'!B1:D730,3,FALSE)</f>
        <v>121</v>
      </c>
      <c r="C97" s="54">
        <f>IF('Settings'!$E$15="POINTS",RANK(E97,E3:E432),H97)</f>
        <v>86</v>
      </c>
      <c r="D97" t="s" s="42">
        <f>VLOOKUP(A97,'The List'!B1:F730,5,FALSE)</f>
        <v>170</v>
      </c>
      <c r="E97" s="46">
        <f>VLOOKUP(A97,'The List'!B1:I730,8,FALSE)</f>
        <v>364.712722252221</v>
      </c>
      <c r="F97" s="46">
        <f>IF('Settings'!$E$15="POINTS",E97-VLOOKUP(B$2,C1:E432,3,FALSE),J97)</f>
        <v>14.884746847007</v>
      </c>
      <c r="G97" s="46"/>
      <c r="H97" s="149">
        <f>RANK(I97,I3:I432)</f>
        <v>80</v>
      </c>
      <c r="I97" s="150">
        <f>VLOOKUP(A97,'Standard Deviations'!A1:C731,3,FALSE)</f>
        <v>4.62752827171934</v>
      </c>
      <c r="J97" s="150">
        <f>I97-VLOOKUP(B$2,H1:J432,2,FALSE)</f>
        <v>1.34877414833402</v>
      </c>
    </row>
    <row r="98" ht="21.25" customHeight="1">
      <c r="A98" t="s" s="8">
        <v>302</v>
      </c>
      <c r="B98" t="s" s="148">
        <f>VLOOKUP(A98,'The List'!B1:D730,3,FALSE)</f>
        <v>118</v>
      </c>
      <c r="C98" s="54">
        <f>IF('Settings'!$E$15="POINTS",RANK(E98,E3:E432),H98)</f>
        <v>104</v>
      </c>
      <c r="D98" t="s" s="42">
        <f>VLOOKUP(A98,'The List'!B1:F730,5,FALSE)</f>
        <v>184</v>
      </c>
      <c r="E98" s="46">
        <f>VLOOKUP(A98,'The List'!B1:I730,8,FALSE)</f>
        <v>334.313298958391</v>
      </c>
      <c r="F98" s="46">
        <f>IF('Settings'!$E$15="POINTS",E98-VLOOKUP(B$2,C1:E432,3,FALSE),J98)</f>
        <v>-15.514676446823</v>
      </c>
      <c r="G98" s="46"/>
      <c r="H98" s="149">
        <f>RANK(I98,I3:I432)</f>
        <v>104</v>
      </c>
      <c r="I98" s="150">
        <f>VLOOKUP(A98,'Standard Deviations'!A1:C731,3,FALSE)</f>
        <v>2.86895832586876</v>
      </c>
      <c r="J98" s="150">
        <f>I98-VLOOKUP(B$2,H1:J432,2,FALSE)</f>
        <v>-0.40979579751656</v>
      </c>
    </row>
    <row r="99" ht="21.25" customHeight="1">
      <c r="A99" t="s" s="8">
        <v>311</v>
      </c>
      <c r="B99" t="s" s="148">
        <f>VLOOKUP(A99,'The List'!B1:D730,3,FALSE)</f>
        <v>133</v>
      </c>
      <c r="C99" s="54">
        <f>IF('Settings'!$E$15="POINTS",RANK(E99,E3:E432),H99)</f>
        <v>95</v>
      </c>
      <c r="D99" t="s" s="42">
        <f>VLOOKUP(A99,'The List'!B1:F730,5,FALSE)</f>
        <v>136</v>
      </c>
      <c r="E99" s="46">
        <f>VLOOKUP(A99,'The List'!B1:I730,8,FALSE)</f>
        <v>351.916505214164</v>
      </c>
      <c r="F99" s="46">
        <f>IF('Settings'!$E$15="POINTS",E99-VLOOKUP(B$2,C1:E432,3,FALSE),J99)</f>
        <v>2.088529808950</v>
      </c>
      <c r="G99" s="46"/>
      <c r="H99" s="149">
        <f>RANK(I99,I3:I432)</f>
        <v>74</v>
      </c>
      <c r="I99" s="150">
        <f>VLOOKUP(A99,'Standard Deviations'!A1:C731,3,FALSE)</f>
        <v>4.90405162772732</v>
      </c>
      <c r="J99" s="150">
        <f>I99-VLOOKUP(B$2,H1:J432,2,FALSE)</f>
        <v>1.625297504342</v>
      </c>
    </row>
    <row r="100" ht="21.25" customHeight="1">
      <c r="A100" t="s" s="8">
        <v>304</v>
      </c>
      <c r="B100" t="s" s="148">
        <f>VLOOKUP(A100,'The List'!B1:D730,3,FALSE)</f>
        <v>121</v>
      </c>
      <c r="C100" s="54">
        <f>IF('Settings'!$E$15="POINTS",RANK(E100,E3:E432),H100)</f>
        <v>99</v>
      </c>
      <c r="D100" t="s" s="42">
        <f>VLOOKUP(A100,'The List'!B1:F730,5,FALSE)</f>
        <v>218</v>
      </c>
      <c r="E100" s="46">
        <f>VLOOKUP(A100,'The List'!B1:I730,8,FALSE)</f>
        <v>346.305315760219</v>
      </c>
      <c r="F100" s="46">
        <f>IF('Settings'!$E$15="POINTS",E100-VLOOKUP(B$2,C1:E432,3,FALSE),J100)</f>
        <v>-3.522659644995</v>
      </c>
      <c r="G100" s="46"/>
      <c r="H100" s="149">
        <f>RANK(I100,I3:I432)</f>
        <v>75</v>
      </c>
      <c r="I100" s="150">
        <f>VLOOKUP(A100,'Standard Deviations'!A1:C731,3,FALSE)</f>
        <v>4.89235352915412</v>
      </c>
      <c r="J100" s="150">
        <f>I100-VLOOKUP(B$2,H1:J432,2,FALSE)</f>
        <v>1.6135994057688</v>
      </c>
    </row>
    <row r="101" ht="21.25" customHeight="1">
      <c r="A101" t="s" s="8">
        <v>315</v>
      </c>
      <c r="B101" t="s" s="148">
        <f>VLOOKUP(A101,'The List'!B1:D730,3,FALSE)</f>
        <v>111</v>
      </c>
      <c r="C101" s="54">
        <f>IF('Settings'!$E$15="POINTS",RANK(E101,E3:E432),H101)</f>
        <v>103</v>
      </c>
      <c r="D101" t="s" s="42">
        <f>VLOOKUP(A101,'The List'!B1:F730,5,FALSE)</f>
        <v>234</v>
      </c>
      <c r="E101" s="46">
        <f>VLOOKUP(A101,'The List'!B1:I730,8,FALSE)</f>
        <v>334.766313629119</v>
      </c>
      <c r="F101" s="46">
        <f>IF('Settings'!$E$15="POINTS",E101-VLOOKUP(B$2,C1:E432,3,FALSE),J101)</f>
        <v>-15.061661776095</v>
      </c>
      <c r="G101" s="46"/>
      <c r="H101" s="149">
        <f>RANK(I101,I3:I432)</f>
        <v>144</v>
      </c>
      <c r="I101" s="150">
        <f>VLOOKUP(A101,'Standard Deviations'!A1:C731,3,FALSE)</f>
        <v>1.02723151378167</v>
      </c>
      <c r="J101" s="150">
        <f>I101-VLOOKUP(B$2,H1:J432,2,FALSE)</f>
        <v>-2.25152260960365</v>
      </c>
    </row>
    <row r="102" ht="21.25" customHeight="1">
      <c r="A102" t="s" s="8">
        <v>295</v>
      </c>
      <c r="B102" t="s" s="148">
        <f>VLOOKUP(A102,'The List'!B1:D730,3,FALSE)</f>
        <v>118</v>
      </c>
      <c r="C102" s="54">
        <f>IF('Settings'!$E$15="POINTS",RANK(E102,E3:E432),H102)</f>
        <v>105</v>
      </c>
      <c r="D102" t="s" s="42">
        <f>VLOOKUP(A102,'The List'!B1:F730,5,FALSE)</f>
        <v>184</v>
      </c>
      <c r="E102" s="46">
        <f>VLOOKUP(A102,'The List'!B1:I730,8,FALSE)</f>
        <v>334.221458455621</v>
      </c>
      <c r="F102" s="46">
        <f>IF('Settings'!$E$15="POINTS",E102-VLOOKUP(B$2,C1:E432,3,FALSE),J102)</f>
        <v>-15.606516949593</v>
      </c>
      <c r="G102" s="46"/>
      <c r="H102" s="149">
        <f>RANK(I102,I3:I432)</f>
        <v>120</v>
      </c>
      <c r="I102" s="150">
        <f>VLOOKUP(A102,'Standard Deviations'!A1:C731,3,FALSE)</f>
        <v>2.17108279548464</v>
      </c>
      <c r="J102" s="150">
        <f>I102-VLOOKUP(B$2,H1:J432,2,FALSE)</f>
        <v>-1.10767132790068</v>
      </c>
    </row>
    <row r="103" ht="21.25" customHeight="1">
      <c r="A103" t="s" s="8">
        <v>307</v>
      </c>
      <c r="B103" t="s" s="148">
        <f>VLOOKUP(A103,'The List'!B1:D730,3,FALSE)</f>
        <v>118</v>
      </c>
      <c r="C103" s="54">
        <f>IF('Settings'!$E$15="POINTS",RANK(E103,E3:E432),H103)</f>
        <v>108</v>
      </c>
      <c r="D103" t="s" s="42">
        <f>VLOOKUP(A103,'The List'!B1:F730,5,FALSE)</f>
        <v>204</v>
      </c>
      <c r="E103" s="46">
        <f>VLOOKUP(A103,'The List'!B1:I730,8,FALSE)</f>
        <v>331.115612179120</v>
      </c>
      <c r="F103" s="46">
        <f>IF('Settings'!$E$15="POINTS",E103-VLOOKUP(B$2,C1:E432,3,FALSE),J103)</f>
        <v>-18.712363226094</v>
      </c>
      <c r="G103" s="46"/>
      <c r="H103" s="149">
        <f>RANK(I103,I3:I432)</f>
        <v>92</v>
      </c>
      <c r="I103" s="150">
        <f>VLOOKUP(A103,'Standard Deviations'!A1:C731,3,FALSE)</f>
        <v>3.51883082056837</v>
      </c>
      <c r="J103" s="150">
        <f>I103-VLOOKUP(B$2,H1:J432,2,FALSE)</f>
        <v>0.24007669718305</v>
      </c>
    </row>
    <row r="104" ht="21.25" customHeight="1">
      <c r="A104" t="s" s="8">
        <v>308</v>
      </c>
      <c r="B104" t="s" s="148">
        <f>VLOOKUP(A104,'The List'!B1:D730,3,FALSE)</f>
        <v>121</v>
      </c>
      <c r="C104" s="54">
        <f>IF('Settings'!$E$15="POINTS",RANK(E104,E3:E432),H104)</f>
        <v>85</v>
      </c>
      <c r="D104" t="s" s="42">
        <f>VLOOKUP(A104,'The List'!B1:F730,5,FALSE)</f>
        <v>236</v>
      </c>
      <c r="E104" s="46">
        <f>VLOOKUP(A104,'The List'!B1:I730,8,FALSE)</f>
        <v>364.761632112287</v>
      </c>
      <c r="F104" s="46">
        <f>IF('Settings'!$E$15="POINTS",E104-VLOOKUP(B$2,C1:E432,3,FALSE),J104)</f>
        <v>14.933656707073</v>
      </c>
      <c r="G104" s="46"/>
      <c r="H104" s="149">
        <f>RANK(I104,I3:I432)</f>
        <v>122</v>
      </c>
      <c r="I104" s="150">
        <f>VLOOKUP(A104,'Standard Deviations'!A1:C731,3,FALSE)</f>
        <v>2.11111488660806</v>
      </c>
      <c r="J104" s="150">
        <f>I104-VLOOKUP(B$2,H1:J432,2,FALSE)</f>
        <v>-1.16763923677726</v>
      </c>
    </row>
    <row r="105" ht="21.25" customHeight="1">
      <c r="A105" t="s" s="8">
        <v>310</v>
      </c>
      <c r="B105" t="s" s="148">
        <f>VLOOKUP(A105,'The List'!B1:D730,3,FALSE)</f>
        <v>118</v>
      </c>
      <c r="C105" s="54">
        <f>IF('Settings'!$E$15="POINTS",RANK(E105,E3:E432),H105)</f>
        <v>115</v>
      </c>
      <c r="D105" t="s" s="42">
        <f>VLOOKUP(A105,'The List'!B1:F730,5,FALSE)</f>
        <v>248</v>
      </c>
      <c r="E105" s="46">
        <f>VLOOKUP(A105,'The List'!B1:I730,8,FALSE)</f>
        <v>319.989471759405</v>
      </c>
      <c r="F105" s="46">
        <f>IF('Settings'!$E$15="POINTS",E105-VLOOKUP(B$2,C1:E432,3,FALSE),J105)</f>
        <v>-29.838503645809</v>
      </c>
      <c r="G105" s="46"/>
      <c r="H105" s="149">
        <f>RANK(I105,I3:I432)</f>
        <v>111</v>
      </c>
      <c r="I105" s="150">
        <f>VLOOKUP(A105,'Standard Deviations'!A1:C731,3,FALSE)</f>
        <v>2.5994598297547</v>
      </c>
      <c r="J105" s="150">
        <f>I105-VLOOKUP(B$2,H1:J432,2,FALSE)</f>
        <v>-0.67929429363062</v>
      </c>
    </row>
    <row r="106" ht="21.25" customHeight="1">
      <c r="A106" t="s" s="8">
        <v>322</v>
      </c>
      <c r="B106" t="s" s="148">
        <f>VLOOKUP(A106,'The List'!B1:D730,3,FALSE)</f>
        <v>107</v>
      </c>
      <c r="C106" s="54">
        <f>IF('Settings'!$E$15="POINTS",RANK(E106,E3:E432),H106)</f>
        <v>84</v>
      </c>
      <c r="D106" t="s" s="42">
        <f>VLOOKUP(A106,'The List'!B1:F730,5,FALSE)</f>
        <v>151</v>
      </c>
      <c r="E106" s="46">
        <f>VLOOKUP(A106,'The List'!B1:I730,8,FALSE)</f>
        <v>366.412761568744</v>
      </c>
      <c r="F106" s="46">
        <f>IF('Settings'!$E$15="POINTS",E106-VLOOKUP(B$2,C1:E432,3,FALSE),J106)</f>
        <v>16.584786163530</v>
      </c>
      <c r="G106" s="46"/>
      <c r="H106" s="149">
        <f>RANK(I106,I3:I432)</f>
        <v>86</v>
      </c>
      <c r="I106" s="150">
        <f>VLOOKUP(A106,'Standard Deviations'!A1:C731,3,FALSE)</f>
        <v>4.21998727867727</v>
      </c>
      <c r="J106" s="150">
        <f>I106-VLOOKUP(B$2,H1:J432,2,FALSE)</f>
        <v>0.94123315529195</v>
      </c>
    </row>
    <row r="107" ht="21.25" customHeight="1">
      <c r="A107" t="s" s="8">
        <v>326</v>
      </c>
      <c r="B107" t="s" s="148">
        <f>VLOOKUP(A107,'The List'!B1:D730,3,FALSE)</f>
        <v>107</v>
      </c>
      <c r="C107" s="54">
        <f>IF('Settings'!$E$15="POINTS",RANK(E107,E3:E432),H107)</f>
        <v>101</v>
      </c>
      <c r="D107" t="s" s="42">
        <f>VLOOKUP(A107,'The List'!B1:F730,5,FALSE)</f>
        <v>218</v>
      </c>
      <c r="E107" s="46">
        <f>VLOOKUP(A107,'The List'!B1:I730,8,FALSE)</f>
        <v>339.949952198042</v>
      </c>
      <c r="F107" s="46">
        <f>IF('Settings'!$E$15="POINTS",E107-VLOOKUP(B$2,C1:E432,3,FALSE),J107)</f>
        <v>-9.878023207171999</v>
      </c>
      <c r="G107" s="46"/>
      <c r="H107" s="149">
        <f>RANK(I107,I3:I432)</f>
        <v>84</v>
      </c>
      <c r="I107" s="150">
        <f>VLOOKUP(A107,'Standard Deviations'!A1:C731,3,FALSE)</f>
        <v>4.34989975227573</v>
      </c>
      <c r="J107" s="150">
        <f>I107-VLOOKUP(B$2,H1:J432,2,FALSE)</f>
        <v>1.07114562889041</v>
      </c>
    </row>
    <row r="108" ht="21.25" customHeight="1">
      <c r="A108" t="s" s="8">
        <v>331</v>
      </c>
      <c r="B108" t="s" s="148">
        <f>VLOOKUP(A108,'The List'!B1:D730,3,FALSE)</f>
        <v>107</v>
      </c>
      <c r="C108" s="54">
        <f>IF('Settings'!$E$15="POINTS",RANK(E108,E3:E432),H108)</f>
        <v>126</v>
      </c>
      <c r="D108" t="s" s="42">
        <f>VLOOKUP(A108,'The List'!B1:F730,5,FALSE)</f>
        <v>166</v>
      </c>
      <c r="E108" s="46">
        <f>VLOOKUP(A108,'The List'!B1:I730,8,FALSE)</f>
        <v>310.479071487205</v>
      </c>
      <c r="F108" s="46">
        <f>IF('Settings'!$E$15="POINTS",E108-VLOOKUP(B$2,C1:E432,3,FALSE),J108)</f>
        <v>-39.348903918009</v>
      </c>
      <c r="G108" s="46"/>
      <c r="H108" s="149">
        <f>RANK(I108,I3:I432)</f>
        <v>132</v>
      </c>
      <c r="I108" s="150">
        <f>VLOOKUP(A108,'Standard Deviations'!A1:C731,3,FALSE)</f>
        <v>1.5315118770389</v>
      </c>
      <c r="J108" s="150">
        <f>I108-VLOOKUP(B$2,H1:J432,2,FALSE)</f>
        <v>-1.74724224634642</v>
      </c>
    </row>
    <row r="109" ht="21.25" customHeight="1">
      <c r="A109" t="s" s="8">
        <v>339</v>
      </c>
      <c r="B109" t="s" s="148">
        <f>VLOOKUP(A109,'The List'!B1:D730,3,FALSE)</f>
        <v>107</v>
      </c>
      <c r="C109" s="54">
        <f>IF('Settings'!$E$15="POINTS",RANK(E109,E3:E432),H109)</f>
        <v>106</v>
      </c>
      <c r="D109" t="s" s="42">
        <f>VLOOKUP(A109,'The List'!B1:F730,5,FALSE)</f>
        <v>173</v>
      </c>
      <c r="E109" s="46">
        <f>VLOOKUP(A109,'The List'!B1:I730,8,FALSE)</f>
        <v>333.021050553513</v>
      </c>
      <c r="F109" s="46">
        <f>IF('Settings'!$E$15="POINTS",E109-VLOOKUP(B$2,C1:E432,3,FALSE),J109)</f>
        <v>-16.806924851701</v>
      </c>
      <c r="G109" s="46"/>
      <c r="H109" s="149">
        <f>RANK(I109,I3:I432)</f>
        <v>93</v>
      </c>
      <c r="I109" s="150">
        <f>VLOOKUP(A109,'Standard Deviations'!A1:C731,3,FALSE)</f>
        <v>3.46655758576032</v>
      </c>
      <c r="J109" s="150">
        <f>I109-VLOOKUP(B$2,H1:J432,2,FALSE)</f>
        <v>0.187803462375</v>
      </c>
    </row>
    <row r="110" ht="21.25" customHeight="1">
      <c r="A110" t="s" s="8">
        <v>333</v>
      </c>
      <c r="B110" t="s" s="148">
        <f>VLOOKUP(A110,'The List'!B1:D730,3,FALSE)</f>
        <v>111</v>
      </c>
      <c r="C110" s="54">
        <f>IF('Settings'!$E$15="POINTS",RANK(E110,E3:E432),H110)</f>
        <v>102</v>
      </c>
      <c r="D110" t="s" s="42">
        <f>VLOOKUP(A110,'The List'!B1:F730,5,FALSE)</f>
        <v>194</v>
      </c>
      <c r="E110" s="46">
        <f>VLOOKUP(A110,'The List'!B1:I730,8,FALSE)</f>
        <v>335.707827981214</v>
      </c>
      <c r="F110" s="46">
        <f>IF('Settings'!$E$15="POINTS",E110-VLOOKUP(B$2,C1:E432,3,FALSE),J110)</f>
        <v>-14.120147424</v>
      </c>
      <c r="G110" s="46"/>
      <c r="H110" s="149">
        <f>RANK(I110,I3:I432)</f>
        <v>143</v>
      </c>
      <c r="I110" s="150">
        <f>VLOOKUP(A110,'Standard Deviations'!A1:C731,3,FALSE)</f>
        <v>1.02928773954211</v>
      </c>
      <c r="J110" s="150">
        <f>I110-VLOOKUP(B$2,H1:J432,2,FALSE)</f>
        <v>-2.24946638384321</v>
      </c>
    </row>
    <row r="111" ht="21.25" customHeight="1">
      <c r="A111" t="s" s="8">
        <v>325</v>
      </c>
      <c r="B111" t="s" s="148">
        <f>VLOOKUP(A111,'The List'!B1:D730,3,FALSE)</f>
        <v>121</v>
      </c>
      <c r="C111" s="54">
        <f>IF('Settings'!$E$15="POINTS",RANK(E111,E3:E432),H111)</f>
        <v>113</v>
      </c>
      <c r="D111" t="s" s="42">
        <f>VLOOKUP(A111,'The List'!B1:F730,5,FALSE)</f>
        <v>292</v>
      </c>
      <c r="E111" s="46">
        <f>VLOOKUP(A111,'The List'!B1:I730,8,FALSE)</f>
        <v>325.567441117980</v>
      </c>
      <c r="F111" s="46">
        <f>IF('Settings'!$E$15="POINTS",E111-VLOOKUP(B$2,C1:E432,3,FALSE),J111)</f>
        <v>-24.260534287234</v>
      </c>
      <c r="G111" s="46"/>
      <c r="H111" s="149">
        <f>RANK(I111,I3:I432)</f>
        <v>115</v>
      </c>
      <c r="I111" s="150">
        <f>VLOOKUP(A111,'Standard Deviations'!A1:C731,3,FALSE)</f>
        <v>2.35051800602249</v>
      </c>
      <c r="J111" s="150">
        <f>I111-VLOOKUP(B$2,H1:J432,2,FALSE)</f>
        <v>-0.92823611736283</v>
      </c>
    </row>
    <row r="112" ht="21.25" customHeight="1">
      <c r="A112" t="s" s="8">
        <v>411</v>
      </c>
      <c r="B112" t="s" s="148">
        <f>VLOOKUP(A112,'The List'!B1:D730,3,FALSE)</f>
        <v>107</v>
      </c>
      <c r="C112" s="54">
        <f>IF('Settings'!$E$15="POINTS",RANK(E112,E3:E432),H112)</f>
        <v>173</v>
      </c>
      <c r="D112" t="s" s="42">
        <f>VLOOKUP(A112,'The List'!B1:F730,5,FALSE)</f>
        <v>141</v>
      </c>
      <c r="E112" s="46">
        <f>VLOOKUP(A112,'The List'!B1:I730,8,FALSE)</f>
        <v>268.377119151085</v>
      </c>
      <c r="F112" s="46">
        <f>IF('Settings'!$E$15="POINTS",E112-VLOOKUP(B$2,C1:E432,3,FALSE),J112)</f>
        <v>-81.45085625412899</v>
      </c>
      <c r="G112" s="46"/>
      <c r="H112" s="149">
        <f>RANK(I112,I3:I432)</f>
        <v>139</v>
      </c>
      <c r="I112" s="150">
        <f>VLOOKUP(A112,'Standard Deviations'!A1:C731,3,FALSE)</f>
        <v>1.19893194855445</v>
      </c>
      <c r="J112" s="150">
        <f>I112-VLOOKUP(B$2,H1:J432,2,FALSE)</f>
        <v>-2.07982217483087</v>
      </c>
    </row>
    <row r="113" ht="21.25" customHeight="1">
      <c r="A113" t="s" s="8">
        <v>346</v>
      </c>
      <c r="B113" t="s" s="148">
        <f>VLOOKUP(A113,'The List'!B1:D730,3,FALSE)</f>
        <v>107</v>
      </c>
      <c r="C113" s="54">
        <f>IF('Settings'!$E$15="POINTS",RANK(E113,E3:E432),H113)</f>
        <v>123</v>
      </c>
      <c r="D113" t="s" s="42">
        <f>VLOOKUP(A113,'The List'!B1:F730,5,FALSE)</f>
        <v>196</v>
      </c>
      <c r="E113" s="46">
        <f>VLOOKUP(A113,'The List'!B1:I730,8,FALSE)</f>
        <v>311.274462490166</v>
      </c>
      <c r="F113" s="46">
        <f>IF('Settings'!$E$15="POINTS",E113-VLOOKUP(B$2,C1:E432,3,FALSE),J113)</f>
        <v>-38.553512915048</v>
      </c>
      <c r="G113" s="46"/>
      <c r="H113" s="149">
        <f>RANK(I113,I3:I432)</f>
        <v>116</v>
      </c>
      <c r="I113" s="150">
        <f>VLOOKUP(A113,'Standard Deviations'!A1:C731,3,FALSE)</f>
        <v>2.3272296789995</v>
      </c>
      <c r="J113" s="150">
        <f>I113-VLOOKUP(B$2,H1:J432,2,FALSE)</f>
        <v>-0.95152444438582</v>
      </c>
    </row>
    <row r="114" ht="21.25" customHeight="1">
      <c r="A114" t="s" s="8">
        <v>332</v>
      </c>
      <c r="B114" t="s" s="148">
        <f>VLOOKUP(A114,'The List'!B1:D730,3,FALSE)</f>
        <v>118</v>
      </c>
      <c r="C114" s="54">
        <f>IF('Settings'!$E$15="POINTS",RANK(E114,E3:E432),H114)</f>
        <v>109</v>
      </c>
      <c r="D114" t="s" s="42">
        <f>VLOOKUP(A114,'The List'!B1:F730,5,FALSE)</f>
        <v>234</v>
      </c>
      <c r="E114" s="46">
        <f>VLOOKUP(A114,'The List'!B1:I730,8,FALSE)</f>
        <v>329.809327600855</v>
      </c>
      <c r="F114" s="46">
        <f>IF('Settings'!$E$15="POINTS",E114-VLOOKUP(B$2,C1:E432,3,FALSE),J114)</f>
        <v>-20.018647804359</v>
      </c>
      <c r="G114" s="46"/>
      <c r="H114" s="149">
        <f>RANK(I114,I3:I432)</f>
        <v>162</v>
      </c>
      <c r="I114" s="150">
        <f>VLOOKUP(A114,'Standard Deviations'!A1:C731,3,FALSE)</f>
        <v>0.454656114280023</v>
      </c>
      <c r="J114" s="150">
        <f>I114-VLOOKUP(B$2,H1:J432,2,FALSE)</f>
        <v>-2.8240980091053</v>
      </c>
    </row>
    <row r="115" ht="21.25" customHeight="1">
      <c r="A115" t="s" s="8">
        <v>334</v>
      </c>
      <c r="B115" t="s" s="148">
        <f>VLOOKUP(A115,'The List'!B1:D730,3,FALSE)</f>
        <v>121</v>
      </c>
      <c r="C115" s="54">
        <f>IF('Settings'!$E$15="POINTS",RANK(E115,E3:E432),H115)</f>
        <v>124</v>
      </c>
      <c r="D115" t="s" s="42">
        <f>VLOOKUP(A115,'The List'!B1:F730,5,FALSE)</f>
        <v>156</v>
      </c>
      <c r="E115" s="46">
        <f>VLOOKUP(A115,'The List'!B1:I730,8,FALSE)</f>
        <v>310.767896766052</v>
      </c>
      <c r="F115" s="46">
        <f>IF('Settings'!$E$15="POINTS",E115-VLOOKUP(B$2,C1:E432,3,FALSE),J115)</f>
        <v>-39.060078639162</v>
      </c>
      <c r="G115" s="46"/>
      <c r="H115" s="149">
        <f>RANK(I115,I3:I432)</f>
        <v>126</v>
      </c>
      <c r="I115" s="150">
        <f>VLOOKUP(A115,'Standard Deviations'!A1:C731,3,FALSE)</f>
        <v>1.73532289907383</v>
      </c>
      <c r="J115" s="150">
        <f>I115-VLOOKUP(B$2,H1:J432,2,FALSE)</f>
        <v>-1.54343122431149</v>
      </c>
    </row>
    <row r="116" ht="21.25" customHeight="1">
      <c r="A116" t="s" s="8">
        <v>350</v>
      </c>
      <c r="B116" t="s" s="148">
        <f>VLOOKUP(A116,'The List'!B1:D730,3,FALSE)</f>
        <v>107</v>
      </c>
      <c r="C116" s="54">
        <f>IF('Settings'!$E$15="POINTS",RANK(E116,E3:E432),H116)</f>
        <v>96</v>
      </c>
      <c r="D116" t="s" s="42">
        <f>VLOOKUP(A116,'The List'!B1:F730,5,FALSE)</f>
        <v>119</v>
      </c>
      <c r="E116" s="46">
        <f>VLOOKUP(A116,'The List'!B1:I730,8,FALSE)</f>
        <v>349.827975405214</v>
      </c>
      <c r="F116" s="46">
        <f>IF('Settings'!$E$15="POINTS",E116-VLOOKUP(B$2,C1:E432,3,FALSE),J116)</f>
        <v>0</v>
      </c>
      <c r="G116" s="46"/>
      <c r="H116" s="149">
        <f>RANK(I116,I3:I432)</f>
        <v>94</v>
      </c>
      <c r="I116" s="150">
        <f>VLOOKUP(A116,'Standard Deviations'!A1:C731,3,FALSE)</f>
        <v>3.39862422271558</v>
      </c>
      <c r="J116" s="150">
        <f>I116-VLOOKUP(B$2,H1:J432,2,FALSE)</f>
        <v>0.11987009933026</v>
      </c>
    </row>
    <row r="117" ht="21.25" customHeight="1">
      <c r="A117" t="s" s="8">
        <v>335</v>
      </c>
      <c r="B117" t="s" s="148">
        <f>VLOOKUP(A117,'The List'!B1:D730,3,FALSE)</f>
        <v>118</v>
      </c>
      <c r="C117" s="54">
        <f>IF('Settings'!$E$15="POINTS",RANK(E117,E3:E432),H117)</f>
        <v>107</v>
      </c>
      <c r="D117" t="s" s="42">
        <f>VLOOKUP(A117,'The List'!B1:F730,5,FALSE)</f>
        <v>238</v>
      </c>
      <c r="E117" s="46">
        <f>VLOOKUP(A117,'The List'!B1:I730,8,FALSE)</f>
        <v>332.933865412420</v>
      </c>
      <c r="F117" s="46">
        <f>IF('Settings'!$E$15="POINTS",E117-VLOOKUP(B$2,C1:E432,3,FALSE),J117)</f>
        <v>-16.894109992794</v>
      </c>
      <c r="G117" s="46"/>
      <c r="H117" s="149">
        <f>RANK(I117,I3:I432)</f>
        <v>95</v>
      </c>
      <c r="I117" s="150">
        <f>VLOOKUP(A117,'Standard Deviations'!A1:C731,3,FALSE)</f>
        <v>3.36574852969841</v>
      </c>
      <c r="J117" s="150">
        <f>I117-VLOOKUP(B$2,H1:J432,2,FALSE)</f>
        <v>0.08699440631308999</v>
      </c>
    </row>
    <row r="118" ht="21.25" customHeight="1">
      <c r="A118" t="s" s="8">
        <v>351</v>
      </c>
      <c r="B118" t="s" s="148">
        <f>VLOOKUP(A118,'The List'!B1:D730,3,FALSE)</f>
        <v>107</v>
      </c>
      <c r="C118" s="54">
        <f>IF('Settings'!$E$15="POINTS",RANK(E118,E3:E432),H118)</f>
        <v>137</v>
      </c>
      <c r="D118" t="s" s="42">
        <f>VLOOKUP(A118,'The List'!B1:F730,5,FALSE)</f>
        <v>131</v>
      </c>
      <c r="E118" s="46">
        <f>VLOOKUP(A118,'The List'!B1:I730,8,FALSE)</f>
        <v>294.332921439397</v>
      </c>
      <c r="F118" s="46">
        <f>IF('Settings'!$E$15="POINTS",E118-VLOOKUP(B$2,C1:E432,3,FALSE),J118)</f>
        <v>-55.495053965817</v>
      </c>
      <c r="G118" s="46"/>
      <c r="H118" s="149">
        <f>RANK(I118,I3:I432)</f>
        <v>124</v>
      </c>
      <c r="I118" s="150">
        <f>VLOOKUP(A118,'Standard Deviations'!A1:C731,3,FALSE)</f>
        <v>1.91222302738432</v>
      </c>
      <c r="J118" s="150">
        <f>I118-VLOOKUP(B$2,H1:J432,2,FALSE)</f>
        <v>-1.366531096001</v>
      </c>
    </row>
    <row r="119" ht="21.25" customHeight="1">
      <c r="A119" t="s" s="8">
        <v>313</v>
      </c>
      <c r="B119" t="s" s="148">
        <f>VLOOKUP(A119,'The List'!B1:D730,3,FALSE)</f>
        <v>187</v>
      </c>
      <c r="C119" s="54">
        <f>IF('Settings'!$E$15="POINTS",RANK(E119,E3:E432),H119)</f>
        <v>94</v>
      </c>
      <c r="D119" t="s" s="42">
        <f>VLOOKUP(A119,'The List'!B1:F730,5,FALSE)</f>
        <v>127</v>
      </c>
      <c r="E119" s="46">
        <f>VLOOKUP(A119,'The List'!B1:I730,8,FALSE)</f>
        <v>355.123293102622</v>
      </c>
      <c r="F119" s="46">
        <f>IF('Settings'!$E$15="POINTS",E119-VLOOKUP(B$2,C1:E432,3,FALSE),J119)</f>
        <v>5.295317697408</v>
      </c>
      <c r="G119" s="46"/>
      <c r="H119" s="149">
        <f>RANK(I119,I3:I432)</f>
        <v>99</v>
      </c>
      <c r="I119" s="150">
        <f>VLOOKUP(A119,'Standard Deviations'!A1:C731,3,FALSE)</f>
        <v>3.09260618844406</v>
      </c>
      <c r="J119" s="150">
        <f>I119-VLOOKUP(B$2,H1:J432,2,FALSE)</f>
        <v>-0.18614793494126</v>
      </c>
    </row>
    <row r="120" ht="21.25" customHeight="1">
      <c r="A120" t="s" s="8">
        <v>353</v>
      </c>
      <c r="B120" t="s" s="148">
        <f>VLOOKUP(A120,'The List'!B1:D730,3,FALSE)</f>
        <v>107</v>
      </c>
      <c r="C120" s="54">
        <f>IF('Settings'!$E$15="POINTS",RANK(E120,E3:E432),H120)</f>
        <v>118</v>
      </c>
      <c r="D120" t="s" s="42">
        <f>VLOOKUP(A120,'The List'!B1:F730,5,FALSE)</f>
        <v>238</v>
      </c>
      <c r="E120" s="46">
        <f>VLOOKUP(A120,'The List'!B1:I730,8,FALSE)</f>
        <v>318.596881418557</v>
      </c>
      <c r="F120" s="46">
        <f>IF('Settings'!$E$15="POINTS",E120-VLOOKUP(B$2,C1:E432,3,FALSE),J120)</f>
        <v>-31.231093986657</v>
      </c>
      <c r="G120" s="46"/>
      <c r="H120" s="149">
        <f>RANK(I120,I3:I432)</f>
        <v>97</v>
      </c>
      <c r="I120" s="150">
        <f>VLOOKUP(A120,'Standard Deviations'!A1:C731,3,FALSE)</f>
        <v>3.24623541119633</v>
      </c>
      <c r="J120" s="150">
        <f>I120-VLOOKUP(B$2,H1:J432,2,FALSE)</f>
        <v>-0.03251871218899</v>
      </c>
    </row>
    <row r="121" ht="21.25" customHeight="1">
      <c r="A121" t="s" s="8">
        <v>352</v>
      </c>
      <c r="B121" t="s" s="148">
        <f>VLOOKUP(A121,'The List'!B1:D730,3,FALSE)</f>
        <v>133</v>
      </c>
      <c r="C121" s="54">
        <f>IF('Settings'!$E$15="POINTS",RANK(E121,E3:E432),H121)</f>
        <v>111</v>
      </c>
      <c r="D121" t="s" s="42">
        <f>VLOOKUP(A121,'The List'!B1:F730,5,FALSE)</f>
        <v>149</v>
      </c>
      <c r="E121" s="46">
        <f>VLOOKUP(A121,'The List'!B1:I730,8,FALSE)</f>
        <v>327.684105009120</v>
      </c>
      <c r="F121" s="46">
        <f>IF('Settings'!$E$15="POINTS",E121-VLOOKUP(B$2,C1:E432,3,FALSE),J121)</f>
        <v>-22.143870396094</v>
      </c>
      <c r="G121" s="46"/>
      <c r="H121" s="149">
        <f>RANK(I121,I3:I432)</f>
        <v>100</v>
      </c>
      <c r="I121" s="150">
        <f>VLOOKUP(A121,'Standard Deviations'!A1:C731,3,FALSE)</f>
        <v>3.04579299906192</v>
      </c>
      <c r="J121" s="150">
        <f>I121-VLOOKUP(B$2,H1:J432,2,FALSE)</f>
        <v>-0.2329611243234</v>
      </c>
    </row>
    <row r="122" ht="21.25" customHeight="1">
      <c r="A122" t="s" s="8">
        <v>344</v>
      </c>
      <c r="B122" t="s" s="148">
        <f>VLOOKUP(A122,'The List'!B1:D730,3,FALSE)</f>
        <v>121</v>
      </c>
      <c r="C122" s="54">
        <f>IF('Settings'!$E$15="POINTS",RANK(E122,E3:E432),H122)</f>
        <v>131</v>
      </c>
      <c r="D122" t="s" s="42">
        <f>VLOOKUP(A122,'The List'!B1:F730,5,FALSE)</f>
        <v>248</v>
      </c>
      <c r="E122" s="46">
        <f>VLOOKUP(A122,'The List'!B1:I730,8,FALSE)</f>
        <v>299.087250278538</v>
      </c>
      <c r="F122" s="46">
        <f>IF('Settings'!$E$15="POINTS",E122-VLOOKUP(B$2,C1:E432,3,FALSE),J122)</f>
        <v>-50.740725126676</v>
      </c>
      <c r="G122" s="46"/>
      <c r="H122" s="149">
        <f>RANK(I122,I3:I432)</f>
        <v>123</v>
      </c>
      <c r="I122" s="150">
        <f>VLOOKUP(A122,'Standard Deviations'!A1:C731,3,FALSE)</f>
        <v>1.93655957198183</v>
      </c>
      <c r="J122" s="150">
        <f>I122-VLOOKUP(B$2,H1:J432,2,FALSE)</f>
        <v>-1.34219455140349</v>
      </c>
    </row>
    <row r="123" ht="21.25" customHeight="1">
      <c r="A123" t="s" s="8">
        <v>348</v>
      </c>
      <c r="B123" t="s" s="148">
        <f>VLOOKUP(A123,'The List'!B1:D730,3,FALSE)</f>
        <v>121</v>
      </c>
      <c r="C123" s="54">
        <f>IF('Settings'!$E$15="POINTS",RANK(E123,E3:E432),H123)</f>
        <v>116</v>
      </c>
      <c r="D123" t="s" s="42">
        <f>VLOOKUP(A123,'The List'!B1:F730,5,FALSE)</f>
        <v>170</v>
      </c>
      <c r="E123" s="46">
        <f>VLOOKUP(A123,'The List'!B1:I730,8,FALSE)</f>
        <v>319.791423135401</v>
      </c>
      <c r="F123" s="46">
        <f>IF('Settings'!$E$15="POINTS",E123-VLOOKUP(B$2,C1:E432,3,FALSE),J123)</f>
        <v>-30.036552269813</v>
      </c>
      <c r="G123" s="46"/>
      <c r="H123" s="149">
        <f>RANK(I123,I3:I432)</f>
        <v>106</v>
      </c>
      <c r="I123" s="150">
        <f>VLOOKUP(A123,'Standard Deviations'!A1:C731,3,FALSE)</f>
        <v>2.78942357101321</v>
      </c>
      <c r="J123" s="150">
        <f>I123-VLOOKUP(B$2,H1:J432,2,FALSE)</f>
        <v>-0.48933055237211</v>
      </c>
    </row>
    <row r="124" ht="21.25" customHeight="1">
      <c r="A124" t="s" s="8">
        <v>368</v>
      </c>
      <c r="B124" t="s" s="148">
        <f>VLOOKUP(A124,'The List'!B1:D730,3,FALSE)</f>
        <v>121</v>
      </c>
      <c r="C124" s="54">
        <f>IF('Settings'!$E$15="POINTS",RANK(E124,E3:E432),H124)</f>
        <v>150</v>
      </c>
      <c r="D124" t="s" s="42">
        <f>VLOOKUP(A124,'The List'!B1:F730,5,FALSE)</f>
        <v>131</v>
      </c>
      <c r="E124" s="46">
        <f>VLOOKUP(A124,'The List'!B1:I730,8,FALSE)</f>
        <v>284.668111747721</v>
      </c>
      <c r="F124" s="46">
        <f>IF('Settings'!$E$15="POINTS",E124-VLOOKUP(B$2,C1:E432,3,FALSE),J124)</f>
        <v>-65.15986365749301</v>
      </c>
      <c r="G124" s="46"/>
      <c r="H124" s="149">
        <f>RANK(I124,I3:I432)</f>
        <v>145</v>
      </c>
      <c r="I124" s="150">
        <f>VLOOKUP(A124,'Standard Deviations'!A1:C731,3,FALSE)</f>
        <v>1.02111277426088</v>
      </c>
      <c r="J124" s="150">
        <f>I124-VLOOKUP(B$2,H1:J432,2,FALSE)</f>
        <v>-2.25764134912444</v>
      </c>
    </row>
    <row r="125" ht="21.25" customHeight="1">
      <c r="A125" t="s" s="8">
        <v>362</v>
      </c>
      <c r="B125" t="s" s="148">
        <f>VLOOKUP(A125,'The List'!B1:D730,3,FALSE)</f>
        <v>133</v>
      </c>
      <c r="C125" s="54">
        <f>IF('Settings'!$E$15="POINTS",RANK(E125,E3:E432),H125)</f>
        <v>140</v>
      </c>
      <c r="D125" t="s" s="42">
        <f>VLOOKUP(A125,'The List'!B1:F730,5,FALSE)</f>
        <v>225</v>
      </c>
      <c r="E125" s="46">
        <f>VLOOKUP(A125,'The List'!B1:I730,8,FALSE)</f>
        <v>292.917159483350</v>
      </c>
      <c r="F125" s="46">
        <f>IF('Settings'!$E$15="POINTS",E125-VLOOKUP(B$2,C1:E432,3,FALSE),J125)</f>
        <v>-56.910815921864</v>
      </c>
      <c r="G125" s="46"/>
      <c r="H125" s="149">
        <f>RANK(I125,I3:I432)</f>
        <v>170</v>
      </c>
      <c r="I125" s="150">
        <f>VLOOKUP(A125,'Standard Deviations'!A1:C731,3,FALSE)</f>
        <v>0.315024793407894</v>
      </c>
      <c r="J125" s="150">
        <f>I125-VLOOKUP(B$2,H1:J432,2,FALSE)</f>
        <v>-2.96372932997743</v>
      </c>
    </row>
    <row r="126" ht="21.25" customHeight="1">
      <c r="A126" t="s" s="8">
        <v>354</v>
      </c>
      <c r="B126" t="s" s="148">
        <f>VLOOKUP(A126,'The List'!B1:D730,3,FALSE)</f>
        <v>187</v>
      </c>
      <c r="C126" s="54">
        <f>IF('Settings'!$E$15="POINTS",RANK(E126,E3:E432),H126)</f>
        <v>135</v>
      </c>
      <c r="D126" t="s" s="42">
        <f>VLOOKUP(A126,'The List'!B1:F730,5,FALSE)</f>
        <v>136</v>
      </c>
      <c r="E126" s="46">
        <f>VLOOKUP(A126,'The List'!B1:I730,8,FALSE)</f>
        <v>294.814134078005</v>
      </c>
      <c r="F126" s="46">
        <f>IF('Settings'!$E$15="POINTS",E126-VLOOKUP(B$2,C1:E432,3,FALSE),J126)</f>
        <v>-55.013841327209</v>
      </c>
      <c r="G126" s="46"/>
      <c r="H126" s="149">
        <f>RANK(I126,I3:I432)</f>
        <v>109</v>
      </c>
      <c r="I126" s="150">
        <f>VLOOKUP(A126,'Standard Deviations'!A1:C731,3,FALSE)</f>
        <v>2.7500624606879</v>
      </c>
      <c r="J126" s="150">
        <f>I126-VLOOKUP(B$2,H1:J432,2,FALSE)</f>
        <v>-0.52869166269742</v>
      </c>
    </row>
    <row r="127" ht="21.25" customHeight="1">
      <c r="A127" t="s" s="8">
        <v>381</v>
      </c>
      <c r="B127" t="s" s="148">
        <f>VLOOKUP(A127,'The List'!B1:D730,3,FALSE)</f>
        <v>107</v>
      </c>
      <c r="C127" s="54">
        <f>IF('Settings'!$E$15="POINTS",RANK(E127,E3:E432),H127)</f>
        <v>122</v>
      </c>
      <c r="D127" t="s" s="42">
        <f>VLOOKUP(A127,'The List'!B1:F730,5,FALSE)</f>
        <v>204</v>
      </c>
      <c r="E127" s="46">
        <f>VLOOKUP(A127,'The List'!B1:I730,8,FALSE)</f>
        <v>311.426822241602</v>
      </c>
      <c r="F127" s="46">
        <f>IF('Settings'!$E$15="POINTS",E127-VLOOKUP(B$2,C1:E432,3,FALSE),J127)</f>
        <v>-38.401153163612</v>
      </c>
      <c r="G127" s="46"/>
      <c r="H127" s="149">
        <f>RANK(I127,I3:I432)</f>
        <v>117</v>
      </c>
      <c r="I127" s="150">
        <f>VLOOKUP(A127,'Standard Deviations'!A1:C731,3,FALSE)</f>
        <v>2.24833658196164</v>
      </c>
      <c r="J127" s="150">
        <f>I127-VLOOKUP(B$2,H1:J432,2,FALSE)</f>
        <v>-1.03041754142368</v>
      </c>
    </row>
    <row r="128" ht="21.25" customHeight="1">
      <c r="A128" t="s" s="8">
        <v>383</v>
      </c>
      <c r="B128" t="s" s="148">
        <f>VLOOKUP(A128,'The List'!B1:D730,3,FALSE)</f>
        <v>107</v>
      </c>
      <c r="C128" s="54">
        <f>IF('Settings'!$E$15="POINTS",RANK(E128,E3:E432),H128)</f>
        <v>134</v>
      </c>
      <c r="D128" t="s" s="42">
        <f>VLOOKUP(A128,'The List'!B1:F730,5,FALSE)</f>
        <v>189</v>
      </c>
      <c r="E128" s="46">
        <f>VLOOKUP(A128,'The List'!B1:I730,8,FALSE)</f>
        <v>295.271696404835</v>
      </c>
      <c r="F128" s="46">
        <f>IF('Settings'!$E$15="POINTS",E128-VLOOKUP(B$2,C1:E432,3,FALSE),J128)</f>
        <v>-54.556279000379</v>
      </c>
      <c r="G128" s="46"/>
      <c r="H128" s="149">
        <f>RANK(I128,I3:I432)</f>
        <v>130</v>
      </c>
      <c r="I128" s="150">
        <f>VLOOKUP(A128,'Standard Deviations'!A1:C731,3,FALSE)</f>
        <v>1.63290651569308</v>
      </c>
      <c r="J128" s="150">
        <f>I128-VLOOKUP(B$2,H1:J432,2,FALSE)</f>
        <v>-1.64584760769224</v>
      </c>
    </row>
    <row r="129" ht="21.25" customHeight="1">
      <c r="A129" t="s" s="8">
        <v>356</v>
      </c>
      <c r="B129" t="s" s="148">
        <f>VLOOKUP(A129,'The List'!B1:D730,3,FALSE)</f>
        <v>107</v>
      </c>
      <c r="C129" s="54">
        <f>IF('Settings'!$E$15="POINTS",RANK(E129,E3:E432),H129)</f>
        <v>146</v>
      </c>
      <c r="D129" t="s" s="42">
        <f>VLOOKUP(A129,'The List'!B1:F730,5,FALSE)</f>
        <v>139</v>
      </c>
      <c r="E129" s="46">
        <f>VLOOKUP(A129,'The List'!B1:I730,8,FALSE)</f>
        <v>287.398662446365</v>
      </c>
      <c r="F129" s="46">
        <f>IF('Settings'!$E$15="POINTS",E129-VLOOKUP(B$2,C1:E432,3,FALSE),J129)</f>
        <v>-62.429312958849</v>
      </c>
      <c r="G129" s="46"/>
      <c r="H129" s="149">
        <f>RANK(I129,I3:I432)</f>
        <v>148</v>
      </c>
      <c r="I129" s="150">
        <f>VLOOKUP(A129,'Standard Deviations'!A1:C731,3,FALSE)</f>
        <v>0.906432495038527</v>
      </c>
      <c r="J129" s="150">
        <f>I129-VLOOKUP(B$2,H1:J432,2,FALSE)</f>
        <v>-2.37232162834679</v>
      </c>
    </row>
    <row r="130" ht="21.25" customHeight="1">
      <c r="A130" t="s" s="8">
        <v>345</v>
      </c>
      <c r="B130" t="s" s="148">
        <f>VLOOKUP(A130,'The List'!B1:D730,3,FALSE)</f>
        <v>187</v>
      </c>
      <c r="C130" s="54">
        <f>IF('Settings'!$E$15="POINTS",RANK(E130,E3:E432),H130)</f>
        <v>117</v>
      </c>
      <c r="D130" t="s" s="42">
        <f>VLOOKUP(A130,'The List'!B1:F730,5,FALSE)</f>
        <v>202</v>
      </c>
      <c r="E130" s="46">
        <f>VLOOKUP(A130,'The List'!B1:I730,8,FALSE)</f>
        <v>319.635637991465</v>
      </c>
      <c r="F130" s="46">
        <f>IF('Settings'!$E$15="POINTS",E130-VLOOKUP(B$2,C1:E432,3,FALSE),J130)</f>
        <v>-30.192337413749</v>
      </c>
      <c r="G130" s="46"/>
      <c r="H130" s="149">
        <f>RANK(I130,I3:I432)</f>
        <v>89</v>
      </c>
      <c r="I130" s="150">
        <f>VLOOKUP(A130,'Standard Deviations'!A1:C731,3,FALSE)</f>
        <v>3.88433731441189</v>
      </c>
      <c r="J130" s="150">
        <f>I130-VLOOKUP(B$2,H1:J432,2,FALSE)</f>
        <v>0.60558319102657</v>
      </c>
    </row>
    <row r="131" ht="21.25" customHeight="1">
      <c r="A131" t="s" s="8">
        <v>371</v>
      </c>
      <c r="B131" t="s" s="148">
        <f>VLOOKUP(A131,'The List'!B1:D730,3,FALSE)</f>
        <v>111</v>
      </c>
      <c r="C131" s="54">
        <f>IF('Settings'!$E$15="POINTS",RANK(E131,E3:E432),H131)</f>
        <v>110</v>
      </c>
      <c r="D131" t="s" s="42">
        <f>VLOOKUP(A131,'The List'!B1:F730,5,FALSE)</f>
        <v>189</v>
      </c>
      <c r="E131" s="46">
        <f>VLOOKUP(A131,'The List'!B1:I730,8,FALSE)</f>
        <v>329.658701122838</v>
      </c>
      <c r="F131" s="46">
        <f>IF('Settings'!$E$15="POINTS",E131-VLOOKUP(B$2,C1:E432,3,FALSE),J131)</f>
        <v>-20.169274282376</v>
      </c>
      <c r="G131" s="46"/>
      <c r="H131" s="149">
        <f>RANK(I131,I3:I432)</f>
        <v>156</v>
      </c>
      <c r="I131" s="150">
        <f>VLOOKUP(A131,'Standard Deviations'!A1:C731,3,FALSE)</f>
        <v>0.691379764942408</v>
      </c>
      <c r="J131" s="150">
        <f>I131-VLOOKUP(B$2,H1:J432,2,FALSE)</f>
        <v>-2.58737435844291</v>
      </c>
    </row>
    <row r="132" ht="21.25" customHeight="1">
      <c r="A132" t="s" s="8">
        <v>366</v>
      </c>
      <c r="B132" t="s" s="148">
        <f>VLOOKUP(A132,'The List'!B1:D730,3,FALSE)</f>
        <v>121</v>
      </c>
      <c r="C132" s="54">
        <f>IF('Settings'!$E$15="POINTS",RANK(E132,E3:E432),H132)</f>
        <v>132</v>
      </c>
      <c r="D132" t="s" s="42">
        <f>VLOOKUP(A132,'The List'!B1:F730,5,FALSE)</f>
        <v>248</v>
      </c>
      <c r="E132" s="46">
        <f>VLOOKUP(A132,'The List'!B1:I730,8,FALSE)</f>
        <v>295.902264363848</v>
      </c>
      <c r="F132" s="46">
        <f>IF('Settings'!$E$15="POINTS",E132-VLOOKUP(B$2,C1:E432,3,FALSE),J132)</f>
        <v>-53.925711041366</v>
      </c>
      <c r="G132" s="46"/>
      <c r="H132" s="149">
        <f>RANK(I132,I3:I432)</f>
        <v>141</v>
      </c>
      <c r="I132" s="150">
        <f>VLOOKUP(A132,'Standard Deviations'!A1:C731,3,FALSE)</f>
        <v>1.13527810435822</v>
      </c>
      <c r="J132" s="150">
        <f>I132-VLOOKUP(B$2,H1:J432,2,FALSE)</f>
        <v>-2.1434760190271</v>
      </c>
    </row>
    <row r="133" ht="21.25" customHeight="1">
      <c r="A133" t="s" s="8">
        <v>370</v>
      </c>
      <c r="B133" t="s" s="148">
        <f>VLOOKUP(A133,'The List'!B1:D730,3,FALSE)</f>
        <v>118</v>
      </c>
      <c r="C133" s="54">
        <f>IF('Settings'!$E$15="POINTS",RANK(E133,E3:E432),H133)</f>
        <v>147</v>
      </c>
      <c r="D133" t="s" s="42">
        <f>VLOOKUP(A133,'The List'!B1:F730,5,FALSE)</f>
        <v>156</v>
      </c>
      <c r="E133" s="46">
        <f>VLOOKUP(A133,'The List'!B1:I730,8,FALSE)</f>
        <v>287.099241610952</v>
      </c>
      <c r="F133" s="46">
        <f>IF('Settings'!$E$15="POINTS",E133-VLOOKUP(B$2,C1:E432,3,FALSE),J133)</f>
        <v>-62.728733794262</v>
      </c>
      <c r="G133" s="46"/>
      <c r="H133" s="149">
        <f>RANK(I133,I3:I432)</f>
        <v>142</v>
      </c>
      <c r="I133" s="150">
        <f>VLOOKUP(A133,'Standard Deviations'!A1:C731,3,FALSE)</f>
        <v>1.0959759835712</v>
      </c>
      <c r="J133" s="150">
        <f>I133-VLOOKUP(B$2,H1:J432,2,FALSE)</f>
        <v>-2.18277813981412</v>
      </c>
    </row>
    <row r="134" ht="21.25" customHeight="1">
      <c r="A134" t="s" s="8">
        <v>390</v>
      </c>
      <c r="B134" t="s" s="148">
        <f>VLOOKUP(A134,'The List'!B1:D730,3,FALSE)</f>
        <v>111</v>
      </c>
      <c r="C134" s="54">
        <f>IF('Settings'!$E$15="POINTS",RANK(E134,E3:E432),H134)</f>
        <v>136</v>
      </c>
      <c r="D134" t="s" s="42">
        <f>VLOOKUP(A134,'The List'!B1:F730,5,FALSE)</f>
        <v>234</v>
      </c>
      <c r="E134" s="46">
        <f>VLOOKUP(A134,'The List'!B1:I730,8,FALSE)</f>
        <v>294.557117842121</v>
      </c>
      <c r="F134" s="46">
        <f>IF('Settings'!$E$15="POINTS",E134-VLOOKUP(B$2,C1:E432,3,FALSE),J134)</f>
        <v>-55.270857563093</v>
      </c>
      <c r="G134" s="46"/>
      <c r="H134" s="149">
        <f>RANK(I134,I3:I432)</f>
        <v>171</v>
      </c>
      <c r="I134" s="150">
        <f>VLOOKUP(A134,'Standard Deviations'!A1:C731,3,FALSE)</f>
        <v>0.301284683960606</v>
      </c>
      <c r="J134" s="150">
        <f>I134-VLOOKUP(B$2,H1:J432,2,FALSE)</f>
        <v>-2.97746943942471</v>
      </c>
    </row>
    <row r="135" ht="21.25" customHeight="1">
      <c r="A135" t="s" s="8">
        <v>372</v>
      </c>
      <c r="B135" t="s" s="148">
        <f>VLOOKUP(A135,'The List'!B1:D730,3,FALSE)</f>
        <v>118</v>
      </c>
      <c r="C135" s="54">
        <f>IF('Settings'!$E$15="POINTS",RANK(E135,E3:E432),H135)</f>
        <v>125</v>
      </c>
      <c r="D135" t="s" s="42">
        <f>VLOOKUP(A135,'The List'!B1:F730,5,FALSE)</f>
        <v>170</v>
      </c>
      <c r="E135" s="46">
        <f>VLOOKUP(A135,'The List'!B1:I730,8,FALSE)</f>
        <v>310.577739354740</v>
      </c>
      <c r="F135" s="46">
        <f>IF('Settings'!$E$15="POINTS",E135-VLOOKUP(B$2,C1:E432,3,FALSE),J135)</f>
        <v>-39.250236050474</v>
      </c>
      <c r="G135" s="46"/>
      <c r="H135" s="149">
        <f>RANK(I135,I3:I432)</f>
        <v>131</v>
      </c>
      <c r="I135" s="150">
        <f>VLOOKUP(A135,'Standard Deviations'!A1:C731,3,FALSE)</f>
        <v>1.59320485613993</v>
      </c>
      <c r="J135" s="150">
        <f>I135-VLOOKUP(B$2,H1:J432,2,FALSE)</f>
        <v>-1.68554926724539</v>
      </c>
    </row>
    <row r="136" ht="21.25" customHeight="1">
      <c r="A136" t="s" s="8">
        <v>377</v>
      </c>
      <c r="B136" t="s" s="148">
        <f>VLOOKUP(A136,'The List'!B1:D730,3,FALSE)</f>
        <v>187</v>
      </c>
      <c r="C136" s="54">
        <f>IF('Settings'!$E$15="POINTS",RANK(E136,E3:E432),H136)</f>
        <v>119</v>
      </c>
      <c r="D136" t="s" s="42">
        <f>VLOOKUP(A136,'The List'!B1:F730,5,FALSE)</f>
        <v>134</v>
      </c>
      <c r="E136" s="46">
        <f>VLOOKUP(A136,'The List'!B1:I730,8,FALSE)</f>
        <v>316.521418207539</v>
      </c>
      <c r="F136" s="46">
        <f>IF('Settings'!$E$15="POINTS",E136-VLOOKUP(B$2,C1:E432,3,FALSE),J136)</f>
        <v>-33.306557197675</v>
      </c>
      <c r="G136" s="46"/>
      <c r="H136" s="149">
        <f>RANK(I136,I3:I432)</f>
        <v>119</v>
      </c>
      <c r="I136" s="150">
        <f>VLOOKUP(A136,'Standard Deviations'!A1:C731,3,FALSE)</f>
        <v>2.18779100632093</v>
      </c>
      <c r="J136" s="150">
        <f>I136-VLOOKUP(B$2,H1:J432,2,FALSE)</f>
        <v>-1.09096311706439</v>
      </c>
    </row>
    <row r="137" ht="21.25" customHeight="1">
      <c r="A137" t="s" s="8">
        <v>385</v>
      </c>
      <c r="B137" t="s" s="148">
        <f>VLOOKUP(A137,'The List'!B1:D730,3,FALSE)</f>
        <v>121</v>
      </c>
      <c r="C137" s="54">
        <f>IF('Settings'!$E$15="POINTS",RANK(E137,E3:E432),H137)</f>
        <v>160</v>
      </c>
      <c r="D137" t="s" s="42">
        <f>VLOOKUP(A137,'The List'!B1:F730,5,FALSE)</f>
        <v>156</v>
      </c>
      <c r="E137" s="46">
        <f>VLOOKUP(A137,'The List'!B1:I730,8,FALSE)</f>
        <v>280.423786864537</v>
      </c>
      <c r="F137" s="46">
        <f>IF('Settings'!$E$15="POINTS",E137-VLOOKUP(B$2,C1:E432,3,FALSE),J137)</f>
        <v>-69.404188540677</v>
      </c>
      <c r="G137" s="46"/>
      <c r="H137" s="149">
        <f>RANK(I137,I3:I432)</f>
        <v>140</v>
      </c>
      <c r="I137" s="150">
        <f>VLOOKUP(A137,'Standard Deviations'!A1:C731,3,FALSE)</f>
        <v>1.17190142691424</v>
      </c>
      <c r="J137" s="150">
        <f>I137-VLOOKUP(B$2,H1:J432,2,FALSE)</f>
        <v>-2.10685269647108</v>
      </c>
    </row>
    <row r="138" ht="21.25" customHeight="1">
      <c r="A138" t="s" s="8">
        <v>393</v>
      </c>
      <c r="B138" t="s" s="148">
        <f>VLOOKUP(A138,'The List'!B1:D730,3,FALSE)</f>
        <v>133</v>
      </c>
      <c r="C138" s="54">
        <f>IF('Settings'!$E$15="POINTS",RANK(E138,E3:E432),H138)</f>
        <v>186</v>
      </c>
      <c r="D138" t="s" s="42">
        <f>VLOOKUP(A138,'The List'!B1:F730,5,FALSE)</f>
        <v>196</v>
      </c>
      <c r="E138" s="46">
        <f>VLOOKUP(A138,'The List'!B1:I730,8,FALSE)</f>
        <v>258.589276325382</v>
      </c>
      <c r="F138" s="46">
        <f>IF('Settings'!$E$15="POINTS",E138-VLOOKUP(B$2,C1:E432,3,FALSE),J138)</f>
        <v>-91.238699079832</v>
      </c>
      <c r="G138" s="46"/>
      <c r="H138" s="149">
        <f>RANK(I138,I3:I432)</f>
        <v>173</v>
      </c>
      <c r="I138" s="150">
        <f>VLOOKUP(A138,'Standard Deviations'!A1:C731,3,FALSE)</f>
        <v>0.25862819669197</v>
      </c>
      <c r="J138" s="150">
        <f>I138-VLOOKUP(B$2,H1:J432,2,FALSE)</f>
        <v>-3.02012592669335</v>
      </c>
    </row>
    <row r="139" ht="21.25" customHeight="1">
      <c r="A139" t="s" s="8">
        <v>394</v>
      </c>
      <c r="B139" t="s" s="148">
        <f>VLOOKUP(A139,'The List'!B1:D730,3,FALSE)</f>
        <v>133</v>
      </c>
      <c r="C139" s="54">
        <f>IF('Settings'!$E$15="POINTS",RANK(E139,E3:E432),H139)</f>
        <v>144</v>
      </c>
      <c r="D139" t="s" s="42">
        <f>VLOOKUP(A139,'The List'!B1:F730,5,FALSE)</f>
        <v>194</v>
      </c>
      <c r="E139" s="46">
        <f>VLOOKUP(A139,'The List'!B1:I730,8,FALSE)</f>
        <v>290.441231991163</v>
      </c>
      <c r="F139" s="46">
        <f>IF('Settings'!$E$15="POINTS",E139-VLOOKUP(B$2,C1:E432,3,FALSE),J139)</f>
        <v>-59.386743414051</v>
      </c>
      <c r="G139" s="46"/>
      <c r="H139" s="149">
        <f>RANK(I139,I3:I432)</f>
        <v>161</v>
      </c>
      <c r="I139" s="150">
        <f>VLOOKUP(A139,'Standard Deviations'!A1:C731,3,FALSE)</f>
        <v>0.483635214073299</v>
      </c>
      <c r="J139" s="150">
        <f>I139-VLOOKUP(B$2,H1:J432,2,FALSE)</f>
        <v>-2.79511890931202</v>
      </c>
    </row>
    <row r="140" ht="21.25" customHeight="1">
      <c r="A140" t="s" s="8">
        <v>410</v>
      </c>
      <c r="B140" t="s" s="148">
        <f>VLOOKUP(A140,'The List'!B1:D730,3,FALSE)</f>
        <v>107</v>
      </c>
      <c r="C140" s="54">
        <f>IF('Settings'!$E$15="POINTS",RANK(E140,E3:E432),H140)</f>
        <v>154</v>
      </c>
      <c r="D140" t="s" s="42">
        <f>VLOOKUP(A140,'The List'!B1:F730,5,FALSE)</f>
        <v>236</v>
      </c>
      <c r="E140" s="46">
        <f>VLOOKUP(A140,'The List'!B1:I730,8,FALSE)</f>
        <v>283.189386986371</v>
      </c>
      <c r="F140" s="46">
        <f>IF('Settings'!$E$15="POINTS",E140-VLOOKUP(B$2,C1:E432,3,FALSE),J140)</f>
        <v>-66.638588418843</v>
      </c>
      <c r="G140" s="46"/>
      <c r="H140" s="149">
        <f>RANK(I140,I3:I432)</f>
        <v>175</v>
      </c>
      <c r="I140" s="150">
        <f>VLOOKUP(A140,'Standard Deviations'!A1:C731,3,FALSE)</f>
        <v>0.20232395299415</v>
      </c>
      <c r="J140" s="150">
        <f>I140-VLOOKUP(B$2,H1:J432,2,FALSE)</f>
        <v>-3.07643017039117</v>
      </c>
    </row>
    <row r="141" ht="21.25" customHeight="1">
      <c r="A141" t="s" s="8">
        <v>397</v>
      </c>
      <c r="B141" t="s" s="148">
        <f>VLOOKUP(A141,'The List'!B1:D730,3,FALSE)</f>
        <v>133</v>
      </c>
      <c r="C141" s="54">
        <f>IF('Settings'!$E$15="POINTS",RANK(E141,E3:E432),H141)</f>
        <v>139</v>
      </c>
      <c r="D141" t="s" s="42">
        <f>VLOOKUP(A141,'The List'!B1:F730,5,FALSE)</f>
        <v>202</v>
      </c>
      <c r="E141" s="46">
        <f>VLOOKUP(A141,'The List'!B1:I730,8,FALSE)</f>
        <v>293.202872407773</v>
      </c>
      <c r="F141" s="46">
        <f>IF('Settings'!$E$15="POINTS",E141-VLOOKUP(B$2,C1:E432,3,FALSE),J141)</f>
        <v>-56.625102997441</v>
      </c>
      <c r="G141" s="46"/>
      <c r="H141" s="149">
        <f>RANK(I141,I3:I432)</f>
        <v>110</v>
      </c>
      <c r="I141" s="150">
        <f>VLOOKUP(A141,'Standard Deviations'!A1:C731,3,FALSE)</f>
        <v>2.70580528820694</v>
      </c>
      <c r="J141" s="150">
        <f>I141-VLOOKUP(B$2,H1:J432,2,FALSE)</f>
        <v>-0.57294883517838</v>
      </c>
    </row>
    <row r="142" ht="21.25" customHeight="1">
      <c r="A142" t="s" s="8">
        <v>388</v>
      </c>
      <c r="B142" t="s" s="148">
        <f>VLOOKUP(A142,'The List'!B1:D730,3,FALSE)</f>
        <v>107</v>
      </c>
      <c r="C142" s="54">
        <f>IF('Settings'!$E$15="POINTS",RANK(E142,E3:E432),H142)</f>
        <v>129</v>
      </c>
      <c r="D142" t="s" s="42">
        <f>VLOOKUP(A142,'The List'!B1:F730,5,FALSE)</f>
        <v>136</v>
      </c>
      <c r="E142" s="46">
        <f>VLOOKUP(A142,'The List'!B1:I730,8,FALSE)</f>
        <v>300.680135404697</v>
      </c>
      <c r="F142" s="46">
        <f>IF('Settings'!$E$15="POINTS",E142-VLOOKUP(B$2,C1:E432,3,FALSE),J142)</f>
        <v>-49.147840000517</v>
      </c>
      <c r="G142" s="46"/>
      <c r="H142" s="149">
        <f>RANK(I142,I3:I432)</f>
        <v>107</v>
      </c>
      <c r="I142" s="150">
        <f>VLOOKUP(A142,'Standard Deviations'!A1:C731,3,FALSE)</f>
        <v>2.78655981619413</v>
      </c>
      <c r="J142" s="150">
        <f>I142-VLOOKUP(B$2,H1:J432,2,FALSE)</f>
        <v>-0.49219430719119</v>
      </c>
    </row>
    <row r="143" ht="21.25" customHeight="1">
      <c r="A143" t="s" s="8">
        <v>378</v>
      </c>
      <c r="B143" t="s" s="148">
        <f>VLOOKUP(A143,'The List'!B1:D730,3,FALSE)</f>
        <v>111</v>
      </c>
      <c r="C143" s="54">
        <f>IF('Settings'!$E$15="POINTS",RANK(E143,E3:E432),H143)</f>
        <v>163</v>
      </c>
      <c r="D143" t="s" s="42">
        <f>VLOOKUP(A143,'The List'!B1:F730,5,FALSE)</f>
        <v>189</v>
      </c>
      <c r="E143" s="46">
        <f>VLOOKUP(A143,'The List'!B1:I730,8,FALSE)</f>
        <v>278.8344223246</v>
      </c>
      <c r="F143" s="46">
        <f>IF('Settings'!$E$15="POINTS",E143-VLOOKUP(B$2,C1:E432,3,FALSE),J143)</f>
        <v>-70.99355308061401</v>
      </c>
      <c r="G143" s="46"/>
      <c r="H143" s="149">
        <f>RANK(I143,I3:I432)</f>
        <v>186</v>
      </c>
      <c r="I143" s="150">
        <f>VLOOKUP(A143,'Standard Deviations'!A1:C731,3,FALSE)</f>
        <v>-0.076165716071106</v>
      </c>
      <c r="J143" s="150">
        <f>I143-VLOOKUP(B$2,H1:J432,2,FALSE)</f>
        <v>-3.35491983945643</v>
      </c>
    </row>
    <row r="144" ht="21.25" customHeight="1">
      <c r="A144" t="s" s="8">
        <v>416</v>
      </c>
      <c r="B144" t="s" s="148">
        <f>VLOOKUP(A144,'The List'!B1:D730,3,FALSE)</f>
        <v>107</v>
      </c>
      <c r="C144" s="54">
        <f>IF('Settings'!$E$15="POINTS",RANK(E144,E3:E432),H144)</f>
        <v>141</v>
      </c>
      <c r="D144" t="s" s="42">
        <f>VLOOKUP(A144,'The List'!B1:F730,5,FALSE)</f>
        <v>218</v>
      </c>
      <c r="E144" s="46">
        <f>VLOOKUP(A144,'The List'!B1:I730,8,FALSE)</f>
        <v>290.643047280141</v>
      </c>
      <c r="F144" s="46">
        <f>IF('Settings'!$E$15="POINTS",E144-VLOOKUP(B$2,C1:E432,3,FALSE),J144)</f>
        <v>-59.184928125073</v>
      </c>
      <c r="G144" s="46"/>
      <c r="H144" s="149">
        <f>RANK(I144,I3:I432)</f>
        <v>114</v>
      </c>
      <c r="I144" s="150">
        <f>VLOOKUP(A144,'Standard Deviations'!A1:C731,3,FALSE)</f>
        <v>2.46113278956586</v>
      </c>
      <c r="J144" s="150">
        <f>I144-VLOOKUP(B$2,H1:J432,2,FALSE)</f>
        <v>-0.81762133381946</v>
      </c>
    </row>
    <row r="145" ht="21.25" customHeight="1">
      <c r="A145" t="s" s="8">
        <v>421</v>
      </c>
      <c r="B145" t="s" s="148">
        <f>VLOOKUP(A145,'The List'!B1:D730,3,FALSE)</f>
        <v>107</v>
      </c>
      <c r="C145" s="54">
        <f>IF('Settings'!$E$15="POINTS",RANK(E145,E3:E432),H145)</f>
        <v>161</v>
      </c>
      <c r="D145" t="s" s="42">
        <f>VLOOKUP(A145,'The List'!B1:F730,5,FALSE)</f>
        <v>131</v>
      </c>
      <c r="E145" s="46">
        <f>VLOOKUP(A145,'The List'!B1:I730,8,FALSE)</f>
        <v>279.956275112218</v>
      </c>
      <c r="F145" s="46">
        <f>IF('Settings'!$E$15="POINTS",E145-VLOOKUP(B$2,C1:E432,3,FALSE),J145)</f>
        <v>-69.871700292996</v>
      </c>
      <c r="G145" s="46"/>
      <c r="H145" s="149">
        <f>RANK(I145,I3:I432)</f>
        <v>153</v>
      </c>
      <c r="I145" s="150">
        <f>VLOOKUP(A145,'Standard Deviations'!A1:C731,3,FALSE)</f>
        <v>0.735499135072556</v>
      </c>
      <c r="J145" s="150">
        <f>I145-VLOOKUP(B$2,H1:J432,2,FALSE)</f>
        <v>-2.54325498831276</v>
      </c>
    </row>
    <row r="146" ht="21.25" customHeight="1">
      <c r="A146" t="s" s="8">
        <v>424</v>
      </c>
      <c r="B146" t="s" s="148">
        <f>VLOOKUP(A146,'The List'!B1:D730,3,FALSE)</f>
        <v>107</v>
      </c>
      <c r="C146" s="54">
        <f>IF('Settings'!$E$15="POINTS",RANK(E146,E3:E432),H146)</f>
        <v>170</v>
      </c>
      <c r="D146" t="s" s="42">
        <f>VLOOKUP(A146,'The List'!B1:F730,5,FALSE)</f>
        <v>166</v>
      </c>
      <c r="E146" s="46">
        <f>VLOOKUP(A146,'The List'!B1:I730,8,FALSE)</f>
        <v>271.611865412343</v>
      </c>
      <c r="F146" s="46">
        <f>IF('Settings'!$E$15="POINTS",E146-VLOOKUP(B$2,C1:E432,3,FALSE),J146)</f>
        <v>-78.216109992871</v>
      </c>
      <c r="G146" s="46"/>
      <c r="H146" s="149">
        <f>RANK(I146,I3:I432)</f>
        <v>157</v>
      </c>
      <c r="I146" s="150">
        <f>VLOOKUP(A146,'Standard Deviations'!A1:C731,3,FALSE)</f>
        <v>0.5847814453793591</v>
      </c>
      <c r="J146" s="150">
        <f>I146-VLOOKUP(B$2,H1:J432,2,FALSE)</f>
        <v>-2.69397267800596</v>
      </c>
    </row>
    <row r="147" ht="21.25" customHeight="1">
      <c r="A147" t="s" s="8">
        <v>404</v>
      </c>
      <c r="B147" t="s" s="148">
        <f>VLOOKUP(A147,'The List'!B1:D730,3,FALSE)</f>
        <v>107</v>
      </c>
      <c r="C147" s="54">
        <f>IF('Settings'!$E$15="POINTS",RANK(E147,E3:E432),H147)</f>
        <v>165</v>
      </c>
      <c r="D147" t="s" s="42">
        <f>VLOOKUP(A147,'The List'!B1:F730,5,FALSE)</f>
        <v>258</v>
      </c>
      <c r="E147" s="46">
        <f>VLOOKUP(A147,'The List'!B1:I730,8,FALSE)</f>
        <v>275.685959845641</v>
      </c>
      <c r="F147" s="46">
        <f>IF('Settings'!$E$15="POINTS",E147-VLOOKUP(B$2,C1:E432,3,FALSE),J147)</f>
        <v>-74.142015559573</v>
      </c>
      <c r="G147" s="46"/>
      <c r="H147" s="149">
        <f>RANK(I147,I3:I432)</f>
        <v>180</v>
      </c>
      <c r="I147" s="150">
        <f>VLOOKUP(A147,'Standard Deviations'!A1:C731,3,FALSE)</f>
        <v>0.129052083527824</v>
      </c>
      <c r="J147" s="150">
        <f>I147-VLOOKUP(B$2,H1:J432,2,FALSE)</f>
        <v>-3.1497020398575</v>
      </c>
    </row>
    <row r="148" ht="21.25" customHeight="1">
      <c r="A148" t="s" s="8">
        <v>395</v>
      </c>
      <c r="B148" t="s" s="148">
        <f>VLOOKUP(A148,'The List'!B1:D730,3,FALSE)</f>
        <v>118</v>
      </c>
      <c r="C148" s="54">
        <f>IF('Settings'!$E$15="POINTS",RANK(E148,E3:E432),H148)</f>
        <v>189</v>
      </c>
      <c r="D148" t="s" s="42">
        <f>VLOOKUP(A148,'The List'!B1:F730,5,FALSE)</f>
        <v>202</v>
      </c>
      <c r="E148" s="46">
        <f>VLOOKUP(A148,'The List'!B1:I730,8,FALSE)</f>
        <v>257.799917332099</v>
      </c>
      <c r="F148" s="46">
        <f>IF('Settings'!$E$15="POINTS",E148-VLOOKUP(B$2,C1:E432,3,FALSE),J148)</f>
        <v>-92.02805807311501</v>
      </c>
      <c r="G148" s="46"/>
      <c r="H148" s="149">
        <f>RANK(I148,I3:I432)</f>
        <v>118</v>
      </c>
      <c r="I148" s="150">
        <f>VLOOKUP(A148,'Standard Deviations'!A1:C731,3,FALSE)</f>
        <v>2.23840315309114</v>
      </c>
      <c r="J148" s="150">
        <f>I148-VLOOKUP(B$2,H1:J432,2,FALSE)</f>
        <v>-1.04035097029418</v>
      </c>
    </row>
    <row r="149" ht="21.25" customHeight="1">
      <c r="A149" t="s" s="8">
        <v>420</v>
      </c>
      <c r="B149" t="s" s="148">
        <f>VLOOKUP(A149,'The List'!B1:D730,3,FALSE)</f>
        <v>121</v>
      </c>
      <c r="C149" s="54">
        <f>IF('Settings'!$E$15="POINTS",RANK(E149,E3:E432),H149)</f>
        <v>181</v>
      </c>
      <c r="D149" t="s" s="42">
        <f>VLOOKUP(A149,'The List'!B1:F730,5,FALSE)</f>
        <v>151</v>
      </c>
      <c r="E149" s="46">
        <f>VLOOKUP(A149,'The List'!B1:I730,8,FALSE)</f>
        <v>259.726182161086</v>
      </c>
      <c r="F149" s="46">
        <f>IF('Settings'!$E$15="POINTS",E149-VLOOKUP(B$2,C1:E432,3,FALSE),J149)</f>
        <v>-90.101793244128</v>
      </c>
      <c r="G149" s="46"/>
      <c r="H149" s="149">
        <f>RANK(I149,I3:I432)</f>
        <v>138</v>
      </c>
      <c r="I149" s="150">
        <f>VLOOKUP(A149,'Standard Deviations'!A1:C731,3,FALSE)</f>
        <v>1.21025503699135</v>
      </c>
      <c r="J149" s="150">
        <f>I149-VLOOKUP(B$2,H1:J432,2,FALSE)</f>
        <v>-2.06849908639397</v>
      </c>
    </row>
    <row r="150" ht="21.25" customHeight="1">
      <c r="A150" t="s" s="8">
        <v>414</v>
      </c>
      <c r="B150" t="s" s="148">
        <f>VLOOKUP(A150,'The List'!B1:D730,3,FALSE)</f>
        <v>133</v>
      </c>
      <c r="C150" s="54">
        <f>IF('Settings'!$E$15="POINTS",RANK(E150,E3:E432),H150)</f>
        <v>151</v>
      </c>
      <c r="D150" t="s" s="42">
        <f>VLOOKUP(A150,'The List'!B1:F730,5,FALSE)</f>
        <v>204</v>
      </c>
      <c r="E150" s="46">
        <f>VLOOKUP(A150,'The List'!B1:I730,8,FALSE)</f>
        <v>284.619558529833</v>
      </c>
      <c r="F150" s="46">
        <f>IF('Settings'!$E$15="POINTS",E150-VLOOKUP(B$2,C1:E432,3,FALSE),J150)</f>
        <v>-65.208416875381</v>
      </c>
      <c r="G150" s="46"/>
      <c r="H150" s="149">
        <f>RANK(I150,I3:I432)</f>
        <v>154</v>
      </c>
      <c r="I150" s="150">
        <f>VLOOKUP(A150,'Standard Deviations'!A1:C731,3,FALSE)</f>
        <v>0.7244161223109929</v>
      </c>
      <c r="J150" s="150">
        <f>I150-VLOOKUP(B$2,H1:J432,2,FALSE)</f>
        <v>-2.55433800107433</v>
      </c>
    </row>
    <row r="151" ht="21.25" customHeight="1">
      <c r="A151" t="s" s="8">
        <v>403</v>
      </c>
      <c r="B151" t="s" s="148">
        <f>VLOOKUP(A151,'The List'!B1:D730,3,FALSE)</f>
        <v>121</v>
      </c>
      <c r="C151" s="54">
        <f>IF('Settings'!$E$15="POINTS",RANK(E151,E3:E432),H151)</f>
        <v>152</v>
      </c>
      <c r="D151" t="s" s="42">
        <f>VLOOKUP(A151,'The List'!B1:F730,5,FALSE)</f>
        <v>189</v>
      </c>
      <c r="E151" s="46">
        <f>VLOOKUP(A151,'The List'!B1:I730,8,FALSE)</f>
        <v>283.971002275456</v>
      </c>
      <c r="F151" s="46">
        <f>IF('Settings'!$E$15="POINTS",E151-VLOOKUP(B$2,C1:E432,3,FALSE),J151)</f>
        <v>-65.856973129758</v>
      </c>
      <c r="G151" s="46"/>
      <c r="H151" s="149">
        <f>RANK(I151,I3:I432)</f>
        <v>181</v>
      </c>
      <c r="I151" s="150">
        <f>VLOOKUP(A151,'Standard Deviations'!A1:C731,3,FALSE)</f>
        <v>0.083050714412369</v>
      </c>
      <c r="J151" s="150">
        <f>I151-VLOOKUP(B$2,H1:J432,2,FALSE)</f>
        <v>-3.19570340897295</v>
      </c>
    </row>
    <row r="152" ht="21.25" customHeight="1">
      <c r="A152" t="s" s="8">
        <v>428</v>
      </c>
      <c r="B152" t="s" s="148">
        <f>VLOOKUP(A152,'The List'!B1:D730,3,FALSE)</f>
        <v>107</v>
      </c>
      <c r="C152" s="54">
        <f>IF('Settings'!$E$15="POINTS",RANK(E152,E3:E432),H152)</f>
        <v>159</v>
      </c>
      <c r="D152" t="s" s="42">
        <f>VLOOKUP(A152,'The List'!B1:F730,5,FALSE)</f>
        <v>196</v>
      </c>
      <c r="E152" s="46">
        <f>VLOOKUP(A152,'The List'!B1:I730,8,FALSE)</f>
        <v>281.042703130187</v>
      </c>
      <c r="F152" s="46">
        <f>IF('Settings'!$E$15="POINTS",E152-VLOOKUP(B$2,C1:E432,3,FALSE),J152)</f>
        <v>-68.785272275027</v>
      </c>
      <c r="G152" s="46"/>
      <c r="H152" s="149">
        <f>RANK(I152,I3:I432)</f>
        <v>174</v>
      </c>
      <c r="I152" s="150">
        <f>VLOOKUP(A152,'Standard Deviations'!A1:C731,3,FALSE)</f>
        <v>0.239525693790043</v>
      </c>
      <c r="J152" s="150">
        <f>I152-VLOOKUP(B$2,H1:J432,2,FALSE)</f>
        <v>-3.03922842959528</v>
      </c>
    </row>
    <row r="153" ht="21.25" customHeight="1">
      <c r="A153" t="s" s="8">
        <v>405</v>
      </c>
      <c r="B153" t="s" s="148">
        <f>VLOOKUP(A153,'The List'!B1:D730,3,FALSE)</f>
        <v>187</v>
      </c>
      <c r="C153" s="54">
        <f>IF('Settings'!$E$15="POINTS",RANK(E153,E3:E432),H153)</f>
        <v>155</v>
      </c>
      <c r="D153" t="s" s="42">
        <f>VLOOKUP(A153,'The List'!B1:F730,5,FALSE)</f>
        <v>136</v>
      </c>
      <c r="E153" s="46">
        <f>VLOOKUP(A153,'The List'!B1:I730,8,FALSE)</f>
        <v>282.829170552147</v>
      </c>
      <c r="F153" s="46">
        <f>IF('Settings'!$E$15="POINTS",E153-VLOOKUP(B$2,C1:E432,3,FALSE),J153)</f>
        <v>-66.998804853067</v>
      </c>
      <c r="G153" s="46"/>
      <c r="H153" s="149">
        <f>RANK(I153,I3:I432)</f>
        <v>134</v>
      </c>
      <c r="I153" s="150">
        <f>VLOOKUP(A153,'Standard Deviations'!A1:C731,3,FALSE)</f>
        <v>1.49513379496146</v>
      </c>
      <c r="J153" s="150">
        <f>I153-VLOOKUP(B$2,H1:J432,2,FALSE)</f>
        <v>-1.78362032842386</v>
      </c>
    </row>
    <row r="154" ht="21.25" customHeight="1">
      <c r="A154" t="s" s="8">
        <v>406</v>
      </c>
      <c r="B154" t="s" s="148">
        <f>VLOOKUP(A154,'The List'!B1:D730,3,FALSE)</f>
        <v>118</v>
      </c>
      <c r="C154" s="54">
        <f>IF('Settings'!$E$15="POINTS",RANK(E154,E3:E432),H154)</f>
        <v>185</v>
      </c>
      <c r="D154" t="s" s="42">
        <f>VLOOKUP(A154,'The List'!B1:F730,5,FALSE)</f>
        <v>141</v>
      </c>
      <c r="E154" s="46">
        <f>VLOOKUP(A154,'The List'!B1:I730,8,FALSE)</f>
        <v>258.792705981474</v>
      </c>
      <c r="F154" s="46">
        <f>IF('Settings'!$E$15="POINTS",E154-VLOOKUP(B$2,C1:E432,3,FALSE),J154)</f>
        <v>-91.035269423740</v>
      </c>
      <c r="G154" s="46"/>
      <c r="H154" s="149">
        <f>RANK(I154,I3:I432)</f>
        <v>151</v>
      </c>
      <c r="I154" s="150">
        <f>VLOOKUP(A154,'Standard Deviations'!A1:C731,3,FALSE)</f>
        <v>0.833859196639005</v>
      </c>
      <c r="J154" s="150">
        <f>I154-VLOOKUP(B$2,H1:J432,2,FALSE)</f>
        <v>-2.44489492674632</v>
      </c>
    </row>
    <row r="155" ht="21.25" customHeight="1">
      <c r="A155" t="s" s="8">
        <v>419</v>
      </c>
      <c r="B155" t="s" s="148">
        <f>VLOOKUP(A155,'The List'!B1:D730,3,FALSE)</f>
        <v>133</v>
      </c>
      <c r="C155" s="54">
        <f>IF('Settings'!$E$15="POINTS",RANK(E155,E3:E432),H155)</f>
        <v>120</v>
      </c>
      <c r="D155" t="s" s="42">
        <f>VLOOKUP(A155,'The List'!B1:F730,5,FALSE)</f>
        <v>108</v>
      </c>
      <c r="E155" s="46">
        <f>VLOOKUP(A155,'The List'!B1:I730,8,FALSE)</f>
        <v>315.137869123312</v>
      </c>
      <c r="F155" s="46">
        <f>IF('Settings'!$E$15="POINTS",E155-VLOOKUP(B$2,C1:E432,3,FALSE),J155)</f>
        <v>-34.690106281902</v>
      </c>
      <c r="G155" s="46"/>
      <c r="H155" s="149">
        <f>RANK(I155,I3:I432)</f>
        <v>135</v>
      </c>
      <c r="I155" s="150">
        <f>VLOOKUP(A155,'Standard Deviations'!A1:C731,3,FALSE)</f>
        <v>1.45897885116431</v>
      </c>
      <c r="J155" s="150">
        <f>I155-VLOOKUP(B$2,H1:J432,2,FALSE)</f>
        <v>-1.81977527222101</v>
      </c>
    </row>
    <row r="156" ht="21.25" customHeight="1">
      <c r="A156" t="s" s="8">
        <v>434</v>
      </c>
      <c r="B156" t="s" s="148">
        <f>VLOOKUP(A156,'The List'!B1:D730,3,FALSE)</f>
        <v>107</v>
      </c>
      <c r="C156" s="54">
        <f>IF('Settings'!$E$15="POINTS",RANK(E156,E3:E432),H156)</f>
        <v>156</v>
      </c>
      <c r="D156" t="s" s="42">
        <f>VLOOKUP(A156,'The List'!B1:F730,5,FALSE)</f>
        <v>119</v>
      </c>
      <c r="E156" s="46">
        <f>VLOOKUP(A156,'The List'!B1:I730,8,FALSE)</f>
        <v>282.358324502504</v>
      </c>
      <c r="F156" s="46">
        <f>IF('Settings'!$E$15="POINTS",E156-VLOOKUP(B$2,C1:E432,3,FALSE),J156)</f>
        <v>-67.469650902710</v>
      </c>
      <c r="G156" s="46"/>
      <c r="H156" s="149">
        <f>RANK(I156,I3:I432)</f>
        <v>125</v>
      </c>
      <c r="I156" s="150">
        <f>VLOOKUP(A156,'Standard Deviations'!A1:C731,3,FALSE)</f>
        <v>1.8302818310444</v>
      </c>
      <c r="J156" s="150">
        <f>I156-VLOOKUP(B$2,H1:J432,2,FALSE)</f>
        <v>-1.44847229234092</v>
      </c>
    </row>
    <row r="157" ht="21.25" customHeight="1">
      <c r="A157" t="s" s="8">
        <v>408</v>
      </c>
      <c r="B157" t="s" s="148">
        <f>VLOOKUP(A157,'The List'!B1:D730,3,FALSE)</f>
        <v>121</v>
      </c>
      <c r="C157" s="54">
        <f>IF('Settings'!$E$15="POINTS",RANK(E157,E3:E432),H157)</f>
        <v>112</v>
      </c>
      <c r="D157" t="s" s="42">
        <f>VLOOKUP(A157,'The List'!B1:F730,5,FALSE)</f>
        <v>166</v>
      </c>
      <c r="E157" s="46">
        <f>VLOOKUP(A157,'The List'!B1:I730,8,FALSE)</f>
        <v>325.879595460918</v>
      </c>
      <c r="F157" s="46">
        <f>IF('Settings'!$E$15="POINTS",E157-VLOOKUP(B$2,C1:E432,3,FALSE),J157)</f>
        <v>-23.948379944296</v>
      </c>
      <c r="G157" s="46"/>
      <c r="H157" s="149">
        <f>RANK(I157,I3:I432)</f>
        <v>164</v>
      </c>
      <c r="I157" s="150">
        <f>VLOOKUP(A157,'Standard Deviations'!A1:C731,3,FALSE)</f>
        <v>0.39020155339518</v>
      </c>
      <c r="J157" s="150">
        <f>I157-VLOOKUP(B$2,H1:J432,2,FALSE)</f>
        <v>-2.88855256999014</v>
      </c>
    </row>
    <row r="158" ht="21.25" customHeight="1">
      <c r="A158" t="s" s="8">
        <v>409</v>
      </c>
      <c r="B158" t="s" s="148">
        <f>VLOOKUP(A158,'The List'!B1:D730,3,FALSE)</f>
        <v>121</v>
      </c>
      <c r="C158" s="54">
        <f>IF('Settings'!$E$15="POINTS",RANK(E158,E3:E432),H158)</f>
        <v>127</v>
      </c>
      <c r="D158" t="s" s="42">
        <f>VLOOKUP(A158,'The List'!B1:F730,5,FALSE)</f>
        <v>164</v>
      </c>
      <c r="E158" s="46">
        <f>VLOOKUP(A158,'The List'!B1:I730,8,FALSE)</f>
        <v>307.221007291473</v>
      </c>
      <c r="F158" s="46">
        <f>IF('Settings'!$E$15="POINTS",E158-VLOOKUP(B$2,C1:E432,3,FALSE),J158)</f>
        <v>-42.606968113741</v>
      </c>
      <c r="G158" s="46"/>
      <c r="H158" s="149">
        <f>RANK(I158,I3:I432)</f>
        <v>129</v>
      </c>
      <c r="I158" s="150">
        <f>VLOOKUP(A158,'Standard Deviations'!A1:C731,3,FALSE)</f>
        <v>1.69598562769997</v>
      </c>
      <c r="J158" s="150">
        <f>I158-VLOOKUP(B$2,H1:J432,2,FALSE)</f>
        <v>-1.58276849568535</v>
      </c>
    </row>
    <row r="159" ht="21.25" customHeight="1">
      <c r="A159" t="s" s="8">
        <v>425</v>
      </c>
      <c r="B159" t="s" s="148">
        <f>VLOOKUP(A159,'The List'!B1:D730,3,FALSE)</f>
        <v>111</v>
      </c>
      <c r="C159" s="54">
        <f>IF('Settings'!$E$15="POINTS",RANK(E159,E3:E432),H159)</f>
        <v>138</v>
      </c>
      <c r="D159" t="s" s="42">
        <f>VLOOKUP(A159,'The List'!B1:F730,5,FALSE)</f>
        <v>234</v>
      </c>
      <c r="E159" s="46">
        <f>VLOOKUP(A159,'The List'!B1:I730,8,FALSE)</f>
        <v>293.302708085821</v>
      </c>
      <c r="F159" s="46">
        <f>IF('Settings'!$E$15="POINTS",E159-VLOOKUP(B$2,C1:E432,3,FALSE),J159)</f>
        <v>-56.525267319393</v>
      </c>
      <c r="G159" s="46"/>
      <c r="H159" s="149">
        <f>RANK(I159,I3:I432)</f>
        <v>241</v>
      </c>
      <c r="I159" s="150">
        <f>VLOOKUP(A159,'Standard Deviations'!A1:C731,3,FALSE)</f>
        <v>-1.30578251692731</v>
      </c>
      <c r="J159" s="150">
        <f>I159-VLOOKUP(B$2,H1:J432,2,FALSE)</f>
        <v>-4.58453664031263</v>
      </c>
    </row>
    <row r="160" ht="21.25" customHeight="1">
      <c r="A160" t="s" s="8">
        <v>438</v>
      </c>
      <c r="B160" t="s" s="148">
        <f>VLOOKUP(A160,'The List'!B1:D730,3,FALSE)</f>
        <v>107</v>
      </c>
      <c r="C160" s="54">
        <f>IF('Settings'!$E$15="POINTS",RANK(E160,E3:E432),H160)</f>
        <v>183</v>
      </c>
      <c r="D160" t="s" s="42">
        <f>VLOOKUP(A160,'The List'!B1:F730,5,FALSE)</f>
        <v>194</v>
      </c>
      <c r="E160" s="46">
        <f>VLOOKUP(A160,'The List'!B1:I730,8,FALSE)</f>
        <v>259.302253055917</v>
      </c>
      <c r="F160" s="46">
        <f>IF('Settings'!$E$15="POINTS",E160-VLOOKUP(B$2,C1:E432,3,FALSE),J160)</f>
        <v>-90.525722349297</v>
      </c>
      <c r="G160" s="46"/>
      <c r="H160" s="149">
        <f>RANK(I160,I3:I432)</f>
        <v>206</v>
      </c>
      <c r="I160" s="150">
        <f>VLOOKUP(A160,'Standard Deviations'!A1:C731,3,FALSE)</f>
        <v>-0.650659950265147</v>
      </c>
      <c r="J160" s="150">
        <f>I160-VLOOKUP(B$2,H1:J432,2,FALSE)</f>
        <v>-3.92941407365047</v>
      </c>
    </row>
    <row r="161" ht="21.25" customHeight="1">
      <c r="A161" t="s" s="8">
        <v>442</v>
      </c>
      <c r="B161" t="s" s="148">
        <f>VLOOKUP(A161,'The List'!B1:D730,3,FALSE)</f>
        <v>107</v>
      </c>
      <c r="C161" s="54">
        <f>IF('Settings'!$E$15="POINTS",RANK(E161,E3:E432),H161)</f>
        <v>167</v>
      </c>
      <c r="D161" t="s" s="42">
        <f>VLOOKUP(A161,'The List'!B1:F730,5,FALSE)</f>
        <v>164</v>
      </c>
      <c r="E161" s="46">
        <f>VLOOKUP(A161,'The List'!B1:I730,8,FALSE)</f>
        <v>272.199213637904</v>
      </c>
      <c r="F161" s="46">
        <f>IF('Settings'!$E$15="POINTS",E161-VLOOKUP(B$2,C1:E432,3,FALSE),J161)</f>
        <v>-77.628761767310</v>
      </c>
      <c r="G161" s="46"/>
      <c r="H161" s="149">
        <f>RANK(I161,I3:I432)</f>
        <v>137</v>
      </c>
      <c r="I161" s="150">
        <f>VLOOKUP(A161,'Standard Deviations'!A1:C731,3,FALSE)</f>
        <v>1.40018109076336</v>
      </c>
      <c r="J161" s="150">
        <f>I161-VLOOKUP(B$2,H1:J432,2,FALSE)</f>
        <v>-1.87857303262196</v>
      </c>
    </row>
    <row r="162" ht="21.25" customHeight="1">
      <c r="A162" t="s" s="8">
        <v>412</v>
      </c>
      <c r="B162" t="s" s="148">
        <f>VLOOKUP(A162,'The List'!B1:D730,3,FALSE)</f>
        <v>111</v>
      </c>
      <c r="C162" s="54">
        <f>IF('Settings'!$E$15="POINTS",RANK(E162,E3:E432),H162)</f>
        <v>121</v>
      </c>
      <c r="D162" t="s" s="42">
        <f>VLOOKUP(A162,'The List'!B1:F730,5,FALSE)</f>
        <v>218</v>
      </c>
      <c r="E162" s="46">
        <f>VLOOKUP(A162,'The List'!B1:I730,8,FALSE)</f>
        <v>313.249482395520</v>
      </c>
      <c r="F162" s="46">
        <f>IF('Settings'!$E$15="POINTS",E162-VLOOKUP(B$2,C1:E432,3,FALSE),J162)</f>
        <v>-36.578493009694</v>
      </c>
      <c r="G162" s="46"/>
      <c r="H162" s="149">
        <f>RANK(I162,I3:I432)</f>
        <v>128</v>
      </c>
      <c r="I162" s="150">
        <f>VLOOKUP(A162,'Standard Deviations'!A1:C731,3,FALSE)</f>
        <v>1.69664406746513</v>
      </c>
      <c r="J162" s="150">
        <f>I162-VLOOKUP(B$2,H1:J432,2,FALSE)</f>
        <v>-1.58211005592019</v>
      </c>
    </row>
    <row r="163" ht="21.25" customHeight="1">
      <c r="A163" t="s" s="8">
        <v>449</v>
      </c>
      <c r="B163" t="s" s="148">
        <f>VLOOKUP(A163,'The List'!B1:D730,3,FALSE)</f>
        <v>107</v>
      </c>
      <c r="C163" s="54">
        <f>IF('Settings'!$E$15="POINTS",RANK(E163,E3:E432),H163)</f>
        <v>145</v>
      </c>
      <c r="D163" t="s" s="42">
        <f>VLOOKUP(A163,'The List'!B1:F730,5,FALSE)</f>
        <v>122</v>
      </c>
      <c r="E163" s="46">
        <f>VLOOKUP(A163,'The List'!B1:I730,8,FALSE)</f>
        <v>288.119689625468</v>
      </c>
      <c r="F163" s="46">
        <f>IF('Settings'!$E$15="POINTS",E163-VLOOKUP(B$2,C1:E432,3,FALSE),J163)</f>
        <v>-61.708285779746</v>
      </c>
      <c r="G163" s="46"/>
      <c r="H163" s="149">
        <f>RANK(I163,I3:I432)</f>
        <v>136</v>
      </c>
      <c r="I163" s="150">
        <f>VLOOKUP(A163,'Standard Deviations'!A1:C731,3,FALSE)</f>
        <v>1.4567612962064</v>
      </c>
      <c r="J163" s="150">
        <f>I163-VLOOKUP(B$2,H1:J432,2,FALSE)</f>
        <v>-1.82199282717892</v>
      </c>
    </row>
    <row r="164" ht="21.25" customHeight="1">
      <c r="A164" t="s" s="8">
        <v>418</v>
      </c>
      <c r="B164" t="s" s="148">
        <f>VLOOKUP(A164,'The List'!B1:D730,3,FALSE)</f>
        <v>121</v>
      </c>
      <c r="C164" s="54">
        <f>IF('Settings'!$E$15="POINTS",RANK(E164,E3:E432),H164)</f>
        <v>166</v>
      </c>
      <c r="D164" t="s" s="42">
        <f>VLOOKUP(A164,'The List'!B1:F730,5,FALSE)</f>
        <v>189</v>
      </c>
      <c r="E164" s="46">
        <f>VLOOKUP(A164,'The List'!B1:I730,8,FALSE)</f>
        <v>274.005798125475</v>
      </c>
      <c r="F164" s="46">
        <f>IF('Settings'!$E$15="POINTS",E164-VLOOKUP(B$2,C1:E432,3,FALSE),J164)</f>
        <v>-75.82217727973899</v>
      </c>
      <c r="G164" s="46"/>
      <c r="H164" s="149">
        <f>RANK(I164,I3:I432)</f>
        <v>211</v>
      </c>
      <c r="I164" s="150">
        <f>VLOOKUP(A164,'Standard Deviations'!A1:C731,3,FALSE)</f>
        <v>-0.7263020551403701</v>
      </c>
      <c r="J164" s="150">
        <f>I164-VLOOKUP(B$2,H1:J432,2,FALSE)</f>
        <v>-4.00505617852569</v>
      </c>
    </row>
    <row r="165" ht="21.25" customHeight="1">
      <c r="A165" t="s" s="8">
        <v>422</v>
      </c>
      <c r="B165" t="s" s="148">
        <f>VLOOKUP(A165,'The List'!B1:D730,3,FALSE)</f>
        <v>121</v>
      </c>
      <c r="C165" s="54">
        <f>IF('Settings'!$E$15="POINTS",RANK(E165,E3:E432),H165)</f>
        <v>157</v>
      </c>
      <c r="D165" t="s" s="42">
        <f>VLOOKUP(A165,'The List'!B1:F730,5,FALSE)</f>
        <v>166</v>
      </c>
      <c r="E165" s="46">
        <f>VLOOKUP(A165,'The List'!B1:I730,8,FALSE)</f>
        <v>281.671020114794</v>
      </c>
      <c r="F165" s="46">
        <f>IF('Settings'!$E$15="POINTS",E165-VLOOKUP(B$2,C1:E432,3,FALSE),J165)</f>
        <v>-68.156955290420</v>
      </c>
      <c r="G165" s="46"/>
      <c r="H165" s="149">
        <f>RANK(I165,I3:I432)</f>
        <v>185</v>
      </c>
      <c r="I165" s="150">
        <f>VLOOKUP(A165,'Standard Deviations'!A1:C731,3,FALSE)</f>
        <v>-0.071961960214841</v>
      </c>
      <c r="J165" s="150">
        <f>I165-VLOOKUP(B$2,H1:J432,2,FALSE)</f>
        <v>-3.35071608360016</v>
      </c>
    </row>
    <row r="166" ht="21.25" customHeight="1">
      <c r="A166" t="s" s="8">
        <v>440</v>
      </c>
      <c r="B166" t="s" s="148">
        <f>VLOOKUP(A166,'The List'!B1:D730,3,FALSE)</f>
        <v>133</v>
      </c>
      <c r="C166" s="54">
        <f>IF('Settings'!$E$15="POINTS",RANK(E166,E3:E432),H166)</f>
        <v>153</v>
      </c>
      <c r="D166" t="s" s="42">
        <f>VLOOKUP(A166,'The List'!B1:F730,5,FALSE)</f>
        <v>236</v>
      </c>
      <c r="E166" s="46">
        <f>VLOOKUP(A166,'The List'!B1:I730,8,FALSE)</f>
        <v>283.449122667786</v>
      </c>
      <c r="F166" s="46">
        <f>IF('Settings'!$E$15="POINTS",E166-VLOOKUP(B$2,C1:E432,3,FALSE),J166)</f>
        <v>-66.37885273742801</v>
      </c>
      <c r="G166" s="46"/>
      <c r="H166" s="149">
        <f>RANK(I166,I3:I432)</f>
        <v>217</v>
      </c>
      <c r="I166" s="150">
        <f>VLOOKUP(A166,'Standard Deviations'!A1:C731,3,FALSE)</f>
        <v>-0.861623010412331</v>
      </c>
      <c r="J166" s="150">
        <f>I166-VLOOKUP(B$2,H1:J432,2,FALSE)</f>
        <v>-4.14037713379765</v>
      </c>
    </row>
    <row r="167" ht="21.25" customHeight="1">
      <c r="A167" t="s" s="8">
        <v>441</v>
      </c>
      <c r="B167" t="s" s="148">
        <f>VLOOKUP(A167,'The List'!B1:D730,3,FALSE)</f>
        <v>133</v>
      </c>
      <c r="C167" s="54">
        <f>IF('Settings'!$E$15="POINTS",RANK(E167,E3:E432),H167)</f>
        <v>178</v>
      </c>
      <c r="D167" t="s" s="42">
        <f>VLOOKUP(A167,'The List'!B1:F730,5,FALSE)</f>
        <v>173</v>
      </c>
      <c r="E167" s="46">
        <f>VLOOKUP(A167,'The List'!B1:I730,8,FALSE)</f>
        <v>264.590731636597</v>
      </c>
      <c r="F167" s="46">
        <f>IF('Settings'!$E$15="POINTS",E167-VLOOKUP(B$2,C1:E432,3,FALSE),J167)</f>
        <v>-85.23724376861701</v>
      </c>
      <c r="G167" s="46"/>
      <c r="H167" s="149">
        <f>RANK(I167,I3:I432)</f>
        <v>155</v>
      </c>
      <c r="I167" s="150">
        <f>VLOOKUP(A167,'Standard Deviations'!A1:C731,3,FALSE)</f>
        <v>0.697717633868482</v>
      </c>
      <c r="J167" s="150">
        <f>I167-VLOOKUP(B$2,H1:J432,2,FALSE)</f>
        <v>-2.58103648951684</v>
      </c>
    </row>
    <row r="168" ht="21.25" customHeight="1">
      <c r="A168" t="s" s="8">
        <v>455</v>
      </c>
      <c r="B168" t="s" s="148">
        <f>VLOOKUP(A168,'The List'!B1:D730,3,FALSE)</f>
        <v>107</v>
      </c>
      <c r="C168" s="54">
        <f>IF('Settings'!$E$15="POINTS",RANK(E168,E3:E432),H168)</f>
        <v>128</v>
      </c>
      <c r="D168" t="s" s="42">
        <f>VLOOKUP(A168,'The List'!B1:F730,5,FALSE)</f>
        <v>236</v>
      </c>
      <c r="E168" s="46">
        <f>VLOOKUP(A168,'The List'!B1:I730,8,FALSE)</f>
        <v>304.525187168220</v>
      </c>
      <c r="F168" s="46">
        <f>IF('Settings'!$E$15="POINTS",E168-VLOOKUP(B$2,C1:E432,3,FALSE),J168)</f>
        <v>-45.302788236994</v>
      </c>
      <c r="G168" s="46"/>
      <c r="H168" s="149">
        <f>RANK(I168,I3:I432)</f>
        <v>213</v>
      </c>
      <c r="I168" s="150">
        <f>VLOOKUP(A168,'Standard Deviations'!A1:C731,3,FALSE)</f>
        <v>-0.74294940918567</v>
      </c>
      <c r="J168" s="150">
        <f>I168-VLOOKUP(B$2,H1:J432,2,FALSE)</f>
        <v>-4.02170353257099</v>
      </c>
    </row>
    <row r="169" ht="21.25" customHeight="1">
      <c r="A169" t="s" s="8">
        <v>457</v>
      </c>
      <c r="B169" t="s" s="148">
        <f>VLOOKUP(A169,'The List'!B1:D730,3,FALSE)</f>
        <v>107</v>
      </c>
      <c r="C169" s="54">
        <f>IF('Settings'!$E$15="POINTS",RANK(E169,E3:E432),H169)</f>
        <v>168</v>
      </c>
      <c r="D169" t="s" s="42">
        <f>VLOOKUP(A169,'The List'!B1:F730,5,FALSE)</f>
        <v>151</v>
      </c>
      <c r="E169" s="46">
        <f>VLOOKUP(A169,'The List'!B1:I730,8,FALSE)</f>
        <v>271.894860340010</v>
      </c>
      <c r="F169" s="46">
        <f>IF('Settings'!$E$15="POINTS",E169-VLOOKUP(B$2,C1:E432,3,FALSE),J169)</f>
        <v>-77.93311506520401</v>
      </c>
      <c r="G169" s="46"/>
      <c r="H169" s="149">
        <f>RANK(I169,I3:I432)</f>
        <v>133</v>
      </c>
      <c r="I169" s="150">
        <f>VLOOKUP(A169,'Standard Deviations'!A1:C731,3,FALSE)</f>
        <v>1.51475706487968</v>
      </c>
      <c r="J169" s="150">
        <f>I169-VLOOKUP(B$2,H1:J432,2,FALSE)</f>
        <v>-1.76399705850564</v>
      </c>
    </row>
    <row r="170" ht="21.25" customHeight="1">
      <c r="A170" t="s" s="8">
        <v>460</v>
      </c>
      <c r="B170" t="s" s="148">
        <f>VLOOKUP(A170,'The List'!B1:D730,3,FALSE)</f>
        <v>133</v>
      </c>
      <c r="C170" s="54">
        <f>IF('Settings'!$E$15="POINTS",RANK(E170,E3:E432),H170)</f>
        <v>188</v>
      </c>
      <c r="D170" t="s" s="42">
        <f>VLOOKUP(A170,'The List'!B1:F730,5,FALSE)</f>
        <v>141</v>
      </c>
      <c r="E170" s="46">
        <f>VLOOKUP(A170,'The List'!B1:I730,8,FALSE)</f>
        <v>258.467249411365</v>
      </c>
      <c r="F170" s="46">
        <f>IF('Settings'!$E$15="POINTS",E170-VLOOKUP(B$2,C1:E432,3,FALSE),J170)</f>
        <v>-91.360725993849</v>
      </c>
      <c r="G170" s="46"/>
      <c r="H170" s="149">
        <f>RANK(I170,I3:I432)</f>
        <v>177</v>
      </c>
      <c r="I170" s="150">
        <f>VLOOKUP(A170,'Standard Deviations'!A1:C731,3,FALSE)</f>
        <v>0.173941463438455</v>
      </c>
      <c r="J170" s="150">
        <f>I170-VLOOKUP(B$2,H1:J432,2,FALSE)</f>
        <v>-3.10481265994687</v>
      </c>
    </row>
    <row r="171" ht="21.25" customHeight="1">
      <c r="A171" t="s" s="8">
        <v>433</v>
      </c>
      <c r="B171" t="s" s="148">
        <f>VLOOKUP(A171,'The List'!B1:D730,3,FALSE)</f>
        <v>121</v>
      </c>
      <c r="C171" s="54">
        <f>IF('Settings'!$E$15="POINTS",RANK(E171,E3:E432),H171)</f>
        <v>182</v>
      </c>
      <c r="D171" t="s" s="42">
        <f>VLOOKUP(A171,'The List'!B1:F730,5,FALSE)</f>
        <v>184</v>
      </c>
      <c r="E171" s="46">
        <f>VLOOKUP(A171,'The List'!B1:I730,8,FALSE)</f>
        <v>259.468080422560</v>
      </c>
      <c r="F171" s="46">
        <f>IF('Settings'!$E$15="POINTS",E171-VLOOKUP(B$2,C1:E432,3,FALSE),J171)</f>
        <v>-90.359894982654</v>
      </c>
      <c r="G171" s="46"/>
      <c r="H171" s="149">
        <f>RANK(I171,I3:I432)</f>
        <v>167</v>
      </c>
      <c r="I171" s="150">
        <f>VLOOKUP(A171,'Standard Deviations'!A1:C731,3,FALSE)</f>
        <v>0.335692164514917</v>
      </c>
      <c r="J171" s="150">
        <f>I171-VLOOKUP(B$2,H1:J432,2,FALSE)</f>
        <v>-2.9430619588704</v>
      </c>
    </row>
    <row r="172" ht="21.25" customHeight="1">
      <c r="A172" t="s" s="8">
        <v>447</v>
      </c>
      <c r="B172" t="s" s="148">
        <f>VLOOKUP(A172,'The List'!B1:D730,3,FALSE)</f>
        <v>107</v>
      </c>
      <c r="C172" s="54">
        <f>IF('Settings'!$E$15="POINTS",RANK(E172,E3:E432),H172)</f>
        <v>179</v>
      </c>
      <c r="D172" t="s" s="42">
        <f>VLOOKUP(A172,'The List'!B1:F730,5,FALSE)</f>
        <v>131</v>
      </c>
      <c r="E172" s="46">
        <f>VLOOKUP(A172,'The List'!B1:I730,8,FALSE)</f>
        <v>262.620056600446</v>
      </c>
      <c r="F172" s="46">
        <f>IF('Settings'!$E$15="POINTS",E172-VLOOKUP(B$2,C1:E432,3,FALSE),J172)</f>
        <v>-87.207918804768</v>
      </c>
      <c r="G172" s="46"/>
      <c r="H172" s="149">
        <f>RANK(I172,I3:I432)</f>
        <v>149</v>
      </c>
      <c r="I172" s="150">
        <f>VLOOKUP(A172,'Standard Deviations'!A1:C731,3,FALSE)</f>
        <v>0.8992070465470891</v>
      </c>
      <c r="J172" s="150">
        <f>I172-VLOOKUP(B$2,H1:J432,2,FALSE)</f>
        <v>-2.37954707683823</v>
      </c>
    </row>
    <row r="173" ht="21.25" customHeight="1">
      <c r="A173" t="s" s="8">
        <v>469</v>
      </c>
      <c r="B173" t="s" s="148">
        <f>VLOOKUP(A173,'The List'!B1:D730,3,FALSE)</f>
        <v>107</v>
      </c>
      <c r="C173" s="54">
        <f>IF('Settings'!$E$15="POINTS",RANK(E173,E3:E432),H173)</f>
        <v>171</v>
      </c>
      <c r="D173" t="s" s="42">
        <f>VLOOKUP(A173,'The List'!B1:F730,5,FALSE)</f>
        <v>202</v>
      </c>
      <c r="E173" s="46">
        <f>VLOOKUP(A173,'The List'!B1:I730,8,FALSE)</f>
        <v>269.036513206511</v>
      </c>
      <c r="F173" s="46">
        <f>IF('Settings'!$E$15="POINTS",E173-VLOOKUP(B$2,C1:E432,3,FALSE),J173)</f>
        <v>-80.791462198703</v>
      </c>
      <c r="G173" s="46"/>
      <c r="H173" s="149">
        <f>RANK(I173,I3:I432)</f>
        <v>127</v>
      </c>
      <c r="I173" s="150">
        <f>VLOOKUP(A173,'Standard Deviations'!A1:C731,3,FALSE)</f>
        <v>1.71362241353082</v>
      </c>
      <c r="J173" s="150">
        <f>I173-VLOOKUP(B$2,H1:J432,2,FALSE)</f>
        <v>-1.5651317098545</v>
      </c>
    </row>
    <row r="174" ht="21.25" customHeight="1">
      <c r="A174" t="s" s="8">
        <v>439</v>
      </c>
      <c r="B174" t="s" s="148">
        <f>VLOOKUP(A174,'The List'!B1:D730,3,FALSE)</f>
        <v>187</v>
      </c>
      <c r="C174" s="54">
        <f>IF('Settings'!$E$15="POINTS",RANK(E174,E3:E432),H174)</f>
        <v>148</v>
      </c>
      <c r="D174" t="s" s="42">
        <f>VLOOKUP(A174,'The List'!B1:F730,5,FALSE)</f>
        <v>238</v>
      </c>
      <c r="E174" s="46">
        <f>VLOOKUP(A174,'The List'!B1:I730,8,FALSE)</f>
        <v>286.094737747958</v>
      </c>
      <c r="F174" s="46">
        <f>IF('Settings'!$E$15="POINTS",E174-VLOOKUP(B$2,C1:E432,3,FALSE),J174)</f>
        <v>-63.733237657256</v>
      </c>
      <c r="G174" s="46"/>
      <c r="H174" s="149">
        <f>RANK(I174,I3:I432)</f>
        <v>183</v>
      </c>
      <c r="I174" s="150">
        <f>VLOOKUP(A174,'Standard Deviations'!A1:C731,3,FALSE)</f>
        <v>0.0470929130486768</v>
      </c>
      <c r="J174" s="150">
        <f>I174-VLOOKUP(B$2,H1:J432,2,FALSE)</f>
        <v>-3.23166121033664</v>
      </c>
    </row>
    <row r="175" ht="21.25" customHeight="1">
      <c r="A175" t="s" s="8">
        <v>461</v>
      </c>
      <c r="B175" t="s" s="148">
        <f>VLOOKUP(A175,'The List'!B1:D730,3,FALSE)</f>
        <v>111</v>
      </c>
      <c r="C175" s="54">
        <f>IF('Settings'!$E$15="POINTS",RANK(E175,E3:E432),H175)</f>
        <v>191</v>
      </c>
      <c r="D175" t="s" s="42">
        <f>VLOOKUP(A175,'The List'!B1:F730,5,FALSE)</f>
        <v>119</v>
      </c>
      <c r="E175" s="46">
        <f>VLOOKUP(A175,'The List'!B1:I730,8,FALSE)</f>
        <v>253.583202145797</v>
      </c>
      <c r="F175" s="46">
        <f>IF('Settings'!$E$15="POINTS",E175-VLOOKUP(B$2,C1:E432,3,FALSE),J175)</f>
        <v>-96.244773259417</v>
      </c>
      <c r="G175" s="46"/>
      <c r="H175" s="149">
        <f>RANK(I175,I3:I432)</f>
        <v>146</v>
      </c>
      <c r="I175" s="150">
        <f>VLOOKUP(A175,'Standard Deviations'!A1:C731,3,FALSE)</f>
        <v>1.00623857567292</v>
      </c>
      <c r="J175" s="150">
        <f>I175-VLOOKUP(B$2,H1:J432,2,FALSE)</f>
        <v>-2.2725155477124</v>
      </c>
    </row>
    <row r="176" ht="21.25" customHeight="1">
      <c r="A176" t="s" s="8">
        <v>445</v>
      </c>
      <c r="B176" t="s" s="148">
        <f>VLOOKUP(A176,'The List'!B1:D730,3,FALSE)</f>
        <v>118</v>
      </c>
      <c r="C176" s="54">
        <f>IF('Settings'!$E$15="POINTS",RANK(E176,E3:E432),H176)</f>
        <v>175</v>
      </c>
      <c r="D176" t="s" s="42">
        <f>VLOOKUP(A176,'The List'!B1:F730,5,FALSE)</f>
        <v>184</v>
      </c>
      <c r="E176" s="46">
        <f>VLOOKUP(A176,'The List'!B1:I730,8,FALSE)</f>
        <v>265.708064485022</v>
      </c>
      <c r="F176" s="46">
        <f>IF('Settings'!$E$15="POINTS",E176-VLOOKUP(B$2,C1:E432,3,FALSE),J176)</f>
        <v>-84.119910920192</v>
      </c>
      <c r="G176" s="46"/>
      <c r="H176" s="149">
        <f>RANK(I176,I3:I432)</f>
        <v>160</v>
      </c>
      <c r="I176" s="150">
        <f>VLOOKUP(A176,'Standard Deviations'!A1:C731,3,FALSE)</f>
        <v>0.567124638483451</v>
      </c>
      <c r="J176" s="150">
        <f>I176-VLOOKUP(B$2,H1:J432,2,FALSE)</f>
        <v>-2.71162948490187</v>
      </c>
    </row>
    <row r="177" ht="21.25" customHeight="1">
      <c r="A177" t="s" s="8">
        <v>446</v>
      </c>
      <c r="B177" t="s" s="148">
        <f>VLOOKUP(A177,'The List'!B1:D730,3,FALSE)</f>
        <v>121</v>
      </c>
      <c r="C177" s="54">
        <f>IF('Settings'!$E$15="POINTS",RANK(E177,E3:E432),H177)</f>
        <v>199</v>
      </c>
      <c r="D177" t="s" s="42">
        <f>VLOOKUP(A177,'The List'!B1:F730,5,FALSE)</f>
        <v>236</v>
      </c>
      <c r="E177" s="46">
        <f>VLOOKUP(A177,'The List'!B1:I730,8,FALSE)</f>
        <v>247.803594552247</v>
      </c>
      <c r="F177" s="46">
        <f>IF('Settings'!$E$15="POINTS",E177-VLOOKUP(B$2,C1:E432,3,FALSE),J177)</f>
        <v>-102.024380852967</v>
      </c>
      <c r="G177" s="46"/>
      <c r="H177" s="149">
        <f>RANK(I177,I3:I432)</f>
        <v>216</v>
      </c>
      <c r="I177" s="150">
        <f>VLOOKUP(A177,'Standard Deviations'!A1:C731,3,FALSE)</f>
        <v>-0.83059271465519</v>
      </c>
      <c r="J177" s="150">
        <f>I177-VLOOKUP(B$2,H1:J432,2,FALSE)</f>
        <v>-4.10934683804051</v>
      </c>
    </row>
    <row r="178" ht="21.25" customHeight="1">
      <c r="A178" t="s" s="8">
        <v>451</v>
      </c>
      <c r="B178" t="s" s="148">
        <f>VLOOKUP(A178,'The List'!B1:D730,3,FALSE)</f>
        <v>121</v>
      </c>
      <c r="C178" s="54">
        <f>IF('Settings'!$E$15="POINTS",RANK(E178,E3:E432),H178)</f>
        <v>176</v>
      </c>
      <c r="D178" t="s" s="42">
        <f>VLOOKUP(A178,'The List'!B1:F730,5,FALSE)</f>
        <v>156</v>
      </c>
      <c r="E178" s="46">
        <f>VLOOKUP(A178,'The List'!B1:I730,8,FALSE)</f>
        <v>265.137059627252</v>
      </c>
      <c r="F178" s="46">
        <f>IF('Settings'!$E$15="POINTS",E178-VLOOKUP(B$2,C1:E432,3,FALSE),J178)</f>
        <v>-84.690915777962</v>
      </c>
      <c r="G178" s="46"/>
      <c r="H178" s="149">
        <f>RANK(I178,I3:I432)</f>
        <v>178</v>
      </c>
      <c r="I178" s="150">
        <f>VLOOKUP(A178,'Standard Deviations'!A1:C731,3,FALSE)</f>
        <v>0.143705731552272</v>
      </c>
      <c r="J178" s="150">
        <f>I178-VLOOKUP(B$2,H1:J432,2,FALSE)</f>
        <v>-3.13504839183305</v>
      </c>
    </row>
    <row r="179" ht="21.25" customHeight="1">
      <c r="A179" t="s" s="8">
        <v>465</v>
      </c>
      <c r="B179" t="s" s="148">
        <f>VLOOKUP(A179,'The List'!B1:D730,3,FALSE)</f>
        <v>133</v>
      </c>
      <c r="C179" s="54">
        <f>IF('Settings'!$E$15="POINTS",RANK(E179,E3:E432),H179)</f>
        <v>180</v>
      </c>
      <c r="D179" t="s" s="42">
        <f>VLOOKUP(A179,'The List'!B1:F730,5,FALSE)</f>
        <v>194</v>
      </c>
      <c r="E179" s="46">
        <f>VLOOKUP(A179,'The List'!B1:I730,8,FALSE)</f>
        <v>260.065979286325</v>
      </c>
      <c r="F179" s="46">
        <f>IF('Settings'!$E$15="POINTS",E179-VLOOKUP(B$2,C1:E432,3,FALSE),J179)</f>
        <v>-89.761996118889</v>
      </c>
      <c r="G179" s="46"/>
      <c r="H179" s="149">
        <f>RANK(I179,I3:I432)</f>
        <v>220</v>
      </c>
      <c r="I179" s="150">
        <f>VLOOKUP(A179,'Standard Deviations'!A1:C731,3,FALSE)</f>
        <v>-0.88044534764462</v>
      </c>
      <c r="J179" s="150">
        <f>I179-VLOOKUP(B$2,H1:J432,2,FALSE)</f>
        <v>-4.15919947102994</v>
      </c>
    </row>
    <row r="180" ht="21.25" customHeight="1">
      <c r="A180" t="s" s="8">
        <v>466</v>
      </c>
      <c r="B180" t="s" s="148">
        <f>VLOOKUP(A180,'The List'!B1:D730,3,FALSE)</f>
        <v>111</v>
      </c>
      <c r="C180" s="54">
        <f>IF('Settings'!$E$15="POINTS",RANK(E180,E3:E432),H180)</f>
        <v>208</v>
      </c>
      <c r="D180" t="s" s="42">
        <f>VLOOKUP(A180,'The List'!B1:F730,5,FALSE)</f>
        <v>115</v>
      </c>
      <c r="E180" s="46">
        <f>VLOOKUP(A180,'The List'!B1:I730,8,FALSE)</f>
        <v>240.325171107494</v>
      </c>
      <c r="F180" s="46">
        <f>IF('Settings'!$E$15="POINTS",E180-VLOOKUP(B$2,C1:E432,3,FALSE),J180)</f>
        <v>-109.502804297720</v>
      </c>
      <c r="G180" s="46"/>
      <c r="H180" s="149">
        <f>RANK(I180,I3:I432)</f>
        <v>158</v>
      </c>
      <c r="I180" s="150">
        <f>VLOOKUP(A180,'Standard Deviations'!A1:C731,3,FALSE)</f>
        <v>0.581697901946639</v>
      </c>
      <c r="J180" s="150">
        <f>I180-VLOOKUP(B$2,H1:J432,2,FALSE)</f>
        <v>-2.69705622143868</v>
      </c>
    </row>
    <row r="181" ht="21.25" customHeight="1">
      <c r="A181" t="s" s="8">
        <v>479</v>
      </c>
      <c r="B181" t="s" s="148">
        <f>VLOOKUP(A181,'The List'!B1:D730,3,FALSE)</f>
        <v>107</v>
      </c>
      <c r="C181" s="54">
        <f>IF('Settings'!$E$15="POINTS",RANK(E181,E3:E432),H181)</f>
        <v>172</v>
      </c>
      <c r="D181" t="s" s="42">
        <f>VLOOKUP(A181,'The List'!B1:F730,5,FALSE)</f>
        <v>124</v>
      </c>
      <c r="E181" s="46">
        <f>VLOOKUP(A181,'The List'!B1:I730,8,FALSE)</f>
        <v>268.418974390427</v>
      </c>
      <c r="F181" s="46">
        <f>IF('Settings'!$E$15="POINTS",E181-VLOOKUP(B$2,C1:E432,3,FALSE),J181)</f>
        <v>-81.40900101478699</v>
      </c>
      <c r="G181" s="46"/>
      <c r="H181" s="149">
        <f>RANK(I181,I3:I432)</f>
        <v>159</v>
      </c>
      <c r="I181" s="150">
        <f>VLOOKUP(A181,'Standard Deviations'!A1:C731,3,FALSE)</f>
        <v>0.576856550935734</v>
      </c>
      <c r="J181" s="150">
        <f>I181-VLOOKUP(B$2,H1:J432,2,FALSE)</f>
        <v>-2.70189757244959</v>
      </c>
    </row>
    <row r="182" ht="21.25" customHeight="1">
      <c r="A182" t="s" s="8">
        <v>473</v>
      </c>
      <c r="B182" t="s" s="148">
        <f>VLOOKUP(A182,'The List'!B1:D730,3,FALSE)</f>
        <v>111</v>
      </c>
      <c r="C182" s="54">
        <f>IF('Settings'!$E$15="POINTS",RANK(E182,E3:E432),H182)</f>
        <v>143</v>
      </c>
      <c r="D182" t="s" s="42">
        <f>VLOOKUP(A182,'The List'!B1:F730,5,FALSE)</f>
        <v>113</v>
      </c>
      <c r="E182" s="46">
        <f>VLOOKUP(A182,'The List'!B1:I730,8,FALSE)</f>
        <v>290.505394635124</v>
      </c>
      <c r="F182" s="46">
        <f>IF('Settings'!$E$15="POINTS",E182-VLOOKUP(B$2,C1:E432,3,FALSE),J182)</f>
        <v>-59.322580770090</v>
      </c>
      <c r="G182" s="46"/>
      <c r="H182" s="149">
        <f>RANK(I182,I3:I432)</f>
        <v>150</v>
      </c>
      <c r="I182" s="150">
        <f>VLOOKUP(A182,'Standard Deviations'!A1:C731,3,FALSE)</f>
        <v>0.88902117963031</v>
      </c>
      <c r="J182" s="150">
        <f>I182-VLOOKUP(B$2,H1:J432,2,FALSE)</f>
        <v>-2.38973294375501</v>
      </c>
    </row>
    <row r="183" ht="21.25" customHeight="1">
      <c r="A183" t="s" s="8">
        <v>458</v>
      </c>
      <c r="B183" t="s" s="148">
        <f>VLOOKUP(A183,'The List'!B1:D730,3,FALSE)</f>
        <v>118</v>
      </c>
      <c r="C183" s="54">
        <f>IF('Settings'!$E$15="POINTS",RANK(E183,E3:E432),H183)</f>
        <v>207</v>
      </c>
      <c r="D183" t="s" s="42">
        <f>VLOOKUP(A183,'The List'!B1:F730,5,FALSE)</f>
        <v>139</v>
      </c>
      <c r="E183" s="46">
        <f>VLOOKUP(A183,'The List'!B1:I730,8,FALSE)</f>
        <v>240.466834156187</v>
      </c>
      <c r="F183" s="46">
        <f>IF('Settings'!$E$15="POINTS",E183-VLOOKUP(B$2,C1:E432,3,FALSE),J183)</f>
        <v>-109.361141249027</v>
      </c>
      <c r="G183" s="46"/>
      <c r="H183" s="149">
        <f>RANK(I183,I3:I432)</f>
        <v>231</v>
      </c>
      <c r="I183" s="150">
        <f>VLOOKUP(A183,'Standard Deviations'!A1:C731,3,FALSE)</f>
        <v>-1.14350682122007</v>
      </c>
      <c r="J183" s="150">
        <f>I183-VLOOKUP(B$2,H1:J432,2,FALSE)</f>
        <v>-4.42226094460539</v>
      </c>
    </row>
    <row r="184" ht="21.25" customHeight="1">
      <c r="A184" t="s" s="8">
        <v>484</v>
      </c>
      <c r="B184" t="s" s="148">
        <f>VLOOKUP(A184,'The List'!B1:D730,3,FALSE)</f>
        <v>107</v>
      </c>
      <c r="C184" s="54">
        <f>IF('Settings'!$E$15="POINTS",RANK(E184,E3:E432),H184)</f>
        <v>158</v>
      </c>
      <c r="D184" t="s" s="42">
        <f>VLOOKUP(A184,'The List'!B1:F730,5,FALSE)</f>
        <v>248</v>
      </c>
      <c r="E184" s="46">
        <f>VLOOKUP(A184,'The List'!B1:I730,8,FALSE)</f>
        <v>281.439424041059</v>
      </c>
      <c r="F184" s="46">
        <f>IF('Settings'!$E$15="POINTS",E184-VLOOKUP(B$2,C1:E432,3,FALSE),J184)</f>
        <v>-68.38855136415501</v>
      </c>
      <c r="G184" s="46"/>
      <c r="H184" s="149">
        <f>RANK(I184,I3:I432)</f>
        <v>182</v>
      </c>
      <c r="I184" s="150">
        <f>VLOOKUP(A184,'Standard Deviations'!A1:C731,3,FALSE)</f>
        <v>0.0669683551466</v>
      </c>
      <c r="J184" s="150">
        <f>I184-VLOOKUP(B$2,H1:J432,2,FALSE)</f>
        <v>-3.21178576823872</v>
      </c>
    </row>
    <row r="185" ht="21.25" customHeight="1">
      <c r="A185" t="s" s="8">
        <v>400</v>
      </c>
      <c r="B185" t="s" s="148">
        <f>VLOOKUP(A185,'The List'!B1:D730,3,FALSE)</f>
        <v>133</v>
      </c>
      <c r="C185" s="54">
        <f>IF('Settings'!$E$15="POINTS",RANK(E185,E3:E432),H185)</f>
        <v>149</v>
      </c>
      <c r="D185" t="s" s="42">
        <f>VLOOKUP(A185,'The List'!B1:F730,5,FALSE)</f>
        <v>115</v>
      </c>
      <c r="E185" s="46">
        <f>VLOOKUP(A185,'The List'!B1:I730,8,FALSE)</f>
        <v>285.414926529710</v>
      </c>
      <c r="F185" s="46">
        <f>IF('Settings'!$E$15="POINTS",E185-VLOOKUP(B$2,C1:E432,3,FALSE),J185)</f>
        <v>-64.413048875504</v>
      </c>
      <c r="G185" s="46"/>
      <c r="H185" s="149">
        <f>RANK(I185,I3:I432)</f>
        <v>121</v>
      </c>
      <c r="I185" s="150">
        <f>VLOOKUP(A185,'Standard Deviations'!A1:C731,3,FALSE)</f>
        <v>2.15239393726693</v>
      </c>
      <c r="J185" s="150">
        <f>I185-VLOOKUP(B$2,H1:J432,2,FALSE)</f>
        <v>-1.12636018611839</v>
      </c>
    </row>
    <row r="186" ht="21.25" customHeight="1">
      <c r="A186" t="s" s="8">
        <v>463</v>
      </c>
      <c r="B186" t="s" s="148">
        <f>VLOOKUP(A186,'The List'!B1:D730,3,FALSE)</f>
        <v>118</v>
      </c>
      <c r="C186" s="54">
        <f>IF('Settings'!$E$15="POINTS",RANK(E186,E3:E432),H186)</f>
        <v>133</v>
      </c>
      <c r="D186" t="s" s="42">
        <f>VLOOKUP(A186,'The List'!B1:F730,5,FALSE)</f>
        <v>196</v>
      </c>
      <c r="E186" s="46">
        <f>VLOOKUP(A186,'The List'!B1:I730,8,FALSE)</f>
        <v>295.322499522635</v>
      </c>
      <c r="F186" s="46">
        <f>IF('Settings'!$E$15="POINTS",E186-VLOOKUP(B$2,C1:E432,3,FALSE),J186)</f>
        <v>-54.505475882579</v>
      </c>
      <c r="G186" s="46"/>
      <c r="H186" s="149">
        <f>RANK(I186,I3:I432)</f>
        <v>197</v>
      </c>
      <c r="I186" s="150">
        <f>VLOOKUP(A186,'Standard Deviations'!A1:C731,3,FALSE)</f>
        <v>-0.416433541903233</v>
      </c>
      <c r="J186" s="150">
        <f>I186-VLOOKUP(B$2,H1:J432,2,FALSE)</f>
        <v>-3.69518766528855</v>
      </c>
    </row>
    <row r="187" ht="21.25" customHeight="1">
      <c r="A187" t="s" s="8">
        <v>493</v>
      </c>
      <c r="B187" t="s" s="148">
        <f>VLOOKUP(A187,'The List'!B1:D730,3,FALSE)</f>
        <v>107</v>
      </c>
      <c r="C187" s="54">
        <f>IF('Settings'!$E$15="POINTS",RANK(E187,E3:E432),H187)</f>
        <v>184</v>
      </c>
      <c r="D187" t="s" s="42">
        <f>VLOOKUP(A187,'The List'!B1:F730,5,FALSE)</f>
        <v>236</v>
      </c>
      <c r="E187" s="46">
        <f>VLOOKUP(A187,'The List'!B1:I730,8,FALSE)</f>
        <v>259.184664492259</v>
      </c>
      <c r="F187" s="46">
        <f>IF('Settings'!$E$15="POINTS",E187-VLOOKUP(B$2,C1:E432,3,FALSE),J187)</f>
        <v>-90.643310912955</v>
      </c>
      <c r="G187" s="46"/>
      <c r="H187" s="149">
        <f>RANK(I187,I3:I432)</f>
        <v>239</v>
      </c>
      <c r="I187" s="150">
        <f>VLOOKUP(A187,'Standard Deviations'!A1:C731,3,FALSE)</f>
        <v>-1.2704638434726</v>
      </c>
      <c r="J187" s="150">
        <f>I187-VLOOKUP(B$2,H1:J432,2,FALSE)</f>
        <v>-4.54921796685792</v>
      </c>
    </row>
    <row r="188" ht="21.25" customHeight="1">
      <c r="A188" t="s" s="8">
        <v>496</v>
      </c>
      <c r="B188" t="s" s="148">
        <f>VLOOKUP(A188,'The List'!B1:D730,3,FALSE)</f>
        <v>107</v>
      </c>
      <c r="C188" s="54">
        <f>IF('Settings'!$E$15="POINTS",RANK(E188,E3:E432),H188)</f>
        <v>241</v>
      </c>
      <c r="D188" t="s" s="42">
        <f>VLOOKUP(A188,'The List'!B1:F730,5,FALSE)</f>
        <v>166</v>
      </c>
      <c r="E188" s="46">
        <f>VLOOKUP(A188,'The List'!B1:I730,8,FALSE)</f>
        <v>219.319991309329</v>
      </c>
      <c r="F188" s="46">
        <f>IF('Settings'!$E$15="POINTS",E188-VLOOKUP(B$2,C1:E432,3,FALSE),J188)</f>
        <v>-130.507984095885</v>
      </c>
      <c r="G188" s="46"/>
      <c r="H188" s="149">
        <f>RANK(I188,I3:I432)</f>
        <v>219</v>
      </c>
      <c r="I188" s="150">
        <f>VLOOKUP(A188,'Standard Deviations'!A1:C731,3,FALSE)</f>
        <v>-0.875864424089313</v>
      </c>
      <c r="J188" s="150">
        <f>I188-VLOOKUP(B$2,H1:J432,2,FALSE)</f>
        <v>-4.15461854747463</v>
      </c>
    </row>
    <row r="189" ht="21.25" customHeight="1">
      <c r="A189" t="s" s="8">
        <v>498</v>
      </c>
      <c r="B189" t="s" s="148">
        <f>VLOOKUP(A189,'The List'!B1:D730,3,FALSE)</f>
        <v>107</v>
      </c>
      <c r="C189" s="54">
        <f>IF('Settings'!$E$15="POINTS",RANK(E189,E3:E432),H189)</f>
        <v>193</v>
      </c>
      <c r="D189" t="s" s="42">
        <f>VLOOKUP(A189,'The List'!B1:F730,5,FALSE)</f>
        <v>225</v>
      </c>
      <c r="E189" s="46">
        <f>VLOOKUP(A189,'The List'!B1:I730,8,FALSE)</f>
        <v>251.911539844084</v>
      </c>
      <c r="F189" s="46">
        <f>IF('Settings'!$E$15="POINTS",E189-VLOOKUP(B$2,C1:E432,3,FALSE),J189)</f>
        <v>-97.916435561130</v>
      </c>
      <c r="G189" s="46"/>
      <c r="H189" s="149">
        <f>RANK(I189,I3:I432)</f>
        <v>252</v>
      </c>
      <c r="I189" s="150">
        <f>VLOOKUP(A189,'Standard Deviations'!A1:C731,3,FALSE)</f>
        <v>-1.73391063942743</v>
      </c>
      <c r="J189" s="150">
        <f>I189-VLOOKUP(B$2,H1:J432,2,FALSE)</f>
        <v>-5.01266476281275</v>
      </c>
    </row>
    <row r="190" ht="21.25" customHeight="1">
      <c r="A190" t="s" s="8">
        <v>467</v>
      </c>
      <c r="B190" t="s" s="148">
        <f>VLOOKUP(A190,'The List'!B1:D730,3,FALSE)</f>
        <v>121</v>
      </c>
      <c r="C190" s="54">
        <f>IF('Settings'!$E$15="POINTS",RANK(E190,E3:E432),H190)</f>
        <v>194</v>
      </c>
      <c r="D190" t="s" s="42">
        <f>VLOOKUP(A190,'The List'!B1:F730,5,FALSE)</f>
        <v>225</v>
      </c>
      <c r="E190" s="46">
        <f>VLOOKUP(A190,'The List'!B1:I730,8,FALSE)</f>
        <v>250.417498165648</v>
      </c>
      <c r="F190" s="46">
        <f>IF('Settings'!$E$15="POINTS",E190-VLOOKUP(B$2,C1:E432,3,FALSE),J190)</f>
        <v>-99.41047723956601</v>
      </c>
      <c r="G190" s="46"/>
      <c r="H190" s="149">
        <f>RANK(I190,I3:I432)</f>
        <v>243</v>
      </c>
      <c r="I190" s="150">
        <f>VLOOKUP(A190,'Standard Deviations'!A1:C731,3,FALSE)</f>
        <v>-1.38638775135235</v>
      </c>
      <c r="J190" s="150">
        <f>I190-VLOOKUP(B$2,H1:J432,2,FALSE)</f>
        <v>-4.66514187473767</v>
      </c>
    </row>
    <row r="191" ht="21.25" customHeight="1">
      <c r="A191" t="s" s="8">
        <v>499</v>
      </c>
      <c r="B191" t="s" s="148">
        <f>VLOOKUP(A191,'The List'!B1:D730,3,FALSE)</f>
        <v>107</v>
      </c>
      <c r="C191" s="54">
        <f>IF('Settings'!$E$15="POINTS",RANK(E191,E3:E432),H191)</f>
        <v>209</v>
      </c>
      <c r="D191" t="s" s="42">
        <f>VLOOKUP(A191,'The List'!B1:F730,5,FALSE)</f>
        <v>164</v>
      </c>
      <c r="E191" s="46">
        <f>VLOOKUP(A191,'The List'!B1:I730,8,FALSE)</f>
        <v>239.943592149655</v>
      </c>
      <c r="F191" s="46">
        <f>IF('Settings'!$E$15="POINTS",E191-VLOOKUP(B$2,C1:E432,3,FALSE),J191)</f>
        <v>-109.884383255559</v>
      </c>
      <c r="G191" s="46"/>
      <c r="H191" s="149">
        <f>RANK(I191,I3:I432)</f>
        <v>179</v>
      </c>
      <c r="I191" s="150">
        <f>VLOOKUP(A191,'Standard Deviations'!A1:C731,3,FALSE)</f>
        <v>0.135375837096808</v>
      </c>
      <c r="J191" s="150">
        <f>I191-VLOOKUP(B$2,H1:J432,2,FALSE)</f>
        <v>-3.14337828628851</v>
      </c>
    </row>
    <row r="192" ht="21.25" customHeight="1">
      <c r="A192" t="s" s="8">
        <v>472</v>
      </c>
      <c r="B192" t="s" s="148">
        <f>VLOOKUP(A192,'The List'!B1:D730,3,FALSE)</f>
        <v>121</v>
      </c>
      <c r="C192" s="54">
        <f>IF('Settings'!$E$15="POINTS",RANK(E192,E3:E432),H192)</f>
        <v>142</v>
      </c>
      <c r="D192" t="s" s="42">
        <f>VLOOKUP(A192,'The List'!B1:F730,5,FALSE)</f>
        <v>258</v>
      </c>
      <c r="E192" s="46">
        <f>VLOOKUP(A192,'The List'!B1:I730,8,FALSE)</f>
        <v>290.572393062881</v>
      </c>
      <c r="F192" s="46">
        <f>IF('Settings'!$E$15="POINTS",E192-VLOOKUP(B$2,C1:E432,3,FALSE),J192)</f>
        <v>-59.255582342333</v>
      </c>
      <c r="G192" s="46"/>
      <c r="H192" s="149">
        <f>RANK(I192,I3:I432)</f>
        <v>254</v>
      </c>
      <c r="I192" s="150">
        <f>VLOOKUP(A192,'Standard Deviations'!A1:C731,3,FALSE)</f>
        <v>-1.79074357037368</v>
      </c>
      <c r="J192" s="150">
        <f>I192-VLOOKUP(B$2,H1:J432,2,FALSE)</f>
        <v>-5.069497693759</v>
      </c>
    </row>
    <row r="193" ht="21.25" customHeight="1">
      <c r="A193" t="s" s="8">
        <v>488</v>
      </c>
      <c r="B193" t="s" s="148">
        <f>VLOOKUP(A193,'The List'!B1:D730,3,FALSE)</f>
        <v>133</v>
      </c>
      <c r="C193" s="54">
        <f>IF('Settings'!$E$15="POINTS",RANK(E193,E3:E432),H193)</f>
        <v>200</v>
      </c>
      <c r="D193" t="s" s="42">
        <f>VLOOKUP(A193,'The List'!B1:F730,5,FALSE)</f>
        <v>164</v>
      </c>
      <c r="E193" s="46">
        <f>VLOOKUP(A193,'The List'!B1:I730,8,FALSE)</f>
        <v>247.792054070069</v>
      </c>
      <c r="F193" s="46">
        <f>IF('Settings'!$E$15="POINTS",E193-VLOOKUP(B$2,C1:E432,3,FALSE),J193)</f>
        <v>-102.035921335145</v>
      </c>
      <c r="G193" s="46"/>
      <c r="H193" s="149">
        <f>RANK(I193,I3:I432)</f>
        <v>168</v>
      </c>
      <c r="I193" s="150">
        <f>VLOOKUP(A193,'Standard Deviations'!A1:C731,3,FALSE)</f>
        <v>0.332041177670186</v>
      </c>
      <c r="J193" s="150">
        <f>I193-VLOOKUP(B$2,H1:J432,2,FALSE)</f>
        <v>-2.94671294571513</v>
      </c>
    </row>
    <row r="194" ht="21.25" customHeight="1">
      <c r="A194" t="s" s="8">
        <v>474</v>
      </c>
      <c r="B194" t="s" s="148">
        <f>VLOOKUP(A194,'The List'!B1:D730,3,FALSE)</f>
        <v>133</v>
      </c>
      <c r="C194" s="54">
        <f>IF('Settings'!$E$15="POINTS",RANK(E194,E3:E432),H194)</f>
        <v>162</v>
      </c>
      <c r="D194" t="s" s="42">
        <f>VLOOKUP(A194,'The List'!B1:F730,5,FALSE)</f>
        <v>151</v>
      </c>
      <c r="E194" s="46">
        <f>VLOOKUP(A194,'The List'!B1:I730,8,FALSE)</f>
        <v>279.653570757277</v>
      </c>
      <c r="F194" s="46">
        <f>IF('Settings'!$E$15="POINTS",E194-VLOOKUP(B$2,C1:E432,3,FALSE),J194)</f>
        <v>-70.174404647937</v>
      </c>
      <c r="G194" s="46"/>
      <c r="H194" s="149">
        <f>RANK(I194,I3:I432)</f>
        <v>152</v>
      </c>
      <c r="I194" s="150">
        <f>VLOOKUP(A194,'Standard Deviations'!A1:C731,3,FALSE)</f>
        <v>0.829602612481418</v>
      </c>
      <c r="J194" s="150">
        <f>I194-VLOOKUP(B$2,H1:J432,2,FALSE)</f>
        <v>-2.4491515109039</v>
      </c>
    </row>
    <row r="195" ht="21.25" customHeight="1">
      <c r="A195" t="s" s="8">
        <v>494</v>
      </c>
      <c r="B195" t="s" s="148">
        <f>VLOOKUP(A195,'The List'!B1:D730,3,FALSE)</f>
        <v>133</v>
      </c>
      <c r="C195" s="54">
        <f>IF('Settings'!$E$15="POINTS",RANK(E195,E3:E432),H195)</f>
        <v>195</v>
      </c>
      <c r="D195" t="s" s="42">
        <f>VLOOKUP(A195,'The List'!B1:F730,5,FALSE)</f>
        <v>124</v>
      </c>
      <c r="E195" s="46">
        <f>VLOOKUP(A195,'The List'!B1:I730,8,FALSE)</f>
        <v>249.765667058566</v>
      </c>
      <c r="F195" s="46">
        <f>IF('Settings'!$E$15="POINTS",E195-VLOOKUP(B$2,C1:E432,3,FALSE),J195)</f>
        <v>-100.062308346648</v>
      </c>
      <c r="G195" s="46"/>
      <c r="H195" s="149">
        <f>RANK(I195,I3:I432)</f>
        <v>188</v>
      </c>
      <c r="I195" s="150">
        <f>VLOOKUP(A195,'Standard Deviations'!A1:C731,3,FALSE)</f>
        <v>-0.167928025190536</v>
      </c>
      <c r="J195" s="150">
        <f>I195-VLOOKUP(B$2,H1:J432,2,FALSE)</f>
        <v>-3.44668214857586</v>
      </c>
    </row>
    <row r="196" ht="21.25" customHeight="1">
      <c r="A196" t="s" s="8">
        <v>477</v>
      </c>
      <c r="B196" t="s" s="148">
        <f>VLOOKUP(A196,'The List'!B1:D730,3,FALSE)</f>
        <v>118</v>
      </c>
      <c r="C196" s="54">
        <f>IF('Settings'!$E$15="POINTS",RANK(E196,E3:E432),H196)</f>
        <v>222</v>
      </c>
      <c r="D196" t="s" s="42">
        <f>VLOOKUP(A196,'The List'!B1:F730,5,FALSE)</f>
        <v>234</v>
      </c>
      <c r="E196" s="46">
        <f>VLOOKUP(A196,'The List'!B1:I730,8,FALSE)</f>
        <v>230.828011753959</v>
      </c>
      <c r="F196" s="46">
        <f>IF('Settings'!$E$15="POINTS",E196-VLOOKUP(B$2,C1:E432,3,FALSE),J196)</f>
        <v>-118.999963651255</v>
      </c>
      <c r="G196" s="46"/>
      <c r="H196" s="149">
        <f>RANK(I196,I3:I432)</f>
        <v>317</v>
      </c>
      <c r="I196" s="150">
        <f>VLOOKUP(A196,'Standard Deviations'!A1:C731,3,FALSE)</f>
        <v>-3.024115818745</v>
      </c>
      <c r="J196" s="150">
        <f>I196-VLOOKUP(B$2,H1:J432,2,FALSE)</f>
        <v>-6.30286994213032</v>
      </c>
    </row>
    <row r="197" ht="21.25" customHeight="1">
      <c r="A197" t="s" s="8">
        <v>503</v>
      </c>
      <c r="B197" t="s" s="148">
        <f>VLOOKUP(A197,'The List'!B1:D730,3,FALSE)</f>
        <v>111</v>
      </c>
      <c r="C197" s="54">
        <f>IF('Settings'!$E$15="POINTS",RANK(E197,E3:E432),H197)</f>
        <v>192</v>
      </c>
      <c r="D197" t="s" s="42">
        <f>VLOOKUP(A197,'The List'!B1:F730,5,FALSE)</f>
        <v>236</v>
      </c>
      <c r="E197" s="46">
        <f>VLOOKUP(A197,'The List'!B1:I730,8,FALSE)</f>
        <v>252.698927595027</v>
      </c>
      <c r="F197" s="46">
        <f>IF('Settings'!$E$15="POINTS",E197-VLOOKUP(B$2,C1:E432,3,FALSE),J197)</f>
        <v>-97.129047810187</v>
      </c>
      <c r="G197" s="46"/>
      <c r="H197" s="149">
        <f>RANK(I197,I3:I432)</f>
        <v>224</v>
      </c>
      <c r="I197" s="150">
        <f>VLOOKUP(A197,'Standard Deviations'!A1:C731,3,FALSE)</f>
        <v>-1.01240671783756</v>
      </c>
      <c r="J197" s="150">
        <f>I197-VLOOKUP(B$2,H1:J432,2,FALSE)</f>
        <v>-4.29116084122288</v>
      </c>
    </row>
    <row r="198" ht="21.25" customHeight="1">
      <c r="A198" t="s" s="8">
        <v>524</v>
      </c>
      <c r="B198" t="s" s="148">
        <f>VLOOKUP(A198,'The List'!B1:D730,3,FALSE)</f>
        <v>107</v>
      </c>
      <c r="C198" s="54">
        <f>IF('Settings'!$E$15="POINTS",RANK(E198,E3:E432),H198)</f>
        <v>224</v>
      </c>
      <c r="D198" t="s" s="42">
        <f>VLOOKUP(A198,'The List'!B1:F730,5,FALSE)</f>
        <v>131</v>
      </c>
      <c r="E198" s="46">
        <f>VLOOKUP(A198,'The List'!B1:I730,8,FALSE)</f>
        <v>229.411015171373</v>
      </c>
      <c r="F198" s="46">
        <f>IF('Settings'!$E$15="POINTS",E198-VLOOKUP(B$2,C1:E432,3,FALSE),J198)</f>
        <v>-120.416960233841</v>
      </c>
      <c r="G198" s="46"/>
      <c r="H198" s="149">
        <f>RANK(I198,I3:I432)</f>
        <v>203</v>
      </c>
      <c r="I198" s="150">
        <f>VLOOKUP(A198,'Standard Deviations'!A1:C731,3,FALSE)</f>
        <v>-0.587567450918798</v>
      </c>
      <c r="J198" s="150">
        <f>I198-VLOOKUP(B$2,H1:J432,2,FALSE)</f>
        <v>-3.86632157430412</v>
      </c>
    </row>
    <row r="199" ht="21.25" customHeight="1">
      <c r="A199" t="s" s="8">
        <v>527</v>
      </c>
      <c r="B199" t="s" s="148">
        <f>VLOOKUP(A199,'The List'!B1:D730,3,FALSE)</f>
        <v>107</v>
      </c>
      <c r="C199" s="54">
        <f>IF('Settings'!$E$15="POINTS",RANK(E199,E3:E432),H199)</f>
        <v>202</v>
      </c>
      <c r="D199" t="s" s="42">
        <f>VLOOKUP(A199,'The List'!B1:F730,5,FALSE)</f>
        <v>184</v>
      </c>
      <c r="E199" s="46">
        <f>VLOOKUP(A199,'The List'!B1:I730,8,FALSE)</f>
        <v>245.157568840806</v>
      </c>
      <c r="F199" s="46">
        <f>IF('Settings'!$E$15="POINTS",E199-VLOOKUP(B$2,C1:E432,3,FALSE),J199)</f>
        <v>-104.670406564408</v>
      </c>
      <c r="G199" s="46"/>
      <c r="H199" s="149">
        <f>RANK(I199,I3:I432)</f>
        <v>228</v>
      </c>
      <c r="I199" s="150">
        <f>VLOOKUP(A199,'Standard Deviations'!A1:C731,3,FALSE)</f>
        <v>-1.07876542269626</v>
      </c>
      <c r="J199" s="150">
        <f>I199-VLOOKUP(B$2,H1:J432,2,FALSE)</f>
        <v>-4.35751954608158</v>
      </c>
    </row>
    <row r="200" ht="21.25" customHeight="1">
      <c r="A200" t="s" s="8">
        <v>541</v>
      </c>
      <c r="B200" t="s" s="148">
        <f>VLOOKUP(A200,'The List'!B1:D730,3,FALSE)</f>
        <v>107</v>
      </c>
      <c r="C200" s="54">
        <f>IF('Settings'!$E$15="POINTS",RANK(E200,E3:E432),H200)</f>
        <v>196</v>
      </c>
      <c r="D200" t="s" s="42">
        <f>VLOOKUP(A200,'The List'!B1:F730,5,FALSE)</f>
        <v>218</v>
      </c>
      <c r="E200" s="46">
        <f>VLOOKUP(A200,'The List'!B1:I730,8,FALSE)</f>
        <v>249.231752359059</v>
      </c>
      <c r="F200" s="46">
        <f>IF('Settings'!$E$15="POINTS",E200-VLOOKUP(B$2,C1:E432,3,FALSE),J200)</f>
        <v>-100.596223046155</v>
      </c>
      <c r="G200" s="46"/>
      <c r="H200" s="149">
        <f>RANK(I200,I3:I432)</f>
        <v>147</v>
      </c>
      <c r="I200" s="150">
        <f>VLOOKUP(A200,'Standard Deviations'!A1:C731,3,FALSE)</f>
        <v>0.993613175576638</v>
      </c>
      <c r="J200" s="150">
        <f>I200-VLOOKUP(B$2,H1:J432,2,FALSE)</f>
        <v>-2.28514094780868</v>
      </c>
    </row>
    <row r="201" ht="21.25" customHeight="1">
      <c r="A201" t="s" s="8">
        <v>487</v>
      </c>
      <c r="B201" t="s" s="148">
        <f>VLOOKUP(A201,'The List'!B1:D730,3,FALSE)</f>
        <v>187</v>
      </c>
      <c r="C201" s="54">
        <f>IF('Settings'!$E$15="POINTS",RANK(E201,E3:E432),H201)</f>
        <v>169</v>
      </c>
      <c r="D201" t="s" s="42">
        <f>VLOOKUP(A201,'The List'!B1:F730,5,FALSE)</f>
        <v>238</v>
      </c>
      <c r="E201" s="46">
        <f>VLOOKUP(A201,'The List'!B1:I730,8,FALSE)</f>
        <v>271.737817035630</v>
      </c>
      <c r="F201" s="46">
        <f>IF('Settings'!$E$15="POINTS",E201-VLOOKUP(B$2,C1:E432,3,FALSE),J201)</f>
        <v>-78.090158369584</v>
      </c>
      <c r="G201" s="46"/>
      <c r="H201" s="149">
        <f>RANK(I201,I3:I432)</f>
        <v>166</v>
      </c>
      <c r="I201" s="150">
        <f>VLOOKUP(A201,'Standard Deviations'!A1:C731,3,FALSE)</f>
        <v>0.35014605413294</v>
      </c>
      <c r="J201" s="150">
        <f>I201-VLOOKUP(B$2,H1:J432,2,FALSE)</f>
        <v>-2.92860806925238</v>
      </c>
    </row>
    <row r="202" ht="21.25" customHeight="1">
      <c r="A202" t="s" s="8">
        <v>513</v>
      </c>
      <c r="B202" t="s" s="148">
        <f>VLOOKUP(A202,'The List'!B1:D730,3,FALSE)</f>
        <v>133</v>
      </c>
      <c r="C202" s="54">
        <f>IF('Settings'!$E$15="POINTS",RANK(E202,E3:E432),H202)</f>
        <v>203</v>
      </c>
      <c r="D202" t="s" s="42">
        <f>VLOOKUP(A202,'The List'!B1:F730,5,FALSE)</f>
        <v>131</v>
      </c>
      <c r="E202" s="46">
        <f>VLOOKUP(A202,'The List'!B1:I730,8,FALSE)</f>
        <v>242.896203004053</v>
      </c>
      <c r="F202" s="46">
        <f>IF('Settings'!$E$15="POINTS",E202-VLOOKUP(B$2,C1:E432,3,FALSE),J202)</f>
        <v>-106.931772401161</v>
      </c>
      <c r="G202" s="46"/>
      <c r="H202" s="149">
        <f>RANK(I202,I3:I432)</f>
        <v>222</v>
      </c>
      <c r="I202" s="150">
        <f>VLOOKUP(A202,'Standard Deviations'!A1:C731,3,FALSE)</f>
        <v>-0.937154148569837</v>
      </c>
      <c r="J202" s="150">
        <f>I202-VLOOKUP(B$2,H1:J432,2,FALSE)</f>
        <v>-4.21590827195516</v>
      </c>
    </row>
    <row r="203" ht="21.25" customHeight="1">
      <c r="A203" t="s" s="8">
        <v>535</v>
      </c>
      <c r="B203" t="s" s="148">
        <f>VLOOKUP(A203,'The List'!B1:D730,3,FALSE)</f>
        <v>107</v>
      </c>
      <c r="C203" s="54">
        <f>IF('Settings'!$E$15="POINTS",RANK(E203,E3:E432),H203)</f>
        <v>164</v>
      </c>
      <c r="D203" t="s" s="42">
        <f>VLOOKUP(A203,'The List'!B1:F730,5,FALSE)</f>
        <v>149</v>
      </c>
      <c r="E203" s="46">
        <f>VLOOKUP(A203,'The List'!B1:I730,8,FALSE)</f>
        <v>278.648521537042</v>
      </c>
      <c r="F203" s="46">
        <f>IF('Settings'!$E$15="POINTS",E203-VLOOKUP(B$2,C1:E432,3,FALSE),J203)</f>
        <v>-71.179453868172</v>
      </c>
      <c r="G203" s="46"/>
      <c r="H203" s="149">
        <f>RANK(I203,I3:I432)</f>
        <v>176</v>
      </c>
      <c r="I203" s="150">
        <f>VLOOKUP(A203,'Standard Deviations'!A1:C731,3,FALSE)</f>
        <v>0.187750215134797</v>
      </c>
      <c r="J203" s="150">
        <f>I203-VLOOKUP(B$2,H1:J432,2,FALSE)</f>
        <v>-3.09100390825052</v>
      </c>
    </row>
    <row r="204" ht="21.25" customHeight="1">
      <c r="A204" t="s" s="8">
        <v>514</v>
      </c>
      <c r="B204" t="s" s="148">
        <f>VLOOKUP(A204,'The List'!B1:D730,3,FALSE)</f>
        <v>133</v>
      </c>
      <c r="C204" s="54">
        <f>IF('Settings'!$E$15="POINTS",RANK(E204,E3:E432),H204)</f>
        <v>219</v>
      </c>
      <c r="D204" t="s" s="42">
        <f>VLOOKUP(A204,'The List'!B1:F730,5,FALSE)</f>
        <v>122</v>
      </c>
      <c r="E204" s="46">
        <f>VLOOKUP(A204,'The List'!B1:I730,8,FALSE)</f>
        <v>231.502187232761</v>
      </c>
      <c r="F204" s="46">
        <f>IF('Settings'!$E$15="POINTS",E204-VLOOKUP(B$2,C1:E432,3,FALSE),J204)</f>
        <v>-118.325788172453</v>
      </c>
      <c r="G204" s="46"/>
      <c r="H204" s="149">
        <f>RANK(I204,I3:I432)</f>
        <v>163</v>
      </c>
      <c r="I204" s="150">
        <f>VLOOKUP(A204,'Standard Deviations'!A1:C731,3,FALSE)</f>
        <v>0.406229109824415</v>
      </c>
      <c r="J204" s="150">
        <f>I204-VLOOKUP(B$2,H1:J432,2,FALSE)</f>
        <v>-2.87252501356091</v>
      </c>
    </row>
    <row r="205" ht="21.25" customHeight="1">
      <c r="A205" t="s" s="8">
        <v>519</v>
      </c>
      <c r="B205" t="s" s="148">
        <f>VLOOKUP(A205,'The List'!B1:D730,3,FALSE)</f>
        <v>133</v>
      </c>
      <c r="C205" s="54">
        <f>IF('Settings'!$E$15="POINTS",RANK(E205,E3:E432),H205)</f>
        <v>174</v>
      </c>
      <c r="D205" t="s" s="42">
        <f>VLOOKUP(A205,'The List'!B1:F730,5,FALSE)</f>
        <v>196</v>
      </c>
      <c r="E205" s="46">
        <f>VLOOKUP(A205,'The List'!B1:I730,8,FALSE)</f>
        <v>268.051591808470</v>
      </c>
      <c r="F205" s="46">
        <f>IF('Settings'!$E$15="POINTS",E205-VLOOKUP(B$2,C1:E432,3,FALSE),J205)</f>
        <v>-81.776383596744</v>
      </c>
      <c r="G205" s="46"/>
      <c r="H205" s="149">
        <f>RANK(I205,I3:I432)</f>
        <v>227</v>
      </c>
      <c r="I205" s="150">
        <f>VLOOKUP(A205,'Standard Deviations'!A1:C731,3,FALSE)</f>
        <v>-1.05113465273266</v>
      </c>
      <c r="J205" s="150">
        <f>I205-VLOOKUP(B$2,H1:J432,2,FALSE)</f>
        <v>-4.32988877611798</v>
      </c>
    </row>
    <row r="206" ht="21.25" customHeight="1">
      <c r="A206" t="s" s="8">
        <v>491</v>
      </c>
      <c r="B206" t="s" s="148">
        <f>VLOOKUP(A206,'The List'!B1:D730,3,FALSE)</f>
        <v>121</v>
      </c>
      <c r="C206" s="54">
        <f>IF('Settings'!$E$15="POINTS",RANK(E206,E3:E432),H206)</f>
        <v>201</v>
      </c>
      <c r="D206" t="s" s="42">
        <f>VLOOKUP(A206,'The List'!B1:F730,5,FALSE)</f>
        <v>149</v>
      </c>
      <c r="E206" s="46">
        <f>VLOOKUP(A206,'The List'!B1:I730,8,FALSE)</f>
        <v>245.592183327954</v>
      </c>
      <c r="F206" s="46">
        <f>IF('Settings'!$E$15="POINTS",E206-VLOOKUP(B$2,C1:E432,3,FALSE),J206)</f>
        <v>-104.235792077260</v>
      </c>
      <c r="G206" s="46"/>
      <c r="H206" s="149">
        <f>RANK(I206,I3:I432)</f>
        <v>191</v>
      </c>
      <c r="I206" s="150">
        <f>VLOOKUP(A206,'Standard Deviations'!A1:C731,3,FALSE)</f>
        <v>-0.251120038957823</v>
      </c>
      <c r="J206" s="150">
        <f>I206-VLOOKUP(B$2,H1:J432,2,FALSE)</f>
        <v>-3.52987416234314</v>
      </c>
    </row>
    <row r="207" ht="21.25" customHeight="1">
      <c r="A207" t="s" s="8">
        <v>521</v>
      </c>
      <c r="B207" t="s" s="148">
        <f>VLOOKUP(A207,'The List'!B1:D730,3,FALSE)</f>
        <v>111</v>
      </c>
      <c r="C207" s="54">
        <f>IF('Settings'!$E$15="POINTS",RANK(E207,E3:E432),H207)</f>
        <v>215</v>
      </c>
      <c r="D207" t="s" s="42">
        <f>VLOOKUP(A207,'The List'!B1:F730,5,FALSE)</f>
        <v>248</v>
      </c>
      <c r="E207" s="46">
        <f>VLOOKUP(A207,'The List'!B1:I730,8,FALSE)</f>
        <v>233.596085694548</v>
      </c>
      <c r="F207" s="46">
        <f>IF('Settings'!$E$15="POINTS",E207-VLOOKUP(B$2,C1:E432,3,FALSE),J207)</f>
        <v>-116.231889710666</v>
      </c>
      <c r="G207" s="46"/>
      <c r="H207" s="149">
        <f>RANK(I207,I3:I432)</f>
        <v>225</v>
      </c>
      <c r="I207" s="150">
        <f>VLOOKUP(A207,'Standard Deviations'!A1:C731,3,FALSE)</f>
        <v>-1.03464643508656</v>
      </c>
      <c r="J207" s="150">
        <f>I207-VLOOKUP(B$2,H1:J432,2,FALSE)</f>
        <v>-4.31340055847188</v>
      </c>
    </row>
    <row r="208" ht="21.25" customHeight="1">
      <c r="A208" t="s" s="8">
        <v>453</v>
      </c>
      <c r="B208" t="s" s="148">
        <f>VLOOKUP(A208,'The List'!B1:D730,3,FALSE)</f>
        <v>107</v>
      </c>
      <c r="C208" s="54">
        <f>IF('Settings'!$E$15="POINTS",RANK(E208,E3:E432),H208)</f>
        <v>177</v>
      </c>
      <c r="D208" t="s" s="42">
        <f>VLOOKUP(A208,'The List'!B1:F730,5,FALSE)</f>
        <v>204</v>
      </c>
      <c r="E208" s="46">
        <f>VLOOKUP(A208,'The List'!B1:I730,8,FALSE)</f>
        <v>264.764340336238</v>
      </c>
      <c r="F208" s="46">
        <f>IF('Settings'!$E$15="POINTS",E208-VLOOKUP(B$2,C1:E432,3,FALSE),J208)</f>
        <v>-85.063635068976</v>
      </c>
      <c r="G208" s="46"/>
      <c r="H208" s="149">
        <f>RANK(I208,I3:I432)</f>
        <v>172</v>
      </c>
      <c r="I208" s="150">
        <f>VLOOKUP(A208,'Standard Deviations'!A1:C731,3,FALSE)</f>
        <v>0.284422905979091</v>
      </c>
      <c r="J208" s="150">
        <f>I208-VLOOKUP(B$2,H1:J432,2,FALSE)</f>
        <v>-2.99433121740623</v>
      </c>
    </row>
    <row r="209" ht="21.25" customHeight="1">
      <c r="A209" t="s" s="8">
        <v>501</v>
      </c>
      <c r="B209" t="s" s="148">
        <f>VLOOKUP(A209,'The List'!B1:D730,3,FALSE)</f>
        <v>118</v>
      </c>
      <c r="C209" s="54">
        <f>IF('Settings'!$E$15="POINTS",RANK(E209,E3:E432),H209)</f>
        <v>210</v>
      </c>
      <c r="D209" t="s" s="42">
        <f>VLOOKUP(A209,'The List'!B1:F730,5,FALSE)</f>
        <v>292</v>
      </c>
      <c r="E209" s="46">
        <f>VLOOKUP(A209,'The List'!B1:I730,8,FALSE)</f>
        <v>239.718642623044</v>
      </c>
      <c r="F209" s="46">
        <f>IF('Settings'!$E$15="POINTS",E209-VLOOKUP(B$2,C1:E432,3,FALSE),J209)</f>
        <v>-110.109332782170</v>
      </c>
      <c r="G209" s="46"/>
      <c r="H209" s="149">
        <f>RANK(I209,I3:I432)</f>
        <v>193</v>
      </c>
      <c r="I209" s="150">
        <f>VLOOKUP(A209,'Standard Deviations'!A1:C731,3,FALSE)</f>
        <v>-0.328578358352923</v>
      </c>
      <c r="J209" s="150">
        <f>I209-VLOOKUP(B$2,H1:J432,2,FALSE)</f>
        <v>-3.60733248173824</v>
      </c>
    </row>
    <row r="210" ht="21.25" customHeight="1">
      <c r="A210" t="s" s="8">
        <v>531</v>
      </c>
      <c r="B210" t="s" s="148">
        <f>VLOOKUP(A210,'The List'!B1:D730,3,FALSE)</f>
        <v>133</v>
      </c>
      <c r="C210" s="54">
        <f>IF('Settings'!$E$15="POINTS",RANK(E210,E3:E432),H210)</f>
        <v>226</v>
      </c>
      <c r="D210" t="s" s="42">
        <f>VLOOKUP(A210,'The List'!B1:F730,5,FALSE)</f>
        <v>166</v>
      </c>
      <c r="E210" s="46">
        <f>VLOOKUP(A210,'The List'!B1:I730,8,FALSE)</f>
        <v>228.787920238661</v>
      </c>
      <c r="F210" s="46">
        <f>IF('Settings'!$E$15="POINTS",E210-VLOOKUP(B$2,C1:E432,3,FALSE),J210)</f>
        <v>-121.040055166553</v>
      </c>
      <c r="G210" s="46"/>
      <c r="H210" s="149">
        <f>RANK(I210,I3:I432)</f>
        <v>218</v>
      </c>
      <c r="I210" s="150">
        <f>VLOOKUP(A210,'Standard Deviations'!A1:C731,3,FALSE)</f>
        <v>-0.869258279205243</v>
      </c>
      <c r="J210" s="150">
        <f>I210-VLOOKUP(B$2,H1:J432,2,FALSE)</f>
        <v>-4.14801240259056</v>
      </c>
    </row>
    <row r="211" ht="21.25" customHeight="1">
      <c r="A211" t="s" s="8">
        <v>539</v>
      </c>
      <c r="B211" t="s" s="148">
        <f>VLOOKUP(A211,'The List'!B1:D730,3,FALSE)</f>
        <v>133</v>
      </c>
      <c r="C211" s="54">
        <f>IF('Settings'!$E$15="POINTS",RANK(E211,E3:E432),H211)</f>
        <v>190</v>
      </c>
      <c r="D211" t="s" s="42">
        <f>VLOOKUP(A211,'The List'!B1:F730,5,FALSE)</f>
        <v>124</v>
      </c>
      <c r="E211" s="46">
        <f>VLOOKUP(A211,'The List'!B1:I730,8,FALSE)</f>
        <v>253.9507025778</v>
      </c>
      <c r="F211" s="46">
        <f>IF('Settings'!$E$15="POINTS",E211-VLOOKUP(B$2,C1:E432,3,FALSE),J211)</f>
        <v>-95.877272827414</v>
      </c>
      <c r="G211" s="46"/>
      <c r="H211" s="149">
        <f>RANK(I211,I3:I432)</f>
        <v>200</v>
      </c>
      <c r="I211" s="150">
        <f>VLOOKUP(A211,'Standard Deviations'!A1:C731,3,FALSE)</f>
        <v>-0.45336248536257</v>
      </c>
      <c r="J211" s="150">
        <f>I211-VLOOKUP(B$2,H1:J432,2,FALSE)</f>
        <v>-3.73211660874789</v>
      </c>
    </row>
    <row r="212" ht="21.25" customHeight="1">
      <c r="A212" t="s" s="8">
        <v>512</v>
      </c>
      <c r="B212" t="s" s="148">
        <f>VLOOKUP(A212,'The List'!B1:D730,3,FALSE)</f>
        <v>187</v>
      </c>
      <c r="C212" s="54">
        <f>IF('Settings'!$E$15="POINTS",RANK(E212,E3:E432),H212)</f>
        <v>225</v>
      </c>
      <c r="D212" t="s" s="42">
        <f>VLOOKUP(A212,'The List'!B1:F730,5,FALSE)</f>
        <v>170</v>
      </c>
      <c r="E212" s="46">
        <f>VLOOKUP(A212,'The List'!B1:I730,8,FALSE)</f>
        <v>229.213799750828</v>
      </c>
      <c r="F212" s="46">
        <f>IF('Settings'!$E$15="POINTS",E212-VLOOKUP(B$2,C1:E432,3,FALSE),J212)</f>
        <v>-120.614175654386</v>
      </c>
      <c r="G212" s="46"/>
      <c r="H212" s="149">
        <f>RANK(I212,I3:I432)</f>
        <v>208</v>
      </c>
      <c r="I212" s="150">
        <f>VLOOKUP(A212,'Standard Deviations'!A1:C731,3,FALSE)</f>
        <v>-0.667546597837515</v>
      </c>
      <c r="J212" s="150">
        <f>I212-VLOOKUP(B$2,H1:J432,2,FALSE)</f>
        <v>-3.94630072122284</v>
      </c>
    </row>
    <row r="213" ht="21.25" customHeight="1">
      <c r="A213" t="s" s="8">
        <v>560</v>
      </c>
      <c r="B213" t="s" s="148">
        <f>VLOOKUP(A213,'The List'!B1:D730,3,FALSE)</f>
        <v>107</v>
      </c>
      <c r="C213" s="54">
        <f>IF('Settings'!$E$15="POINTS",RANK(E213,E3:E432),H213)</f>
        <v>244</v>
      </c>
      <c r="D213" t="s" s="42">
        <f>VLOOKUP(A213,'The List'!B1:F730,5,FALSE)</f>
        <v>258</v>
      </c>
      <c r="E213" s="46">
        <f>VLOOKUP(A213,'The List'!B1:I730,8,FALSE)</f>
        <v>215.054190290708</v>
      </c>
      <c r="F213" s="46">
        <f>IF('Settings'!$E$15="POINTS",E213-VLOOKUP(B$2,C1:E432,3,FALSE),J213)</f>
        <v>-134.773785114506</v>
      </c>
      <c r="G213" s="46"/>
      <c r="H213" s="149">
        <f>RANK(I213,I3:I432)</f>
        <v>276</v>
      </c>
      <c r="I213" s="150">
        <f>VLOOKUP(A213,'Standard Deviations'!A1:C731,3,FALSE)</f>
        <v>-2.33805160932486</v>
      </c>
      <c r="J213" s="150">
        <f>I213-VLOOKUP(B$2,H1:J432,2,FALSE)</f>
        <v>-5.61680573271018</v>
      </c>
    </row>
    <row r="214" ht="21.25" customHeight="1">
      <c r="A214" t="s" s="8">
        <v>567</v>
      </c>
      <c r="B214" t="s" s="148">
        <f>VLOOKUP(A214,'The List'!B1:D730,3,FALSE)</f>
        <v>107</v>
      </c>
      <c r="C214" s="54">
        <f>IF('Settings'!$E$15="POINTS",RANK(E214,E3:E432),H214)</f>
        <v>211</v>
      </c>
      <c r="D214" t="s" s="42">
        <f>VLOOKUP(A214,'The List'!B1:F730,5,FALSE)</f>
        <v>258</v>
      </c>
      <c r="E214" s="46">
        <f>VLOOKUP(A214,'The List'!B1:I730,8,FALSE)</f>
        <v>237.483772989843</v>
      </c>
      <c r="F214" s="46">
        <f>IF('Settings'!$E$15="POINTS",E214-VLOOKUP(B$2,C1:E432,3,FALSE),J214)</f>
        <v>-112.344202415371</v>
      </c>
      <c r="G214" s="46"/>
      <c r="H214" s="149">
        <f>RANK(I214,I3:I432)</f>
        <v>278</v>
      </c>
      <c r="I214" s="150">
        <f>VLOOKUP(A214,'Standard Deviations'!A1:C731,3,FALSE)</f>
        <v>-2.37931907862613</v>
      </c>
      <c r="J214" s="150">
        <f>I214-VLOOKUP(B$2,H1:J432,2,FALSE)</f>
        <v>-5.65807320201145</v>
      </c>
    </row>
    <row r="215" ht="21.25" customHeight="1">
      <c r="A215" t="s" s="8">
        <v>571</v>
      </c>
      <c r="B215" t="s" s="148">
        <f>VLOOKUP(A215,'The List'!B1:D730,3,FALSE)</f>
        <v>107</v>
      </c>
      <c r="C215" s="54">
        <f>IF('Settings'!$E$15="POINTS",RANK(E215,E3:E432),H215)</f>
        <v>216</v>
      </c>
      <c r="D215" t="s" s="42">
        <f>VLOOKUP(A215,'The List'!B1:F730,5,FALSE)</f>
        <v>122</v>
      </c>
      <c r="E215" s="46">
        <f>VLOOKUP(A215,'The List'!B1:I730,8,FALSE)</f>
        <v>232.464900568512</v>
      </c>
      <c r="F215" s="46">
        <f>IF('Settings'!$E$15="POINTS",E215-VLOOKUP(B$2,C1:E432,3,FALSE),J215)</f>
        <v>-117.363074836702</v>
      </c>
      <c r="G215" s="46"/>
      <c r="H215" s="149">
        <f>RANK(I215,I3:I432)</f>
        <v>187</v>
      </c>
      <c r="I215" s="150">
        <f>VLOOKUP(A215,'Standard Deviations'!A1:C731,3,FALSE)</f>
        <v>-0.123078707523954</v>
      </c>
      <c r="J215" s="150">
        <f>I215-VLOOKUP(B$2,H1:J432,2,FALSE)</f>
        <v>-3.40183283090927</v>
      </c>
    </row>
    <row r="216" ht="21.25" customHeight="1">
      <c r="A216" t="s" s="8">
        <v>569</v>
      </c>
      <c r="B216" t="s" s="148">
        <f>VLOOKUP(A216,'The List'!B1:D730,3,FALSE)</f>
        <v>107</v>
      </c>
      <c r="C216" s="54">
        <f>IF('Settings'!$E$15="POINTS",RANK(E216,E3:E432),H216)</f>
        <v>227</v>
      </c>
      <c r="D216" t="s" s="42">
        <f>VLOOKUP(A216,'The List'!B1:F730,5,FALSE)</f>
        <v>113</v>
      </c>
      <c r="E216" s="46">
        <f>VLOOKUP(A216,'The List'!B1:I730,8,FALSE)</f>
        <v>228.064280746874</v>
      </c>
      <c r="F216" s="46">
        <f>IF('Settings'!$E$15="POINTS",E216-VLOOKUP(B$2,C1:E432,3,FALSE),J216)</f>
        <v>-121.763694658340</v>
      </c>
      <c r="G216" s="46"/>
      <c r="H216" s="149">
        <f>RANK(I216,I3:I432)</f>
        <v>184</v>
      </c>
      <c r="I216" s="150">
        <f>VLOOKUP(A216,'Standard Deviations'!A1:C731,3,FALSE)</f>
        <v>-0.007950914484358701</v>
      </c>
      <c r="J216" s="150">
        <f>I216-VLOOKUP(B$2,H1:J432,2,FALSE)</f>
        <v>-3.28670503786968</v>
      </c>
    </row>
    <row r="217" ht="21.25" customHeight="1">
      <c r="A217" t="s" s="8">
        <v>552</v>
      </c>
      <c r="B217" t="s" s="148">
        <f>VLOOKUP(A217,'The List'!B1:D730,3,FALSE)</f>
        <v>133</v>
      </c>
      <c r="C217" s="54">
        <f>IF('Settings'!$E$15="POINTS",RANK(E217,E3:E432),H217)</f>
        <v>205</v>
      </c>
      <c r="D217" t="s" s="42">
        <f>VLOOKUP(A217,'The List'!B1:F730,5,FALSE)</f>
        <v>127</v>
      </c>
      <c r="E217" s="46">
        <f>VLOOKUP(A217,'The List'!B1:I730,8,FALSE)</f>
        <v>241.295194309832</v>
      </c>
      <c r="F217" s="46">
        <f>IF('Settings'!$E$15="POINTS",E217-VLOOKUP(B$2,C1:E432,3,FALSE),J217)</f>
        <v>-108.532781095382</v>
      </c>
      <c r="G217" s="46"/>
      <c r="H217" s="149">
        <f>RANK(I217,I3:I432)</f>
        <v>199</v>
      </c>
      <c r="I217" s="150">
        <f>VLOOKUP(A217,'Standard Deviations'!A1:C731,3,FALSE)</f>
        <v>-0.45204604935326</v>
      </c>
      <c r="J217" s="150">
        <f>I217-VLOOKUP(B$2,H1:J432,2,FALSE)</f>
        <v>-3.73080017273858</v>
      </c>
    </row>
    <row r="218" ht="21.25" customHeight="1">
      <c r="A218" t="s" s="8">
        <v>526</v>
      </c>
      <c r="B218" t="s" s="148">
        <f>VLOOKUP(A218,'The List'!B1:D730,3,FALSE)</f>
        <v>121</v>
      </c>
      <c r="C218" s="54">
        <f>IF('Settings'!$E$15="POINTS",RANK(E218,E3:E432),H218)</f>
        <v>198</v>
      </c>
      <c r="D218" t="s" s="42">
        <f>VLOOKUP(A218,'The List'!B1:F730,5,FALSE)</f>
        <v>248</v>
      </c>
      <c r="E218" s="46">
        <f>VLOOKUP(A218,'The List'!B1:I730,8,FALSE)</f>
        <v>248.026571423735</v>
      </c>
      <c r="F218" s="46">
        <f>IF('Settings'!$E$15="POINTS",E218-VLOOKUP(B$2,C1:E432,3,FALSE),J218)</f>
        <v>-101.801403981479</v>
      </c>
      <c r="G218" s="46"/>
      <c r="H218" s="149">
        <f>RANK(I218,I3:I432)</f>
        <v>189</v>
      </c>
      <c r="I218" s="150">
        <f>VLOOKUP(A218,'Standard Deviations'!A1:C731,3,FALSE)</f>
        <v>-0.168023939396486</v>
      </c>
      <c r="J218" s="150">
        <f>I218-VLOOKUP(B$2,H1:J432,2,FALSE)</f>
        <v>-3.44677806278181</v>
      </c>
    </row>
    <row r="219" ht="21.25" customHeight="1">
      <c r="A219" t="s" s="8">
        <v>568</v>
      </c>
      <c r="B219" t="s" s="148">
        <f>VLOOKUP(A219,'The List'!B1:D730,3,FALSE)</f>
        <v>133</v>
      </c>
      <c r="C219" s="54">
        <f>IF('Settings'!$E$15="POINTS",RANK(E219,E3:E432),H219)</f>
        <v>253</v>
      </c>
      <c r="D219" t="s" s="42">
        <f>VLOOKUP(A219,'The List'!B1:F730,5,FALSE)</f>
        <v>258</v>
      </c>
      <c r="E219" s="46">
        <f>VLOOKUP(A219,'The List'!B1:I730,8,FALSE)</f>
        <v>210.684613348414</v>
      </c>
      <c r="F219" s="46">
        <f>IF('Settings'!$E$15="POINTS",E219-VLOOKUP(B$2,C1:E432,3,FALSE),J219)</f>
        <v>-139.1433620568</v>
      </c>
      <c r="G219" s="46"/>
      <c r="H219" s="149">
        <f>RANK(I219,I3:I432)</f>
        <v>235</v>
      </c>
      <c r="I219" s="150">
        <f>VLOOKUP(A219,'Standard Deviations'!A1:C731,3,FALSE)</f>
        <v>-1.17028322398794</v>
      </c>
      <c r="J219" s="150">
        <f>I219-VLOOKUP(B$2,H1:J432,2,FALSE)</f>
        <v>-4.44903734737326</v>
      </c>
    </row>
    <row r="220" ht="21.25" customHeight="1">
      <c r="A220" t="s" s="8">
        <v>554</v>
      </c>
      <c r="B220" t="s" s="148">
        <f>VLOOKUP(A220,'The List'!B1:D730,3,FALSE)</f>
        <v>133</v>
      </c>
      <c r="C220" s="54">
        <f>IF('Settings'!$E$15="POINTS",RANK(E220,E3:E432),H220)</f>
        <v>130</v>
      </c>
      <c r="D220" t="s" s="42">
        <f>VLOOKUP(A220,'The List'!B1:F730,5,FALSE)</f>
        <v>124</v>
      </c>
      <c r="E220" s="46">
        <f>VLOOKUP(A220,'The List'!B1:I730,8,FALSE)</f>
        <v>300.121802475646</v>
      </c>
      <c r="F220" s="46">
        <f>IF('Settings'!$E$15="POINTS",E220-VLOOKUP(B$2,C1:E432,3,FALSE),J220)</f>
        <v>-49.706172929568</v>
      </c>
      <c r="G220" s="46"/>
      <c r="H220" s="149">
        <f>RANK(I220,I3:I432)</f>
        <v>195</v>
      </c>
      <c r="I220" s="150">
        <f>VLOOKUP(A220,'Standard Deviations'!A1:C731,3,FALSE)</f>
        <v>-0.351334225439644</v>
      </c>
      <c r="J220" s="150">
        <f>I220-VLOOKUP(B$2,H1:J432,2,FALSE)</f>
        <v>-3.63008834882496</v>
      </c>
    </row>
    <row r="221" ht="21.25" customHeight="1">
      <c r="A221" t="s" s="8">
        <v>557</v>
      </c>
      <c r="B221" t="s" s="148">
        <f>VLOOKUP(A221,'The List'!B1:D730,3,FALSE)</f>
        <v>133</v>
      </c>
      <c r="C221" s="54">
        <f>IF('Settings'!$E$15="POINTS",RANK(E221,E3:E432),H221)</f>
        <v>197</v>
      </c>
      <c r="D221" t="s" s="42">
        <f>VLOOKUP(A221,'The List'!B1:F730,5,FALSE)</f>
        <v>127</v>
      </c>
      <c r="E221" s="46">
        <f>VLOOKUP(A221,'The List'!B1:I730,8,FALSE)</f>
        <v>248.685113100450</v>
      </c>
      <c r="F221" s="46">
        <f>IF('Settings'!$E$15="POINTS",E221-VLOOKUP(B$2,C1:E432,3,FALSE),J221)</f>
        <v>-101.142862304764</v>
      </c>
      <c r="G221" s="46"/>
      <c r="H221" s="149">
        <f>RANK(I221,I3:I432)</f>
        <v>202</v>
      </c>
      <c r="I221" s="150">
        <f>VLOOKUP(A221,'Standard Deviations'!A1:C731,3,FALSE)</f>
        <v>-0.58071747126378</v>
      </c>
      <c r="J221" s="150">
        <f>I221-VLOOKUP(B$2,H1:J432,2,FALSE)</f>
        <v>-3.8594715946491</v>
      </c>
    </row>
    <row r="222" ht="21.25" customHeight="1">
      <c r="A222" t="s" s="8">
        <v>561</v>
      </c>
      <c r="B222" t="s" s="148">
        <f>VLOOKUP(A222,'The List'!B1:D730,3,FALSE)</f>
        <v>133</v>
      </c>
      <c r="C222" s="54">
        <f>IF('Settings'!$E$15="POINTS",RANK(E222,E3:E432),H222)</f>
        <v>217</v>
      </c>
      <c r="D222" t="s" s="42">
        <f>VLOOKUP(A222,'The List'!B1:F730,5,FALSE)</f>
        <v>149</v>
      </c>
      <c r="E222" s="46">
        <f>VLOOKUP(A222,'The List'!B1:I730,8,FALSE)</f>
        <v>231.573307794388</v>
      </c>
      <c r="F222" s="46">
        <f>IF('Settings'!$E$15="POINTS",E222-VLOOKUP(B$2,C1:E432,3,FALSE),J222)</f>
        <v>-118.254667610826</v>
      </c>
      <c r="G222" s="46"/>
      <c r="H222" s="149">
        <f>RANK(I222,I3:I432)</f>
        <v>223</v>
      </c>
      <c r="I222" s="150">
        <f>VLOOKUP(A222,'Standard Deviations'!A1:C731,3,FALSE)</f>
        <v>-0.961035073128666</v>
      </c>
      <c r="J222" s="150">
        <f>I222-VLOOKUP(B$2,H1:J432,2,FALSE)</f>
        <v>-4.23978919651399</v>
      </c>
    </row>
    <row r="223" ht="21.25" customHeight="1">
      <c r="A223" t="s" s="8">
        <v>584</v>
      </c>
      <c r="B223" t="s" s="148">
        <f>VLOOKUP(A223,'The List'!B1:D730,3,FALSE)</f>
        <v>107</v>
      </c>
      <c r="C223" s="54">
        <f>IF('Settings'!$E$15="POINTS",RANK(E223,E3:E432),H223)</f>
        <v>206</v>
      </c>
      <c r="D223" t="s" s="42">
        <f>VLOOKUP(A223,'The List'!B1:F730,5,FALSE)</f>
        <v>238</v>
      </c>
      <c r="E223" s="46">
        <f>VLOOKUP(A223,'The List'!B1:I730,8,FALSE)</f>
        <v>241.235433485918</v>
      </c>
      <c r="F223" s="46">
        <f>IF('Settings'!$E$15="POINTS",E223-VLOOKUP(B$2,C1:E432,3,FALSE),J223)</f>
        <v>-108.592541919296</v>
      </c>
      <c r="G223" s="46"/>
      <c r="H223" s="149">
        <f>RANK(I223,I3:I432)</f>
        <v>229</v>
      </c>
      <c r="I223" s="150">
        <f>VLOOKUP(A223,'Standard Deviations'!A1:C731,3,FALSE)</f>
        <v>-1.09050848585675</v>
      </c>
      <c r="J223" s="150">
        <f>I223-VLOOKUP(B$2,H1:J432,2,FALSE)</f>
        <v>-4.36926260924207</v>
      </c>
    </row>
    <row r="224" ht="21.25" customHeight="1">
      <c r="A224" t="s" s="8">
        <v>587</v>
      </c>
      <c r="B224" t="s" s="148">
        <f>VLOOKUP(A224,'The List'!B1:D730,3,FALSE)</f>
        <v>107</v>
      </c>
      <c r="C224" s="54">
        <f>IF('Settings'!$E$15="POINTS",RANK(E224,E3:E432),H224)</f>
        <v>243</v>
      </c>
      <c r="D224" t="s" s="42">
        <f>VLOOKUP(A224,'The List'!B1:F730,5,FALSE)</f>
        <v>225</v>
      </c>
      <c r="E224" s="46">
        <f>VLOOKUP(A224,'The List'!B1:I730,8,FALSE)</f>
        <v>217.179055887973</v>
      </c>
      <c r="F224" s="46">
        <f>IF('Settings'!$E$15="POINTS",E224-VLOOKUP(B$2,C1:E432,3,FALSE),J224)</f>
        <v>-132.648919517241</v>
      </c>
      <c r="G224" s="46"/>
      <c r="H224" s="149">
        <f>RANK(I224,I3:I432)</f>
        <v>297</v>
      </c>
      <c r="I224" s="150">
        <f>VLOOKUP(A224,'Standard Deviations'!A1:C731,3,FALSE)</f>
        <v>-2.69389495570144</v>
      </c>
      <c r="J224" s="150">
        <f>I224-VLOOKUP(B$2,H1:J432,2,FALSE)</f>
        <v>-5.97264907908676</v>
      </c>
    </row>
    <row r="225" ht="21.25" customHeight="1">
      <c r="A225" t="s" s="8">
        <v>516</v>
      </c>
      <c r="B225" t="s" s="148">
        <f>VLOOKUP(A225,'The List'!B1:D730,3,FALSE)</f>
        <v>121</v>
      </c>
      <c r="C225" s="54">
        <f>IF('Settings'!$E$15="POINTS",RANK(E225,E3:E432),H225)</f>
        <v>223</v>
      </c>
      <c r="D225" t="s" s="42">
        <f>VLOOKUP(A225,'The List'!B1:F730,5,FALSE)</f>
        <v>151</v>
      </c>
      <c r="E225" s="46">
        <f>VLOOKUP(A225,'The List'!B1:I730,8,FALSE)</f>
        <v>230.164180124987</v>
      </c>
      <c r="F225" s="46">
        <f>IF('Settings'!$E$15="POINTS",E225-VLOOKUP(B$2,C1:E432,3,FALSE),J225)</f>
        <v>-119.663795280227</v>
      </c>
      <c r="G225" s="46"/>
      <c r="H225" s="149">
        <f>RANK(I225,I3:I432)</f>
        <v>169</v>
      </c>
      <c r="I225" s="150">
        <f>VLOOKUP(A225,'Standard Deviations'!A1:C731,3,FALSE)</f>
        <v>0.321146510025262</v>
      </c>
      <c r="J225" s="150">
        <f>I225-VLOOKUP(B$2,H1:J432,2,FALSE)</f>
        <v>-2.95760761336006</v>
      </c>
    </row>
    <row r="226" ht="21.25" customHeight="1">
      <c r="A226" t="s" s="8">
        <v>573</v>
      </c>
      <c r="B226" t="s" s="148">
        <f>VLOOKUP(A226,'The List'!B1:D730,3,FALSE)</f>
        <v>133</v>
      </c>
      <c r="C226" s="54">
        <f>IF('Settings'!$E$15="POINTS",RANK(E226,E3:E432),H226)</f>
        <v>187</v>
      </c>
      <c r="D226" t="s" s="42">
        <f>VLOOKUP(A226,'The List'!B1:F730,5,FALSE)</f>
        <v>258</v>
      </c>
      <c r="E226" s="46">
        <f>VLOOKUP(A226,'The List'!B1:I730,8,FALSE)</f>
        <v>258.489579300993</v>
      </c>
      <c r="F226" s="46">
        <f>IF('Settings'!$E$15="POINTS",E226-VLOOKUP(B$2,C1:E432,3,FALSE),J226)</f>
        <v>-91.338396104221</v>
      </c>
      <c r="G226" s="46"/>
      <c r="H226" s="149">
        <f>RANK(I226,I3:I432)</f>
        <v>236</v>
      </c>
      <c r="I226" s="150">
        <f>VLOOKUP(A226,'Standard Deviations'!A1:C731,3,FALSE)</f>
        <v>-1.20424129309636</v>
      </c>
      <c r="J226" s="150">
        <f>I226-VLOOKUP(B$2,H1:J432,2,FALSE)</f>
        <v>-4.48299541648168</v>
      </c>
    </row>
    <row r="227" ht="21.25" customHeight="1">
      <c r="A227" t="s" s="8">
        <v>589</v>
      </c>
      <c r="B227" t="s" s="148">
        <f>VLOOKUP(A227,'The List'!B1:D730,3,FALSE)</f>
        <v>107</v>
      </c>
      <c r="C227" s="54">
        <f>IF('Settings'!$E$15="POINTS",RANK(E227,E3:E432),H227)</f>
        <v>239</v>
      </c>
      <c r="D227" t="s" s="42">
        <f>VLOOKUP(A227,'The List'!B1:F730,5,FALSE)</f>
        <v>131</v>
      </c>
      <c r="E227" s="46">
        <f>VLOOKUP(A227,'The List'!B1:I730,8,FALSE)</f>
        <v>220.640247210502</v>
      </c>
      <c r="F227" s="46">
        <f>IF('Settings'!$E$15="POINTS",E227-VLOOKUP(B$2,C1:E432,3,FALSE),J227)</f>
        <v>-129.187728194712</v>
      </c>
      <c r="G227" s="46"/>
      <c r="H227" s="149">
        <f>RANK(I227,I3:I432)</f>
        <v>234</v>
      </c>
      <c r="I227" s="150">
        <f>VLOOKUP(A227,'Standard Deviations'!A1:C731,3,FALSE)</f>
        <v>-1.16851549966749</v>
      </c>
      <c r="J227" s="150">
        <f>I227-VLOOKUP(B$2,H1:J432,2,FALSE)</f>
        <v>-4.44726962305281</v>
      </c>
    </row>
    <row r="228" ht="21.25" customHeight="1">
      <c r="A228" t="s" s="8">
        <v>550</v>
      </c>
      <c r="B228" t="s" s="148">
        <f>VLOOKUP(A228,'The List'!B1:D730,3,FALSE)</f>
        <v>121</v>
      </c>
      <c r="C228" s="54">
        <f>IF('Settings'!$E$15="POINTS",RANK(E228,E3:E432),H228)</f>
        <v>214</v>
      </c>
      <c r="D228" t="s" s="42">
        <f>VLOOKUP(A228,'The List'!B1:F730,5,FALSE)</f>
        <v>194</v>
      </c>
      <c r="E228" s="46">
        <f>VLOOKUP(A228,'The List'!B1:I730,8,FALSE)</f>
        <v>233.946165333142</v>
      </c>
      <c r="F228" s="46">
        <f>IF('Settings'!$E$15="POINTS",E228-VLOOKUP(B$2,C1:E432,3,FALSE),J228)</f>
        <v>-115.881810072072</v>
      </c>
      <c r="G228" s="46"/>
      <c r="H228" s="149">
        <f>RANK(I228,I3:I432)</f>
        <v>275</v>
      </c>
      <c r="I228" s="150">
        <f>VLOOKUP(A228,'Standard Deviations'!A1:C731,3,FALSE)</f>
        <v>-2.33324153255082</v>
      </c>
      <c r="J228" s="150">
        <f>I228-VLOOKUP(B$2,H1:J432,2,FALSE)</f>
        <v>-5.61199565593614</v>
      </c>
    </row>
    <row r="229" ht="21.25" customHeight="1">
      <c r="A229" t="s" s="8">
        <v>594</v>
      </c>
      <c r="B229" t="s" s="148">
        <f>VLOOKUP(A229,'The List'!B1:D730,3,FALSE)</f>
        <v>107</v>
      </c>
      <c r="C229" s="54">
        <f>IF('Settings'!$E$15="POINTS",RANK(E229,E3:E432),H229)</f>
        <v>258</v>
      </c>
      <c r="D229" t="s" s="42">
        <f>VLOOKUP(A229,'The List'!B1:F730,5,FALSE)</f>
        <v>141</v>
      </c>
      <c r="E229" s="46">
        <f>VLOOKUP(A229,'The List'!B1:I730,8,FALSE)</f>
        <v>208.262051433599</v>
      </c>
      <c r="F229" s="46">
        <f>IF('Settings'!$E$15="POINTS",E229-VLOOKUP(B$2,C1:E432,3,FALSE),J229)</f>
        <v>-141.565923971615</v>
      </c>
      <c r="G229" s="46"/>
      <c r="H229" s="149">
        <f>RANK(I229,I3:I432)</f>
        <v>232</v>
      </c>
      <c r="I229" s="150">
        <f>VLOOKUP(A229,'Standard Deviations'!A1:C731,3,FALSE)</f>
        <v>-1.1526672583574</v>
      </c>
      <c r="J229" s="150">
        <f>I229-VLOOKUP(B$2,H1:J432,2,FALSE)</f>
        <v>-4.43142138174272</v>
      </c>
    </row>
    <row r="230" ht="21.25" customHeight="1">
      <c r="A230" t="s" s="8">
        <v>579</v>
      </c>
      <c r="B230" t="s" s="148">
        <f>VLOOKUP(A230,'The List'!B1:D730,3,FALSE)</f>
        <v>133</v>
      </c>
      <c r="C230" s="54">
        <f>IF('Settings'!$E$15="POINTS",RANK(E230,E3:E432),H230)</f>
        <v>260</v>
      </c>
      <c r="D230" t="s" s="42">
        <f>VLOOKUP(A230,'The List'!B1:F730,5,FALSE)</f>
        <v>134</v>
      </c>
      <c r="E230" s="46">
        <f>VLOOKUP(A230,'The List'!B1:I730,8,FALSE)</f>
        <v>207.319144047813</v>
      </c>
      <c r="F230" s="46">
        <f>IF('Settings'!$E$15="POINTS",E230-VLOOKUP(B$2,C1:E432,3,FALSE),J230)</f>
        <v>-142.508831357401</v>
      </c>
      <c r="G230" s="46"/>
      <c r="H230" s="149">
        <f>RANK(I230,I3:I432)</f>
        <v>204</v>
      </c>
      <c r="I230" s="150">
        <f>VLOOKUP(A230,'Standard Deviations'!A1:C731,3,FALSE)</f>
        <v>-0.610456711208615</v>
      </c>
      <c r="J230" s="150">
        <f>I230-VLOOKUP(B$2,H1:J432,2,FALSE)</f>
        <v>-3.88921083459394</v>
      </c>
    </row>
    <row r="231" ht="21.25" customHeight="1">
      <c r="A231" t="s" s="8">
        <v>596</v>
      </c>
      <c r="B231" t="s" s="148">
        <f>VLOOKUP(A231,'The List'!B1:D730,3,FALSE)</f>
        <v>107</v>
      </c>
      <c r="C231" s="54">
        <f>IF('Settings'!$E$15="POINTS",RANK(E231,E3:E432),H231)</f>
        <v>218</v>
      </c>
      <c r="D231" t="s" s="42">
        <f>VLOOKUP(A231,'The List'!B1:F730,5,FALSE)</f>
        <v>134</v>
      </c>
      <c r="E231" s="46">
        <f>VLOOKUP(A231,'The List'!B1:I730,8,FALSE)</f>
        <v>231.519820313394</v>
      </c>
      <c r="F231" s="46">
        <f>IF('Settings'!$E$15="POINTS",E231-VLOOKUP(B$2,C1:E432,3,FALSE),J231)</f>
        <v>-118.308155091820</v>
      </c>
      <c r="G231" s="46"/>
      <c r="H231" s="149">
        <f>RANK(I231,I3:I432)</f>
        <v>201</v>
      </c>
      <c r="I231" s="150">
        <f>VLOOKUP(A231,'Standard Deviations'!A1:C731,3,FALSE)</f>
        <v>-0.559086423162667</v>
      </c>
      <c r="J231" s="150">
        <f>I231-VLOOKUP(B$2,H1:J432,2,FALSE)</f>
        <v>-3.83784054654799</v>
      </c>
    </row>
    <row r="232" ht="21.25" customHeight="1">
      <c r="A232" t="s" s="8">
        <v>604</v>
      </c>
      <c r="B232" t="s" s="148">
        <f>VLOOKUP(A232,'The List'!B1:D730,3,FALSE)</f>
        <v>107</v>
      </c>
      <c r="C232" s="54">
        <f>IF('Settings'!$E$15="POINTS",RANK(E232,E3:E432),H232)</f>
        <v>240</v>
      </c>
      <c r="D232" t="s" s="42">
        <f>VLOOKUP(A232,'The List'!B1:F730,5,FALSE)</f>
        <v>248</v>
      </c>
      <c r="E232" s="46">
        <f>VLOOKUP(A232,'The List'!B1:I730,8,FALSE)</f>
        <v>219.404022748844</v>
      </c>
      <c r="F232" s="46">
        <f>IF('Settings'!$E$15="POINTS",E232-VLOOKUP(B$2,C1:E432,3,FALSE),J232)</f>
        <v>-130.423952656370</v>
      </c>
      <c r="G232" s="46"/>
      <c r="H232" s="149">
        <f>RANK(I232,I3:I432)</f>
        <v>226</v>
      </c>
      <c r="I232" s="150">
        <f>VLOOKUP(A232,'Standard Deviations'!A1:C731,3,FALSE)</f>
        <v>-1.05095185573964</v>
      </c>
      <c r="J232" s="150">
        <f>I232-VLOOKUP(B$2,H1:J432,2,FALSE)</f>
        <v>-4.32970597912496</v>
      </c>
    </row>
    <row r="233" ht="21.25" customHeight="1">
      <c r="A233" t="s" s="8">
        <v>562</v>
      </c>
      <c r="B233" t="s" s="148">
        <f>VLOOKUP(A233,'The List'!B1:D730,3,FALSE)</f>
        <v>121</v>
      </c>
      <c r="C233" s="54">
        <f>IF('Settings'!$E$15="POINTS",RANK(E233,E3:E432),H233)</f>
        <v>283</v>
      </c>
      <c r="D233" t="s" s="42">
        <f>VLOOKUP(A233,'The List'!B1:F730,5,FALSE)</f>
        <v>292</v>
      </c>
      <c r="E233" s="46">
        <f>VLOOKUP(A233,'The List'!B1:I730,8,FALSE)</f>
        <v>196.993987309359</v>
      </c>
      <c r="F233" s="46">
        <f>IF('Settings'!$E$15="POINTS",E233-VLOOKUP(B$2,C1:E432,3,FALSE),J233)</f>
        <v>-152.833988095855</v>
      </c>
      <c r="G233" s="46"/>
      <c r="H233" s="149">
        <f>RANK(I233,I3:I432)</f>
        <v>248</v>
      </c>
      <c r="I233" s="150">
        <f>VLOOKUP(A233,'Standard Deviations'!A1:C731,3,FALSE)</f>
        <v>-1.6328076589169</v>
      </c>
      <c r="J233" s="150">
        <f>I233-VLOOKUP(B$2,H1:J432,2,FALSE)</f>
        <v>-4.91156178230222</v>
      </c>
    </row>
    <row r="234" ht="21.25" customHeight="1">
      <c r="A234" t="s" s="8">
        <v>588</v>
      </c>
      <c r="B234" t="s" s="148">
        <f>VLOOKUP(A234,'The List'!B1:D730,3,FALSE)</f>
        <v>133</v>
      </c>
      <c r="C234" s="54">
        <f>IF('Settings'!$E$15="POINTS",RANK(E234,E3:E432),H234)</f>
        <v>221</v>
      </c>
      <c r="D234" t="s" s="42">
        <f>VLOOKUP(A234,'The List'!B1:F730,5,FALSE)</f>
        <v>136</v>
      </c>
      <c r="E234" s="46">
        <f>VLOOKUP(A234,'The List'!B1:I730,8,FALSE)</f>
        <v>231.026965132655</v>
      </c>
      <c r="F234" s="46">
        <f>IF('Settings'!$E$15="POINTS",E234-VLOOKUP(B$2,C1:E432,3,FALSE),J234)</f>
        <v>-118.801010272559</v>
      </c>
      <c r="G234" s="46"/>
      <c r="H234" s="149">
        <f>RANK(I234,I3:I432)</f>
        <v>194</v>
      </c>
      <c r="I234" s="150">
        <f>VLOOKUP(A234,'Standard Deviations'!A1:C731,3,FALSE)</f>
        <v>-0.33801615654606</v>
      </c>
      <c r="J234" s="150">
        <f>I234-VLOOKUP(B$2,H1:J432,2,FALSE)</f>
        <v>-3.61677027993138</v>
      </c>
    </row>
    <row r="235" ht="21.25" customHeight="1">
      <c r="A235" t="s" s="8">
        <v>607</v>
      </c>
      <c r="B235" t="s" s="148">
        <f>VLOOKUP(A235,'The List'!B1:D730,3,FALSE)</f>
        <v>107</v>
      </c>
      <c r="C235" s="54">
        <f>IF('Settings'!$E$15="POINTS",RANK(E235,E3:E432),H235)</f>
        <v>234</v>
      </c>
      <c r="D235" t="s" s="42">
        <f>VLOOKUP(A235,'The List'!B1:F730,5,FALSE)</f>
        <v>225</v>
      </c>
      <c r="E235" s="46">
        <f>VLOOKUP(A235,'The List'!B1:I730,8,FALSE)</f>
        <v>226.018990069021</v>
      </c>
      <c r="F235" s="46">
        <f>IF('Settings'!$E$15="POINTS",E235-VLOOKUP(B$2,C1:E432,3,FALSE),J235)</f>
        <v>-123.808985336193</v>
      </c>
      <c r="G235" s="46"/>
      <c r="H235" s="149">
        <f>RANK(I235,I3:I432)</f>
        <v>298</v>
      </c>
      <c r="I235" s="150">
        <f>VLOOKUP(A235,'Standard Deviations'!A1:C731,3,FALSE)</f>
        <v>-2.72617131542787</v>
      </c>
      <c r="J235" s="150">
        <f>I235-VLOOKUP(B$2,H1:J432,2,FALSE)</f>
        <v>-6.00492543881319</v>
      </c>
    </row>
    <row r="236" ht="21.25" customHeight="1">
      <c r="A236" t="s" s="8">
        <v>611</v>
      </c>
      <c r="B236" t="s" s="148">
        <f>VLOOKUP(A236,'The List'!B1:D730,3,FALSE)</f>
        <v>107</v>
      </c>
      <c r="C236" s="54">
        <f>IF('Settings'!$E$15="POINTS",RANK(E236,E3:E432),H236)</f>
        <v>256</v>
      </c>
      <c r="D236" t="s" s="42">
        <f>VLOOKUP(A236,'The List'!B1:F730,5,FALSE)</f>
        <v>225</v>
      </c>
      <c r="E236" s="46">
        <f>VLOOKUP(A236,'The List'!B1:I730,8,FALSE)</f>
        <v>209.506369679912</v>
      </c>
      <c r="F236" s="46">
        <f>IF('Settings'!$E$15="POINTS",E236-VLOOKUP(B$2,C1:E432,3,FALSE),J236)</f>
        <v>-140.321605725302</v>
      </c>
      <c r="G236" s="46"/>
      <c r="H236" s="149">
        <f>RANK(I236,I3:I432)</f>
        <v>338</v>
      </c>
      <c r="I236" s="150">
        <f>VLOOKUP(A236,'Standard Deviations'!A1:C731,3,FALSE)</f>
        <v>-3.45015839049789</v>
      </c>
      <c r="J236" s="150">
        <f>I236-VLOOKUP(B$2,H1:J432,2,FALSE)</f>
        <v>-6.72891251388321</v>
      </c>
    </row>
    <row r="237" ht="21.25" customHeight="1">
      <c r="A237" t="s" s="8">
        <v>574</v>
      </c>
      <c r="B237" t="s" s="148">
        <f>VLOOKUP(A237,'The List'!B1:D730,3,FALSE)</f>
        <v>118</v>
      </c>
      <c r="C237" s="54">
        <f>IF('Settings'!$E$15="POINTS",RANK(E237,E3:E432),H237)</f>
        <v>280</v>
      </c>
      <c r="D237" t="s" s="42">
        <f>VLOOKUP(A237,'The List'!B1:F730,5,FALSE)</f>
        <v>202</v>
      </c>
      <c r="E237" s="46">
        <f>VLOOKUP(A237,'The List'!B1:I730,8,FALSE)</f>
        <v>198.802426282726</v>
      </c>
      <c r="F237" s="46">
        <f>IF('Settings'!$E$15="POINTS",E237-VLOOKUP(B$2,C1:E432,3,FALSE),J237)</f>
        <v>-151.025549122488</v>
      </c>
      <c r="G237" s="46"/>
      <c r="H237" s="149">
        <f>RANK(I237,I3:I432)</f>
        <v>165</v>
      </c>
      <c r="I237" s="150">
        <f>VLOOKUP(A237,'Standard Deviations'!A1:C731,3,FALSE)</f>
        <v>0.364484398385617</v>
      </c>
      <c r="J237" s="150">
        <f>I237-VLOOKUP(B$2,H1:J432,2,FALSE)</f>
        <v>-2.9142697249997</v>
      </c>
    </row>
    <row r="238" ht="21.25" customHeight="1">
      <c r="A238" t="s" s="8">
        <v>605</v>
      </c>
      <c r="B238" t="s" s="148">
        <f>VLOOKUP(A238,'The List'!B1:D730,3,FALSE)</f>
        <v>133</v>
      </c>
      <c r="C238" s="54">
        <f>IF('Settings'!$E$15="POINTS",RANK(E238,E3:E432),H238)</f>
        <v>233</v>
      </c>
      <c r="D238" t="s" s="42">
        <f>VLOOKUP(A238,'The List'!B1:F730,5,FALSE)</f>
        <v>292</v>
      </c>
      <c r="E238" s="46">
        <f>VLOOKUP(A238,'The List'!B1:I730,8,FALSE)</f>
        <v>226.288782712106</v>
      </c>
      <c r="F238" s="46">
        <f>IF('Settings'!$E$15="POINTS",E238-VLOOKUP(B$2,C1:E432,3,FALSE),J238)</f>
        <v>-123.539192693108</v>
      </c>
      <c r="G238" s="46"/>
      <c r="H238" s="149">
        <f>RANK(I238,I3:I432)</f>
        <v>212</v>
      </c>
      <c r="I238" s="150">
        <f>VLOOKUP(A238,'Standard Deviations'!A1:C731,3,FALSE)</f>
        <v>-0.729387241100569</v>
      </c>
      <c r="J238" s="150">
        <f>I238-VLOOKUP(B$2,H1:J432,2,FALSE)</f>
        <v>-4.00814136448589</v>
      </c>
    </row>
    <row r="239" ht="21.25" customHeight="1">
      <c r="A239" t="s" s="8">
        <v>618</v>
      </c>
      <c r="B239" t="s" s="148">
        <f>VLOOKUP(A239,'The List'!B1:D730,3,FALSE)</f>
        <v>107</v>
      </c>
      <c r="C239" s="54">
        <f>IF('Settings'!$E$15="POINTS",RANK(E239,E3:E432),H239)</f>
        <v>236</v>
      </c>
      <c r="D239" t="s" s="42">
        <f>VLOOKUP(A239,'The List'!B1:F730,5,FALSE)</f>
        <v>196</v>
      </c>
      <c r="E239" s="46">
        <f>VLOOKUP(A239,'The List'!B1:I730,8,FALSE)</f>
        <v>223.691072467255</v>
      </c>
      <c r="F239" s="46">
        <f>IF('Settings'!$E$15="POINTS",E239-VLOOKUP(B$2,C1:E432,3,FALSE),J239)</f>
        <v>-126.136902937959</v>
      </c>
      <c r="G239" s="46"/>
      <c r="H239" s="149">
        <f>RANK(I239,I3:I432)</f>
        <v>259</v>
      </c>
      <c r="I239" s="150">
        <f>VLOOKUP(A239,'Standard Deviations'!A1:C731,3,FALSE)</f>
        <v>-1.90019673709787</v>
      </c>
      <c r="J239" s="150">
        <f>I239-VLOOKUP(B$2,H1:J432,2,FALSE)</f>
        <v>-5.17895086048319</v>
      </c>
    </row>
    <row r="240" ht="21.25" customHeight="1">
      <c r="A240" t="s" s="8">
        <v>581</v>
      </c>
      <c r="B240" t="s" s="148">
        <f>VLOOKUP(A240,'The List'!B1:D730,3,FALSE)</f>
        <v>121</v>
      </c>
      <c r="C240" s="54">
        <f>IF('Settings'!$E$15="POINTS",RANK(E240,E3:E432),H240)</f>
        <v>279</v>
      </c>
      <c r="D240" t="s" s="42">
        <f>VLOOKUP(A240,'The List'!B1:F730,5,FALSE)</f>
        <v>139</v>
      </c>
      <c r="E240" s="46">
        <f>VLOOKUP(A240,'The List'!B1:I730,8,FALSE)</f>
        <v>198.853361317536</v>
      </c>
      <c r="F240" s="46">
        <f>IF('Settings'!$E$15="POINTS",E240-VLOOKUP(B$2,C1:E432,3,FALSE),J240)</f>
        <v>-150.974614087678</v>
      </c>
      <c r="G240" s="46"/>
      <c r="H240" s="149">
        <f>RANK(I240,I3:I432)</f>
        <v>283</v>
      </c>
      <c r="I240" s="150">
        <f>VLOOKUP(A240,'Standard Deviations'!A1:C731,3,FALSE)</f>
        <v>-2.41667444055779</v>
      </c>
      <c r="J240" s="150">
        <f>I240-VLOOKUP(B$2,H1:J432,2,FALSE)</f>
        <v>-5.69542856394311</v>
      </c>
    </row>
    <row r="241" ht="21.25" customHeight="1">
      <c r="A241" t="s" s="8">
        <v>609</v>
      </c>
      <c r="B241" t="s" s="148">
        <f>VLOOKUP(A241,'The List'!B1:D730,3,FALSE)</f>
        <v>111</v>
      </c>
      <c r="C241" s="54">
        <f>IF('Settings'!$E$15="POINTS",RANK(E241,E3:E432),H241)</f>
        <v>232</v>
      </c>
      <c r="D241" t="s" s="42">
        <f>VLOOKUP(A241,'The List'!B1:F730,5,FALSE)</f>
        <v>119</v>
      </c>
      <c r="E241" s="46">
        <f>VLOOKUP(A241,'The List'!B1:I730,8,FALSE)</f>
        <v>226.661258450686</v>
      </c>
      <c r="F241" s="46">
        <f>IF('Settings'!$E$15="POINTS",E241-VLOOKUP(B$2,C1:E432,3,FALSE),J241)</f>
        <v>-123.166716954528</v>
      </c>
      <c r="G241" s="46"/>
      <c r="H241" s="149">
        <f>RANK(I241,I3:I432)</f>
        <v>190</v>
      </c>
      <c r="I241" s="150">
        <f>VLOOKUP(A241,'Standard Deviations'!A1:C731,3,FALSE)</f>
        <v>-0.18780909687846</v>
      </c>
      <c r="J241" s="150">
        <f>I241-VLOOKUP(B$2,H1:J432,2,FALSE)</f>
        <v>-3.46656322026378</v>
      </c>
    </row>
    <row r="242" ht="21.25" customHeight="1">
      <c r="A242" t="s" s="8">
        <v>590</v>
      </c>
      <c r="B242" t="s" s="148">
        <f>VLOOKUP(A242,'The List'!B1:D730,3,FALSE)</f>
        <v>121</v>
      </c>
      <c r="C242" s="54">
        <f>IF('Settings'!$E$15="POINTS",RANK(E242,E3:E432),H242)</f>
        <v>251</v>
      </c>
      <c r="D242" t="s" s="42">
        <f>VLOOKUP(A242,'The List'!B1:F730,5,FALSE)</f>
        <v>108</v>
      </c>
      <c r="E242" s="46">
        <f>VLOOKUP(A242,'The List'!B1:I730,8,FALSE)</f>
        <v>210.749644052999</v>
      </c>
      <c r="F242" s="46">
        <f>IF('Settings'!$E$15="POINTS",E242-VLOOKUP(B$2,C1:E432,3,FALSE),J242)</f>
        <v>-139.078331352215</v>
      </c>
      <c r="G242" s="46"/>
      <c r="H242" s="149">
        <f>RANK(I242,I3:I432)</f>
        <v>210</v>
      </c>
      <c r="I242" s="150">
        <f>VLOOKUP(A242,'Standard Deviations'!A1:C731,3,FALSE)</f>
        <v>-0.691365220513894</v>
      </c>
      <c r="J242" s="150">
        <f>I242-VLOOKUP(B$2,H1:J432,2,FALSE)</f>
        <v>-3.97011934389921</v>
      </c>
    </row>
    <row r="243" ht="21.25" customHeight="1">
      <c r="A243" t="s" s="8">
        <v>626</v>
      </c>
      <c r="B243" t="s" s="148">
        <f>VLOOKUP(A243,'The List'!B1:D730,3,FALSE)</f>
        <v>107</v>
      </c>
      <c r="C243" s="54">
        <f>IF('Settings'!$E$15="POINTS",RANK(E243,E3:E432),H243)</f>
        <v>238</v>
      </c>
      <c r="D243" t="s" s="42">
        <f>VLOOKUP(A243,'The List'!B1:F730,5,FALSE)</f>
        <v>225</v>
      </c>
      <c r="E243" s="46">
        <f>VLOOKUP(A243,'The List'!B1:I730,8,FALSE)</f>
        <v>221.952363639813</v>
      </c>
      <c r="F243" s="46">
        <f>IF('Settings'!$E$15="POINTS",E243-VLOOKUP(B$2,C1:E432,3,FALSE),J243)</f>
        <v>-127.875611765401</v>
      </c>
      <c r="G243" s="46"/>
      <c r="H243" s="149">
        <f>RANK(I243,I3:I432)</f>
        <v>294</v>
      </c>
      <c r="I243" s="150">
        <f>VLOOKUP(A243,'Standard Deviations'!A1:C731,3,FALSE)</f>
        <v>-2.66738486961567</v>
      </c>
      <c r="J243" s="150">
        <f>I243-VLOOKUP(B$2,H1:J432,2,FALSE)</f>
        <v>-5.94613899300099</v>
      </c>
    </row>
    <row r="244" ht="21.25" customHeight="1">
      <c r="A244" t="s" s="8">
        <v>616</v>
      </c>
      <c r="B244" t="s" s="148">
        <f>VLOOKUP(A244,'The List'!B1:D730,3,FALSE)</f>
        <v>121</v>
      </c>
      <c r="C244" s="54">
        <f>IF('Settings'!$E$15="POINTS",RANK(E244,E3:E432),H244)</f>
        <v>259</v>
      </c>
      <c r="D244" t="s" s="42">
        <f>VLOOKUP(A244,'The List'!B1:F730,5,FALSE)</f>
        <v>141</v>
      </c>
      <c r="E244" s="46">
        <f>VLOOKUP(A244,'The List'!B1:I730,8,FALSE)</f>
        <v>207.641638814847</v>
      </c>
      <c r="F244" s="46">
        <f>IF('Settings'!$E$15="POINTS",E244-VLOOKUP(B$2,C1:E432,3,FALSE),J244)</f>
        <v>-142.186336590367</v>
      </c>
      <c r="G244" s="46"/>
      <c r="H244" s="149">
        <f>RANK(I244,I3:I432)</f>
        <v>253</v>
      </c>
      <c r="I244" s="150">
        <f>VLOOKUP(A244,'Standard Deviations'!A1:C731,3,FALSE)</f>
        <v>-1.76683959434349</v>
      </c>
      <c r="J244" s="150">
        <f>I244-VLOOKUP(B$2,H1:J432,2,FALSE)</f>
        <v>-5.04559371772881</v>
      </c>
    </row>
    <row r="245" ht="21.25" customHeight="1">
      <c r="A245" t="s" s="8">
        <v>600</v>
      </c>
      <c r="B245" t="s" s="148">
        <f>VLOOKUP(A245,'The List'!B1:D730,3,FALSE)</f>
        <v>121</v>
      </c>
      <c r="C245" s="54">
        <f>IF('Settings'!$E$15="POINTS",RANK(E245,E3:E432),H245)</f>
        <v>274</v>
      </c>
      <c r="D245" t="s" s="42">
        <f>VLOOKUP(A245,'The List'!B1:F730,5,FALSE)</f>
        <v>136</v>
      </c>
      <c r="E245" s="46">
        <f>VLOOKUP(A245,'The List'!B1:I730,8,FALSE)</f>
        <v>200.113037397079</v>
      </c>
      <c r="F245" s="46">
        <f>IF('Settings'!$E$15="POINTS",E245-VLOOKUP(B$2,C1:E432,3,FALSE),J245)</f>
        <v>-149.714938008135</v>
      </c>
      <c r="G245" s="46"/>
      <c r="H245" s="149">
        <f>RANK(I245,I3:I432)</f>
        <v>196</v>
      </c>
      <c r="I245" s="150">
        <f>VLOOKUP(A245,'Standard Deviations'!A1:C731,3,FALSE)</f>
        <v>-0.356357240331235</v>
      </c>
      <c r="J245" s="150">
        <f>I245-VLOOKUP(B$2,H1:J432,2,FALSE)</f>
        <v>-3.63511136371656</v>
      </c>
    </row>
    <row r="246" ht="21.25" customHeight="1">
      <c r="A246" t="s" s="8">
        <v>634</v>
      </c>
      <c r="B246" t="s" s="148">
        <f>VLOOKUP(A246,'The List'!B1:D730,3,FALSE)</f>
        <v>107</v>
      </c>
      <c r="C246" s="54">
        <f>IF('Settings'!$E$15="POINTS",RANK(E246,E3:E432),H246)</f>
        <v>252</v>
      </c>
      <c r="D246" t="s" s="42">
        <f>VLOOKUP(A246,'The List'!B1:F730,5,FALSE)</f>
        <v>258</v>
      </c>
      <c r="E246" s="46">
        <f>VLOOKUP(A246,'The List'!B1:I730,8,FALSE)</f>
        <v>210.715851771968</v>
      </c>
      <c r="F246" s="46">
        <f>IF('Settings'!$E$15="POINTS",E246-VLOOKUP(B$2,C1:E432,3,FALSE),J246)</f>
        <v>-139.112123633246</v>
      </c>
      <c r="G246" s="46"/>
      <c r="H246" s="149">
        <f>RANK(I246,I3:I432)</f>
        <v>322</v>
      </c>
      <c r="I246" s="150">
        <f>VLOOKUP(A246,'Standard Deviations'!A1:C731,3,FALSE)</f>
        <v>-3.13650706934485</v>
      </c>
      <c r="J246" s="150">
        <f>I246-VLOOKUP(B$2,H1:J432,2,FALSE)</f>
        <v>-6.41526119273017</v>
      </c>
    </row>
    <row r="247" ht="21.25" customHeight="1">
      <c r="A247" t="s" s="8">
        <v>543</v>
      </c>
      <c r="B247" t="s" s="148">
        <f>VLOOKUP(A247,'The List'!B1:D730,3,FALSE)</f>
        <v>133</v>
      </c>
      <c r="C247" s="54">
        <f>IF('Settings'!$E$15="POINTS",RANK(E247,E3:E432),H247)</f>
        <v>212</v>
      </c>
      <c r="D247" t="s" s="42">
        <f>VLOOKUP(A247,'The List'!B1:F730,5,FALSE)</f>
        <v>115</v>
      </c>
      <c r="E247" s="46">
        <f>VLOOKUP(A247,'The List'!B1:I730,8,FALSE)</f>
        <v>236.551825694502</v>
      </c>
      <c r="F247" s="46">
        <f>IF('Settings'!$E$15="POINTS",E247-VLOOKUP(B$2,C1:E432,3,FALSE),J247)</f>
        <v>-113.276149710712</v>
      </c>
      <c r="G247" s="46"/>
      <c r="H247" s="149">
        <f>RANK(I247,I3:I432)</f>
        <v>214</v>
      </c>
      <c r="I247" s="150">
        <f>VLOOKUP(A247,'Standard Deviations'!A1:C731,3,FALSE)</f>
        <v>-0.754073012549666</v>
      </c>
      <c r="J247" s="150">
        <f>I247-VLOOKUP(B$2,H1:J432,2,FALSE)</f>
        <v>-4.03282713593499</v>
      </c>
    </row>
    <row r="248" ht="21.25" customHeight="1">
      <c r="A248" t="s" s="8">
        <v>622</v>
      </c>
      <c r="B248" t="s" s="148">
        <f>VLOOKUP(A248,'The List'!B1:D730,3,FALSE)</f>
        <v>133</v>
      </c>
      <c r="C248" s="54">
        <f>IF('Settings'!$E$15="POINTS",RANK(E248,E3:E432),H248)</f>
        <v>290</v>
      </c>
      <c r="D248" t="s" s="42">
        <f>VLOOKUP(A248,'The List'!B1:F730,5,FALSE)</f>
        <v>238</v>
      </c>
      <c r="E248" s="46">
        <f>VLOOKUP(A248,'The List'!B1:I730,8,FALSE)</f>
        <v>191.474429689718</v>
      </c>
      <c r="F248" s="46">
        <f>IF('Settings'!$E$15="POINTS",E248-VLOOKUP(B$2,C1:E432,3,FALSE),J248)</f>
        <v>-158.353545715496</v>
      </c>
      <c r="G248" s="46"/>
      <c r="H248" s="149">
        <f>RANK(I248,I3:I432)</f>
        <v>230</v>
      </c>
      <c r="I248" s="150">
        <f>VLOOKUP(A248,'Standard Deviations'!A1:C731,3,FALSE)</f>
        <v>-1.11660419712669</v>
      </c>
      <c r="J248" s="150">
        <f>I248-VLOOKUP(B$2,H1:J432,2,FALSE)</f>
        <v>-4.39535832051201</v>
      </c>
    </row>
    <row r="249" ht="21.25" customHeight="1">
      <c r="A249" t="s" s="8">
        <v>608</v>
      </c>
      <c r="B249" t="s" s="148">
        <f>VLOOKUP(A249,'The List'!B1:D730,3,FALSE)</f>
        <v>121</v>
      </c>
      <c r="C249" s="54">
        <f>IF('Settings'!$E$15="POINTS",RANK(E249,E3:E432),H249)</f>
        <v>276</v>
      </c>
      <c r="D249" t="s" s="42">
        <f>VLOOKUP(A249,'The List'!B1:F730,5,FALSE)</f>
        <v>258</v>
      </c>
      <c r="E249" s="46">
        <f>VLOOKUP(A249,'The List'!B1:I730,8,FALSE)</f>
        <v>199.854394714350</v>
      </c>
      <c r="F249" s="46">
        <f>IF('Settings'!$E$15="POINTS",E249-VLOOKUP(B$2,C1:E432,3,FALSE),J249)</f>
        <v>-149.973580690864</v>
      </c>
      <c r="G249" s="46"/>
      <c r="H249" s="149">
        <f>RANK(I249,I3:I432)</f>
        <v>300</v>
      </c>
      <c r="I249" s="150">
        <f>VLOOKUP(A249,'Standard Deviations'!A1:C731,3,FALSE)</f>
        <v>-2.7415342366348</v>
      </c>
      <c r="J249" s="150">
        <f>I249-VLOOKUP(B$2,H1:J432,2,FALSE)</f>
        <v>-6.02028836002012</v>
      </c>
    </row>
    <row r="250" ht="21.25" customHeight="1">
      <c r="A250" t="s" s="8">
        <v>635</v>
      </c>
      <c r="B250" t="s" s="148">
        <f>VLOOKUP(A250,'The List'!B1:D730,3,FALSE)</f>
        <v>107</v>
      </c>
      <c r="C250" s="54">
        <f>IF('Settings'!$E$15="POINTS",RANK(E250,E3:E432),H250)</f>
        <v>204</v>
      </c>
      <c r="D250" t="s" s="42">
        <f>VLOOKUP(A250,'The List'!B1:F730,5,FALSE)</f>
        <v>184</v>
      </c>
      <c r="E250" s="46">
        <f>VLOOKUP(A250,'The List'!B1:I730,8,FALSE)</f>
        <v>241.978341733578</v>
      </c>
      <c r="F250" s="46">
        <f>IF('Settings'!$E$15="POINTS",E250-VLOOKUP(B$2,C1:E432,3,FALSE),J250)</f>
        <v>-107.849633671636</v>
      </c>
      <c r="G250" s="46"/>
      <c r="H250" s="149">
        <f>RANK(I250,I3:I432)</f>
        <v>262</v>
      </c>
      <c r="I250" s="150">
        <f>VLOOKUP(A250,'Standard Deviations'!A1:C731,3,FALSE)</f>
        <v>-1.93641811392411</v>
      </c>
      <c r="J250" s="150">
        <f>I250-VLOOKUP(B$2,H1:J432,2,FALSE)</f>
        <v>-5.21517223730943</v>
      </c>
    </row>
    <row r="251" ht="21.25" customHeight="1">
      <c r="A251" t="s" s="8">
        <v>638</v>
      </c>
      <c r="B251" t="s" s="148">
        <f>VLOOKUP(A251,'The List'!B1:D730,3,FALSE)</f>
        <v>107</v>
      </c>
      <c r="C251" s="54">
        <f>IF('Settings'!$E$15="POINTS",RANK(E251,E3:E432),H251)</f>
        <v>247</v>
      </c>
      <c r="D251" t="s" s="42">
        <f>VLOOKUP(A251,'The List'!B1:F730,5,FALSE)</f>
        <v>170</v>
      </c>
      <c r="E251" s="46">
        <f>VLOOKUP(A251,'The List'!B1:I730,8,FALSE)</f>
        <v>213.410613304838</v>
      </c>
      <c r="F251" s="46">
        <f>IF('Settings'!$E$15="POINTS",E251-VLOOKUP(B$2,C1:E432,3,FALSE),J251)</f>
        <v>-136.417362100376</v>
      </c>
      <c r="G251" s="46"/>
      <c r="H251" s="149">
        <f>RANK(I251,I3:I432)</f>
        <v>240</v>
      </c>
      <c r="I251" s="150">
        <f>VLOOKUP(A251,'Standard Deviations'!A1:C731,3,FALSE)</f>
        <v>-1.30478030390307</v>
      </c>
      <c r="J251" s="150">
        <f>I251-VLOOKUP(B$2,H1:J432,2,FALSE)</f>
        <v>-4.58353442728839</v>
      </c>
    </row>
    <row r="252" ht="21.25" customHeight="1">
      <c r="A252" t="s" s="8">
        <v>612</v>
      </c>
      <c r="B252" t="s" s="148">
        <f>VLOOKUP(A252,'The List'!B1:D730,3,FALSE)</f>
        <v>121</v>
      </c>
      <c r="C252" s="54">
        <f>IF('Settings'!$E$15="POINTS",RANK(E252,E3:E432),H252)</f>
        <v>254</v>
      </c>
      <c r="D252" t="s" s="42">
        <f>VLOOKUP(A252,'The List'!B1:F730,5,FALSE)</f>
        <v>166</v>
      </c>
      <c r="E252" s="46">
        <f>VLOOKUP(A252,'The List'!B1:I730,8,FALSE)</f>
        <v>210.351963517365</v>
      </c>
      <c r="F252" s="46">
        <f>IF('Settings'!$E$15="POINTS",E252-VLOOKUP(B$2,C1:E432,3,FALSE),J252)</f>
        <v>-139.476011887849</v>
      </c>
      <c r="G252" s="46"/>
      <c r="H252" s="149">
        <f>RANK(I252,I3:I432)</f>
        <v>279</v>
      </c>
      <c r="I252" s="150">
        <f>VLOOKUP(A252,'Standard Deviations'!A1:C731,3,FALSE)</f>
        <v>-2.39736964952414</v>
      </c>
      <c r="J252" s="150">
        <f>I252-VLOOKUP(B$2,H1:J432,2,FALSE)</f>
        <v>-5.67612377290946</v>
      </c>
    </row>
    <row r="253" ht="21.25" customHeight="1">
      <c r="A253" t="s" s="8">
        <v>632</v>
      </c>
      <c r="B253" t="s" s="148">
        <f>VLOOKUP(A253,'The List'!B1:D730,3,FALSE)</f>
        <v>133</v>
      </c>
      <c r="C253" s="54">
        <f>IF('Settings'!$E$15="POINTS",RANK(E253,E3:E432),H253)</f>
        <v>299</v>
      </c>
      <c r="D253" t="s" s="42">
        <f>VLOOKUP(A253,'The List'!B1:F730,5,FALSE)</f>
        <v>196</v>
      </c>
      <c r="E253" s="46">
        <f>VLOOKUP(A253,'The List'!B1:I730,8,FALSE)</f>
        <v>183.163777031410</v>
      </c>
      <c r="F253" s="46">
        <f>IF('Settings'!$E$15="POINTS",E253-VLOOKUP(B$2,C1:E432,3,FALSE),J253)</f>
        <v>-166.664198373804</v>
      </c>
      <c r="G253" s="46"/>
      <c r="H253" s="149">
        <f>RANK(I253,I3:I432)</f>
        <v>291</v>
      </c>
      <c r="I253" s="150">
        <f>VLOOKUP(A253,'Standard Deviations'!A1:C731,3,FALSE)</f>
        <v>-2.60538692490054</v>
      </c>
      <c r="J253" s="150">
        <f>I253-VLOOKUP(B$2,H1:J432,2,FALSE)</f>
        <v>-5.88414104828586</v>
      </c>
    </row>
    <row r="254" ht="21.25" customHeight="1">
      <c r="A254" t="s" s="8">
        <v>641</v>
      </c>
      <c r="B254" t="s" s="148">
        <f>VLOOKUP(A254,'The List'!B1:D730,3,FALSE)</f>
        <v>133</v>
      </c>
      <c r="C254" s="54">
        <f>IF('Settings'!$E$15="POINTS",RANK(E254,E3:E432),H254)</f>
        <v>220</v>
      </c>
      <c r="D254" t="s" s="42">
        <f>VLOOKUP(A254,'The List'!B1:F730,5,FALSE)</f>
        <v>218</v>
      </c>
      <c r="E254" s="46">
        <f>VLOOKUP(A254,'The List'!B1:I730,8,FALSE)</f>
        <v>231.242431482956</v>
      </c>
      <c r="F254" s="46">
        <f>IF('Settings'!$E$15="POINTS",E254-VLOOKUP(B$2,C1:E432,3,FALSE),J254)</f>
        <v>-118.585543922258</v>
      </c>
      <c r="G254" s="46"/>
      <c r="H254" s="149">
        <f>RANK(I254,I3:I432)</f>
        <v>198</v>
      </c>
      <c r="I254" s="150">
        <f>VLOOKUP(A254,'Standard Deviations'!A1:C731,3,FALSE)</f>
        <v>-0.422002382379191</v>
      </c>
      <c r="J254" s="150">
        <f>I254-VLOOKUP(B$2,H1:J432,2,FALSE)</f>
        <v>-3.70075650576451</v>
      </c>
    </row>
    <row r="255" ht="21.25" customHeight="1">
      <c r="A255" t="s" s="8">
        <v>628</v>
      </c>
      <c r="B255" t="s" s="148">
        <f>VLOOKUP(A255,'The List'!B1:D730,3,FALSE)</f>
        <v>111</v>
      </c>
      <c r="C255" s="54">
        <f>IF('Settings'!$E$15="POINTS",RANK(E255,E3:E432),H255)</f>
        <v>262</v>
      </c>
      <c r="D255" t="s" s="42">
        <f>VLOOKUP(A255,'The List'!B1:F730,5,FALSE)</f>
        <v>115</v>
      </c>
      <c r="E255" s="46">
        <f>VLOOKUP(A255,'The List'!B1:I730,8,FALSE)</f>
        <v>206.039557411184</v>
      </c>
      <c r="F255" s="46">
        <f>IF('Settings'!$E$15="POINTS",E255-VLOOKUP(B$2,C1:E432,3,FALSE),J255)</f>
        <v>-143.788417994030</v>
      </c>
      <c r="G255" s="46"/>
      <c r="H255" s="149">
        <f>RANK(I255,I3:I432)</f>
        <v>221</v>
      </c>
      <c r="I255" s="150">
        <f>VLOOKUP(A255,'Standard Deviations'!A1:C731,3,FALSE)</f>
        <v>-0.915005557798499</v>
      </c>
      <c r="J255" s="150">
        <f>I255-VLOOKUP(B$2,H1:J432,2,FALSE)</f>
        <v>-4.19375968118382</v>
      </c>
    </row>
    <row r="256" ht="21.25" customHeight="1">
      <c r="A256" t="s" s="8">
        <v>630</v>
      </c>
      <c r="B256" t="s" s="148">
        <f>VLOOKUP(A256,'The List'!B1:D730,3,FALSE)</f>
        <v>133</v>
      </c>
      <c r="C256" s="54">
        <f>IF('Settings'!$E$15="POINTS",RANK(E256,E3:E432),H256)</f>
        <v>273</v>
      </c>
      <c r="D256" t="s" s="42">
        <f>VLOOKUP(A256,'The List'!B1:F730,5,FALSE)</f>
        <v>218</v>
      </c>
      <c r="E256" s="46">
        <f>VLOOKUP(A256,'The List'!B1:I730,8,FALSE)</f>
        <v>200.996578477696</v>
      </c>
      <c r="F256" s="46">
        <f>IF('Settings'!$E$15="POINTS",E256-VLOOKUP(B$2,C1:E432,3,FALSE),J256)</f>
        <v>-148.831396927518</v>
      </c>
      <c r="G256" s="46"/>
      <c r="H256" s="149">
        <f>RANK(I256,I3:I432)</f>
        <v>205</v>
      </c>
      <c r="I256" s="150">
        <f>VLOOKUP(A256,'Standard Deviations'!A1:C731,3,FALSE)</f>
        <v>-0.622127815092801</v>
      </c>
      <c r="J256" s="150">
        <f>I256-VLOOKUP(B$2,H1:J432,2,FALSE)</f>
        <v>-3.90088193847812</v>
      </c>
    </row>
    <row r="257" ht="21.25" customHeight="1">
      <c r="A257" t="s" s="8">
        <v>621</v>
      </c>
      <c r="B257" t="s" s="148">
        <f>VLOOKUP(A257,'The List'!B1:D730,3,FALSE)</f>
        <v>121</v>
      </c>
      <c r="C257" s="54">
        <f>IF('Settings'!$E$15="POINTS",RANK(E257,E3:E432),H257)</f>
        <v>266</v>
      </c>
      <c r="D257" t="s" s="42">
        <f>VLOOKUP(A257,'The List'!B1:F730,5,FALSE)</f>
        <v>149</v>
      </c>
      <c r="E257" s="46">
        <f>VLOOKUP(A257,'The List'!B1:I730,8,FALSE)</f>
        <v>204.157689083282</v>
      </c>
      <c r="F257" s="46">
        <f>IF('Settings'!$E$15="POINTS",E257-VLOOKUP(B$2,C1:E432,3,FALSE),J257)</f>
        <v>-145.670286321932</v>
      </c>
      <c r="G257" s="46"/>
      <c r="H257" s="149">
        <f>RANK(I257,I3:I432)</f>
        <v>246</v>
      </c>
      <c r="I257" s="150">
        <f>VLOOKUP(A257,'Standard Deviations'!A1:C731,3,FALSE)</f>
        <v>-1.56678994989906</v>
      </c>
      <c r="J257" s="150">
        <f>I257-VLOOKUP(B$2,H1:J432,2,FALSE)</f>
        <v>-4.84554407328438</v>
      </c>
    </row>
    <row r="258" ht="21.25" customHeight="1">
      <c r="A258" t="s" s="8">
        <v>644</v>
      </c>
      <c r="B258" t="s" s="148">
        <f>VLOOKUP(A258,'The List'!B1:D730,3,FALSE)</f>
        <v>107</v>
      </c>
      <c r="C258" s="54">
        <f>IF('Settings'!$E$15="POINTS",RANK(E258,E3:E432),H258)</f>
        <v>229</v>
      </c>
      <c r="D258" t="s" s="42">
        <f>VLOOKUP(A258,'The List'!B1:F730,5,FALSE)</f>
        <v>141</v>
      </c>
      <c r="E258" s="46">
        <f>VLOOKUP(A258,'The List'!B1:I730,8,FALSE)</f>
        <v>227.450367277641</v>
      </c>
      <c r="F258" s="46">
        <f>IF('Settings'!$E$15="POINTS",E258-VLOOKUP(B$2,C1:E432,3,FALSE),J258)</f>
        <v>-122.377608127573</v>
      </c>
      <c r="G258" s="46"/>
      <c r="H258" s="149">
        <f>RANK(I258,I3:I432)</f>
        <v>244</v>
      </c>
      <c r="I258" s="150">
        <f>VLOOKUP(A258,'Standard Deviations'!A1:C731,3,FALSE)</f>
        <v>-1.43608362452318</v>
      </c>
      <c r="J258" s="150">
        <f>I258-VLOOKUP(B$2,H1:J432,2,FALSE)</f>
        <v>-4.7148377479085</v>
      </c>
    </row>
    <row r="259" ht="21.25" customHeight="1">
      <c r="A259" t="s" s="8">
        <v>664</v>
      </c>
      <c r="B259" t="s" s="148">
        <f>VLOOKUP(A259,'The List'!B1:D730,3,FALSE)</f>
        <v>107</v>
      </c>
      <c r="C259" s="54">
        <f>IF('Settings'!$E$15="POINTS",RANK(E259,E3:E432),H259)</f>
        <v>300</v>
      </c>
      <c r="D259" t="s" s="42">
        <f>VLOOKUP(A259,'The List'!B1:F730,5,FALSE)</f>
        <v>248</v>
      </c>
      <c r="E259" s="46">
        <f>VLOOKUP(A259,'The List'!B1:I730,8,FALSE)</f>
        <v>182.867581278919</v>
      </c>
      <c r="F259" s="46">
        <f>IF('Settings'!$E$15="POINTS",E259-VLOOKUP(B$2,C1:E432,3,FALSE),J259)</f>
        <v>-166.960394126295</v>
      </c>
      <c r="G259" s="46"/>
      <c r="H259" s="149">
        <f>RANK(I259,I3:I432)</f>
        <v>263</v>
      </c>
      <c r="I259" s="150">
        <f>VLOOKUP(A259,'Standard Deviations'!A1:C731,3,FALSE)</f>
        <v>-2.00928316031769</v>
      </c>
      <c r="J259" s="150">
        <f>I259-VLOOKUP(B$2,H1:J432,2,FALSE)</f>
        <v>-5.28803728370301</v>
      </c>
    </row>
    <row r="260" ht="21.25" customHeight="1">
      <c r="A260" t="s" s="8">
        <v>665</v>
      </c>
      <c r="B260" t="s" s="148">
        <f>VLOOKUP(A260,'The List'!B1:D730,3,FALSE)</f>
        <v>107</v>
      </c>
      <c r="C260" s="54">
        <f>IF('Settings'!$E$15="POINTS",RANK(E260,E3:E432),H260)</f>
        <v>272</v>
      </c>
      <c r="D260" t="s" s="42">
        <f>VLOOKUP(A260,'The List'!B1:F730,5,FALSE)</f>
        <v>173</v>
      </c>
      <c r="E260" s="46">
        <f>VLOOKUP(A260,'The List'!B1:I730,8,FALSE)</f>
        <v>201.230997711096</v>
      </c>
      <c r="F260" s="46">
        <f>IF('Settings'!$E$15="POINTS",E260-VLOOKUP(B$2,C1:E432,3,FALSE),J260)</f>
        <v>-148.596977694118</v>
      </c>
      <c r="G260" s="46"/>
      <c r="H260" s="149">
        <f>RANK(I260,I3:I432)</f>
        <v>258</v>
      </c>
      <c r="I260" s="150">
        <f>VLOOKUP(A260,'Standard Deviations'!A1:C731,3,FALSE)</f>
        <v>-1.89322108416166</v>
      </c>
      <c r="J260" s="150">
        <f>I260-VLOOKUP(B$2,H1:J432,2,FALSE)</f>
        <v>-5.17197520754698</v>
      </c>
    </row>
    <row r="261" ht="21.25" customHeight="1">
      <c r="A261" t="s" s="8">
        <v>648</v>
      </c>
      <c r="B261" t="s" s="148">
        <f>VLOOKUP(A261,'The List'!B1:D730,3,FALSE)</f>
        <v>133</v>
      </c>
      <c r="C261" s="54">
        <f>IF('Settings'!$E$15="POINTS",RANK(E261,E3:E432),H261)</f>
        <v>249</v>
      </c>
      <c r="D261" t="s" s="42">
        <f>VLOOKUP(A261,'The List'!B1:F730,5,FALSE)</f>
        <v>108</v>
      </c>
      <c r="E261" s="46">
        <f>VLOOKUP(A261,'The List'!B1:I730,8,FALSE)</f>
        <v>210.984463883682</v>
      </c>
      <c r="F261" s="46">
        <f>IF('Settings'!$E$15="POINTS",E261-VLOOKUP(B$2,C1:E432,3,FALSE),J261)</f>
        <v>-138.843511521532</v>
      </c>
      <c r="G261" s="46"/>
      <c r="H261" s="149">
        <f>RANK(I261,I3:I432)</f>
        <v>215</v>
      </c>
      <c r="I261" s="150">
        <f>VLOOKUP(A261,'Standard Deviations'!A1:C731,3,FALSE)</f>
        <v>-0.766060042477942</v>
      </c>
      <c r="J261" s="150">
        <f>I261-VLOOKUP(B$2,H1:J432,2,FALSE)</f>
        <v>-4.04481416586326</v>
      </c>
    </row>
    <row r="262" ht="21.25" customHeight="1">
      <c r="A262" t="s" s="8">
        <v>649</v>
      </c>
      <c r="B262" t="s" s="148">
        <f>VLOOKUP(A262,'The List'!B1:D730,3,FALSE)</f>
        <v>133</v>
      </c>
      <c r="C262" s="54">
        <f>IF('Settings'!$E$15="POINTS",RANK(E262,E3:E432),H262)</f>
        <v>264</v>
      </c>
      <c r="D262" t="s" s="42">
        <f>VLOOKUP(A262,'The List'!B1:F730,5,FALSE)</f>
        <v>202</v>
      </c>
      <c r="E262" s="46">
        <f>VLOOKUP(A262,'The List'!B1:I730,8,FALSE)</f>
        <v>205.318996374199</v>
      </c>
      <c r="F262" s="46">
        <f>IF('Settings'!$E$15="POINTS",E262-VLOOKUP(B$2,C1:E432,3,FALSE),J262)</f>
        <v>-144.508979031015</v>
      </c>
      <c r="G262" s="46"/>
      <c r="H262" s="149">
        <f>RANK(I262,I3:I432)</f>
        <v>209</v>
      </c>
      <c r="I262" s="150">
        <f>VLOOKUP(A262,'Standard Deviations'!A1:C731,3,FALSE)</f>
        <v>-0.677072447803314</v>
      </c>
      <c r="J262" s="150">
        <f>I262-VLOOKUP(B$2,H1:J432,2,FALSE)</f>
        <v>-3.95582657118863</v>
      </c>
    </row>
    <row r="263" ht="21.25" customHeight="1">
      <c r="A263" t="s" s="8">
        <v>667</v>
      </c>
      <c r="B263" t="s" s="148">
        <f>VLOOKUP(A263,'The List'!B1:D730,3,FALSE)</f>
        <v>107</v>
      </c>
      <c r="C263" s="54">
        <f>IF('Settings'!$E$15="POINTS",RANK(E263,E3:E432),H263)</f>
        <v>228</v>
      </c>
      <c r="D263" t="s" s="42">
        <f>VLOOKUP(A263,'The List'!B1:F730,5,FALSE)</f>
        <v>202</v>
      </c>
      <c r="E263" s="46">
        <f>VLOOKUP(A263,'The List'!B1:I730,8,FALSE)</f>
        <v>227.878113430681</v>
      </c>
      <c r="F263" s="46">
        <f>IF('Settings'!$E$15="POINTS",E263-VLOOKUP(B$2,C1:E432,3,FALSE),J263)</f>
        <v>-121.949861974533</v>
      </c>
      <c r="G263" s="46"/>
      <c r="H263" s="149">
        <f>RANK(I263,I3:I432)</f>
        <v>192</v>
      </c>
      <c r="I263" s="150">
        <f>VLOOKUP(A263,'Standard Deviations'!A1:C731,3,FALSE)</f>
        <v>-0.32469495329653</v>
      </c>
      <c r="J263" s="150">
        <f>I263-VLOOKUP(B$2,H1:J432,2,FALSE)</f>
        <v>-3.60344907668185</v>
      </c>
    </row>
    <row r="264" ht="21.25" customHeight="1">
      <c r="A264" t="s" s="8">
        <v>668</v>
      </c>
      <c r="B264" t="s" s="148">
        <f>VLOOKUP(A264,'The List'!B1:D730,3,FALSE)</f>
        <v>107</v>
      </c>
      <c r="C264" s="54">
        <f>IF('Settings'!$E$15="POINTS",RANK(E264,E3:E432),H264)</f>
        <v>246</v>
      </c>
      <c r="D264" t="s" s="42">
        <f>VLOOKUP(A264,'The List'!B1:F730,5,FALSE)</f>
        <v>189</v>
      </c>
      <c r="E264" s="46">
        <f>VLOOKUP(A264,'The List'!B1:I730,8,FALSE)</f>
        <v>213.484816795985</v>
      </c>
      <c r="F264" s="46">
        <f>IF('Settings'!$E$15="POINTS",E264-VLOOKUP(B$2,C1:E432,3,FALSE),J264)</f>
        <v>-136.343158609229</v>
      </c>
      <c r="G264" s="46"/>
      <c r="H264" s="149">
        <f>RANK(I264,I3:I432)</f>
        <v>343</v>
      </c>
      <c r="I264" s="150">
        <f>VLOOKUP(A264,'Standard Deviations'!A1:C731,3,FALSE)</f>
        <v>-3.59957281293974</v>
      </c>
      <c r="J264" s="150">
        <f>I264-VLOOKUP(B$2,H1:J432,2,FALSE)</f>
        <v>-6.87832693632506</v>
      </c>
    </row>
    <row r="265" ht="21.25" customHeight="1">
      <c r="A265" t="s" s="8">
        <v>653</v>
      </c>
      <c r="B265" t="s" s="148">
        <f>VLOOKUP(A265,'The List'!B1:D730,3,FALSE)</f>
        <v>133</v>
      </c>
      <c r="C265" s="54">
        <f>IF('Settings'!$E$15="POINTS",RANK(E265,E3:E432),H265)</f>
        <v>263</v>
      </c>
      <c r="D265" t="s" s="42">
        <f>VLOOKUP(A265,'The List'!B1:F730,5,FALSE)</f>
        <v>113</v>
      </c>
      <c r="E265" s="46">
        <f>VLOOKUP(A265,'The List'!B1:I730,8,FALSE)</f>
        <v>205.401397898170</v>
      </c>
      <c r="F265" s="46">
        <f>IF('Settings'!$E$15="POINTS",E265-VLOOKUP(B$2,C1:E432,3,FALSE),J265)</f>
        <v>-144.426577507044</v>
      </c>
      <c r="G265" s="46"/>
      <c r="H265" s="149">
        <f>RANK(I265,I3:I432)</f>
        <v>247</v>
      </c>
      <c r="I265" s="150">
        <f>VLOOKUP(A265,'Standard Deviations'!A1:C731,3,FALSE)</f>
        <v>-1.61490133461425</v>
      </c>
      <c r="J265" s="150">
        <f>I265-VLOOKUP(B$2,H1:J432,2,FALSE)</f>
        <v>-4.89365545799957</v>
      </c>
    </row>
    <row r="266" ht="21.25" customHeight="1">
      <c r="A266" t="s" s="8">
        <v>675</v>
      </c>
      <c r="B266" t="s" s="148">
        <f>VLOOKUP(A266,'The List'!B1:D730,3,FALSE)</f>
        <v>107</v>
      </c>
      <c r="C266" s="54">
        <f>IF('Settings'!$E$15="POINTS",RANK(E266,E3:E432),H266)</f>
        <v>267</v>
      </c>
      <c r="D266" t="s" s="42">
        <f>VLOOKUP(A266,'The List'!B1:F730,5,FALSE)</f>
        <v>292</v>
      </c>
      <c r="E266" s="46">
        <f>VLOOKUP(A266,'The List'!B1:I730,8,FALSE)</f>
        <v>203.522412656033</v>
      </c>
      <c r="F266" s="46">
        <f>IF('Settings'!$E$15="POINTS",E266-VLOOKUP(B$2,C1:E432,3,FALSE),J266)</f>
        <v>-146.305562749181</v>
      </c>
      <c r="G266" s="46"/>
      <c r="H266" s="149">
        <f>RANK(I266,I3:I432)</f>
        <v>255</v>
      </c>
      <c r="I266" s="150">
        <f>VLOOKUP(A266,'Standard Deviations'!A1:C731,3,FALSE)</f>
        <v>-1.87209668648218</v>
      </c>
      <c r="J266" s="150">
        <f>I266-VLOOKUP(B$2,H1:J432,2,FALSE)</f>
        <v>-5.1508508098675</v>
      </c>
    </row>
    <row r="267" ht="21.25" customHeight="1">
      <c r="A267" t="s" s="8">
        <v>660</v>
      </c>
      <c r="B267" t="s" s="148">
        <f>VLOOKUP(A267,'The List'!B1:D730,3,FALSE)</f>
        <v>133</v>
      </c>
      <c r="C267" s="54">
        <f>IF('Settings'!$E$15="POINTS",RANK(E267,E3:E432),H267)</f>
        <v>321</v>
      </c>
      <c r="D267" t="s" s="42">
        <f>VLOOKUP(A267,'The List'!B1:F730,5,FALSE)</f>
        <v>113</v>
      </c>
      <c r="E267" s="46">
        <f>VLOOKUP(A267,'The List'!B1:I730,8,FALSE)</f>
        <v>172.996117502267</v>
      </c>
      <c r="F267" s="46">
        <f>IF('Settings'!$E$15="POINTS",E267-VLOOKUP(B$2,C1:E432,3,FALSE),J267)</f>
        <v>-176.831857902947</v>
      </c>
      <c r="G267" s="46"/>
      <c r="H267" s="149">
        <f>RANK(I267,I3:I432)</f>
        <v>250</v>
      </c>
      <c r="I267" s="150">
        <f>VLOOKUP(A267,'Standard Deviations'!A1:C731,3,FALSE)</f>
        <v>-1.70410361763426</v>
      </c>
      <c r="J267" s="150">
        <f>I267-VLOOKUP(B$2,H1:J432,2,FALSE)</f>
        <v>-4.98285774101958</v>
      </c>
    </row>
    <row r="268" ht="21.25" customHeight="1">
      <c r="A268" t="s" s="8">
        <v>678</v>
      </c>
      <c r="B268" t="s" s="148">
        <f>VLOOKUP(A268,'The List'!B1:D730,3,FALSE)</f>
        <v>107</v>
      </c>
      <c r="C268" s="54">
        <f>IF('Settings'!$E$15="POINTS",RANK(E268,E3:E432),H268)</f>
        <v>213</v>
      </c>
      <c r="D268" t="s" s="42">
        <f>VLOOKUP(A268,'The List'!B1:F730,5,FALSE)</f>
        <v>164</v>
      </c>
      <c r="E268" s="46">
        <f>VLOOKUP(A268,'The List'!B1:I730,8,FALSE)</f>
        <v>234.120928077219</v>
      </c>
      <c r="F268" s="46">
        <f>IF('Settings'!$E$15="POINTS",E268-VLOOKUP(B$2,C1:E432,3,FALSE),J268)</f>
        <v>-115.707047327995</v>
      </c>
      <c r="G268" s="46"/>
      <c r="H268" s="149">
        <f>RANK(I268,I3:I432)</f>
        <v>249</v>
      </c>
      <c r="I268" s="150">
        <f>VLOOKUP(A268,'Standard Deviations'!A1:C731,3,FALSE)</f>
        <v>-1.65044761704783</v>
      </c>
      <c r="J268" s="150">
        <f>I268-VLOOKUP(B$2,H1:J432,2,FALSE)</f>
        <v>-4.92920174043315</v>
      </c>
    </row>
    <row r="269" ht="21.25" customHeight="1">
      <c r="A269" t="s" s="8">
        <v>681</v>
      </c>
      <c r="B269" t="s" s="148">
        <f>VLOOKUP(A269,'The List'!B1:D730,3,FALSE)</f>
        <v>107</v>
      </c>
      <c r="C269" s="54">
        <f>IF('Settings'!$E$15="POINTS",RANK(E269,E3:E432),H269)</f>
        <v>265</v>
      </c>
      <c r="D269" t="s" s="42">
        <f>VLOOKUP(A269,'The List'!B1:F730,5,FALSE)</f>
        <v>124</v>
      </c>
      <c r="E269" s="46">
        <f>VLOOKUP(A269,'The List'!B1:I730,8,FALSE)</f>
        <v>204.993468251160</v>
      </c>
      <c r="F269" s="46">
        <f>IF('Settings'!$E$15="POINTS",E269-VLOOKUP(B$2,C1:E432,3,FALSE),J269)</f>
        <v>-144.834507154054</v>
      </c>
      <c r="G269" s="46"/>
      <c r="H269" s="149">
        <f>RANK(I269,I3:I432)</f>
        <v>265</v>
      </c>
      <c r="I269" s="150">
        <f>VLOOKUP(A269,'Standard Deviations'!A1:C731,3,FALSE)</f>
        <v>-2.04488243502235</v>
      </c>
      <c r="J269" s="150">
        <f>I269-VLOOKUP(B$2,H1:J432,2,FALSE)</f>
        <v>-5.32363655840767</v>
      </c>
    </row>
    <row r="270" ht="21.25" customHeight="1">
      <c r="A270" t="s" s="8">
        <v>683</v>
      </c>
      <c r="B270" t="s" s="148">
        <f>VLOOKUP(A270,'The List'!B1:D730,3,FALSE)</f>
        <v>107</v>
      </c>
      <c r="C270" s="54">
        <f>IF('Settings'!$E$15="POINTS",RANK(E270,E3:E432),H270)</f>
        <v>230</v>
      </c>
      <c r="D270" t="s" s="42">
        <f>VLOOKUP(A270,'The List'!B1:F730,5,FALSE)</f>
        <v>131</v>
      </c>
      <c r="E270" s="46">
        <f>VLOOKUP(A270,'The List'!B1:I730,8,FALSE)</f>
        <v>227.367888768021</v>
      </c>
      <c r="F270" s="46">
        <f>IF('Settings'!$E$15="POINTS",E270-VLOOKUP(B$2,C1:E432,3,FALSE),J270)</f>
        <v>-122.460086637193</v>
      </c>
      <c r="G270" s="46"/>
      <c r="H270" s="149">
        <f>RANK(I270,I3:I432)</f>
        <v>290</v>
      </c>
      <c r="I270" s="150">
        <f>VLOOKUP(A270,'Standard Deviations'!A1:C731,3,FALSE)</f>
        <v>-2.60064190231881</v>
      </c>
      <c r="J270" s="150">
        <f>I270-VLOOKUP(B$2,H1:J432,2,FALSE)</f>
        <v>-5.87939602570413</v>
      </c>
    </row>
    <row r="271" ht="21.25" customHeight="1">
      <c r="A271" t="s" s="8">
        <v>642</v>
      </c>
      <c r="B271" t="s" s="148">
        <f>VLOOKUP(A271,'The List'!B1:D730,3,FALSE)</f>
        <v>121</v>
      </c>
      <c r="C271" s="54">
        <f>IF('Settings'!$E$15="POINTS",RANK(E271,E3:E432),H271)</f>
        <v>320</v>
      </c>
      <c r="D271" t="s" s="42">
        <f>VLOOKUP(A271,'The List'!B1:F730,5,FALSE)</f>
        <v>204</v>
      </c>
      <c r="E271" s="46">
        <f>VLOOKUP(A271,'The List'!B1:I730,8,FALSE)</f>
        <v>173.046607244497</v>
      </c>
      <c r="F271" s="46">
        <f>IF('Settings'!$E$15="POINTS",E271-VLOOKUP(B$2,C1:E432,3,FALSE),J271)</f>
        <v>-176.781368160717</v>
      </c>
      <c r="G271" s="46"/>
      <c r="H271" s="149">
        <f>RANK(I271,I3:I432)</f>
        <v>270</v>
      </c>
      <c r="I271" s="150">
        <f>VLOOKUP(A271,'Standard Deviations'!A1:C731,3,FALSE)</f>
        <v>-2.21273615125833</v>
      </c>
      <c r="J271" s="150">
        <f>I271-VLOOKUP(B$2,H1:J432,2,FALSE)</f>
        <v>-5.49149027464365</v>
      </c>
    </row>
    <row r="272" ht="21.25" customHeight="1">
      <c r="A272" t="s" s="8">
        <v>689</v>
      </c>
      <c r="B272" t="s" s="148">
        <f>VLOOKUP(A272,'The List'!B1:D730,3,FALSE)</f>
        <v>107</v>
      </c>
      <c r="C272" s="54">
        <f>IF('Settings'!$E$15="POINTS",RANK(E272,E3:E432),H272)</f>
        <v>337</v>
      </c>
      <c r="D272" t="s" s="42">
        <f>VLOOKUP(A272,'The List'!B1:F730,5,FALSE)</f>
        <v>292</v>
      </c>
      <c r="E272" s="46">
        <f>VLOOKUP(A272,'The List'!B1:I730,8,FALSE)</f>
        <v>168.804374464948</v>
      </c>
      <c r="F272" s="46">
        <f>IF('Settings'!$E$15="POINTS",E272-VLOOKUP(B$2,C1:E432,3,FALSE),J272)</f>
        <v>-181.023600940266</v>
      </c>
      <c r="G272" s="46"/>
      <c r="H272" s="149">
        <f>RANK(I272,I3:I432)</f>
        <v>293</v>
      </c>
      <c r="I272" s="150">
        <f>VLOOKUP(A272,'Standard Deviations'!A1:C731,3,FALSE)</f>
        <v>-2.6468822541588</v>
      </c>
      <c r="J272" s="150">
        <f>I272-VLOOKUP(B$2,H1:J432,2,FALSE)</f>
        <v>-5.92563637754412</v>
      </c>
    </row>
    <row r="273" ht="21.25" customHeight="1">
      <c r="A273" t="s" s="8">
        <v>629</v>
      </c>
      <c r="B273" t="s" s="148">
        <f>VLOOKUP(A273,'The List'!B1:D730,3,FALSE)</f>
        <v>187</v>
      </c>
      <c r="C273" s="54">
        <f>IF('Settings'!$E$15="POINTS",RANK(E273,E3:E432),H273)</f>
        <v>237</v>
      </c>
      <c r="D273" t="s" s="42">
        <f>VLOOKUP(A273,'The List'!B1:F730,5,FALSE)</f>
        <v>122</v>
      </c>
      <c r="E273" s="46">
        <f>VLOOKUP(A273,'The List'!B1:I730,8,FALSE)</f>
        <v>222.444897425510</v>
      </c>
      <c r="F273" s="46">
        <f>IF('Settings'!$E$15="POINTS",E273-VLOOKUP(B$2,C1:E432,3,FALSE),J273)</f>
        <v>-127.383077979704</v>
      </c>
      <c r="G273" s="46"/>
      <c r="H273" s="149">
        <f>RANK(I273,I3:I432)</f>
        <v>207</v>
      </c>
      <c r="I273" s="150">
        <f>VLOOKUP(A273,'Standard Deviations'!A1:C731,3,FALSE)</f>
        <v>-0.666306145982336</v>
      </c>
      <c r="J273" s="150">
        <f>I273-VLOOKUP(B$2,H1:J432,2,FALSE)</f>
        <v>-3.94506026936766</v>
      </c>
    </row>
    <row r="274" ht="21.25" customHeight="1">
      <c r="A274" t="s" s="8">
        <v>694</v>
      </c>
      <c r="B274" t="s" s="148">
        <f>VLOOKUP(A274,'The List'!B1:D730,3,FALSE)</f>
        <v>107</v>
      </c>
      <c r="C274" s="54">
        <f>IF('Settings'!$E$15="POINTS",RANK(E274,E3:E432),H274)</f>
        <v>289</v>
      </c>
      <c r="D274" t="s" s="42">
        <f>VLOOKUP(A274,'The List'!B1:F730,5,FALSE)</f>
        <v>108</v>
      </c>
      <c r="E274" s="46">
        <f>VLOOKUP(A274,'The List'!B1:I730,8,FALSE)</f>
        <v>191.783868630779</v>
      </c>
      <c r="F274" s="46">
        <f>IF('Settings'!$E$15="POINTS",E274-VLOOKUP(B$2,C1:E432,3,FALSE),J274)</f>
        <v>-158.044106774435</v>
      </c>
      <c r="G274" s="46"/>
      <c r="H274" s="149">
        <f>RANK(I274,I3:I432)</f>
        <v>233</v>
      </c>
      <c r="I274" s="150">
        <f>VLOOKUP(A274,'Standard Deviations'!A1:C731,3,FALSE)</f>
        <v>-1.16669120973109</v>
      </c>
      <c r="J274" s="150">
        <f>I274-VLOOKUP(B$2,H1:J432,2,FALSE)</f>
        <v>-4.44544533311641</v>
      </c>
    </row>
    <row r="275" ht="21.25" customHeight="1">
      <c r="A275" t="s" s="8">
        <v>676</v>
      </c>
      <c r="B275" t="s" s="148">
        <f>VLOOKUP(A275,'The List'!B1:D730,3,FALSE)</f>
        <v>133</v>
      </c>
      <c r="C275" s="54">
        <f>IF('Settings'!$E$15="POINTS",RANK(E275,E3:E432),H275)</f>
        <v>302</v>
      </c>
      <c r="D275" t="s" s="42">
        <f>VLOOKUP(A275,'The List'!B1:F730,5,FALSE)</f>
        <v>184</v>
      </c>
      <c r="E275" s="46">
        <f>VLOOKUP(A275,'The List'!B1:I730,8,FALSE)</f>
        <v>181.005986997970</v>
      </c>
      <c r="F275" s="46">
        <f>IF('Settings'!$E$15="POINTS",E275-VLOOKUP(B$2,C1:E432,3,FALSE),J275)</f>
        <v>-168.821988407244</v>
      </c>
      <c r="G275" s="46"/>
      <c r="H275" s="149">
        <f>RANK(I275,I3:I432)</f>
        <v>305</v>
      </c>
      <c r="I275" s="150">
        <f>VLOOKUP(A275,'Standard Deviations'!A1:C731,3,FALSE)</f>
        <v>-2.83339393801447</v>
      </c>
      <c r="J275" s="150">
        <f>I275-VLOOKUP(B$2,H1:J432,2,FALSE)</f>
        <v>-6.11214806139979</v>
      </c>
    </row>
    <row r="276" ht="21.25" customHeight="1">
      <c r="A276" t="s" s="8">
        <v>661</v>
      </c>
      <c r="B276" t="s" s="148">
        <f>VLOOKUP(A276,'The List'!B1:D730,3,FALSE)</f>
        <v>121</v>
      </c>
      <c r="C276" s="54">
        <f>IF('Settings'!$E$15="POINTS",RANK(E276,E3:E432),H276)</f>
        <v>325</v>
      </c>
      <c r="D276" t="s" s="42">
        <f>VLOOKUP(A276,'The List'!B1:F730,5,FALSE)</f>
        <v>234</v>
      </c>
      <c r="E276" s="46">
        <f>VLOOKUP(A276,'The List'!B1:I730,8,FALSE)</f>
        <v>171.844184785250</v>
      </c>
      <c r="F276" s="46">
        <f>IF('Settings'!$E$15="POINTS",E276-VLOOKUP(B$2,C1:E432,3,FALSE),J276)</f>
        <v>-177.983790619964</v>
      </c>
      <c r="G276" s="46"/>
      <c r="H276" s="149">
        <f>RANK(I276,I3:I432)</f>
        <v>367</v>
      </c>
      <c r="I276" s="150">
        <f>VLOOKUP(A276,'Standard Deviations'!A1:C731,3,FALSE)</f>
        <v>-4.19616417330058</v>
      </c>
      <c r="J276" s="150">
        <f>I276-VLOOKUP(B$2,H1:J432,2,FALSE)</f>
        <v>-7.4749182966859</v>
      </c>
    </row>
    <row r="277" ht="21.25" customHeight="1">
      <c r="A277" t="s" s="8">
        <v>697</v>
      </c>
      <c r="B277" t="s" s="148">
        <f>VLOOKUP(A277,'The List'!B1:D730,3,FALSE)</f>
        <v>107</v>
      </c>
      <c r="C277" s="54">
        <f>IF('Settings'!$E$15="POINTS",RANK(E277,E3:E432),H277)</f>
        <v>270</v>
      </c>
      <c r="D277" t="s" s="42">
        <f>VLOOKUP(A277,'The List'!B1:F730,5,FALSE)</f>
        <v>204</v>
      </c>
      <c r="E277" s="46">
        <f>VLOOKUP(A277,'The List'!B1:I730,8,FALSE)</f>
        <v>202.682250502736</v>
      </c>
      <c r="F277" s="46">
        <f>IF('Settings'!$E$15="POINTS",E277-VLOOKUP(B$2,C1:E432,3,FALSE),J277)</f>
        <v>-147.145724902478</v>
      </c>
      <c r="G277" s="46"/>
      <c r="H277" s="149">
        <f>RANK(I277,I3:I432)</f>
        <v>274</v>
      </c>
      <c r="I277" s="150">
        <f>VLOOKUP(A277,'Standard Deviations'!A1:C731,3,FALSE)</f>
        <v>-2.31406471754896</v>
      </c>
      <c r="J277" s="150">
        <f>I277-VLOOKUP(B$2,H1:J432,2,FALSE)</f>
        <v>-5.59281884093428</v>
      </c>
    </row>
    <row r="278" ht="21.25" customHeight="1">
      <c r="A278" t="s" s="8">
        <v>700</v>
      </c>
      <c r="B278" t="s" s="148">
        <f>VLOOKUP(A278,'The List'!B1:D730,3,FALSE)</f>
        <v>107</v>
      </c>
      <c r="C278" s="54">
        <f>IF('Settings'!$E$15="POINTS",RANK(E278,E3:E432),H278)</f>
        <v>295</v>
      </c>
      <c r="D278" t="s" s="42">
        <f>VLOOKUP(A278,'The List'!B1:F730,5,FALSE)</f>
        <v>184</v>
      </c>
      <c r="E278" s="46">
        <f>VLOOKUP(A278,'The List'!B1:I730,8,FALSE)</f>
        <v>185.517372034911</v>
      </c>
      <c r="F278" s="46">
        <f>IF('Settings'!$E$15="POINTS",E278-VLOOKUP(B$2,C1:E432,3,FALSE),J278)</f>
        <v>-164.310603370303</v>
      </c>
      <c r="G278" s="46"/>
      <c r="H278" s="149">
        <f>RANK(I278,I3:I432)</f>
        <v>302</v>
      </c>
      <c r="I278" s="150">
        <f>VLOOKUP(A278,'Standard Deviations'!A1:C731,3,FALSE)</f>
        <v>-2.7586635983798</v>
      </c>
      <c r="J278" s="150">
        <f>I278-VLOOKUP(B$2,H1:J432,2,FALSE)</f>
        <v>-6.03741772176512</v>
      </c>
    </row>
    <row r="279" ht="21.25" customHeight="1">
      <c r="A279" t="s" s="8">
        <v>663</v>
      </c>
      <c r="B279" t="s" s="148">
        <f>VLOOKUP(A279,'The List'!B1:D730,3,FALSE)</f>
        <v>121</v>
      </c>
      <c r="C279" s="54">
        <f>IF('Settings'!$E$15="POINTS",RANK(E279,E3:E432),H279)</f>
        <v>287</v>
      </c>
      <c r="D279" t="s" s="42">
        <f>VLOOKUP(A279,'The List'!B1:F730,5,FALSE)</f>
        <v>248</v>
      </c>
      <c r="E279" s="46">
        <f>VLOOKUP(A279,'The List'!B1:I730,8,FALSE)</f>
        <v>194.360082321347</v>
      </c>
      <c r="F279" s="46">
        <f>IF('Settings'!$E$15="POINTS",E279-VLOOKUP(B$2,C1:E432,3,FALSE),J279)</f>
        <v>-155.467893083867</v>
      </c>
      <c r="G279" s="46"/>
      <c r="H279" s="149">
        <f>RANK(I279,I3:I432)</f>
        <v>287</v>
      </c>
      <c r="I279" s="150">
        <f>VLOOKUP(A279,'Standard Deviations'!A1:C731,3,FALSE)</f>
        <v>-2.49174004830544</v>
      </c>
      <c r="J279" s="150">
        <f>I279-VLOOKUP(B$2,H1:J432,2,FALSE)</f>
        <v>-5.77049417169076</v>
      </c>
    </row>
    <row r="280" ht="21.25" customHeight="1">
      <c r="A280" t="s" s="8">
        <v>703</v>
      </c>
      <c r="B280" t="s" s="148">
        <f>VLOOKUP(A280,'The List'!B1:D730,3,FALSE)</f>
        <v>107</v>
      </c>
      <c r="C280" s="54">
        <f>IF('Settings'!$E$15="POINTS",RANK(E280,E3:E432),H280)</f>
        <v>261</v>
      </c>
      <c r="D280" t="s" s="42">
        <f>VLOOKUP(A280,'The List'!B1:F730,5,FALSE)</f>
        <v>141</v>
      </c>
      <c r="E280" s="46">
        <f>VLOOKUP(A280,'The List'!B1:I730,8,FALSE)</f>
        <v>206.078890566960</v>
      </c>
      <c r="F280" s="46">
        <f>IF('Settings'!$E$15="POINTS",E280-VLOOKUP(B$2,C1:E432,3,FALSE),J280)</f>
        <v>-143.749084838254</v>
      </c>
      <c r="G280" s="46"/>
      <c r="H280" s="149">
        <f>RANK(I280,I3:I432)</f>
        <v>272</v>
      </c>
      <c r="I280" s="150">
        <f>VLOOKUP(A280,'Standard Deviations'!A1:C731,3,FALSE)</f>
        <v>-2.2675010556347</v>
      </c>
      <c r="J280" s="150">
        <f>I280-VLOOKUP(B$2,H1:J432,2,FALSE)</f>
        <v>-5.54625517902002</v>
      </c>
    </row>
    <row r="281" ht="21.25" customHeight="1">
      <c r="A281" t="s" s="8">
        <v>705</v>
      </c>
      <c r="B281" t="s" s="148">
        <f>VLOOKUP(A281,'The List'!B1:D730,3,FALSE)</f>
        <v>107</v>
      </c>
      <c r="C281" s="54">
        <f>IF('Settings'!$E$15="POINTS",RANK(E281,E3:E432),H281)</f>
        <v>248</v>
      </c>
      <c r="D281" t="s" s="42">
        <f>VLOOKUP(A281,'The List'!B1:F730,5,FALSE)</f>
        <v>225</v>
      </c>
      <c r="E281" s="46">
        <f>VLOOKUP(A281,'The List'!B1:I730,8,FALSE)</f>
        <v>212.687364259197</v>
      </c>
      <c r="F281" s="46">
        <f>IF('Settings'!$E$15="POINTS",E281-VLOOKUP(B$2,C1:E432,3,FALSE),J281)</f>
        <v>-137.140611146017</v>
      </c>
      <c r="G281" s="46"/>
      <c r="H281" s="149">
        <f>RANK(I281,I3:I432)</f>
        <v>347</v>
      </c>
      <c r="I281" s="150">
        <f>VLOOKUP(A281,'Standard Deviations'!A1:C731,3,FALSE)</f>
        <v>-3.77828396504518</v>
      </c>
      <c r="J281" s="150">
        <f>I281-VLOOKUP(B$2,H1:J432,2,FALSE)</f>
        <v>-7.0570380884305</v>
      </c>
    </row>
    <row r="282" ht="21.25" customHeight="1">
      <c r="A282" t="s" s="8">
        <v>706</v>
      </c>
      <c r="B282" t="s" s="148">
        <f>VLOOKUP(A282,'The List'!B1:D730,3,FALSE)</f>
        <v>107</v>
      </c>
      <c r="C282" s="54">
        <f>IF('Settings'!$E$15="POINTS",RANK(E282,E3:E432),H282)</f>
        <v>292</v>
      </c>
      <c r="D282" t="s" s="42">
        <f>VLOOKUP(A282,'The List'!B1:F730,5,FALSE)</f>
        <v>164</v>
      </c>
      <c r="E282" s="46">
        <f>VLOOKUP(A282,'The List'!B1:I730,8,FALSE)</f>
        <v>188.271766252177</v>
      </c>
      <c r="F282" s="46">
        <f>IF('Settings'!$E$15="POINTS",E282-VLOOKUP(B$2,C1:E432,3,FALSE),J282)</f>
        <v>-161.556209153037</v>
      </c>
      <c r="G282" s="46"/>
      <c r="H282" s="149">
        <f>RANK(I282,I3:I432)</f>
        <v>268</v>
      </c>
      <c r="I282" s="150">
        <f>VLOOKUP(A282,'Standard Deviations'!A1:C731,3,FALSE)</f>
        <v>-2.21083847696371</v>
      </c>
      <c r="J282" s="150">
        <f>I282-VLOOKUP(B$2,H1:J432,2,FALSE)</f>
        <v>-5.48959260034903</v>
      </c>
    </row>
    <row r="283" ht="21.25" customHeight="1">
      <c r="A283" t="s" s="8">
        <v>711</v>
      </c>
      <c r="B283" t="s" s="148">
        <f>VLOOKUP(A283,'The List'!B1:D730,3,FALSE)</f>
        <v>107</v>
      </c>
      <c r="C283" s="54">
        <f>IF('Settings'!$E$15="POINTS",RANK(E283,E3:E432),H283)</f>
        <v>250</v>
      </c>
      <c r="D283" t="s" s="42">
        <f>VLOOKUP(A283,'The List'!B1:F730,5,FALSE)</f>
        <v>196</v>
      </c>
      <c r="E283" s="46">
        <f>VLOOKUP(A283,'The List'!B1:I730,8,FALSE)</f>
        <v>210.871377698146</v>
      </c>
      <c r="F283" s="46">
        <f>IF('Settings'!$E$15="POINTS",E283-VLOOKUP(B$2,C1:E432,3,FALSE),J283)</f>
        <v>-138.956597707068</v>
      </c>
      <c r="G283" s="46"/>
      <c r="H283" s="149">
        <f>RANK(I283,I3:I432)</f>
        <v>303</v>
      </c>
      <c r="I283" s="150">
        <f>VLOOKUP(A283,'Standard Deviations'!A1:C731,3,FALSE)</f>
        <v>-2.76577458634584</v>
      </c>
      <c r="J283" s="150">
        <f>I283-VLOOKUP(B$2,H1:J432,2,FALSE)</f>
        <v>-6.04452870973116</v>
      </c>
    </row>
    <row r="284" ht="21.25" customHeight="1">
      <c r="A284" t="s" s="8">
        <v>696</v>
      </c>
      <c r="B284" t="s" s="148">
        <f>VLOOKUP(A284,'The List'!B1:D730,3,FALSE)</f>
        <v>133</v>
      </c>
      <c r="C284" s="54">
        <f>IF('Settings'!$E$15="POINTS",RANK(E284,E3:E432),H284)</f>
        <v>235</v>
      </c>
      <c r="D284" t="s" s="42">
        <f>VLOOKUP(A284,'The List'!B1:F730,5,FALSE)</f>
        <v>248</v>
      </c>
      <c r="E284" s="46">
        <f>VLOOKUP(A284,'The List'!B1:I730,8,FALSE)</f>
        <v>224.084080488336</v>
      </c>
      <c r="F284" s="46">
        <f>IF('Settings'!$E$15="POINTS",E284-VLOOKUP(B$2,C1:E432,3,FALSE),J284)</f>
        <v>-125.743894916878</v>
      </c>
      <c r="G284" s="46"/>
      <c r="H284" s="149">
        <f>RANK(I284,I3:I432)</f>
        <v>256</v>
      </c>
      <c r="I284" s="150">
        <f>VLOOKUP(A284,'Standard Deviations'!A1:C731,3,FALSE)</f>
        <v>-1.87415620262812</v>
      </c>
      <c r="J284" s="150">
        <f>I284-VLOOKUP(B$2,H1:J432,2,FALSE)</f>
        <v>-5.15291032601344</v>
      </c>
    </row>
    <row r="285" ht="21.25" customHeight="1">
      <c r="A285" t="s" s="8">
        <v>712</v>
      </c>
      <c r="B285" t="s" s="148">
        <f>VLOOKUP(A285,'The List'!B1:D730,3,FALSE)</f>
        <v>107</v>
      </c>
      <c r="C285" s="54">
        <f>IF('Settings'!$E$15="POINTS",RANK(E285,E3:E432),H285)</f>
        <v>245</v>
      </c>
      <c r="D285" t="s" s="42">
        <f>VLOOKUP(A285,'The List'!B1:F730,5,FALSE)</f>
        <v>131</v>
      </c>
      <c r="E285" s="46">
        <f>VLOOKUP(A285,'The List'!B1:I730,8,FALSE)</f>
        <v>214.439463499539</v>
      </c>
      <c r="F285" s="46">
        <f>IF('Settings'!$E$15="POINTS",E285-VLOOKUP(B$2,C1:E432,3,FALSE),J285)</f>
        <v>-135.388511905675</v>
      </c>
      <c r="G285" s="46"/>
      <c r="H285" s="149">
        <f>RANK(I285,I3:I432)</f>
        <v>289</v>
      </c>
      <c r="I285" s="150">
        <f>VLOOKUP(A285,'Standard Deviations'!A1:C731,3,FALSE)</f>
        <v>-2.56726741185815</v>
      </c>
      <c r="J285" s="150">
        <f>I285-VLOOKUP(B$2,H1:J432,2,FALSE)</f>
        <v>-5.84602153524347</v>
      </c>
    </row>
    <row r="286" ht="21.25" customHeight="1">
      <c r="A286" t="s" s="8">
        <v>672</v>
      </c>
      <c r="B286" t="s" s="148">
        <f>VLOOKUP(A286,'The List'!B1:D730,3,FALSE)</f>
        <v>121</v>
      </c>
      <c r="C286" s="54">
        <f>IF('Settings'!$E$15="POINTS",RANK(E286,E3:E432),H286)</f>
        <v>341</v>
      </c>
      <c r="D286" t="s" s="42">
        <f>VLOOKUP(A286,'The List'!B1:F730,5,FALSE)</f>
        <v>292</v>
      </c>
      <c r="E286" s="46">
        <f>VLOOKUP(A286,'The List'!B1:I730,8,FALSE)</f>
        <v>164.656516620562</v>
      </c>
      <c r="F286" s="46">
        <f>IF('Settings'!$E$15="POINTS",E286-VLOOKUP(B$2,C1:E432,3,FALSE),J286)</f>
        <v>-185.171458784652</v>
      </c>
      <c r="G286" s="46"/>
      <c r="H286" s="149">
        <f>RANK(I286,I3:I432)</f>
        <v>301</v>
      </c>
      <c r="I286" s="150">
        <f>VLOOKUP(A286,'Standard Deviations'!A1:C731,3,FALSE)</f>
        <v>-2.75819664674031</v>
      </c>
      <c r="J286" s="150">
        <f>I286-VLOOKUP(B$2,H1:J432,2,FALSE)</f>
        <v>-6.03695077012563</v>
      </c>
    </row>
    <row r="287" ht="21.25" customHeight="1">
      <c r="A287" t="s" s="8">
        <v>671</v>
      </c>
      <c r="B287" t="s" s="148">
        <f>VLOOKUP(A287,'The List'!B1:D730,3,FALSE)</f>
        <v>121</v>
      </c>
      <c r="C287" s="54">
        <f>IF('Settings'!$E$15="POINTS",RANK(E287,E3:E432),H287)</f>
        <v>309</v>
      </c>
      <c r="D287" t="s" s="42">
        <f>VLOOKUP(A287,'The List'!B1:F730,5,FALSE)</f>
        <v>189</v>
      </c>
      <c r="E287" s="46">
        <f>VLOOKUP(A287,'The List'!B1:I730,8,FALSE)</f>
        <v>178.252901601030</v>
      </c>
      <c r="F287" s="46">
        <f>IF('Settings'!$E$15="POINTS",E287-VLOOKUP(B$2,C1:E432,3,FALSE),J287)</f>
        <v>-171.575073804184</v>
      </c>
      <c r="G287" s="46"/>
      <c r="H287" s="149">
        <f>RANK(I287,I3:I432)</f>
        <v>308</v>
      </c>
      <c r="I287" s="150">
        <f>VLOOKUP(A287,'Standard Deviations'!A1:C731,3,FALSE)</f>
        <v>-2.8924942333634</v>
      </c>
      <c r="J287" s="150">
        <f>I287-VLOOKUP(B$2,H1:J432,2,FALSE)</f>
        <v>-6.17124835674872</v>
      </c>
    </row>
    <row r="288" ht="21.25" customHeight="1">
      <c r="A288" t="s" s="8">
        <v>698</v>
      </c>
      <c r="B288" t="s" s="148">
        <f>VLOOKUP(A288,'The List'!B1:D730,3,FALSE)</f>
        <v>133</v>
      </c>
      <c r="C288" s="54">
        <f>IF('Settings'!$E$15="POINTS",RANK(E288,E3:E432),H288)</f>
        <v>231</v>
      </c>
      <c r="D288" t="s" s="42">
        <f>VLOOKUP(A288,'The List'!B1:F730,5,FALSE)</f>
        <v>134</v>
      </c>
      <c r="E288" s="46">
        <f>VLOOKUP(A288,'The List'!B1:I730,8,FALSE)</f>
        <v>226.786908708804</v>
      </c>
      <c r="F288" s="46">
        <f>IF('Settings'!$E$15="POINTS",E288-VLOOKUP(B$2,C1:E432,3,FALSE),J288)</f>
        <v>-123.041066696410</v>
      </c>
      <c r="G288" s="46"/>
      <c r="H288" s="149">
        <f>RANK(I288,I3:I432)</f>
        <v>251</v>
      </c>
      <c r="I288" s="150">
        <f>VLOOKUP(A288,'Standard Deviations'!A1:C731,3,FALSE)</f>
        <v>-1.71597076686788</v>
      </c>
      <c r="J288" s="150">
        <f>I288-VLOOKUP(B$2,H1:J432,2,FALSE)</f>
        <v>-4.9947248902532</v>
      </c>
    </row>
    <row r="289" ht="21.25" customHeight="1">
      <c r="A289" t="s" s="8">
        <v>718</v>
      </c>
      <c r="B289" t="s" s="148">
        <f>VLOOKUP(A289,'The List'!B1:D730,3,FALSE)</f>
        <v>107</v>
      </c>
      <c r="C289" s="54">
        <f>IF('Settings'!$E$15="POINTS",RANK(E289,E3:E432),H289)</f>
        <v>282</v>
      </c>
      <c r="D289" t="s" s="42">
        <f>VLOOKUP(A289,'The List'!B1:F730,5,FALSE)</f>
        <v>292</v>
      </c>
      <c r="E289" s="46">
        <f>VLOOKUP(A289,'The List'!B1:I730,8,FALSE)</f>
        <v>197.399814710795</v>
      </c>
      <c r="F289" s="46">
        <f>IF('Settings'!$E$15="POINTS",E289-VLOOKUP(B$2,C1:E432,3,FALSE),J289)</f>
        <v>-152.428160694419</v>
      </c>
      <c r="G289" s="46"/>
      <c r="H289" s="149">
        <f>RANK(I289,I3:I432)</f>
        <v>288</v>
      </c>
      <c r="I289" s="150">
        <f>VLOOKUP(A289,'Standard Deviations'!A1:C731,3,FALSE)</f>
        <v>-2.55741449896559</v>
      </c>
      <c r="J289" s="150">
        <f>I289-VLOOKUP(B$2,H1:J432,2,FALSE)</f>
        <v>-5.83616862235091</v>
      </c>
    </row>
    <row r="290" ht="21.25" customHeight="1">
      <c r="A290" t="s" s="8">
        <v>685</v>
      </c>
      <c r="B290" t="s" s="148">
        <f>VLOOKUP(A290,'The List'!B1:D730,3,FALSE)</f>
        <v>121</v>
      </c>
      <c r="C290" s="54">
        <f>IF('Settings'!$E$15="POINTS",RANK(E290,E3:E432),H290)</f>
        <v>323</v>
      </c>
      <c r="D290" t="s" s="42">
        <f>VLOOKUP(A290,'The List'!B1:F730,5,FALSE)</f>
        <v>225</v>
      </c>
      <c r="E290" s="46">
        <f>VLOOKUP(A290,'The List'!B1:I730,8,FALSE)</f>
        <v>172.547901429438</v>
      </c>
      <c r="F290" s="46">
        <f>IF('Settings'!$E$15="POINTS",E290-VLOOKUP(B$2,C1:E432,3,FALSE),J290)</f>
        <v>-177.280073975776</v>
      </c>
      <c r="G290" s="46"/>
      <c r="H290" s="149">
        <f>RANK(I290,I3:I432)</f>
        <v>353</v>
      </c>
      <c r="I290" s="150">
        <f>VLOOKUP(A290,'Standard Deviations'!A1:C731,3,FALSE)</f>
        <v>-3.92890765677454</v>
      </c>
      <c r="J290" s="150">
        <f>I290-VLOOKUP(B$2,H1:J432,2,FALSE)</f>
        <v>-7.20766178015986</v>
      </c>
    </row>
    <row r="291" ht="21.25" customHeight="1">
      <c r="A291" t="s" s="8">
        <v>691</v>
      </c>
      <c r="B291" t="s" s="148">
        <f>VLOOKUP(A291,'The List'!B1:D730,3,FALSE)</f>
        <v>121</v>
      </c>
      <c r="C291" s="54">
        <f>IF('Settings'!$E$15="POINTS",RANK(E291,E3:E432),H291)</f>
        <v>328</v>
      </c>
      <c r="D291" t="s" s="42">
        <f>VLOOKUP(A291,'The List'!B1:F730,5,FALSE)</f>
        <v>292</v>
      </c>
      <c r="E291" s="46">
        <f>VLOOKUP(A291,'The List'!B1:I730,8,FALSE)</f>
        <v>171.073146858314</v>
      </c>
      <c r="F291" s="46">
        <f>IF('Settings'!$E$15="POINTS",E291-VLOOKUP(B$2,C1:E432,3,FALSE),J291)</f>
        <v>-178.7548285469</v>
      </c>
      <c r="G291" s="46"/>
      <c r="H291" s="149">
        <f>RANK(I291,I3:I432)</f>
        <v>292</v>
      </c>
      <c r="I291" s="150">
        <f>VLOOKUP(A291,'Standard Deviations'!A1:C731,3,FALSE)</f>
        <v>-2.6388452699481</v>
      </c>
      <c r="J291" s="150">
        <f>I291-VLOOKUP(B$2,H1:J432,2,FALSE)</f>
        <v>-5.91759939333342</v>
      </c>
    </row>
    <row r="292" ht="21.25" customHeight="1">
      <c r="A292" t="s" s="8">
        <v>713</v>
      </c>
      <c r="B292" t="s" s="148">
        <f>VLOOKUP(A292,'The List'!B1:D730,3,FALSE)</f>
        <v>133</v>
      </c>
      <c r="C292" s="54">
        <f>IF('Settings'!$E$15="POINTS",RANK(E292,E3:E432),H292)</f>
        <v>335</v>
      </c>
      <c r="D292" t="s" s="42">
        <f>VLOOKUP(A292,'The List'!B1:F730,5,FALSE)</f>
        <v>141</v>
      </c>
      <c r="E292" s="46">
        <f>VLOOKUP(A292,'The List'!B1:I730,8,FALSE)</f>
        <v>168.924710068123</v>
      </c>
      <c r="F292" s="46">
        <f>IF('Settings'!$E$15="POINTS",E292-VLOOKUP(B$2,C1:E432,3,FALSE),J292)</f>
        <v>-180.903265337091</v>
      </c>
      <c r="G292" s="46"/>
      <c r="H292" s="149">
        <f>RANK(I292,I3:I432)</f>
        <v>315</v>
      </c>
      <c r="I292" s="150">
        <f>VLOOKUP(A292,'Standard Deviations'!A1:C731,3,FALSE)</f>
        <v>-3.00698879815855</v>
      </c>
      <c r="J292" s="150">
        <f>I292-VLOOKUP(B$2,H1:J432,2,FALSE)</f>
        <v>-6.28574292154387</v>
      </c>
    </row>
    <row r="293" ht="21.25" customHeight="1">
      <c r="A293" t="s" s="8">
        <v>707</v>
      </c>
      <c r="B293" t="s" s="148">
        <f>VLOOKUP(A293,'The List'!B1:D730,3,FALSE)</f>
        <v>133</v>
      </c>
      <c r="C293" s="54">
        <f>IF('Settings'!$E$15="POINTS",RANK(E293,E3:E432),H293)</f>
        <v>327</v>
      </c>
      <c r="D293" t="s" s="42">
        <f>VLOOKUP(A293,'The List'!B1:F730,5,FALSE)</f>
        <v>166</v>
      </c>
      <c r="E293" s="46">
        <f>VLOOKUP(A293,'The List'!B1:I730,8,FALSE)</f>
        <v>171.140424332148</v>
      </c>
      <c r="F293" s="46">
        <f>IF('Settings'!$E$15="POINTS",E293-VLOOKUP(B$2,C1:E432,3,FALSE),J293)</f>
        <v>-178.687551073066</v>
      </c>
      <c r="G293" s="46"/>
      <c r="H293" s="149">
        <f>RANK(I293,I3:I432)</f>
        <v>344</v>
      </c>
      <c r="I293" s="150">
        <f>VLOOKUP(A293,'Standard Deviations'!A1:C731,3,FALSE)</f>
        <v>-3.60971581756208</v>
      </c>
      <c r="J293" s="150">
        <f>I293-VLOOKUP(B$2,H1:J432,2,FALSE)</f>
        <v>-6.8884699409474</v>
      </c>
    </row>
    <row r="294" ht="21.25" customHeight="1">
      <c r="A294" t="s" s="8">
        <v>710</v>
      </c>
      <c r="B294" t="s" s="148">
        <f>VLOOKUP(A294,'The List'!B1:D730,3,FALSE)</f>
        <v>133</v>
      </c>
      <c r="C294" s="54">
        <f>IF('Settings'!$E$15="POINTS",RANK(E294,E3:E432),H294)</f>
        <v>257</v>
      </c>
      <c r="D294" t="s" s="42">
        <f>VLOOKUP(A294,'The List'!B1:F730,5,FALSE)</f>
        <v>292</v>
      </c>
      <c r="E294" s="46">
        <f>VLOOKUP(A294,'The List'!B1:I730,8,FALSE)</f>
        <v>209.279882669391</v>
      </c>
      <c r="F294" s="46">
        <f>IF('Settings'!$E$15="POINTS",E294-VLOOKUP(B$2,C1:E432,3,FALSE),J294)</f>
        <v>-140.548092735823</v>
      </c>
      <c r="G294" s="46"/>
      <c r="H294" s="149">
        <f>RANK(I294,I3:I432)</f>
        <v>304</v>
      </c>
      <c r="I294" s="150">
        <f>VLOOKUP(A294,'Standard Deviations'!A1:C731,3,FALSE)</f>
        <v>-2.81038208121215</v>
      </c>
      <c r="J294" s="150">
        <f>I294-VLOOKUP(B$2,H1:J432,2,FALSE)</f>
        <v>-6.08913620459747</v>
      </c>
    </row>
    <row r="295" ht="21.25" customHeight="1">
      <c r="A295" t="s" s="8">
        <v>690</v>
      </c>
      <c r="B295" t="s" s="148">
        <f>VLOOKUP(A295,'The List'!B1:D730,3,FALSE)</f>
        <v>121</v>
      </c>
      <c r="C295" s="54">
        <f>IF('Settings'!$E$15="POINTS",RANK(E295,E3:E432),H295)</f>
        <v>310</v>
      </c>
      <c r="D295" t="s" s="42">
        <f>VLOOKUP(A295,'The List'!B1:F730,5,FALSE)</f>
        <v>139</v>
      </c>
      <c r="E295" s="46">
        <f>VLOOKUP(A295,'The List'!B1:I730,8,FALSE)</f>
        <v>177.009920653014</v>
      </c>
      <c r="F295" s="46">
        <f>IF('Settings'!$E$15="POINTS",E295-VLOOKUP(B$2,C1:E432,3,FALSE),J295)</f>
        <v>-172.8180547522</v>
      </c>
      <c r="G295" s="46"/>
      <c r="H295" s="149">
        <f>RANK(I295,I3:I432)</f>
        <v>334</v>
      </c>
      <c r="I295" s="150">
        <f>VLOOKUP(A295,'Standard Deviations'!A1:C731,3,FALSE)</f>
        <v>-3.36358286016258</v>
      </c>
      <c r="J295" s="150">
        <f>I295-VLOOKUP(B$2,H1:J432,2,FALSE)</f>
        <v>-6.6423369835479</v>
      </c>
    </row>
    <row r="296" ht="21.25" customHeight="1">
      <c r="A296" t="s" s="8">
        <v>724</v>
      </c>
      <c r="B296" t="s" s="148">
        <f>VLOOKUP(A296,'The List'!B1:D730,3,FALSE)</f>
        <v>107</v>
      </c>
      <c r="C296" s="54">
        <f>IF('Settings'!$E$15="POINTS",RANK(E296,E3:E432),H296)</f>
        <v>275</v>
      </c>
      <c r="D296" t="s" s="42">
        <f>VLOOKUP(A296,'The List'!B1:F730,5,FALSE)</f>
        <v>151</v>
      </c>
      <c r="E296" s="46">
        <f>VLOOKUP(A296,'The List'!B1:I730,8,FALSE)</f>
        <v>200.023396813174</v>
      </c>
      <c r="F296" s="46">
        <f>IF('Settings'!$E$15="POINTS",E296-VLOOKUP(B$2,C1:E432,3,FALSE),J296)</f>
        <v>-149.804578592040</v>
      </c>
      <c r="G296" s="46"/>
      <c r="H296" s="149">
        <f>RANK(I296,I3:I432)</f>
        <v>242</v>
      </c>
      <c r="I296" s="150">
        <f>VLOOKUP(A296,'Standard Deviations'!A1:C731,3,FALSE)</f>
        <v>-1.37571949271925</v>
      </c>
      <c r="J296" s="150">
        <f>I296-VLOOKUP(B$2,H1:J432,2,FALSE)</f>
        <v>-4.65447361610457</v>
      </c>
    </row>
    <row r="297" ht="21.25" customHeight="1">
      <c r="A297" t="s" s="8">
        <v>714</v>
      </c>
      <c r="B297" t="s" s="148">
        <f>VLOOKUP(A297,'The List'!B1:D730,3,FALSE)</f>
        <v>133</v>
      </c>
      <c r="C297" s="54">
        <f>IF('Settings'!$E$15="POINTS",RANK(E297,E3:E432),H297)</f>
        <v>281</v>
      </c>
      <c r="D297" t="s" s="42">
        <f>VLOOKUP(A297,'The List'!B1:F730,5,FALSE)</f>
        <v>189</v>
      </c>
      <c r="E297" s="46">
        <f>VLOOKUP(A297,'The List'!B1:I730,8,FALSE)</f>
        <v>198.697798060107</v>
      </c>
      <c r="F297" s="46">
        <f>IF('Settings'!$E$15="POINTS",E297-VLOOKUP(B$2,C1:E432,3,FALSE),J297)</f>
        <v>-151.130177345107</v>
      </c>
      <c r="G297" s="46"/>
      <c r="H297" s="149">
        <f>RANK(I297,I3:I432)</f>
        <v>374</v>
      </c>
      <c r="I297" s="150">
        <f>VLOOKUP(A297,'Standard Deviations'!A1:C731,3,FALSE)</f>
        <v>-4.25975743700651</v>
      </c>
      <c r="J297" s="150">
        <f>I297-VLOOKUP(B$2,H1:J432,2,FALSE)</f>
        <v>-7.53851156039183</v>
      </c>
    </row>
    <row r="298" ht="21.25" customHeight="1">
      <c r="A298" t="s" s="8">
        <v>722</v>
      </c>
      <c r="B298" t="s" s="148">
        <f>VLOOKUP(A298,'The List'!B1:D730,3,FALSE)</f>
        <v>133</v>
      </c>
      <c r="C298" s="54">
        <f>IF('Settings'!$E$15="POINTS",RANK(E298,E3:E432),H298)</f>
        <v>304</v>
      </c>
      <c r="D298" t="s" s="42">
        <f>VLOOKUP(A298,'The List'!B1:F730,5,FALSE)</f>
        <v>156</v>
      </c>
      <c r="E298" s="46">
        <f>VLOOKUP(A298,'The List'!B1:I730,8,FALSE)</f>
        <v>180.221042963510</v>
      </c>
      <c r="F298" s="46">
        <f>IF('Settings'!$E$15="POINTS",E298-VLOOKUP(B$2,C1:E432,3,FALSE),J298)</f>
        <v>-169.606932441704</v>
      </c>
      <c r="G298" s="46"/>
      <c r="H298" s="149">
        <f>RANK(I298,I3:I432)</f>
        <v>307</v>
      </c>
      <c r="I298" s="150">
        <f>VLOOKUP(A298,'Standard Deviations'!A1:C731,3,FALSE)</f>
        <v>-2.86984292001982</v>
      </c>
      <c r="J298" s="150">
        <f>I298-VLOOKUP(B$2,H1:J432,2,FALSE)</f>
        <v>-6.14859704340514</v>
      </c>
    </row>
    <row r="299" ht="21.25" customHeight="1">
      <c r="A299" t="s" s="8">
        <v>727</v>
      </c>
      <c r="B299" t="s" s="148">
        <f>VLOOKUP(A299,'The List'!B1:D730,3,FALSE)</f>
        <v>107</v>
      </c>
      <c r="C299" s="54">
        <f>IF('Settings'!$E$15="POINTS",RANK(E299,E3:E432),H299)</f>
        <v>308</v>
      </c>
      <c r="D299" t="s" s="42">
        <f>VLOOKUP(A299,'The List'!B1:F730,5,FALSE)</f>
        <v>115</v>
      </c>
      <c r="E299" s="46">
        <f>VLOOKUP(A299,'The List'!B1:I730,8,FALSE)</f>
        <v>178.500254643489</v>
      </c>
      <c r="F299" s="46">
        <f>IF('Settings'!$E$15="POINTS",E299-VLOOKUP(B$2,C1:E432,3,FALSE),J299)</f>
        <v>-171.327720761725</v>
      </c>
      <c r="G299" s="46"/>
      <c r="H299" s="149">
        <f>RANK(I299,I3:I432)</f>
        <v>266</v>
      </c>
      <c r="I299" s="150">
        <f>VLOOKUP(A299,'Standard Deviations'!A1:C731,3,FALSE)</f>
        <v>-2.1360830669771</v>
      </c>
      <c r="J299" s="150">
        <f>I299-VLOOKUP(B$2,H1:J432,2,FALSE)</f>
        <v>-5.41483719036242</v>
      </c>
    </row>
    <row r="300" ht="21.25" customHeight="1">
      <c r="A300" t="s" s="8">
        <v>701</v>
      </c>
      <c r="B300" t="s" s="148">
        <f>VLOOKUP(A300,'The List'!B1:D730,3,FALSE)</f>
        <v>121</v>
      </c>
      <c r="C300" s="54">
        <f>IF('Settings'!$E$15="POINTS",RANK(E300,E3:E432),H300)</f>
        <v>288</v>
      </c>
      <c r="D300" t="s" s="42">
        <f>VLOOKUP(A300,'The List'!B1:F730,5,FALSE)</f>
        <v>113</v>
      </c>
      <c r="E300" s="46">
        <f>VLOOKUP(A300,'The List'!B1:I730,8,FALSE)</f>
        <v>192.800673557396</v>
      </c>
      <c r="F300" s="46">
        <f>IF('Settings'!$E$15="POINTS",E300-VLOOKUP(B$2,C1:E432,3,FALSE),J300)</f>
        <v>-157.027301847818</v>
      </c>
      <c r="G300" s="46"/>
      <c r="H300" s="149">
        <f>RANK(I300,I3:I432)</f>
        <v>245</v>
      </c>
      <c r="I300" s="150">
        <f>VLOOKUP(A300,'Standard Deviations'!A1:C731,3,FALSE)</f>
        <v>-1.56606951236804</v>
      </c>
      <c r="J300" s="150">
        <f>I300-VLOOKUP(B$2,H1:J432,2,FALSE)</f>
        <v>-4.84482363575336</v>
      </c>
    </row>
    <row r="301" ht="21.25" customHeight="1">
      <c r="A301" t="s" s="8">
        <v>699</v>
      </c>
      <c r="B301" t="s" s="148">
        <f>VLOOKUP(A301,'The List'!B1:D730,3,FALSE)</f>
        <v>121</v>
      </c>
      <c r="C301" s="54">
        <f>IF('Settings'!$E$15="POINTS",RANK(E301,E3:E432),H301)</f>
        <v>356</v>
      </c>
      <c r="D301" t="s" s="42">
        <f>VLOOKUP(A301,'The List'!B1:F730,5,FALSE)</f>
        <v>139</v>
      </c>
      <c r="E301" s="46">
        <f>VLOOKUP(A301,'The List'!B1:I730,8,FALSE)</f>
        <v>157.183292644769</v>
      </c>
      <c r="F301" s="46">
        <f>IF('Settings'!$E$15="POINTS",E301-VLOOKUP(B$2,C1:E432,3,FALSE),J301)</f>
        <v>-192.644682760445</v>
      </c>
      <c r="G301" s="46"/>
      <c r="H301" s="149">
        <f>RANK(I301,I3:I432)</f>
        <v>323</v>
      </c>
      <c r="I301" s="150">
        <f>VLOOKUP(A301,'Standard Deviations'!A1:C731,3,FALSE)</f>
        <v>-3.15780926522827</v>
      </c>
      <c r="J301" s="150">
        <f>I301-VLOOKUP(B$2,H1:J432,2,FALSE)</f>
        <v>-6.43656338861359</v>
      </c>
    </row>
    <row r="302" ht="21.25" customHeight="1">
      <c r="A302" t="s" s="8">
        <v>704</v>
      </c>
      <c r="B302" t="s" s="148">
        <f>VLOOKUP(A302,'The List'!B1:D730,3,FALSE)</f>
        <v>118</v>
      </c>
      <c r="C302" s="54">
        <f>IF('Settings'!$E$15="POINTS",RANK(E302,E3:E432),H302)</f>
        <v>322</v>
      </c>
      <c r="D302" t="s" s="42">
        <f>VLOOKUP(A302,'The List'!B1:F730,5,FALSE)</f>
        <v>189</v>
      </c>
      <c r="E302" s="46">
        <f>VLOOKUP(A302,'The List'!B1:I730,8,FALSE)</f>
        <v>172.852951068026</v>
      </c>
      <c r="F302" s="46">
        <f>IF('Settings'!$E$15="POINTS",E302-VLOOKUP(B$2,C1:E432,3,FALSE),J302)</f>
        <v>-176.975024337188</v>
      </c>
      <c r="G302" s="46"/>
      <c r="H302" s="149">
        <f>RANK(I302,I3:I432)</f>
        <v>359</v>
      </c>
      <c r="I302" s="150">
        <f>VLOOKUP(A302,'Standard Deviations'!A1:C731,3,FALSE)</f>
        <v>-4.08911533290388</v>
      </c>
      <c r="J302" s="150">
        <f>I302-VLOOKUP(B$2,H1:J432,2,FALSE)</f>
        <v>-7.3678694562892</v>
      </c>
    </row>
    <row r="303" ht="21.25" customHeight="1">
      <c r="A303" t="s" s="8">
        <v>734</v>
      </c>
      <c r="B303" t="s" s="148">
        <f>VLOOKUP(A303,'The List'!B1:D730,3,FALSE)</f>
        <v>107</v>
      </c>
      <c r="C303" s="54">
        <f>IF('Settings'!$E$15="POINTS",RANK(E303,E3:E432),H303)</f>
        <v>330</v>
      </c>
      <c r="D303" t="s" s="42">
        <f>VLOOKUP(A303,'The List'!B1:F730,5,FALSE)</f>
        <v>108</v>
      </c>
      <c r="E303" s="46">
        <f>VLOOKUP(A303,'The List'!B1:I730,8,FALSE)</f>
        <v>170.821154700408</v>
      </c>
      <c r="F303" s="46">
        <f>IF('Settings'!$E$15="POINTS",E303-VLOOKUP(B$2,C1:E432,3,FALSE),J303)</f>
        <v>-179.006820704806</v>
      </c>
      <c r="G303" s="46"/>
      <c r="H303" s="149">
        <f>RANK(I303,I3:I432)</f>
        <v>264</v>
      </c>
      <c r="I303" s="150">
        <f>VLOOKUP(A303,'Standard Deviations'!A1:C731,3,FALSE)</f>
        <v>-2.03813580686749</v>
      </c>
      <c r="J303" s="150">
        <f>I303-VLOOKUP(B$2,H1:J432,2,FALSE)</f>
        <v>-5.31688993025281</v>
      </c>
    </row>
    <row r="304" ht="21.25" customHeight="1">
      <c r="A304" t="s" s="8">
        <v>733</v>
      </c>
      <c r="B304" t="s" s="148">
        <f>VLOOKUP(A304,'The List'!B1:D730,3,FALSE)</f>
        <v>107</v>
      </c>
      <c r="C304" s="54">
        <f>IF('Settings'!$E$15="POINTS",RANK(E304,E3:E432),H304)</f>
        <v>301</v>
      </c>
      <c r="D304" t="s" s="42">
        <f>VLOOKUP(A304,'The List'!B1:F730,5,FALSE)</f>
        <v>170</v>
      </c>
      <c r="E304" s="46">
        <f>VLOOKUP(A304,'The List'!B1:I730,8,FALSE)</f>
        <v>181.240560789650</v>
      </c>
      <c r="F304" s="46">
        <f>IF('Settings'!$E$15="POINTS",E304-VLOOKUP(B$2,C1:E432,3,FALSE),J304)</f>
        <v>-168.587414615564</v>
      </c>
      <c r="G304" s="46"/>
      <c r="H304" s="149">
        <f>RANK(I304,I3:I432)</f>
        <v>280</v>
      </c>
      <c r="I304" s="150">
        <f>VLOOKUP(A304,'Standard Deviations'!A1:C731,3,FALSE)</f>
        <v>-2.39763606349625</v>
      </c>
      <c r="J304" s="150">
        <f>I304-VLOOKUP(B$2,H1:J432,2,FALSE)</f>
        <v>-5.67639018688157</v>
      </c>
    </row>
    <row r="305" ht="21.25" customHeight="1">
      <c r="A305" t="s" s="8">
        <v>717</v>
      </c>
      <c r="B305" t="s" s="148">
        <f>VLOOKUP(A305,'The List'!B1:D730,3,FALSE)</f>
        <v>133</v>
      </c>
      <c r="C305" s="54">
        <f>IF('Settings'!$E$15="POINTS",RANK(E305,E3:E432),H305)</f>
        <v>315</v>
      </c>
      <c r="D305" t="s" s="42">
        <f>VLOOKUP(A305,'The List'!B1:F730,5,FALSE)</f>
        <v>258</v>
      </c>
      <c r="E305" s="46">
        <f>VLOOKUP(A305,'The List'!B1:I730,8,FALSE)</f>
        <v>175.409744043037</v>
      </c>
      <c r="F305" s="46">
        <f>IF('Settings'!$E$15="POINTS",E305-VLOOKUP(B$2,C1:E432,3,FALSE),J305)</f>
        <v>-174.418231362177</v>
      </c>
      <c r="G305" s="46"/>
      <c r="H305" s="149">
        <f>RANK(I305,I3:I432)</f>
        <v>360</v>
      </c>
      <c r="I305" s="150">
        <f>VLOOKUP(A305,'Standard Deviations'!A1:C731,3,FALSE)</f>
        <v>-4.09325363854253</v>
      </c>
      <c r="J305" s="150">
        <f>I305-VLOOKUP(B$2,H1:J432,2,FALSE)</f>
        <v>-7.37200776192785</v>
      </c>
    </row>
    <row r="306" ht="21.25" customHeight="1">
      <c r="A306" t="s" s="8">
        <v>709</v>
      </c>
      <c r="B306" t="s" s="148">
        <f>VLOOKUP(A306,'The List'!B1:D730,3,FALSE)</f>
        <v>121</v>
      </c>
      <c r="C306" s="54">
        <f>IF('Settings'!$E$15="POINTS",RANK(E306,E3:E432),H306)</f>
        <v>294</v>
      </c>
      <c r="D306" t="s" s="42">
        <f>VLOOKUP(A306,'The List'!B1:F730,5,FALSE)</f>
        <v>202</v>
      </c>
      <c r="E306" s="46">
        <f>VLOOKUP(A306,'The List'!B1:I730,8,FALSE)</f>
        <v>185.889390417866</v>
      </c>
      <c r="F306" s="46">
        <f>IF('Settings'!$E$15="POINTS",E306-VLOOKUP(B$2,C1:E432,3,FALSE),J306)</f>
        <v>-163.938584987348</v>
      </c>
      <c r="G306" s="46"/>
      <c r="H306" s="149">
        <f>RANK(I306,I3:I432)</f>
        <v>237</v>
      </c>
      <c r="I306" s="150">
        <f>VLOOKUP(A306,'Standard Deviations'!A1:C731,3,FALSE)</f>
        <v>-1.23444741462918</v>
      </c>
      <c r="J306" s="150">
        <f>I306-VLOOKUP(B$2,H1:J432,2,FALSE)</f>
        <v>-4.5132015380145</v>
      </c>
    </row>
    <row r="307" ht="21.25" customHeight="1">
      <c r="A307" t="s" s="8">
        <v>736</v>
      </c>
      <c r="B307" t="s" s="148">
        <f>VLOOKUP(A307,'The List'!B1:D730,3,FALSE)</f>
        <v>107</v>
      </c>
      <c r="C307" s="54">
        <f>IF('Settings'!$E$15="POINTS",RANK(E307,E3:E432),H307)</f>
        <v>312</v>
      </c>
      <c r="D307" t="s" s="42">
        <f>VLOOKUP(A307,'The List'!B1:F730,5,FALSE)</f>
        <v>119</v>
      </c>
      <c r="E307" s="46">
        <f>VLOOKUP(A307,'The List'!B1:I730,8,FALSE)</f>
        <v>176.440582237669</v>
      </c>
      <c r="F307" s="46">
        <f>IF('Settings'!$E$15="POINTS",E307-VLOOKUP(B$2,C1:E432,3,FALSE),J307)</f>
        <v>-173.387393167545</v>
      </c>
      <c r="G307" s="46"/>
      <c r="H307" s="149">
        <f>RANK(I307,I3:I432)</f>
        <v>282</v>
      </c>
      <c r="I307" s="150">
        <f>VLOOKUP(A307,'Standard Deviations'!A1:C731,3,FALSE)</f>
        <v>-2.4158090755457</v>
      </c>
      <c r="J307" s="150">
        <f>I307-VLOOKUP(B$2,H1:J432,2,FALSE)</f>
        <v>-5.69456319893102</v>
      </c>
    </row>
    <row r="308" ht="21.25" customHeight="1">
      <c r="A308" t="s" s="8">
        <v>738</v>
      </c>
      <c r="B308" t="s" s="148">
        <f>VLOOKUP(A308,'The List'!B1:D730,3,FALSE)</f>
        <v>107</v>
      </c>
      <c r="C308" s="54">
        <f>IF('Settings'!$E$15="POINTS",RANK(E308,E3:E432),H308)</f>
        <v>286</v>
      </c>
      <c r="D308" t="s" s="42">
        <f>VLOOKUP(A308,'The List'!B1:F730,5,FALSE)</f>
        <v>115</v>
      </c>
      <c r="E308" s="46">
        <f>VLOOKUP(A308,'The List'!B1:I730,8,FALSE)</f>
        <v>195.433075328662</v>
      </c>
      <c r="F308" s="46">
        <f>IF('Settings'!$E$15="POINTS",E308-VLOOKUP(B$2,C1:E432,3,FALSE),J308)</f>
        <v>-154.394900076552</v>
      </c>
      <c r="G308" s="46"/>
      <c r="H308" s="149">
        <f>RANK(I308,I3:I432)</f>
        <v>284</v>
      </c>
      <c r="I308" s="150">
        <f>VLOOKUP(A308,'Standard Deviations'!A1:C731,3,FALSE)</f>
        <v>-2.42227223777488</v>
      </c>
      <c r="J308" s="150">
        <f>I308-VLOOKUP(B$2,H1:J432,2,FALSE)</f>
        <v>-5.7010263611602</v>
      </c>
    </row>
    <row r="309" ht="21.25" customHeight="1">
      <c r="A309" t="s" s="8">
        <v>739</v>
      </c>
      <c r="B309" t="s" s="148">
        <f>VLOOKUP(A309,'The List'!B1:D730,3,FALSE)</f>
        <v>107</v>
      </c>
      <c r="C309" s="54">
        <f>IF('Settings'!$E$15="POINTS",RANK(E309,E3:E432),H309)</f>
        <v>361</v>
      </c>
      <c r="D309" t="s" s="42">
        <f>VLOOKUP(A309,'The List'!B1:F730,5,FALSE)</f>
        <v>238</v>
      </c>
      <c r="E309" s="46">
        <f>VLOOKUP(A309,'The List'!B1:I730,8,FALSE)</f>
        <v>155.418355686176</v>
      </c>
      <c r="F309" s="46">
        <f>IF('Settings'!$E$15="POINTS",E309-VLOOKUP(B$2,C1:E432,3,FALSE),J309)</f>
        <v>-194.409619719038</v>
      </c>
      <c r="G309" s="46"/>
      <c r="H309" s="149">
        <f>RANK(I309,I3:I432)</f>
        <v>296</v>
      </c>
      <c r="I309" s="150">
        <f>VLOOKUP(A309,'Standard Deviations'!A1:C731,3,FALSE)</f>
        <v>-2.69063472192132</v>
      </c>
      <c r="J309" s="150">
        <f>I309-VLOOKUP(B$2,H1:J432,2,FALSE)</f>
        <v>-5.96938884530664</v>
      </c>
    </row>
    <row r="310" ht="21.25" customHeight="1">
      <c r="A310" t="s" s="8">
        <v>740</v>
      </c>
      <c r="B310" t="s" s="148">
        <f>VLOOKUP(A310,'The List'!B1:D730,3,FALSE)</f>
        <v>107</v>
      </c>
      <c r="C310" s="54">
        <f>IF('Settings'!$E$15="POINTS",RANK(E310,E3:E432),H310)</f>
        <v>324</v>
      </c>
      <c r="D310" t="s" s="42">
        <f>VLOOKUP(A310,'The List'!B1:F730,5,FALSE)</f>
        <v>218</v>
      </c>
      <c r="E310" s="46">
        <f>VLOOKUP(A310,'The List'!B1:I730,8,FALSE)</f>
        <v>172.075896153492</v>
      </c>
      <c r="F310" s="46">
        <f>IF('Settings'!$E$15="POINTS",E310-VLOOKUP(B$2,C1:E432,3,FALSE),J310)</f>
        <v>-177.752079251722</v>
      </c>
      <c r="G310" s="46"/>
      <c r="H310" s="149">
        <f>RANK(I310,I3:I432)</f>
        <v>260</v>
      </c>
      <c r="I310" s="150">
        <f>VLOOKUP(A310,'Standard Deviations'!A1:C731,3,FALSE)</f>
        <v>-1.90738824503158</v>
      </c>
      <c r="J310" s="150">
        <f>I310-VLOOKUP(B$2,H1:J432,2,FALSE)</f>
        <v>-5.1861423684169</v>
      </c>
    </row>
    <row r="311" ht="21.25" customHeight="1">
      <c r="A311" t="s" s="8">
        <v>742</v>
      </c>
      <c r="B311" t="s" s="148">
        <f>VLOOKUP(A311,'The List'!B1:D730,3,FALSE)</f>
        <v>107</v>
      </c>
      <c r="C311" s="54">
        <f>IF('Settings'!$E$15="POINTS",RANK(E311,E3:E432),H311)</f>
        <v>306</v>
      </c>
      <c r="D311" t="s" s="42">
        <f>VLOOKUP(A311,'The List'!B1:F730,5,FALSE)</f>
        <v>164</v>
      </c>
      <c r="E311" s="46">
        <f>VLOOKUP(A311,'The List'!B1:I730,8,FALSE)</f>
        <v>178.816936606785</v>
      </c>
      <c r="F311" s="46">
        <f>IF('Settings'!$E$15="POINTS",E311-VLOOKUP(B$2,C1:E432,3,FALSE),J311)</f>
        <v>-171.011038798429</v>
      </c>
      <c r="G311" s="46"/>
      <c r="H311" s="149">
        <f>RANK(I311,I3:I432)</f>
        <v>273</v>
      </c>
      <c r="I311" s="150">
        <f>VLOOKUP(A311,'Standard Deviations'!A1:C731,3,FALSE)</f>
        <v>-2.28337024697334</v>
      </c>
      <c r="J311" s="150">
        <f>I311-VLOOKUP(B$2,H1:J432,2,FALSE)</f>
        <v>-5.56212437035866</v>
      </c>
    </row>
    <row r="312" ht="21.25" customHeight="1">
      <c r="A312" t="s" s="8">
        <v>716</v>
      </c>
      <c r="B312" t="s" s="148">
        <f>VLOOKUP(A312,'The List'!B1:D730,3,FALSE)</f>
        <v>121</v>
      </c>
      <c r="C312" s="54">
        <f>IF('Settings'!$E$15="POINTS",RANK(E312,E3:E432),H312)</f>
        <v>293</v>
      </c>
      <c r="D312" t="s" s="42">
        <f>VLOOKUP(A312,'The List'!B1:F730,5,FALSE)</f>
        <v>173</v>
      </c>
      <c r="E312" s="46">
        <f>VLOOKUP(A312,'The List'!B1:I730,8,FALSE)</f>
        <v>187.865949512912</v>
      </c>
      <c r="F312" s="46">
        <f>IF('Settings'!$E$15="POINTS",E312-VLOOKUP(B$2,C1:E432,3,FALSE),J312)</f>
        <v>-161.962025892302</v>
      </c>
      <c r="G312" s="46"/>
      <c r="H312" s="149">
        <f>RANK(I312,I3:I432)</f>
        <v>295</v>
      </c>
      <c r="I312" s="150">
        <f>VLOOKUP(A312,'Standard Deviations'!A1:C731,3,FALSE)</f>
        <v>-2.66963109533175</v>
      </c>
      <c r="J312" s="150">
        <f>I312-VLOOKUP(B$2,H1:J432,2,FALSE)</f>
        <v>-5.94838521871707</v>
      </c>
    </row>
    <row r="313" ht="21.25" customHeight="1">
      <c r="A313" t="s" s="8">
        <v>747</v>
      </c>
      <c r="B313" t="s" s="148">
        <f>VLOOKUP(A313,'The List'!B1:D730,3,FALSE)</f>
        <v>107</v>
      </c>
      <c r="C313" s="54">
        <f>IF('Settings'!$E$15="POINTS",RANK(E313,E3:E432),H313)</f>
        <v>329</v>
      </c>
      <c r="D313" t="s" s="42">
        <f>VLOOKUP(A313,'The List'!B1:F730,5,FALSE)</f>
        <v>136</v>
      </c>
      <c r="E313" s="46">
        <f>VLOOKUP(A313,'The List'!B1:I730,8,FALSE)</f>
        <v>170.855535245220</v>
      </c>
      <c r="F313" s="46">
        <f>IF('Settings'!$E$15="POINTS",E313-VLOOKUP(B$2,C1:E432,3,FALSE),J313)</f>
        <v>-178.972440159994</v>
      </c>
      <c r="G313" s="46"/>
      <c r="H313" s="149">
        <f>RANK(I313,I3:I432)</f>
        <v>257</v>
      </c>
      <c r="I313" s="150">
        <f>VLOOKUP(A313,'Standard Deviations'!A1:C731,3,FALSE)</f>
        <v>-1.87755145699116</v>
      </c>
      <c r="J313" s="150">
        <f>I313-VLOOKUP(B$2,H1:J432,2,FALSE)</f>
        <v>-5.15630558037648</v>
      </c>
    </row>
    <row r="314" ht="21.25" customHeight="1">
      <c r="A314" t="s" s="8">
        <v>720</v>
      </c>
      <c r="B314" t="s" s="148">
        <f>VLOOKUP(A314,'The List'!B1:D730,3,FALSE)</f>
        <v>121</v>
      </c>
      <c r="C314" s="54">
        <f>IF('Settings'!$E$15="POINTS",RANK(E314,E3:E432),H314)</f>
        <v>365</v>
      </c>
      <c r="D314" t="s" s="42">
        <f>VLOOKUP(A314,'The List'!B1:F730,5,FALSE)</f>
        <v>127</v>
      </c>
      <c r="E314" s="46">
        <f>VLOOKUP(A314,'The List'!B1:I730,8,FALSE)</f>
        <v>153.313808749031</v>
      </c>
      <c r="F314" s="46">
        <f>IF('Settings'!$E$15="POINTS",E314-VLOOKUP(B$2,C1:E432,3,FALSE),J314)</f>
        <v>-196.514166656183</v>
      </c>
      <c r="G314" s="46"/>
      <c r="H314" s="149">
        <f>RANK(I314,I3:I432)</f>
        <v>327</v>
      </c>
      <c r="I314" s="150">
        <f>VLOOKUP(A314,'Standard Deviations'!A1:C731,3,FALSE)</f>
        <v>-3.18605554465101</v>
      </c>
      <c r="J314" s="150">
        <f>I314-VLOOKUP(B$2,H1:J432,2,FALSE)</f>
        <v>-6.46480966803633</v>
      </c>
    </row>
    <row r="315" ht="21.25" customHeight="1">
      <c r="A315" t="s" s="8">
        <v>735</v>
      </c>
      <c r="B315" t="s" s="148">
        <f>VLOOKUP(A315,'The List'!B1:D730,3,FALSE)</f>
        <v>133</v>
      </c>
      <c r="C315" s="54">
        <f>IF('Settings'!$E$15="POINTS",RANK(E315,E3:E432),H315)</f>
        <v>336</v>
      </c>
      <c r="D315" t="s" s="42">
        <f>VLOOKUP(A315,'The List'!B1:F730,5,FALSE)</f>
        <v>292</v>
      </c>
      <c r="E315" s="46">
        <f>VLOOKUP(A315,'The List'!B1:I730,8,FALSE)</f>
        <v>168.882071379367</v>
      </c>
      <c r="F315" s="46">
        <f>IF('Settings'!$E$15="POINTS",E315-VLOOKUP(B$2,C1:E432,3,FALSE),J315)</f>
        <v>-180.945904025847</v>
      </c>
      <c r="G315" s="46"/>
      <c r="H315" s="149">
        <f>RANK(I315,I3:I432)</f>
        <v>314</v>
      </c>
      <c r="I315" s="150">
        <f>VLOOKUP(A315,'Standard Deviations'!A1:C731,3,FALSE)</f>
        <v>-2.98899330112868</v>
      </c>
      <c r="J315" s="150">
        <f>I315-VLOOKUP(B$2,H1:J432,2,FALSE)</f>
        <v>-6.267747424514</v>
      </c>
    </row>
    <row r="316" ht="21.25" customHeight="1">
      <c r="A316" t="s" s="8">
        <v>750</v>
      </c>
      <c r="B316" t="s" s="148">
        <f>VLOOKUP(A316,'The List'!B1:D730,3,FALSE)</f>
        <v>107</v>
      </c>
      <c r="C316" s="54">
        <f>IF('Settings'!$E$15="POINTS",RANK(E316,E3:E432),H316)</f>
        <v>333</v>
      </c>
      <c r="D316" t="s" s="42">
        <f>VLOOKUP(A316,'The List'!B1:F730,5,FALSE)</f>
        <v>258</v>
      </c>
      <c r="E316" s="46">
        <f>VLOOKUP(A316,'The List'!B1:I730,8,FALSE)</f>
        <v>169.323815551499</v>
      </c>
      <c r="F316" s="46">
        <f>IF('Settings'!$E$15="POINTS",E316-VLOOKUP(B$2,C1:E432,3,FALSE),J316)</f>
        <v>-180.504159853715</v>
      </c>
      <c r="G316" s="46"/>
      <c r="H316" s="149">
        <f>RANK(I316,I3:I432)</f>
        <v>393</v>
      </c>
      <c r="I316" s="150">
        <f>VLOOKUP(A316,'Standard Deviations'!A1:C731,3,FALSE)</f>
        <v>-4.56372176573409</v>
      </c>
      <c r="J316" s="150">
        <f>I316-VLOOKUP(B$2,H1:J432,2,FALSE)</f>
        <v>-7.84247588911941</v>
      </c>
    </row>
    <row r="317" ht="21.25" customHeight="1">
      <c r="A317" t="s" s="8">
        <v>723</v>
      </c>
      <c r="B317" t="s" s="148">
        <f>VLOOKUP(A317,'The List'!B1:D730,3,FALSE)</f>
        <v>121</v>
      </c>
      <c r="C317" s="54">
        <f>IF('Settings'!$E$15="POINTS",RANK(E317,E3:E432),H317)</f>
        <v>269</v>
      </c>
      <c r="D317" t="s" s="42">
        <f>VLOOKUP(A317,'The List'!B1:F730,5,FALSE)</f>
        <v>236</v>
      </c>
      <c r="E317" s="46">
        <f>VLOOKUP(A317,'The List'!B1:I730,8,FALSE)</f>
        <v>202.932790008719</v>
      </c>
      <c r="F317" s="46">
        <f>IF('Settings'!$E$15="POINTS",E317-VLOOKUP(B$2,C1:E432,3,FALSE),J317)</f>
        <v>-146.895185396495</v>
      </c>
      <c r="G317" s="46"/>
      <c r="H317" s="149">
        <f>RANK(I317,I3:I432)</f>
        <v>342</v>
      </c>
      <c r="I317" s="150">
        <f>VLOOKUP(A317,'Standard Deviations'!A1:C731,3,FALSE)</f>
        <v>-3.58549118060516</v>
      </c>
      <c r="J317" s="150">
        <f>I317-VLOOKUP(B$2,H1:J432,2,FALSE)</f>
        <v>-6.86424530399048</v>
      </c>
    </row>
    <row r="318" ht="21.25" customHeight="1">
      <c r="A318" t="s" s="8">
        <v>755</v>
      </c>
      <c r="B318" t="s" s="148">
        <f>VLOOKUP(A318,'The List'!B1:D730,3,FALSE)</f>
        <v>107</v>
      </c>
      <c r="C318" s="54">
        <f>IF('Settings'!$E$15="POINTS",RANK(E318,E3:E432),H318)</f>
        <v>316</v>
      </c>
      <c r="D318" t="s" s="42">
        <f>VLOOKUP(A318,'The List'!B1:F730,5,FALSE)</f>
        <v>156</v>
      </c>
      <c r="E318" s="46">
        <f>VLOOKUP(A318,'The List'!B1:I730,8,FALSE)</f>
        <v>174.995011760962</v>
      </c>
      <c r="F318" s="46">
        <f>IF('Settings'!$E$15="POINTS",E318-VLOOKUP(B$2,C1:E432,3,FALSE),J318)</f>
        <v>-174.832963644252</v>
      </c>
      <c r="G318" s="46"/>
      <c r="H318" s="149">
        <f>RANK(I318,I3:I432)</f>
        <v>318</v>
      </c>
      <c r="I318" s="150">
        <f>VLOOKUP(A318,'Standard Deviations'!A1:C731,3,FALSE)</f>
        <v>-3.04692009393662</v>
      </c>
      <c r="J318" s="150">
        <f>I318-VLOOKUP(B$2,H1:J432,2,FALSE)</f>
        <v>-6.32567421732194</v>
      </c>
    </row>
    <row r="319" ht="21.25" customHeight="1">
      <c r="A319" t="s" s="8">
        <v>756</v>
      </c>
      <c r="B319" t="s" s="148">
        <f>VLOOKUP(A319,'The List'!B1:D730,3,FALSE)</f>
        <v>107</v>
      </c>
      <c r="C319" s="54">
        <f>IF('Settings'!$E$15="POINTS",RANK(E319,E3:E432),H319)</f>
        <v>344</v>
      </c>
      <c r="D319" t="s" s="42">
        <f>VLOOKUP(A319,'The List'!B1:F730,5,FALSE)</f>
        <v>139</v>
      </c>
      <c r="E319" s="46">
        <f>VLOOKUP(A319,'The List'!B1:I730,8,FALSE)</f>
        <v>163.913184241338</v>
      </c>
      <c r="F319" s="46">
        <f>IF('Settings'!$E$15="POINTS",E319-VLOOKUP(B$2,C1:E432,3,FALSE),J319)</f>
        <v>-185.914791163876</v>
      </c>
      <c r="G319" s="46"/>
      <c r="H319" s="149">
        <f>RANK(I319,I3:I432)</f>
        <v>348</v>
      </c>
      <c r="I319" s="150">
        <f>VLOOKUP(A319,'Standard Deviations'!A1:C731,3,FALSE)</f>
        <v>-3.79461537964471</v>
      </c>
      <c r="J319" s="150">
        <f>I319-VLOOKUP(B$2,H1:J432,2,FALSE)</f>
        <v>-7.07336950303003</v>
      </c>
    </row>
    <row r="320" ht="21.25" customHeight="1">
      <c r="A320" t="s" s="8">
        <v>746</v>
      </c>
      <c r="B320" t="s" s="148">
        <f>VLOOKUP(A320,'The List'!B1:D730,3,FALSE)</f>
        <v>133</v>
      </c>
      <c r="C320" s="54">
        <f>IF('Settings'!$E$15="POINTS",RANK(E320,E3:E432),H320)</f>
        <v>277</v>
      </c>
      <c r="D320" t="s" s="42">
        <f>VLOOKUP(A320,'The List'!B1:F730,5,FALSE)</f>
        <v>194</v>
      </c>
      <c r="E320" s="46">
        <f>VLOOKUP(A320,'The List'!B1:I730,8,FALSE)</f>
        <v>199.266010038760</v>
      </c>
      <c r="F320" s="46">
        <f>IF('Settings'!$E$15="POINTS",E320-VLOOKUP(B$2,C1:E432,3,FALSE),J320)</f>
        <v>-150.561965366454</v>
      </c>
      <c r="G320" s="46"/>
      <c r="H320" s="149">
        <f>RANK(I320,I3:I432)</f>
        <v>352</v>
      </c>
      <c r="I320" s="150">
        <f>VLOOKUP(A320,'Standard Deviations'!A1:C731,3,FALSE)</f>
        <v>-3.88223289008194</v>
      </c>
      <c r="J320" s="150">
        <f>I320-VLOOKUP(B$2,H1:J432,2,FALSE)</f>
        <v>-7.16098701346726</v>
      </c>
    </row>
    <row r="321" ht="21.25" customHeight="1">
      <c r="A321" t="s" s="8">
        <v>765</v>
      </c>
      <c r="B321" t="s" s="148">
        <f>VLOOKUP(A321,'The List'!B1:D730,3,FALSE)</f>
        <v>107</v>
      </c>
      <c r="C321" s="54">
        <f>IF('Settings'!$E$15="POINTS",RANK(E321,E3:E432),H321)</f>
        <v>255</v>
      </c>
      <c r="D321" t="s" s="42">
        <f>VLOOKUP(A321,'The List'!B1:F730,5,FALSE)</f>
        <v>196</v>
      </c>
      <c r="E321" s="46">
        <f>VLOOKUP(A321,'The List'!B1:I730,8,FALSE)</f>
        <v>210.125507001176</v>
      </c>
      <c r="F321" s="46">
        <f>IF('Settings'!$E$15="POINTS",E321-VLOOKUP(B$2,C1:E432,3,FALSE),J321)</f>
        <v>-139.702468404038</v>
      </c>
      <c r="G321" s="46"/>
      <c r="H321" s="149">
        <f>RANK(I321,I3:I432)</f>
        <v>368</v>
      </c>
      <c r="I321" s="150">
        <f>VLOOKUP(A321,'Standard Deviations'!A1:C731,3,FALSE)</f>
        <v>-4.19724045344968</v>
      </c>
      <c r="J321" s="150">
        <f>I321-VLOOKUP(B$2,H1:J432,2,FALSE)</f>
        <v>-7.475994576835</v>
      </c>
    </row>
    <row r="322" ht="21.25" customHeight="1">
      <c r="A322" t="s" s="8">
        <v>769</v>
      </c>
      <c r="B322" t="s" s="148">
        <f>VLOOKUP(A322,'The List'!B1:D730,3,FALSE)</f>
        <v>107</v>
      </c>
      <c r="C322" s="54">
        <f>IF('Settings'!$E$15="POINTS",RANK(E322,E3:E432),H322)</f>
        <v>347</v>
      </c>
      <c r="D322" t="s" s="42">
        <f>VLOOKUP(A322,'The List'!B1:F730,5,FALSE)</f>
        <v>234</v>
      </c>
      <c r="E322" s="46">
        <f>VLOOKUP(A322,'The List'!B1:I730,8,FALSE)</f>
        <v>161.390150298691</v>
      </c>
      <c r="F322" s="46">
        <f>IF('Settings'!$E$15="POINTS",E322-VLOOKUP(B$2,C1:E432,3,FALSE),J322)</f>
        <v>-188.437825106523</v>
      </c>
      <c r="G322" s="46"/>
      <c r="H322" s="149">
        <f>RANK(I322,I3:I432)</f>
        <v>414</v>
      </c>
      <c r="I322" s="150">
        <f>VLOOKUP(A322,'Standard Deviations'!A1:C731,3,FALSE)</f>
        <v>-5.08462244377256</v>
      </c>
      <c r="J322" s="150">
        <f>I322-VLOOKUP(B$2,H1:J432,2,FALSE)</f>
        <v>-8.36337656715788</v>
      </c>
    </row>
    <row r="323" ht="21.25" customHeight="1">
      <c r="A323" t="s" s="8">
        <v>760</v>
      </c>
      <c r="B323" t="s" s="148">
        <f>VLOOKUP(A323,'The List'!B1:D730,3,FALSE)</f>
        <v>107</v>
      </c>
      <c r="C323" s="54">
        <f>IF('Settings'!$E$15="POINTS",RANK(E323,E3:E432),H323)</f>
        <v>278</v>
      </c>
      <c r="D323" t="s" s="42">
        <f>VLOOKUP(A323,'The List'!B1:F730,5,FALSE)</f>
        <v>166</v>
      </c>
      <c r="E323" s="46">
        <f>VLOOKUP(A323,'The List'!B1:I730,8,FALSE)</f>
        <v>198.873919148314</v>
      </c>
      <c r="F323" s="46">
        <f>IF('Settings'!$E$15="POINTS",E323-VLOOKUP(B$2,C1:E432,3,FALSE),J323)</f>
        <v>-150.9540562569</v>
      </c>
      <c r="G323" s="46"/>
      <c r="H323" s="149">
        <f>RANK(I323,I3:I432)</f>
        <v>319</v>
      </c>
      <c r="I323" s="150">
        <f>VLOOKUP(A323,'Standard Deviations'!A1:C731,3,FALSE)</f>
        <v>-3.09040988333295</v>
      </c>
      <c r="J323" s="150">
        <f>I323-VLOOKUP(B$2,H1:J432,2,FALSE)</f>
        <v>-6.36916400671827</v>
      </c>
    </row>
    <row r="324" ht="21.25" customHeight="1">
      <c r="A324" t="s" s="8">
        <v>761</v>
      </c>
      <c r="B324" t="s" s="148">
        <f>VLOOKUP(A324,'The List'!B1:D730,3,FALSE)</f>
        <v>107</v>
      </c>
      <c r="C324" s="54">
        <f>IF('Settings'!$E$15="POINTS",RANK(E324,E3:E432),H324)</f>
        <v>285</v>
      </c>
      <c r="D324" t="s" s="42">
        <f>VLOOKUP(A324,'The List'!B1:F730,5,FALSE)</f>
        <v>189</v>
      </c>
      <c r="E324" s="46">
        <f>VLOOKUP(A324,'The List'!B1:I730,8,FALSE)</f>
        <v>196.241880376873</v>
      </c>
      <c r="F324" s="46">
        <f>IF('Settings'!$E$15="POINTS",E324-VLOOKUP(B$2,C1:E432,3,FALSE),J324)</f>
        <v>-153.586095028341</v>
      </c>
      <c r="G324" s="46"/>
      <c r="H324" s="149">
        <f>RANK(I324,I3:I432)</f>
        <v>396</v>
      </c>
      <c r="I324" s="150">
        <f>VLOOKUP(A324,'Standard Deviations'!A1:C731,3,FALSE)</f>
        <v>-4.61807966903174</v>
      </c>
      <c r="J324" s="150">
        <f>I324-VLOOKUP(B$2,H1:J432,2,FALSE)</f>
        <v>-7.89683379241706</v>
      </c>
    </row>
    <row r="325" ht="21.25" customHeight="1">
      <c r="A325" t="s" s="8">
        <v>728</v>
      </c>
      <c r="B325" t="s" s="148">
        <f>VLOOKUP(A325,'The List'!B1:D730,3,FALSE)</f>
        <v>121</v>
      </c>
      <c r="C325" s="54">
        <f>IF('Settings'!$E$15="POINTS",RANK(E325,E3:E432),H325)</f>
        <v>242</v>
      </c>
      <c r="D325" t="s" s="42">
        <f>VLOOKUP(A325,'The List'!B1:F730,5,FALSE)</f>
        <v>236</v>
      </c>
      <c r="E325" s="46">
        <f>VLOOKUP(A325,'The List'!B1:I730,8,FALSE)</f>
        <v>219.157832366634</v>
      </c>
      <c r="F325" s="46">
        <f>IF('Settings'!$E$15="POINTS",E325-VLOOKUP(B$2,C1:E432,3,FALSE),J325)</f>
        <v>-130.670143038580</v>
      </c>
      <c r="G325" s="46"/>
      <c r="H325" s="149">
        <f>RANK(I325,I3:I432)</f>
        <v>341</v>
      </c>
      <c r="I325" s="150">
        <f>VLOOKUP(A325,'Standard Deviations'!A1:C731,3,FALSE)</f>
        <v>-3.577144991809</v>
      </c>
      <c r="J325" s="150">
        <f>I325-VLOOKUP(B$2,H1:J432,2,FALSE)</f>
        <v>-6.85589911519432</v>
      </c>
    </row>
    <row r="326" ht="21.25" customHeight="1">
      <c r="A326" t="s" s="8">
        <v>743</v>
      </c>
      <c r="B326" t="s" s="148">
        <f>VLOOKUP(A326,'The List'!B1:D730,3,FALSE)</f>
        <v>133</v>
      </c>
      <c r="C326" s="54">
        <f>IF('Settings'!$E$15="POINTS",RANK(E326,E3:E432),H326)</f>
        <v>305</v>
      </c>
      <c r="D326" t="s" s="42">
        <f>VLOOKUP(A326,'The List'!B1:F730,5,FALSE)</f>
        <v>139</v>
      </c>
      <c r="E326" s="46">
        <f>VLOOKUP(A326,'The List'!B1:I730,8,FALSE)</f>
        <v>179.072733785086</v>
      </c>
      <c r="F326" s="46">
        <f>IF('Settings'!$E$15="POINTS",E326-VLOOKUP(B$2,C1:E432,3,FALSE),J326)</f>
        <v>-170.755241620128</v>
      </c>
      <c r="G326" s="46"/>
      <c r="H326" s="149">
        <f>RANK(I326,I3:I432)</f>
        <v>333</v>
      </c>
      <c r="I326" s="150">
        <f>VLOOKUP(A326,'Standard Deviations'!A1:C731,3,FALSE)</f>
        <v>-3.34341268443929</v>
      </c>
      <c r="J326" s="150">
        <f>I326-VLOOKUP(B$2,H1:J432,2,FALSE)</f>
        <v>-6.62216680782461</v>
      </c>
    </row>
    <row r="327" ht="21.25" customHeight="1">
      <c r="A327" t="s" s="8">
        <v>729</v>
      </c>
      <c r="B327" t="s" s="148">
        <f>VLOOKUP(A327,'The List'!B1:D730,3,FALSE)</f>
        <v>121</v>
      </c>
      <c r="C327" s="54">
        <f>IF('Settings'!$E$15="POINTS",RANK(E327,E3:E432),H327)</f>
        <v>314</v>
      </c>
      <c r="D327" t="s" s="42">
        <f>VLOOKUP(A327,'The List'!B1:F730,5,FALSE)</f>
        <v>131</v>
      </c>
      <c r="E327" s="46">
        <f>VLOOKUP(A327,'The List'!B1:I730,8,FALSE)</f>
        <v>176.0609481014</v>
      </c>
      <c r="F327" s="46">
        <f>IF('Settings'!$E$15="POINTS",E327-VLOOKUP(B$2,C1:E432,3,FALSE),J327)</f>
        <v>-173.767027303814</v>
      </c>
      <c r="G327" s="46"/>
      <c r="H327" s="149">
        <f>RANK(I327,I3:I432)</f>
        <v>331</v>
      </c>
      <c r="I327" s="150">
        <f>VLOOKUP(A327,'Standard Deviations'!A1:C731,3,FALSE)</f>
        <v>-3.31558524493382</v>
      </c>
      <c r="J327" s="150">
        <f>I327-VLOOKUP(B$2,H1:J432,2,FALSE)</f>
        <v>-6.59433936831914</v>
      </c>
    </row>
    <row r="328" ht="21.25" customHeight="1">
      <c r="A328" t="s" s="8">
        <v>763</v>
      </c>
      <c r="B328" t="s" s="148">
        <f>VLOOKUP(A328,'The List'!B1:D730,3,FALSE)</f>
        <v>107</v>
      </c>
      <c r="C328" s="54">
        <f>IF('Settings'!$E$15="POINTS",RANK(E328,E3:E432),H328)</f>
        <v>311</v>
      </c>
      <c r="D328" t="s" s="42">
        <f>VLOOKUP(A328,'The List'!B1:F730,5,FALSE)</f>
        <v>136</v>
      </c>
      <c r="E328" s="46">
        <f>VLOOKUP(A328,'The List'!B1:I730,8,FALSE)</f>
        <v>176.701814438074</v>
      </c>
      <c r="F328" s="46">
        <f>IF('Settings'!$E$15="POINTS",E328-VLOOKUP(B$2,C1:E432,3,FALSE),J328)</f>
        <v>-173.126160967140</v>
      </c>
      <c r="G328" s="46"/>
      <c r="H328" s="149">
        <f>RANK(I328,I3:I432)</f>
        <v>285</v>
      </c>
      <c r="I328" s="150">
        <f>VLOOKUP(A328,'Standard Deviations'!A1:C731,3,FALSE)</f>
        <v>-2.42751127194227</v>
      </c>
      <c r="J328" s="150">
        <f>I328-VLOOKUP(B$2,H1:J432,2,FALSE)</f>
        <v>-5.70626539532759</v>
      </c>
    </row>
    <row r="329" ht="21.25" customHeight="1">
      <c r="A329" t="s" s="8">
        <v>730</v>
      </c>
      <c r="B329" t="s" s="148">
        <f>VLOOKUP(A329,'The List'!B1:D730,3,FALSE)</f>
        <v>121</v>
      </c>
      <c r="C329" s="54">
        <f>IF('Settings'!$E$15="POINTS",RANK(E329,E3:E432),H329)</f>
        <v>345</v>
      </c>
      <c r="D329" t="s" s="42">
        <f>VLOOKUP(A329,'The List'!B1:F730,5,FALSE)</f>
        <v>149</v>
      </c>
      <c r="E329" s="46">
        <f>VLOOKUP(A329,'The List'!B1:I730,8,FALSE)</f>
        <v>163.838295987329</v>
      </c>
      <c r="F329" s="46">
        <f>IF('Settings'!$E$15="POINTS",E329-VLOOKUP(B$2,C1:E432,3,FALSE),J329)</f>
        <v>-185.989679417885</v>
      </c>
      <c r="G329" s="46"/>
      <c r="H329" s="149">
        <f>RANK(I329,I3:I432)</f>
        <v>311</v>
      </c>
      <c r="I329" s="150">
        <f>VLOOKUP(A329,'Standard Deviations'!A1:C731,3,FALSE)</f>
        <v>-2.93140877572964</v>
      </c>
      <c r="J329" s="150">
        <f>I329-VLOOKUP(B$2,H1:J432,2,FALSE)</f>
        <v>-6.21016289911496</v>
      </c>
    </row>
    <row r="330" ht="21.25" customHeight="1">
      <c r="A330" t="s" s="8">
        <v>764</v>
      </c>
      <c r="B330" t="s" s="148">
        <f>VLOOKUP(A330,'The List'!B1:D730,3,FALSE)</f>
        <v>107</v>
      </c>
      <c r="C330" s="54">
        <f>IF('Settings'!$E$15="POINTS",RANK(E330,E3:E432),H330)</f>
        <v>366</v>
      </c>
      <c r="D330" t="s" s="42">
        <f>VLOOKUP(A330,'The List'!B1:F730,5,FALSE)</f>
        <v>139</v>
      </c>
      <c r="E330" s="46">
        <f>VLOOKUP(A330,'The List'!B1:I730,8,FALSE)</f>
        <v>152.998788494761</v>
      </c>
      <c r="F330" s="46">
        <f>IF('Settings'!$E$15="POINTS",E330-VLOOKUP(B$2,C1:E432,3,FALSE),J330)</f>
        <v>-196.829186910453</v>
      </c>
      <c r="G330" s="46"/>
      <c r="H330" s="149">
        <f>RANK(I330,I3:I432)</f>
        <v>372</v>
      </c>
      <c r="I330" s="150">
        <f>VLOOKUP(A330,'Standard Deviations'!A1:C731,3,FALSE)</f>
        <v>-4.24517277488326</v>
      </c>
      <c r="J330" s="150">
        <f>I330-VLOOKUP(B$2,H1:J432,2,FALSE)</f>
        <v>-7.52392689826858</v>
      </c>
    </row>
    <row r="331" ht="21.25" customHeight="1">
      <c r="A331" t="s" s="8">
        <v>731</v>
      </c>
      <c r="B331" t="s" s="148">
        <f>VLOOKUP(A331,'The List'!B1:D730,3,FALSE)</f>
        <v>121</v>
      </c>
      <c r="C331" s="54">
        <f>IF('Settings'!$E$15="POINTS",RANK(E331,E3:E432),H331)</f>
        <v>372</v>
      </c>
      <c r="D331" t="s" s="42">
        <f>VLOOKUP(A331,'The List'!B1:F730,5,FALSE)</f>
        <v>189</v>
      </c>
      <c r="E331" s="46">
        <f>VLOOKUP(A331,'The List'!B1:I730,8,FALSE)</f>
        <v>148.654965299365</v>
      </c>
      <c r="F331" s="46">
        <f>IF('Settings'!$E$15="POINTS",E331-VLOOKUP(B$2,C1:E432,3,FALSE),J331)</f>
        <v>-201.173010105849</v>
      </c>
      <c r="G331" s="46"/>
      <c r="H331" s="149">
        <f>RANK(I331,I3:I432)</f>
        <v>383</v>
      </c>
      <c r="I331" s="150">
        <f>VLOOKUP(A331,'Standard Deviations'!A1:C731,3,FALSE)</f>
        <v>-4.40573775672075</v>
      </c>
      <c r="J331" s="150">
        <f>I331-VLOOKUP(B$2,H1:J432,2,FALSE)</f>
        <v>-7.68449188010607</v>
      </c>
    </row>
    <row r="332" ht="21.25" customHeight="1">
      <c r="A332" t="s" s="8">
        <v>768</v>
      </c>
      <c r="B332" t="s" s="148">
        <f>VLOOKUP(A332,'The List'!B1:D730,3,FALSE)</f>
        <v>107</v>
      </c>
      <c r="C332" s="54">
        <f>IF('Settings'!$E$15="POINTS",RANK(E332,E3:E432),H332)</f>
        <v>313</v>
      </c>
      <c r="D332" t="s" s="42">
        <f>VLOOKUP(A332,'The List'!B1:F730,5,FALSE)</f>
        <v>127</v>
      </c>
      <c r="E332" s="46">
        <f>VLOOKUP(A332,'The List'!B1:I730,8,FALSE)</f>
        <v>176.223810461842</v>
      </c>
      <c r="F332" s="46">
        <f>IF('Settings'!$E$15="POINTS",E332-VLOOKUP(B$2,C1:E432,3,FALSE),J332)</f>
        <v>-173.604164943372</v>
      </c>
      <c r="G332" s="46"/>
      <c r="H332" s="149">
        <f>RANK(I332,I3:I432)</f>
        <v>332</v>
      </c>
      <c r="I332" s="150">
        <f>VLOOKUP(A332,'Standard Deviations'!A1:C731,3,FALSE)</f>
        <v>-3.32969175792333</v>
      </c>
      <c r="J332" s="150">
        <f>I332-VLOOKUP(B$2,H1:J432,2,FALSE)</f>
        <v>-6.60844588130865</v>
      </c>
    </row>
    <row r="333" ht="21.25" customHeight="1">
      <c r="A333" t="s" s="8">
        <v>732</v>
      </c>
      <c r="B333" t="s" s="148">
        <f>VLOOKUP(A333,'The List'!B1:D730,3,FALSE)</f>
        <v>121</v>
      </c>
      <c r="C333" s="54">
        <f>IF('Settings'!$E$15="POINTS",RANK(E333,E3:E432),H333)</f>
        <v>334</v>
      </c>
      <c r="D333" t="s" s="42">
        <f>VLOOKUP(A333,'The List'!B1:F730,5,FALSE)</f>
        <v>238</v>
      </c>
      <c r="E333" s="46">
        <f>VLOOKUP(A333,'The List'!B1:I730,8,FALSE)</f>
        <v>168.989131152527</v>
      </c>
      <c r="F333" s="46">
        <f>IF('Settings'!$E$15="POINTS",E333-VLOOKUP(B$2,C1:E432,3,FALSE),J333)</f>
        <v>-180.838844252687</v>
      </c>
      <c r="G333" s="46"/>
      <c r="H333" s="149">
        <f>RANK(I333,I3:I432)</f>
        <v>325</v>
      </c>
      <c r="I333" s="150">
        <f>VLOOKUP(A333,'Standard Deviations'!A1:C731,3,FALSE)</f>
        <v>-3.1740259976704</v>
      </c>
      <c r="J333" s="150">
        <f>I333-VLOOKUP(B$2,H1:J432,2,FALSE)</f>
        <v>-6.45278012105572</v>
      </c>
    </row>
    <row r="334" ht="21.25" customHeight="1">
      <c r="A334" t="s" s="8">
        <v>752</v>
      </c>
      <c r="B334" t="s" s="148">
        <f>VLOOKUP(A334,'The List'!B1:D730,3,FALSE)</f>
        <v>133</v>
      </c>
      <c r="C334" s="54">
        <f>IF('Settings'!$E$15="POINTS",RANK(E334,E3:E432),H334)</f>
        <v>303</v>
      </c>
      <c r="D334" t="s" s="42">
        <f>VLOOKUP(A334,'The List'!B1:F730,5,FALSE)</f>
        <v>292</v>
      </c>
      <c r="E334" s="46">
        <f>VLOOKUP(A334,'The List'!B1:I730,8,FALSE)</f>
        <v>180.529235211060</v>
      </c>
      <c r="F334" s="46">
        <f>IF('Settings'!$E$15="POINTS",E334-VLOOKUP(B$2,C1:E432,3,FALSE),J334)</f>
        <v>-169.298740194154</v>
      </c>
      <c r="G334" s="46"/>
      <c r="H334" s="149">
        <f>RANK(I334,I3:I432)</f>
        <v>306</v>
      </c>
      <c r="I334" s="150">
        <f>VLOOKUP(A334,'Standard Deviations'!A1:C731,3,FALSE)</f>
        <v>-2.86819051250692</v>
      </c>
      <c r="J334" s="150">
        <f>I334-VLOOKUP(B$2,H1:J432,2,FALSE)</f>
        <v>-6.14694463589224</v>
      </c>
    </row>
    <row r="335" ht="21.25" customHeight="1">
      <c r="A335" t="s" s="8">
        <v>753</v>
      </c>
      <c r="B335" t="s" s="148">
        <f>VLOOKUP(A335,'The List'!B1:D730,3,FALSE)</f>
        <v>133</v>
      </c>
      <c r="C335" s="54">
        <f>IF('Settings'!$E$15="POINTS",RANK(E335,E3:E432),H335)</f>
        <v>340</v>
      </c>
      <c r="D335" t="s" s="42">
        <f>VLOOKUP(A335,'The List'!B1:F730,5,FALSE)</f>
        <v>194</v>
      </c>
      <c r="E335" s="46">
        <f>VLOOKUP(A335,'The List'!B1:I730,8,FALSE)</f>
        <v>165.4507235523</v>
      </c>
      <c r="F335" s="46">
        <f>IF('Settings'!$E$15="POINTS",E335-VLOOKUP(B$2,C1:E432,3,FALSE),J335)</f>
        <v>-184.377251852914</v>
      </c>
      <c r="G335" s="46"/>
      <c r="H335" s="149">
        <f>RANK(I335,I3:I432)</f>
        <v>388</v>
      </c>
      <c r="I335" s="150">
        <f>VLOOKUP(A335,'Standard Deviations'!A1:C731,3,FALSE)</f>
        <v>-4.47497832473681</v>
      </c>
      <c r="J335" s="150">
        <f>I335-VLOOKUP(B$2,H1:J432,2,FALSE)</f>
        <v>-7.75373244812213</v>
      </c>
    </row>
    <row r="336" ht="21.25" customHeight="1">
      <c r="A336" t="s" s="8">
        <v>741</v>
      </c>
      <c r="B336" t="s" s="148">
        <f>VLOOKUP(A336,'The List'!B1:D730,3,FALSE)</f>
        <v>121</v>
      </c>
      <c r="C336" s="54">
        <f>IF('Settings'!$E$15="POINTS",RANK(E336,E3:E432),H336)</f>
        <v>291</v>
      </c>
      <c r="D336" t="s" s="42">
        <f>VLOOKUP(A336,'The List'!B1:F730,5,FALSE)</f>
        <v>127</v>
      </c>
      <c r="E336" s="46">
        <f>VLOOKUP(A336,'The List'!B1:I730,8,FALSE)</f>
        <v>189.767667827023</v>
      </c>
      <c r="F336" s="46">
        <f>IF('Settings'!$E$15="POINTS",E336-VLOOKUP(B$2,C1:E432,3,FALSE),J336)</f>
        <v>-160.060307578191</v>
      </c>
      <c r="G336" s="46"/>
      <c r="H336" s="149">
        <f>RANK(I336,I3:I432)</f>
        <v>299</v>
      </c>
      <c r="I336" s="150">
        <f>VLOOKUP(A336,'Standard Deviations'!A1:C731,3,FALSE)</f>
        <v>-2.7379699620691</v>
      </c>
      <c r="J336" s="150">
        <f>I336-VLOOKUP(B$2,H1:J432,2,FALSE)</f>
        <v>-6.01672408545442</v>
      </c>
    </row>
    <row r="337" ht="21.25" customHeight="1">
      <c r="A337" t="s" s="8">
        <v>773</v>
      </c>
      <c r="B337" t="s" s="148">
        <f>VLOOKUP(A337,'The List'!B1:D730,3,FALSE)</f>
        <v>107</v>
      </c>
      <c r="C337" s="54">
        <f>IF('Settings'!$E$15="POINTS",RANK(E337,E3:E432),H337)</f>
        <v>359</v>
      </c>
      <c r="D337" t="s" s="42">
        <f>VLOOKUP(A337,'The List'!B1:F730,5,FALSE)</f>
        <v>173</v>
      </c>
      <c r="E337" s="46">
        <f>VLOOKUP(A337,'The List'!B1:I730,8,FALSE)</f>
        <v>155.803542157650</v>
      </c>
      <c r="F337" s="46">
        <f>IF('Settings'!$E$15="POINTS",E337-VLOOKUP(B$2,C1:E432,3,FALSE),J337)</f>
        <v>-194.024433247564</v>
      </c>
      <c r="G337" s="46"/>
      <c r="H337" s="149">
        <f>RANK(I337,I3:I432)</f>
        <v>321</v>
      </c>
      <c r="I337" s="150">
        <f>VLOOKUP(A337,'Standard Deviations'!A1:C731,3,FALSE)</f>
        <v>-3.13047361297806</v>
      </c>
      <c r="J337" s="150">
        <f>I337-VLOOKUP(B$2,H1:J432,2,FALSE)</f>
        <v>-6.40922773636338</v>
      </c>
    </row>
    <row r="338" ht="21.25" customHeight="1">
      <c r="A338" t="s" s="8">
        <v>774</v>
      </c>
      <c r="B338" t="s" s="148">
        <f>VLOOKUP(A338,'The List'!B1:D730,3,FALSE)</f>
        <v>107</v>
      </c>
      <c r="C338" s="54">
        <f>IF('Settings'!$E$15="POINTS",RANK(E338,E3:E432),H338)</f>
        <v>271</v>
      </c>
      <c r="D338" t="s" s="42">
        <f>VLOOKUP(A338,'The List'!B1:F730,5,FALSE)</f>
        <v>170</v>
      </c>
      <c r="E338" s="46">
        <f>VLOOKUP(A338,'The List'!B1:I730,8,FALSE)</f>
        <v>202.396132521592</v>
      </c>
      <c r="F338" s="46">
        <f>IF('Settings'!$E$15="POINTS",E338-VLOOKUP(B$2,C1:E432,3,FALSE),J338)</f>
        <v>-147.431842883622</v>
      </c>
      <c r="G338" s="46"/>
      <c r="H338" s="149">
        <f>RANK(I338,I3:I432)</f>
        <v>277</v>
      </c>
      <c r="I338" s="150">
        <f>VLOOKUP(A338,'Standard Deviations'!A1:C731,3,FALSE)</f>
        <v>-2.34075424228643</v>
      </c>
      <c r="J338" s="150">
        <f>I338-VLOOKUP(B$2,H1:J432,2,FALSE)</f>
        <v>-5.61950836567175</v>
      </c>
    </row>
    <row r="339" ht="21.25" customHeight="1">
      <c r="A339" t="s" s="8">
        <v>776</v>
      </c>
      <c r="B339" t="s" s="148">
        <f>VLOOKUP(A339,'The List'!B1:D730,3,FALSE)</f>
        <v>107</v>
      </c>
      <c r="C339" s="54">
        <f>IF('Settings'!$E$15="POINTS",RANK(E339,E3:E432),H339)</f>
        <v>307</v>
      </c>
      <c r="D339" t="s" s="42">
        <f>VLOOKUP(A339,'The List'!B1:F730,5,FALSE)</f>
        <v>218</v>
      </c>
      <c r="E339" s="46">
        <f>VLOOKUP(A339,'The List'!B1:I730,8,FALSE)</f>
        <v>178.559739347921</v>
      </c>
      <c r="F339" s="46">
        <f>IF('Settings'!$E$15="POINTS",E339-VLOOKUP(B$2,C1:E432,3,FALSE),J339)</f>
        <v>-171.268236057293</v>
      </c>
      <c r="G339" s="46"/>
      <c r="H339" s="149">
        <f>RANK(I339,I3:I432)</f>
        <v>267</v>
      </c>
      <c r="I339" s="150">
        <f>VLOOKUP(A339,'Standard Deviations'!A1:C731,3,FALSE)</f>
        <v>-2.14525724563936</v>
      </c>
      <c r="J339" s="150">
        <f>I339-VLOOKUP(B$2,H1:J432,2,FALSE)</f>
        <v>-5.42401136902468</v>
      </c>
    </row>
    <row r="340" ht="21.25" customHeight="1">
      <c r="A340" t="s" s="8">
        <v>775</v>
      </c>
      <c r="B340" t="s" s="148">
        <f>VLOOKUP(A340,'The List'!B1:D730,3,FALSE)</f>
        <v>107</v>
      </c>
      <c r="C340" s="54">
        <f>IF('Settings'!$E$15="POINTS",RANK(E340,E3:E432),H340)</f>
        <v>331</v>
      </c>
      <c r="D340" t="s" s="42">
        <f>VLOOKUP(A340,'The List'!B1:F730,5,FALSE)</f>
        <v>164</v>
      </c>
      <c r="E340" s="46">
        <f>VLOOKUP(A340,'The List'!B1:I730,8,FALSE)</f>
        <v>170.244434283472</v>
      </c>
      <c r="F340" s="46">
        <f>IF('Settings'!$E$15="POINTS",E340-VLOOKUP(B$2,C1:E432,3,FALSE),J340)</f>
        <v>-179.583541121742</v>
      </c>
      <c r="G340" s="46"/>
      <c r="H340" s="149">
        <f>RANK(I340,I3:I432)</f>
        <v>316</v>
      </c>
      <c r="I340" s="150">
        <f>VLOOKUP(A340,'Standard Deviations'!A1:C731,3,FALSE)</f>
        <v>-3.01702741628758</v>
      </c>
      <c r="J340" s="150">
        <f>I340-VLOOKUP(B$2,H1:J432,2,FALSE)</f>
        <v>-6.2957815396729</v>
      </c>
    </row>
    <row r="341" ht="21.25" customHeight="1">
      <c r="A341" t="s" s="8">
        <v>744</v>
      </c>
      <c r="B341" t="s" s="148">
        <f>VLOOKUP(A341,'The List'!B1:D730,3,FALSE)</f>
        <v>121</v>
      </c>
      <c r="C341" s="54">
        <f>IF('Settings'!$E$15="POINTS",RANK(E341,E3:E432),H341)</f>
        <v>298</v>
      </c>
      <c r="D341" t="s" s="42">
        <f>VLOOKUP(A341,'The List'!B1:F730,5,FALSE)</f>
        <v>204</v>
      </c>
      <c r="E341" s="46">
        <f>VLOOKUP(A341,'The List'!B1:I730,8,FALSE)</f>
        <v>183.166822888756</v>
      </c>
      <c r="F341" s="46">
        <f>IF('Settings'!$E$15="POINTS",E341-VLOOKUP(B$2,C1:E432,3,FALSE),J341)</f>
        <v>-166.661152516458</v>
      </c>
      <c r="G341" s="46"/>
      <c r="H341" s="149">
        <f>RANK(I341,I3:I432)</f>
        <v>335</v>
      </c>
      <c r="I341" s="150">
        <f>VLOOKUP(A341,'Standard Deviations'!A1:C731,3,FALSE)</f>
        <v>-3.39215315970796</v>
      </c>
      <c r="J341" s="150">
        <f>I341-VLOOKUP(B$2,H1:J432,2,FALSE)</f>
        <v>-6.67090728309328</v>
      </c>
    </row>
    <row r="342" ht="21.25" customHeight="1">
      <c r="A342" t="s" s="8">
        <v>779</v>
      </c>
      <c r="B342" t="s" s="148">
        <f>VLOOKUP(A342,'The List'!B1:D730,3,FALSE)</f>
        <v>107</v>
      </c>
      <c r="C342" s="54">
        <f>IF('Settings'!$E$15="POINTS",RANK(E342,E3:E432),H342)</f>
        <v>296</v>
      </c>
      <c r="D342" t="s" s="42">
        <f>VLOOKUP(A342,'The List'!B1:F730,5,FALSE)</f>
        <v>218</v>
      </c>
      <c r="E342" s="46">
        <f>VLOOKUP(A342,'The List'!B1:I730,8,FALSE)</f>
        <v>184.924186494692</v>
      </c>
      <c r="F342" s="46">
        <f>IF('Settings'!$E$15="POINTS",E342-VLOOKUP(B$2,C1:E432,3,FALSE),J342)</f>
        <v>-164.903788910522</v>
      </c>
      <c r="G342" s="46"/>
      <c r="H342" s="149">
        <f>RANK(I342,I3:I432)</f>
        <v>312</v>
      </c>
      <c r="I342" s="150">
        <f>VLOOKUP(A342,'Standard Deviations'!A1:C731,3,FALSE)</f>
        <v>-2.95457976951409</v>
      </c>
      <c r="J342" s="150">
        <f>I342-VLOOKUP(B$2,H1:J432,2,FALSE)</f>
        <v>-6.23333389289941</v>
      </c>
    </row>
    <row r="343" ht="21.25" customHeight="1">
      <c r="A343" t="s" s="8">
        <v>767</v>
      </c>
      <c r="B343" t="s" s="148">
        <f>VLOOKUP(A343,'The List'!B1:D730,3,FALSE)</f>
        <v>133</v>
      </c>
      <c r="C343" s="54">
        <f>IF('Settings'!$E$15="POINTS",RANK(E343,E3:E432),H343)</f>
        <v>326</v>
      </c>
      <c r="D343" t="s" s="42">
        <f>VLOOKUP(A343,'The List'!B1:F730,5,FALSE)</f>
        <v>234</v>
      </c>
      <c r="E343" s="46">
        <f>VLOOKUP(A343,'The List'!B1:I730,8,FALSE)</f>
        <v>171.285241159840</v>
      </c>
      <c r="F343" s="46">
        <f>IF('Settings'!$E$15="POINTS",E343-VLOOKUP(B$2,C1:E432,3,FALSE),J343)</f>
        <v>-178.542734245374</v>
      </c>
      <c r="G343" s="46"/>
      <c r="H343" s="149">
        <f>RANK(I343,I3:I432)</f>
        <v>412</v>
      </c>
      <c r="I343" s="150">
        <f>VLOOKUP(A343,'Standard Deviations'!A1:C731,3,FALSE)</f>
        <v>-4.99367423456838</v>
      </c>
      <c r="J343" s="150">
        <f>I343-VLOOKUP(B$2,H1:J432,2,FALSE)</f>
        <v>-8.2724283579537</v>
      </c>
    </row>
    <row r="344" ht="21.25" customHeight="1">
      <c r="A344" t="s" s="8">
        <v>748</v>
      </c>
      <c r="B344" t="s" s="148">
        <f>VLOOKUP(A344,'The List'!B1:D730,3,FALSE)</f>
        <v>121</v>
      </c>
      <c r="C344" s="54">
        <f>IF('Settings'!$E$15="POINTS",RANK(E344,E3:E432),H344)</f>
        <v>318</v>
      </c>
      <c r="D344" t="s" s="42">
        <f>VLOOKUP(A344,'The List'!B1:F730,5,FALSE)</f>
        <v>166</v>
      </c>
      <c r="E344" s="46">
        <f>VLOOKUP(A344,'The List'!B1:I730,8,FALSE)</f>
        <v>173.780449945236</v>
      </c>
      <c r="F344" s="46">
        <f>IF('Settings'!$E$15="POINTS",E344-VLOOKUP(B$2,C1:E432,3,FALSE),J344)</f>
        <v>-176.047525459978</v>
      </c>
      <c r="G344" s="46"/>
      <c r="H344" s="149">
        <f>RANK(I344,I3:I432)</f>
        <v>366</v>
      </c>
      <c r="I344" s="150">
        <f>VLOOKUP(A344,'Standard Deviations'!A1:C731,3,FALSE)</f>
        <v>-4.19118231145993</v>
      </c>
      <c r="J344" s="150">
        <f>I344-VLOOKUP(B$2,H1:J432,2,FALSE)</f>
        <v>-7.46993643484525</v>
      </c>
    </row>
    <row r="345" ht="21.25" customHeight="1">
      <c r="A345" t="s" s="8">
        <v>781</v>
      </c>
      <c r="B345" t="s" s="148">
        <f>VLOOKUP(A345,'The List'!B1:D730,3,FALSE)</f>
        <v>107</v>
      </c>
      <c r="C345" s="54">
        <f>IF('Settings'!$E$15="POINTS",RANK(E345,E3:E432),H345)</f>
        <v>297</v>
      </c>
      <c r="D345" t="s" s="42">
        <f>VLOOKUP(A345,'The List'!B1:F730,5,FALSE)</f>
        <v>149</v>
      </c>
      <c r="E345" s="46">
        <f>VLOOKUP(A345,'The List'!B1:I730,8,FALSE)</f>
        <v>183.753111890167</v>
      </c>
      <c r="F345" s="46">
        <f>IF('Settings'!$E$15="POINTS",E345-VLOOKUP(B$2,C1:E432,3,FALSE),J345)</f>
        <v>-166.074863515047</v>
      </c>
      <c r="G345" s="46"/>
      <c r="H345" s="149">
        <f>RANK(I345,I3:I432)</f>
        <v>339</v>
      </c>
      <c r="I345" s="150">
        <f>VLOOKUP(A345,'Standard Deviations'!A1:C731,3,FALSE)</f>
        <v>-3.45756952301306</v>
      </c>
      <c r="J345" s="150">
        <f>I345-VLOOKUP(B$2,H1:J432,2,FALSE)</f>
        <v>-6.73632364639838</v>
      </c>
    </row>
    <row r="346" ht="21.25" customHeight="1">
      <c r="A346" t="s" s="8">
        <v>766</v>
      </c>
      <c r="B346" t="s" s="148">
        <f>VLOOKUP(A346,'The List'!B1:D730,3,FALSE)</f>
        <v>133</v>
      </c>
      <c r="C346" s="54">
        <f>IF('Settings'!$E$15="POINTS",RANK(E346,E3:E432),H346)</f>
        <v>332</v>
      </c>
      <c r="D346" t="s" s="42">
        <f>VLOOKUP(A346,'The List'!B1:F730,5,FALSE)</f>
        <v>119</v>
      </c>
      <c r="E346" s="46">
        <f>VLOOKUP(A346,'The List'!B1:I730,8,FALSE)</f>
        <v>169.808358066948</v>
      </c>
      <c r="F346" s="46">
        <f>IF('Settings'!$E$15="POINTS",E346-VLOOKUP(B$2,C1:E432,3,FALSE),J346)</f>
        <v>-180.019617338266</v>
      </c>
      <c r="G346" s="46"/>
      <c r="H346" s="149">
        <f>RANK(I346,I3:I432)</f>
        <v>310</v>
      </c>
      <c r="I346" s="150">
        <f>VLOOKUP(A346,'Standard Deviations'!A1:C731,3,FALSE)</f>
        <v>-2.92497459857567</v>
      </c>
      <c r="J346" s="150">
        <f>I346-VLOOKUP(B$2,H1:J432,2,FALSE)</f>
        <v>-6.20372872196099</v>
      </c>
    </row>
    <row r="347" ht="21.25" customHeight="1">
      <c r="A347" t="s" s="8">
        <v>770</v>
      </c>
      <c r="B347" t="s" s="148">
        <f>VLOOKUP(A347,'The List'!B1:D730,3,FALSE)</f>
        <v>133</v>
      </c>
      <c r="C347" s="54">
        <f>IF('Settings'!$E$15="POINTS",RANK(E347,E3:E432),H347)</f>
        <v>346</v>
      </c>
      <c r="D347" t="s" s="42">
        <f>VLOOKUP(A347,'The List'!B1:F730,5,FALSE)</f>
        <v>151</v>
      </c>
      <c r="E347" s="46">
        <f>VLOOKUP(A347,'The List'!B1:I730,8,FALSE)</f>
        <v>161.621686010426</v>
      </c>
      <c r="F347" s="46">
        <f>IF('Settings'!$E$15="POINTS",E347-VLOOKUP(B$2,C1:E432,3,FALSE),J347)</f>
        <v>-188.206289394788</v>
      </c>
      <c r="G347" s="46"/>
      <c r="H347" s="149">
        <f>RANK(I347,I3:I432)</f>
        <v>281</v>
      </c>
      <c r="I347" s="150">
        <f>VLOOKUP(A347,'Standard Deviations'!A1:C731,3,FALSE)</f>
        <v>-2.40807900966274</v>
      </c>
      <c r="J347" s="150">
        <f>I347-VLOOKUP(B$2,H1:J432,2,FALSE)</f>
        <v>-5.68683313304806</v>
      </c>
    </row>
    <row r="348" ht="21.25" customHeight="1">
      <c r="A348" t="s" s="8">
        <v>751</v>
      </c>
      <c r="B348" t="s" s="148">
        <f>VLOOKUP(A348,'The List'!B1:D730,3,FALSE)</f>
        <v>121</v>
      </c>
      <c r="C348" s="54">
        <f>IF('Settings'!$E$15="POINTS",RANK(E348,E3:E432),H348)</f>
        <v>351</v>
      </c>
      <c r="D348" t="s" s="42">
        <f>VLOOKUP(A348,'The List'!B1:F730,5,FALSE)</f>
        <v>258</v>
      </c>
      <c r="E348" s="46">
        <f>VLOOKUP(A348,'The List'!B1:I730,8,FALSE)</f>
        <v>158.733083853085</v>
      </c>
      <c r="F348" s="46">
        <f>IF('Settings'!$E$15="POINTS",E348-VLOOKUP(B$2,C1:E432,3,FALSE),J348)</f>
        <v>-191.094891552129</v>
      </c>
      <c r="G348" s="46"/>
      <c r="H348" s="149">
        <f>RANK(I348,I3:I432)</f>
        <v>413</v>
      </c>
      <c r="I348" s="150">
        <f>VLOOKUP(A348,'Standard Deviations'!A1:C731,3,FALSE)</f>
        <v>-5.0634805575164</v>
      </c>
      <c r="J348" s="150">
        <f>I348-VLOOKUP(B$2,H1:J432,2,FALSE)</f>
        <v>-8.34223468090172</v>
      </c>
    </row>
    <row r="349" ht="21.25" customHeight="1">
      <c r="A349" t="s" s="8">
        <v>785</v>
      </c>
      <c r="B349" t="s" s="148">
        <f>VLOOKUP(A349,'The List'!B1:D730,3,FALSE)</f>
        <v>107</v>
      </c>
      <c r="C349" s="54">
        <f>IF('Settings'!$E$15="POINTS",RANK(E349,E3:E432),H349)</f>
        <v>373</v>
      </c>
      <c r="D349" t="s" s="42">
        <f>VLOOKUP(A349,'The List'!B1:F730,5,FALSE)</f>
        <v>196</v>
      </c>
      <c r="E349" s="46">
        <f>VLOOKUP(A349,'The List'!B1:I730,8,FALSE)</f>
        <v>148.010212247518</v>
      </c>
      <c r="F349" s="46">
        <f>IF('Settings'!$E$15="POINTS",E349-VLOOKUP(B$2,C1:E432,3,FALSE),J349)</f>
        <v>-201.817763157696</v>
      </c>
      <c r="G349" s="46"/>
      <c r="H349" s="149">
        <f>RANK(I349,I3:I432)</f>
        <v>382</v>
      </c>
      <c r="I349" s="150">
        <f>VLOOKUP(A349,'Standard Deviations'!A1:C731,3,FALSE)</f>
        <v>-4.37827966061787</v>
      </c>
      <c r="J349" s="150">
        <f>I349-VLOOKUP(B$2,H1:J432,2,FALSE)</f>
        <v>-7.65703378400319</v>
      </c>
    </row>
    <row r="350" ht="21.25" customHeight="1">
      <c r="A350" t="s" s="8">
        <v>771</v>
      </c>
      <c r="B350" t="s" s="148">
        <f>VLOOKUP(A350,'The List'!B1:D730,3,FALSE)</f>
        <v>133</v>
      </c>
      <c r="C350" s="54">
        <f>IF('Settings'!$E$15="POINTS",RANK(E350,E3:E432),H350)</f>
        <v>368</v>
      </c>
      <c r="D350" t="s" s="42">
        <f>VLOOKUP(A350,'The List'!B1:F730,5,FALSE)</f>
        <v>170</v>
      </c>
      <c r="E350" s="46">
        <f>VLOOKUP(A350,'The List'!B1:I730,8,FALSE)</f>
        <v>151.122018816606</v>
      </c>
      <c r="F350" s="46">
        <f>IF('Settings'!$E$15="POINTS",E350-VLOOKUP(B$2,C1:E432,3,FALSE),J350)</f>
        <v>-198.705956588608</v>
      </c>
      <c r="G350" s="46"/>
      <c r="H350" s="149">
        <f>RANK(I350,I3:I432)</f>
        <v>324</v>
      </c>
      <c r="I350" s="150">
        <f>VLOOKUP(A350,'Standard Deviations'!A1:C731,3,FALSE)</f>
        <v>-3.17007332356928</v>
      </c>
      <c r="J350" s="150">
        <f>I350-VLOOKUP(B$2,H1:J432,2,FALSE)</f>
        <v>-6.4488274469546</v>
      </c>
    </row>
    <row r="351" ht="21.25" customHeight="1">
      <c r="A351" t="s" s="8">
        <v>754</v>
      </c>
      <c r="B351" t="s" s="148">
        <f>VLOOKUP(A351,'The List'!B1:D730,3,FALSE)</f>
        <v>121</v>
      </c>
      <c r="C351" s="54">
        <f>IF('Settings'!$E$15="POINTS",RANK(E351,E3:E432),H351)</f>
        <v>363</v>
      </c>
      <c r="D351" t="s" s="42">
        <f>VLOOKUP(A351,'The List'!B1:F730,5,FALSE)</f>
        <v>156</v>
      </c>
      <c r="E351" s="46">
        <f>VLOOKUP(A351,'The List'!B1:I730,8,FALSE)</f>
        <v>153.997148309494</v>
      </c>
      <c r="F351" s="46">
        <f>IF('Settings'!$E$15="POINTS",E351-VLOOKUP(B$2,C1:E432,3,FALSE),J351)</f>
        <v>-195.830827095720</v>
      </c>
      <c r="G351" s="46"/>
      <c r="H351" s="149">
        <f>RANK(I351,I3:I432)</f>
        <v>337</v>
      </c>
      <c r="I351" s="150">
        <f>VLOOKUP(A351,'Standard Deviations'!A1:C731,3,FALSE)</f>
        <v>-3.44687954442535</v>
      </c>
      <c r="J351" s="150">
        <f>I351-VLOOKUP(B$2,H1:J432,2,FALSE)</f>
        <v>-6.72563366781067</v>
      </c>
    </row>
    <row r="352" ht="21.25" customHeight="1">
      <c r="A352" t="s" s="8">
        <v>778</v>
      </c>
      <c r="B352" t="s" s="148">
        <f>VLOOKUP(A352,'The List'!B1:D730,3,FALSE)</f>
        <v>133</v>
      </c>
      <c r="C352" s="54">
        <f>IF('Settings'!$E$15="POINTS",RANK(E352,E3:E432),H352)</f>
        <v>362</v>
      </c>
      <c r="D352" t="s" s="42">
        <f>VLOOKUP(A352,'The List'!B1:F730,5,FALSE)</f>
        <v>141</v>
      </c>
      <c r="E352" s="46">
        <f>VLOOKUP(A352,'The List'!B1:I730,8,FALSE)</f>
        <v>155.134869559410</v>
      </c>
      <c r="F352" s="46">
        <f>IF('Settings'!$E$15="POINTS",E352-VLOOKUP(B$2,C1:E432,3,FALSE),J352)</f>
        <v>-194.693105845804</v>
      </c>
      <c r="G352" s="46"/>
      <c r="H352" s="149">
        <f>RANK(I352,I3:I432)</f>
        <v>346</v>
      </c>
      <c r="I352" s="150">
        <f>VLOOKUP(A352,'Standard Deviations'!A1:C731,3,FALSE)</f>
        <v>-3.71858211625931</v>
      </c>
      <c r="J352" s="150">
        <f>I352-VLOOKUP(B$2,H1:J432,2,FALSE)</f>
        <v>-6.99733623964463</v>
      </c>
    </row>
    <row r="353" ht="21.25" customHeight="1">
      <c r="A353" t="s" s="8">
        <v>757</v>
      </c>
      <c r="B353" t="s" s="148">
        <f>VLOOKUP(A353,'The List'!B1:D730,3,FALSE)</f>
        <v>121</v>
      </c>
      <c r="C353" s="54">
        <f>IF('Settings'!$E$15="POINTS",RANK(E353,E3:E432),H353)</f>
        <v>284</v>
      </c>
      <c r="D353" t="s" s="42">
        <f>VLOOKUP(A353,'The List'!B1:F730,5,FALSE)</f>
        <v>218</v>
      </c>
      <c r="E353" s="46">
        <f>VLOOKUP(A353,'The List'!B1:I730,8,FALSE)</f>
        <v>196.561629761911</v>
      </c>
      <c r="F353" s="46">
        <f>IF('Settings'!$E$15="POINTS",E353-VLOOKUP(B$2,C1:E432,3,FALSE),J353)</f>
        <v>-153.266345643303</v>
      </c>
      <c r="G353" s="46"/>
      <c r="H353" s="149">
        <f>RANK(I353,I3:I432)</f>
        <v>286</v>
      </c>
      <c r="I353" s="150">
        <f>VLOOKUP(A353,'Standard Deviations'!A1:C731,3,FALSE)</f>
        <v>-2.45841037014272</v>
      </c>
      <c r="J353" s="150">
        <f>I353-VLOOKUP(B$2,H1:J432,2,FALSE)</f>
        <v>-5.73716449352804</v>
      </c>
    </row>
    <row r="354" ht="21.25" customHeight="1">
      <c r="A354" t="s" s="8">
        <v>780</v>
      </c>
      <c r="B354" t="s" s="148">
        <f>VLOOKUP(A354,'The List'!B1:D730,3,FALSE)</f>
        <v>133</v>
      </c>
      <c r="C354" s="54">
        <f>IF('Settings'!$E$15="POINTS",RANK(E354,E3:E432),H354)</f>
        <v>354</v>
      </c>
      <c r="D354" t="s" s="42">
        <f>VLOOKUP(A354,'The List'!B1:F730,5,FALSE)</f>
        <v>196</v>
      </c>
      <c r="E354" s="46">
        <f>VLOOKUP(A354,'The List'!B1:I730,8,FALSE)</f>
        <v>157.886315642549</v>
      </c>
      <c r="F354" s="46">
        <f>IF('Settings'!$E$15="POINTS",E354-VLOOKUP(B$2,C1:E432,3,FALSE),J354)</f>
        <v>-191.941659762665</v>
      </c>
      <c r="G354" s="46"/>
      <c r="H354" s="149">
        <f>RANK(I354,I3:I432)</f>
        <v>320</v>
      </c>
      <c r="I354" s="150">
        <f>VLOOKUP(A354,'Standard Deviations'!A1:C731,3,FALSE)</f>
        <v>-3.12126034058748</v>
      </c>
      <c r="J354" s="150">
        <f>I354-VLOOKUP(B$2,H1:J432,2,FALSE)</f>
        <v>-6.4000144639728</v>
      </c>
    </row>
    <row r="355" ht="21.25" customHeight="1">
      <c r="A355" t="s" s="8">
        <v>786</v>
      </c>
      <c r="B355" t="s" s="148">
        <f>VLOOKUP(A355,'The List'!B1:D730,3,FALSE)</f>
        <v>107</v>
      </c>
      <c r="C355" s="54">
        <f>IF('Settings'!$E$15="POINTS",RANK(E355,E3:E432),H355)</f>
        <v>383</v>
      </c>
      <c r="D355" t="s" s="42">
        <f>VLOOKUP(A355,'The List'!B1:F730,5,FALSE)</f>
        <v>166</v>
      </c>
      <c r="E355" s="46">
        <f>VLOOKUP(A355,'The List'!B1:I730,8,FALSE)</f>
        <v>141.615299910438</v>
      </c>
      <c r="F355" s="46">
        <f>IF('Settings'!$E$15="POINTS",E355-VLOOKUP(B$2,C1:E432,3,FALSE),J355)</f>
        <v>-208.212675494776</v>
      </c>
      <c r="G355" s="46"/>
      <c r="H355" s="149">
        <f>RANK(I355,I3:I432)</f>
        <v>375</v>
      </c>
      <c r="I355" s="150">
        <f>VLOOKUP(A355,'Standard Deviations'!A1:C731,3,FALSE)</f>
        <v>-4.28134091820602</v>
      </c>
      <c r="J355" s="150">
        <f>I355-VLOOKUP(B$2,H1:J432,2,FALSE)</f>
        <v>-7.56009504159134</v>
      </c>
    </row>
    <row r="356" ht="21.25" customHeight="1">
      <c r="A356" t="s" s="8">
        <v>759</v>
      </c>
      <c r="B356" t="s" s="148">
        <f>VLOOKUP(A356,'The List'!B1:D730,3,FALSE)</f>
        <v>121</v>
      </c>
      <c r="C356" s="54">
        <f>IF('Settings'!$E$15="POINTS",RANK(E356,E3:E432),H356)</f>
        <v>353</v>
      </c>
      <c r="D356" t="s" s="42">
        <f>VLOOKUP(A356,'The List'!B1:F730,5,FALSE)</f>
        <v>184</v>
      </c>
      <c r="E356" s="46">
        <f>VLOOKUP(A356,'The List'!B1:I730,8,FALSE)</f>
        <v>158.378106393561</v>
      </c>
      <c r="F356" s="46">
        <f>IF('Settings'!$E$15="POINTS",E356-VLOOKUP(B$2,C1:E432,3,FALSE),J356)</f>
        <v>-191.449869011653</v>
      </c>
      <c r="G356" s="46"/>
      <c r="H356" s="149">
        <f>RANK(I356,I3:I432)</f>
        <v>377</v>
      </c>
      <c r="I356" s="150">
        <f>VLOOKUP(A356,'Standard Deviations'!A1:C731,3,FALSE)</f>
        <v>-4.30593971651222</v>
      </c>
      <c r="J356" s="150">
        <f>I356-VLOOKUP(B$2,H1:J432,2,FALSE)</f>
        <v>-7.58469383989754</v>
      </c>
    </row>
    <row r="357" ht="21.25" customHeight="1">
      <c r="A357" t="s" s="8">
        <v>788</v>
      </c>
      <c r="B357" t="s" s="148">
        <f>VLOOKUP(A357,'The List'!B1:D730,3,FALSE)</f>
        <v>107</v>
      </c>
      <c r="C357" s="54">
        <f>IF('Settings'!$E$15="POINTS",RANK(E357,E3:E432),H357)</f>
        <v>317</v>
      </c>
      <c r="D357" t="s" s="42">
        <f>VLOOKUP(A357,'The List'!B1:F730,5,FALSE)</f>
        <v>184</v>
      </c>
      <c r="E357" s="46">
        <f>VLOOKUP(A357,'The List'!B1:I730,8,FALSE)</f>
        <v>173.882011001025</v>
      </c>
      <c r="F357" s="46">
        <f>IF('Settings'!$E$15="POINTS",E357-VLOOKUP(B$2,C1:E432,3,FALSE),J357)</f>
        <v>-175.945964404189</v>
      </c>
      <c r="G357" s="46"/>
      <c r="H357" s="149">
        <f>RANK(I357,I3:I432)</f>
        <v>365</v>
      </c>
      <c r="I357" s="150">
        <f>VLOOKUP(A357,'Standard Deviations'!A1:C731,3,FALSE)</f>
        <v>-4.17160928894494</v>
      </c>
      <c r="J357" s="150">
        <f>I357-VLOOKUP(B$2,H1:J432,2,FALSE)</f>
        <v>-7.45036341233026</v>
      </c>
    </row>
    <row r="358" ht="21.25" customHeight="1">
      <c r="A358" t="s" s="8">
        <v>791</v>
      </c>
      <c r="B358" t="s" s="148">
        <f>VLOOKUP(A358,'The List'!B1:D730,3,FALSE)</f>
        <v>107</v>
      </c>
      <c r="C358" s="54">
        <f>IF('Settings'!$E$15="POINTS",RANK(E358,E3:E432),H358)</f>
        <v>339</v>
      </c>
      <c r="D358" t="s" s="42">
        <f>VLOOKUP(A358,'The List'!B1:F730,5,FALSE)</f>
        <v>136</v>
      </c>
      <c r="E358" s="46">
        <f>VLOOKUP(A358,'The List'!B1:I730,8,FALSE)</f>
        <v>166.159956450332</v>
      </c>
      <c r="F358" s="46">
        <f>IF('Settings'!$E$15="POINTS",E358-VLOOKUP(B$2,C1:E432,3,FALSE),J358)</f>
        <v>-183.668018954882</v>
      </c>
      <c r="G358" s="46"/>
      <c r="H358" s="149">
        <f>RANK(I358,I3:I432)</f>
        <v>271</v>
      </c>
      <c r="I358" s="150">
        <f>VLOOKUP(A358,'Standard Deviations'!A1:C731,3,FALSE)</f>
        <v>-2.26670468918279</v>
      </c>
      <c r="J358" s="150">
        <f>I358-VLOOKUP(B$2,H1:J432,2,FALSE)</f>
        <v>-5.54545881256811</v>
      </c>
    </row>
    <row r="359" ht="21.25" customHeight="1">
      <c r="A359" t="s" s="8">
        <v>792</v>
      </c>
      <c r="B359" t="s" s="148">
        <f>VLOOKUP(A359,'The List'!B1:D730,3,FALSE)</f>
        <v>107</v>
      </c>
      <c r="C359" s="54">
        <f>IF('Settings'!$E$15="POINTS",RANK(E359,E3:E432),H359)</f>
        <v>381</v>
      </c>
      <c r="D359" t="s" s="42">
        <f>VLOOKUP(A359,'The List'!B1:F730,5,FALSE)</f>
        <v>136</v>
      </c>
      <c r="E359" s="46">
        <f>VLOOKUP(A359,'The List'!B1:I730,8,FALSE)</f>
        <v>142.935369668364</v>
      </c>
      <c r="F359" s="46">
        <f>IF('Settings'!$E$15="POINTS",E359-VLOOKUP(B$2,C1:E432,3,FALSE),J359)</f>
        <v>-206.892605736850</v>
      </c>
      <c r="G359" s="46"/>
      <c r="H359" s="149">
        <f>RANK(I359,I3:I432)</f>
        <v>309</v>
      </c>
      <c r="I359" s="150">
        <f>VLOOKUP(A359,'Standard Deviations'!A1:C731,3,FALSE)</f>
        <v>-2.92307389962673</v>
      </c>
      <c r="J359" s="150">
        <f>I359-VLOOKUP(B$2,H1:J432,2,FALSE)</f>
        <v>-6.20182802301205</v>
      </c>
    </row>
    <row r="360" ht="21.25" customHeight="1">
      <c r="A360" t="s" s="8">
        <v>782</v>
      </c>
      <c r="B360" t="s" s="148">
        <f>VLOOKUP(A360,'The List'!B1:D730,3,FALSE)</f>
        <v>133</v>
      </c>
      <c r="C360" s="54">
        <f>IF('Settings'!$E$15="POINTS",RANK(E360,E3:E432),H360)</f>
        <v>369</v>
      </c>
      <c r="D360" t="s" s="42">
        <f>VLOOKUP(A360,'The List'!B1:F730,5,FALSE)</f>
        <v>196</v>
      </c>
      <c r="E360" s="46">
        <f>VLOOKUP(A360,'The List'!B1:I730,8,FALSE)</f>
        <v>150.489837114887</v>
      </c>
      <c r="F360" s="46">
        <f>IF('Settings'!$E$15="POINTS",E360-VLOOKUP(B$2,C1:E432,3,FALSE),J360)</f>
        <v>-199.338138290327</v>
      </c>
      <c r="G360" s="46"/>
      <c r="H360" s="149">
        <f>RANK(I360,I3:I432)</f>
        <v>369</v>
      </c>
      <c r="I360" s="150">
        <f>VLOOKUP(A360,'Standard Deviations'!A1:C731,3,FALSE)</f>
        <v>-4.21081796276633</v>
      </c>
      <c r="J360" s="150">
        <f>I360-VLOOKUP(B$2,H1:J432,2,FALSE)</f>
        <v>-7.48957208615165</v>
      </c>
    </row>
    <row r="361" ht="21.25" customHeight="1">
      <c r="A361" t="s" s="8">
        <v>783</v>
      </c>
      <c r="B361" t="s" s="148">
        <f>VLOOKUP(A361,'The List'!B1:D730,3,FALSE)</f>
        <v>133</v>
      </c>
      <c r="C361" s="54">
        <f>IF('Settings'!$E$15="POINTS",RANK(E361,E3:E432),H361)</f>
        <v>319</v>
      </c>
      <c r="D361" t="s" s="42">
        <f>VLOOKUP(A361,'The List'!B1:F730,5,FALSE)</f>
        <v>225</v>
      </c>
      <c r="E361" s="46">
        <f>VLOOKUP(A361,'The List'!B1:I730,8,FALSE)</f>
        <v>173.271739474823</v>
      </c>
      <c r="F361" s="46">
        <f>IF('Settings'!$E$15="POINTS",E361-VLOOKUP(B$2,C1:E432,3,FALSE),J361)</f>
        <v>-176.556235930391</v>
      </c>
      <c r="G361" s="46"/>
      <c r="H361" s="149">
        <f>RANK(I361,I3:I432)</f>
        <v>407</v>
      </c>
      <c r="I361" s="150">
        <f>VLOOKUP(A361,'Standard Deviations'!A1:C731,3,FALSE)</f>
        <v>-4.80939632432863</v>
      </c>
      <c r="J361" s="150">
        <f>I361-VLOOKUP(B$2,H1:J432,2,FALSE)</f>
        <v>-8.08815044771395</v>
      </c>
    </row>
    <row r="362" ht="21.25" customHeight="1">
      <c r="A362" t="s" s="8">
        <v>784</v>
      </c>
      <c r="B362" t="s" s="148">
        <f>VLOOKUP(A362,'The List'!B1:D730,3,FALSE)</f>
        <v>133</v>
      </c>
      <c r="C362" s="54">
        <f>IF('Settings'!$E$15="POINTS",RANK(E362,E3:E432),H362)</f>
        <v>355</v>
      </c>
      <c r="D362" t="s" s="42">
        <f>VLOOKUP(A362,'The List'!B1:F730,5,FALSE)</f>
        <v>139</v>
      </c>
      <c r="E362" s="46">
        <f>VLOOKUP(A362,'The List'!B1:I730,8,FALSE)</f>
        <v>157.491896008970</v>
      </c>
      <c r="F362" s="46">
        <f>IF('Settings'!$E$15="POINTS",E362-VLOOKUP(B$2,C1:E432,3,FALSE),J362)</f>
        <v>-192.336079396244</v>
      </c>
      <c r="G362" s="46"/>
      <c r="H362" s="149">
        <f>RANK(I362,I3:I432)</f>
        <v>351</v>
      </c>
      <c r="I362" s="150">
        <f>VLOOKUP(A362,'Standard Deviations'!A1:C731,3,FALSE)</f>
        <v>-3.8571442286634</v>
      </c>
      <c r="J362" s="150">
        <f>I362-VLOOKUP(B$2,H1:J432,2,FALSE)</f>
        <v>-7.13589835204872</v>
      </c>
    </row>
    <row r="363" ht="21.25" customHeight="1">
      <c r="A363" t="s" s="8">
        <v>795</v>
      </c>
      <c r="B363" t="s" s="148">
        <f>VLOOKUP(A363,'The List'!B1:D730,3,FALSE)</f>
        <v>107</v>
      </c>
      <c r="C363" s="54">
        <f>IF('Settings'!$E$15="POINTS",RANK(E363,E3:E432),H363)</f>
        <v>357</v>
      </c>
      <c r="D363" t="s" s="42">
        <f>VLOOKUP(A363,'The List'!B1:F730,5,FALSE)</f>
        <v>236</v>
      </c>
      <c r="E363" s="46">
        <f>VLOOKUP(A363,'The List'!B1:I730,8,FALSE)</f>
        <v>157.077174690351</v>
      </c>
      <c r="F363" s="46">
        <f>IF('Settings'!$E$15="POINTS",E363-VLOOKUP(B$2,C1:E432,3,FALSE),J363)</f>
        <v>-192.750800714863</v>
      </c>
      <c r="G363" s="46"/>
      <c r="H363" s="149">
        <f>RANK(I363,I3:I432)</f>
        <v>400</v>
      </c>
      <c r="I363" s="150">
        <f>VLOOKUP(A363,'Standard Deviations'!A1:C731,3,FALSE)</f>
        <v>-4.69513123650412</v>
      </c>
      <c r="J363" s="150">
        <f>I363-VLOOKUP(B$2,H1:J432,2,FALSE)</f>
        <v>-7.97388535988944</v>
      </c>
    </row>
    <row r="364" ht="21.25" customHeight="1">
      <c r="A364" t="s" s="8">
        <v>789</v>
      </c>
      <c r="B364" t="s" s="148">
        <f>VLOOKUP(A364,'The List'!B1:D730,3,FALSE)</f>
        <v>133</v>
      </c>
      <c r="C364" s="54">
        <f>IF('Settings'!$E$15="POINTS",RANK(E364,E3:E432),H364)</f>
        <v>380</v>
      </c>
      <c r="D364" t="s" s="42">
        <f>VLOOKUP(A364,'The List'!B1:F730,5,FALSE)</f>
        <v>234</v>
      </c>
      <c r="E364" s="46">
        <f>VLOOKUP(A364,'The List'!B1:I730,8,FALSE)</f>
        <v>143.724551856926</v>
      </c>
      <c r="F364" s="46">
        <f>IF('Settings'!$E$15="POINTS",E364-VLOOKUP(B$2,C1:E432,3,FALSE),J364)</f>
        <v>-206.103423548288</v>
      </c>
      <c r="G364" s="46"/>
      <c r="H364" s="149">
        <f>RANK(I364,I3:I432)</f>
        <v>425</v>
      </c>
      <c r="I364" s="150">
        <f>VLOOKUP(A364,'Standard Deviations'!A1:C731,3,FALSE)</f>
        <v>-5.87294002167788</v>
      </c>
      <c r="J364" s="150">
        <f>I364-VLOOKUP(B$2,H1:J432,2,FALSE)</f>
        <v>-9.1516941450632</v>
      </c>
    </row>
    <row r="365" ht="21.25" customHeight="1">
      <c r="A365" t="s" s="8">
        <v>797</v>
      </c>
      <c r="B365" t="s" s="148">
        <f>VLOOKUP(A365,'The List'!B1:D730,3,FALSE)</f>
        <v>107</v>
      </c>
      <c r="C365" s="54">
        <f>IF('Settings'!$E$15="POINTS",RANK(E365,E3:E432),H365)</f>
        <v>371</v>
      </c>
      <c r="D365" t="s" s="42">
        <f>VLOOKUP(A365,'The List'!B1:F730,5,FALSE)</f>
        <v>151</v>
      </c>
      <c r="E365" s="46">
        <f>VLOOKUP(A365,'The List'!B1:I730,8,FALSE)</f>
        <v>149.432847803764</v>
      </c>
      <c r="F365" s="46">
        <f>IF('Settings'!$E$15="POINTS",E365-VLOOKUP(B$2,C1:E432,3,FALSE),J365)</f>
        <v>-200.395127601450</v>
      </c>
      <c r="G365" s="46"/>
      <c r="H365" s="149">
        <f>RANK(I365,I3:I432)</f>
        <v>261</v>
      </c>
      <c r="I365" s="150">
        <f>VLOOKUP(A365,'Standard Deviations'!A1:C731,3,FALSE)</f>
        <v>-1.92395676921217</v>
      </c>
      <c r="J365" s="150">
        <f>I365-VLOOKUP(B$2,H1:J432,2,FALSE)</f>
        <v>-5.20271089259749</v>
      </c>
    </row>
    <row r="366" ht="21.25" customHeight="1">
      <c r="A366" t="s" s="8">
        <v>796</v>
      </c>
      <c r="B366" t="s" s="148">
        <f>VLOOKUP(A366,'The List'!B1:D730,3,FALSE)</f>
        <v>107</v>
      </c>
      <c r="C366" s="54">
        <f>IF('Settings'!$E$15="POINTS",RANK(E366,E3:E432),H366)</f>
        <v>385</v>
      </c>
      <c r="D366" t="s" s="42">
        <f>VLOOKUP(A366,'The List'!B1:F730,5,FALSE)</f>
        <v>166</v>
      </c>
      <c r="E366" s="46">
        <f>VLOOKUP(A366,'The List'!B1:I730,8,FALSE)</f>
        <v>140.476199834947</v>
      </c>
      <c r="F366" s="46">
        <f>IF('Settings'!$E$15="POINTS",E366-VLOOKUP(B$2,C1:E432,3,FALSE),J366)</f>
        <v>-209.351775570267</v>
      </c>
      <c r="G366" s="46"/>
      <c r="H366" s="149">
        <f>RANK(I366,I3:I432)</f>
        <v>370</v>
      </c>
      <c r="I366" s="150">
        <f>VLOOKUP(A366,'Standard Deviations'!A1:C731,3,FALSE)</f>
        <v>-4.22940022944955</v>
      </c>
      <c r="J366" s="150">
        <f>I366-VLOOKUP(B$2,H1:J432,2,FALSE)</f>
        <v>-7.50815435283487</v>
      </c>
    </row>
    <row r="367" ht="21.25" customHeight="1">
      <c r="A367" t="s" s="8">
        <v>777</v>
      </c>
      <c r="B367" t="s" s="148">
        <f>VLOOKUP(A367,'The List'!B1:D730,3,FALSE)</f>
        <v>121</v>
      </c>
      <c r="C367" s="54">
        <f>IF('Settings'!$E$15="POINTS",RANK(E367,E3:E432),H367)</f>
        <v>343</v>
      </c>
      <c r="D367" t="s" s="42">
        <f>VLOOKUP(A367,'The List'!B1:F730,5,FALSE)</f>
        <v>194</v>
      </c>
      <c r="E367" s="46">
        <f>VLOOKUP(A367,'The List'!B1:I730,8,FALSE)</f>
        <v>164.463495513221</v>
      </c>
      <c r="F367" s="46">
        <f>IF('Settings'!$E$15="POINTS",E367-VLOOKUP(B$2,C1:E432,3,FALSE),J367)</f>
        <v>-185.364479891993</v>
      </c>
      <c r="G367" s="46"/>
      <c r="H367" s="149">
        <f>RANK(I367,I3:I432)</f>
        <v>376</v>
      </c>
      <c r="I367" s="150">
        <f>VLOOKUP(A367,'Standard Deviations'!A1:C731,3,FALSE)</f>
        <v>-4.30536604937422</v>
      </c>
      <c r="J367" s="150">
        <f>I367-VLOOKUP(B$2,H1:J432,2,FALSE)</f>
        <v>-7.58412017275954</v>
      </c>
    </row>
    <row r="368" ht="21.25" customHeight="1">
      <c r="A368" t="s" s="8">
        <v>790</v>
      </c>
      <c r="B368" t="s" s="148">
        <f>VLOOKUP(A368,'The List'!B1:D730,3,FALSE)</f>
        <v>133</v>
      </c>
      <c r="C368" s="54">
        <f>IF('Settings'!$E$15="POINTS",RANK(E368,E3:E432),H368)</f>
        <v>386</v>
      </c>
      <c r="D368" t="s" s="42">
        <f>VLOOKUP(A368,'The List'!B1:F730,5,FALSE)</f>
        <v>115</v>
      </c>
      <c r="E368" s="46">
        <f>VLOOKUP(A368,'The List'!B1:I730,8,FALSE)</f>
        <v>138.326955435991</v>
      </c>
      <c r="F368" s="46">
        <f>IF('Settings'!$E$15="POINTS",E368-VLOOKUP(B$2,C1:E432,3,FALSE),J368)</f>
        <v>-211.501019969223</v>
      </c>
      <c r="G368" s="46"/>
      <c r="H368" s="149">
        <f>RANK(I368,I3:I432)</f>
        <v>329</v>
      </c>
      <c r="I368" s="150">
        <f>VLOOKUP(A368,'Standard Deviations'!A1:C731,3,FALSE)</f>
        <v>-3.26714543996057</v>
      </c>
      <c r="J368" s="150">
        <f>I368-VLOOKUP(B$2,H1:J432,2,FALSE)</f>
        <v>-6.54589956334589</v>
      </c>
    </row>
    <row r="369" ht="21.25" customHeight="1">
      <c r="A369" t="s" s="8">
        <v>802</v>
      </c>
      <c r="B369" t="s" s="148">
        <f>VLOOKUP(A369,'The List'!B1:D730,3,FALSE)</f>
        <v>107</v>
      </c>
      <c r="C369" s="54">
        <f>IF('Settings'!$E$15="POINTS",RANK(E369,E3:E432),H369)</f>
        <v>360</v>
      </c>
      <c r="D369" t="s" s="42">
        <f>VLOOKUP(A369,'The List'!B1:F730,5,FALSE)</f>
        <v>119</v>
      </c>
      <c r="E369" s="46">
        <f>VLOOKUP(A369,'The List'!B1:I730,8,FALSE)</f>
        <v>155.711047551618</v>
      </c>
      <c r="F369" s="46">
        <f>IF('Settings'!$E$15="POINTS",E369-VLOOKUP(B$2,C1:E432,3,FALSE),J369)</f>
        <v>-194.116927853596</v>
      </c>
      <c r="G369" s="46"/>
      <c r="H369" s="149">
        <f>RANK(I369,I3:I432)</f>
        <v>330</v>
      </c>
      <c r="I369" s="150">
        <f>VLOOKUP(A369,'Standard Deviations'!A1:C731,3,FALSE)</f>
        <v>-3.28236022672883</v>
      </c>
      <c r="J369" s="150">
        <f>I369-VLOOKUP(B$2,H1:J432,2,FALSE)</f>
        <v>-6.56111435011415</v>
      </c>
    </row>
    <row r="370" ht="21.25" customHeight="1">
      <c r="A370" t="s" s="8">
        <v>793</v>
      </c>
      <c r="B370" t="s" s="148">
        <f>VLOOKUP(A370,'The List'!B1:D730,3,FALSE)</f>
        <v>133</v>
      </c>
      <c r="C370" s="54">
        <f>IF('Settings'!$E$15="POINTS",RANK(E370,E3:E432),H370)</f>
        <v>390</v>
      </c>
      <c r="D370" t="s" s="42">
        <f>VLOOKUP(A370,'The List'!B1:F730,5,FALSE)</f>
        <v>156</v>
      </c>
      <c r="E370" s="46">
        <f>VLOOKUP(A370,'The List'!B1:I730,8,FALSE)</f>
        <v>131.256856376053</v>
      </c>
      <c r="F370" s="46">
        <f>IF('Settings'!$E$15="POINTS",E370-VLOOKUP(B$2,C1:E432,3,FALSE),J370)</f>
        <v>-218.571119029161</v>
      </c>
      <c r="G370" s="46"/>
      <c r="H370" s="149">
        <f>RANK(I370,I3:I432)</f>
        <v>358</v>
      </c>
      <c r="I370" s="150">
        <f>VLOOKUP(A370,'Standard Deviations'!A1:C731,3,FALSE)</f>
        <v>-4.07924816716453</v>
      </c>
      <c r="J370" s="150">
        <f>I370-VLOOKUP(B$2,H1:J432,2,FALSE)</f>
        <v>-7.35800229054985</v>
      </c>
    </row>
    <row r="371" ht="21.25" customHeight="1">
      <c r="A371" t="s" s="8">
        <v>808</v>
      </c>
      <c r="B371" t="s" s="148">
        <f>VLOOKUP(A371,'The List'!B1:D730,3,FALSE)</f>
        <v>107</v>
      </c>
      <c r="C371" s="54">
        <f>IF('Settings'!$E$15="POINTS",RANK(E371,E3:E432),H371)</f>
        <v>382</v>
      </c>
      <c r="D371" t="s" s="42">
        <f>VLOOKUP(A371,'The List'!B1:F730,5,FALSE)</f>
        <v>108</v>
      </c>
      <c r="E371" s="46">
        <f>VLOOKUP(A371,'The List'!B1:I730,8,FALSE)</f>
        <v>141.971157039743</v>
      </c>
      <c r="F371" s="46">
        <f>IF('Settings'!$E$15="POINTS",E371-VLOOKUP(B$2,C1:E432,3,FALSE),J371)</f>
        <v>-207.856818365471</v>
      </c>
      <c r="G371" s="46"/>
      <c r="H371" s="149">
        <f>RANK(I371,I3:I432)</f>
        <v>269</v>
      </c>
      <c r="I371" s="150">
        <f>VLOOKUP(A371,'Standard Deviations'!A1:C731,3,FALSE)</f>
        <v>-2.21156201354425</v>
      </c>
      <c r="J371" s="150">
        <f>I371-VLOOKUP(B$2,H1:J432,2,FALSE)</f>
        <v>-5.49031613692957</v>
      </c>
    </row>
    <row r="372" ht="21.25" customHeight="1">
      <c r="A372" t="s" s="8">
        <v>799</v>
      </c>
      <c r="B372" t="s" s="148">
        <f>VLOOKUP(A372,'The List'!B1:D730,3,FALSE)</f>
        <v>133</v>
      </c>
      <c r="C372" s="54">
        <f>IF('Settings'!$E$15="POINTS",RANK(E372,E3:E432),H372)</f>
        <v>367</v>
      </c>
      <c r="D372" t="s" s="42">
        <f>VLOOKUP(A372,'The List'!B1:F730,5,FALSE)</f>
        <v>225</v>
      </c>
      <c r="E372" s="46">
        <f>VLOOKUP(A372,'The List'!B1:I730,8,FALSE)</f>
        <v>152.208857602084</v>
      </c>
      <c r="F372" s="46">
        <f>IF('Settings'!$E$15="POINTS",E372-VLOOKUP(B$2,C1:E432,3,FALSE),J372)</f>
        <v>-197.619117803130</v>
      </c>
      <c r="G372" s="46"/>
      <c r="H372" s="149">
        <f>RANK(I372,I3:I432)</f>
        <v>423</v>
      </c>
      <c r="I372" s="150">
        <f>VLOOKUP(A372,'Standard Deviations'!A1:C731,3,FALSE)</f>
        <v>-5.60422188622601</v>
      </c>
      <c r="J372" s="150">
        <f>I372-VLOOKUP(B$2,H1:J432,2,FALSE)</f>
        <v>-8.88297600961133</v>
      </c>
    </row>
    <row r="373" ht="21.25" customHeight="1">
      <c r="A373" t="s" s="8">
        <v>809</v>
      </c>
      <c r="B373" t="s" s="148">
        <f>VLOOKUP(A373,'The List'!B1:D730,3,FALSE)</f>
        <v>107</v>
      </c>
      <c r="C373" s="54">
        <f>IF('Settings'!$E$15="POINTS",RANK(E373,E3:E432),H373)</f>
        <v>374</v>
      </c>
      <c r="D373" t="s" s="42">
        <f>VLOOKUP(A373,'The List'!B1:F730,5,FALSE)</f>
        <v>113</v>
      </c>
      <c r="E373" s="46">
        <f>VLOOKUP(A373,'The List'!B1:I730,8,FALSE)</f>
        <v>147.439602126238</v>
      </c>
      <c r="F373" s="46">
        <f>IF('Settings'!$E$15="POINTS",E373-VLOOKUP(B$2,C1:E432,3,FALSE),J373)</f>
        <v>-202.388373278976</v>
      </c>
      <c r="G373" s="46"/>
      <c r="H373" s="149">
        <f>RANK(I373,I3:I432)</f>
        <v>313</v>
      </c>
      <c r="I373" s="150">
        <f>VLOOKUP(A373,'Standard Deviations'!A1:C731,3,FALSE)</f>
        <v>-2.97282727758492</v>
      </c>
      <c r="J373" s="150">
        <f>I373-VLOOKUP(B$2,H1:J432,2,FALSE)</f>
        <v>-6.25158140097024</v>
      </c>
    </row>
    <row r="374" ht="21.25" customHeight="1">
      <c r="A374" t="s" s="8">
        <v>805</v>
      </c>
      <c r="B374" t="s" s="148">
        <f>VLOOKUP(A374,'The List'!B1:D730,3,FALSE)</f>
        <v>133</v>
      </c>
      <c r="C374" s="54">
        <f>IF('Settings'!$E$15="POINTS",RANK(E374,E3:E432),H374)</f>
        <v>364</v>
      </c>
      <c r="D374" t="s" s="42">
        <f>VLOOKUP(A374,'The List'!B1:F730,5,FALSE)</f>
        <v>122</v>
      </c>
      <c r="E374" s="46">
        <f>VLOOKUP(A374,'The List'!B1:I730,8,FALSE)</f>
        <v>153.461016414342</v>
      </c>
      <c r="F374" s="46">
        <f>IF('Settings'!$E$15="POINTS",E374-VLOOKUP(B$2,C1:E432,3,FALSE),J374)</f>
        <v>-196.366958990872</v>
      </c>
      <c r="G374" s="46"/>
      <c r="H374" s="149">
        <f>RANK(I374,I3:I432)</f>
        <v>364</v>
      </c>
      <c r="I374" s="150">
        <f>VLOOKUP(A374,'Standard Deviations'!A1:C731,3,FALSE)</f>
        <v>-4.1433613707542</v>
      </c>
      <c r="J374" s="150">
        <f>I374-VLOOKUP(B$2,H1:J432,2,FALSE)</f>
        <v>-7.42211549413952</v>
      </c>
    </row>
    <row r="375" ht="21.25" customHeight="1">
      <c r="A375" t="s" s="8">
        <v>787</v>
      </c>
      <c r="B375" t="s" s="148">
        <f>VLOOKUP(A375,'The List'!B1:D730,3,FALSE)</f>
        <v>121</v>
      </c>
      <c r="C375" s="54">
        <f>IF('Settings'!$E$15="POINTS",RANK(E375,E3:E432),H375)</f>
        <v>348</v>
      </c>
      <c r="D375" t="s" s="42">
        <f>VLOOKUP(A375,'The List'!B1:F730,5,FALSE)</f>
        <v>134</v>
      </c>
      <c r="E375" s="46">
        <f>VLOOKUP(A375,'The List'!B1:I730,8,FALSE)</f>
        <v>160.653719921252</v>
      </c>
      <c r="F375" s="46">
        <f>IF('Settings'!$E$15="POINTS",E375-VLOOKUP(B$2,C1:E432,3,FALSE),J375)</f>
        <v>-189.174255483962</v>
      </c>
      <c r="G375" s="46"/>
      <c r="H375" s="149">
        <f>RANK(I375,I3:I432)</f>
        <v>345</v>
      </c>
      <c r="I375" s="150">
        <f>VLOOKUP(A375,'Standard Deviations'!A1:C731,3,FALSE)</f>
        <v>-3.67846451766992</v>
      </c>
      <c r="J375" s="150">
        <f>I375-VLOOKUP(B$2,H1:J432,2,FALSE)</f>
        <v>-6.95721864105524</v>
      </c>
    </row>
    <row r="376" ht="21.25" customHeight="1">
      <c r="A376" t="s" s="8">
        <v>807</v>
      </c>
      <c r="B376" t="s" s="148">
        <f>VLOOKUP(A376,'The List'!B1:D730,3,FALSE)</f>
        <v>133</v>
      </c>
      <c r="C376" s="54">
        <f>IF('Settings'!$E$15="POINTS",RANK(E376,E3:E432),H376)</f>
        <v>387</v>
      </c>
      <c r="D376" t="s" s="42">
        <f>VLOOKUP(A376,'The List'!B1:F730,5,FALSE)</f>
        <v>127</v>
      </c>
      <c r="E376" s="46">
        <f>VLOOKUP(A376,'The List'!B1:I730,8,FALSE)</f>
        <v>136.227957220220</v>
      </c>
      <c r="F376" s="46">
        <f>IF('Settings'!$E$15="POINTS",E376-VLOOKUP(B$2,C1:E432,3,FALSE),J376)</f>
        <v>-213.600018184994</v>
      </c>
      <c r="G376" s="46"/>
      <c r="H376" s="149">
        <f>RANK(I376,I3:I432)</f>
        <v>357</v>
      </c>
      <c r="I376" s="150">
        <f>VLOOKUP(A376,'Standard Deviations'!A1:C731,3,FALSE)</f>
        <v>-4.07147223915417</v>
      </c>
      <c r="J376" s="150">
        <f>I376-VLOOKUP(B$2,H1:J432,2,FALSE)</f>
        <v>-7.35022636253949</v>
      </c>
    </row>
    <row r="377" ht="21.25" customHeight="1">
      <c r="A377" t="s" s="8">
        <v>811</v>
      </c>
      <c r="B377" t="s" s="148">
        <f>VLOOKUP(A377,'The List'!B1:D730,3,FALSE)</f>
        <v>107</v>
      </c>
      <c r="C377" s="54">
        <f>IF('Settings'!$E$15="POINTS",RANK(E377,E3:E432),H377)</f>
        <v>352</v>
      </c>
      <c r="D377" t="s" s="42">
        <f>VLOOKUP(A377,'The List'!B1:F730,5,FALSE)</f>
        <v>292</v>
      </c>
      <c r="E377" s="46">
        <f>VLOOKUP(A377,'The List'!B1:I730,8,FALSE)</f>
        <v>158.479808290937</v>
      </c>
      <c r="F377" s="46">
        <f>IF('Settings'!$E$15="POINTS",E377-VLOOKUP(B$2,C1:E432,3,FALSE),J377)</f>
        <v>-191.348167114277</v>
      </c>
      <c r="G377" s="46"/>
      <c r="H377" s="149">
        <f>RANK(I377,I3:I432)</f>
        <v>355</v>
      </c>
      <c r="I377" s="150">
        <f>VLOOKUP(A377,'Standard Deviations'!A1:C731,3,FALSE)</f>
        <v>-3.99922811522531</v>
      </c>
      <c r="J377" s="150">
        <f>I377-VLOOKUP(B$2,H1:J432,2,FALSE)</f>
        <v>-7.27798223861063</v>
      </c>
    </row>
    <row r="378" ht="21.25" customHeight="1">
      <c r="A378" t="s" s="8">
        <v>812</v>
      </c>
      <c r="B378" t="s" s="148">
        <f>VLOOKUP(A378,'The List'!B1:D730,3,FALSE)</f>
        <v>107</v>
      </c>
      <c r="C378" s="54">
        <f>IF('Settings'!$E$15="POINTS",RANK(E378,E3:E432),H378)</f>
        <v>378</v>
      </c>
      <c r="D378" t="s" s="42">
        <f>VLOOKUP(A378,'The List'!B1:F730,5,FALSE)</f>
        <v>184</v>
      </c>
      <c r="E378" s="46">
        <f>VLOOKUP(A378,'The List'!B1:I730,8,FALSE)</f>
        <v>143.824346818760</v>
      </c>
      <c r="F378" s="46">
        <f>IF('Settings'!$E$15="POINTS",E378-VLOOKUP(B$2,C1:E432,3,FALSE),J378)</f>
        <v>-206.003628586454</v>
      </c>
      <c r="G378" s="46"/>
      <c r="H378" s="149">
        <f>RANK(I378,I3:I432)</f>
        <v>406</v>
      </c>
      <c r="I378" s="150">
        <f>VLOOKUP(A378,'Standard Deviations'!A1:C731,3,FALSE)</f>
        <v>-4.79671633651121</v>
      </c>
      <c r="J378" s="150">
        <f>I378-VLOOKUP(B$2,H1:J432,2,FALSE)</f>
        <v>-8.075470459896531</v>
      </c>
    </row>
    <row r="379" ht="21.25" customHeight="1">
      <c r="A379" t="s" s="8">
        <v>813</v>
      </c>
      <c r="B379" t="s" s="148">
        <f>VLOOKUP(A379,'The List'!B1:D730,3,FALSE)</f>
        <v>107</v>
      </c>
      <c r="C379" s="54">
        <f>IF('Settings'!$E$15="POINTS",RANK(E379,E3:E432),H379)</f>
        <v>350</v>
      </c>
      <c r="D379" t="s" s="42">
        <f>VLOOKUP(A379,'The List'!B1:F730,5,FALSE)</f>
        <v>156</v>
      </c>
      <c r="E379" s="46">
        <f>VLOOKUP(A379,'The List'!B1:I730,8,FALSE)</f>
        <v>158.805580312748</v>
      </c>
      <c r="F379" s="46">
        <f>IF('Settings'!$E$15="POINTS",E379-VLOOKUP(B$2,C1:E432,3,FALSE),J379)</f>
        <v>-191.022395092466</v>
      </c>
      <c r="G379" s="46"/>
      <c r="H379" s="149">
        <f>RANK(I379,I3:I432)</f>
        <v>373</v>
      </c>
      <c r="I379" s="150">
        <f>VLOOKUP(A379,'Standard Deviations'!A1:C731,3,FALSE)</f>
        <v>-4.25972155647603</v>
      </c>
      <c r="J379" s="150">
        <f>I379-VLOOKUP(B$2,H1:J432,2,FALSE)</f>
        <v>-7.53847567986135</v>
      </c>
    </row>
    <row r="380" ht="21.25" customHeight="1">
      <c r="A380" t="s" s="8">
        <v>815</v>
      </c>
      <c r="B380" t="s" s="148">
        <f>VLOOKUP(A380,'The List'!B1:D730,3,FALSE)</f>
        <v>107</v>
      </c>
      <c r="C380" s="54">
        <f>IF('Settings'!$E$15="POINTS",RANK(E380,E3:E432),H380)</f>
        <v>392</v>
      </c>
      <c r="D380" t="s" s="42">
        <f>VLOOKUP(A380,'The List'!B1:F730,5,FALSE)</f>
        <v>156</v>
      </c>
      <c r="E380" s="46">
        <f>VLOOKUP(A380,'The List'!B1:I730,8,FALSE)</f>
        <v>130.569675657664</v>
      </c>
      <c r="F380" s="46">
        <f>IF('Settings'!$E$15="POINTS",E380-VLOOKUP(B$2,C1:E432,3,FALSE),J380)</f>
        <v>-219.258299747550</v>
      </c>
      <c r="G380" s="46"/>
      <c r="H380" s="149">
        <f>RANK(I380,I3:I432)</f>
        <v>354</v>
      </c>
      <c r="I380" s="150">
        <f>VLOOKUP(A380,'Standard Deviations'!A1:C731,3,FALSE)</f>
        <v>-3.95567914849376</v>
      </c>
      <c r="J380" s="150">
        <f>I380-VLOOKUP(B$2,H1:J432,2,FALSE)</f>
        <v>-7.23443327187908</v>
      </c>
    </row>
    <row r="381" ht="21.25" customHeight="1">
      <c r="A381" t="s" s="8">
        <v>817</v>
      </c>
      <c r="B381" t="s" s="148">
        <f>VLOOKUP(A381,'The List'!B1:D730,3,FALSE)</f>
        <v>107</v>
      </c>
      <c r="C381" s="54">
        <f>IF('Settings'!$E$15="POINTS",RANK(E381,E3:E432),H381)</f>
        <v>379</v>
      </c>
      <c r="D381" t="s" s="42">
        <f>VLOOKUP(A381,'The List'!B1:F730,5,FALSE)</f>
        <v>134</v>
      </c>
      <c r="E381" s="46">
        <f>VLOOKUP(A381,'The List'!B1:I730,8,FALSE)</f>
        <v>143.810565511346</v>
      </c>
      <c r="F381" s="46">
        <f>IF('Settings'!$E$15="POINTS",E381-VLOOKUP(B$2,C1:E432,3,FALSE),J381)</f>
        <v>-206.017409893868</v>
      </c>
      <c r="G381" s="46"/>
      <c r="H381" s="149">
        <f>RANK(I381,I3:I432)</f>
        <v>350</v>
      </c>
      <c r="I381" s="150">
        <f>VLOOKUP(A381,'Standard Deviations'!A1:C731,3,FALSE)</f>
        <v>-3.85337731331215</v>
      </c>
      <c r="J381" s="150">
        <f>I381-VLOOKUP(B$2,H1:J432,2,FALSE)</f>
        <v>-7.13213143669747</v>
      </c>
    </row>
    <row r="382" ht="21.25" customHeight="1">
      <c r="A382" t="s" s="8">
        <v>801</v>
      </c>
      <c r="B382" t="s" s="148">
        <f>VLOOKUP(A382,'The List'!B1:D730,3,FALSE)</f>
        <v>121</v>
      </c>
      <c r="C382" s="54">
        <f>IF('Settings'!$E$15="POINTS",RANK(E382,E3:E432),H382)</f>
        <v>396</v>
      </c>
      <c r="D382" t="s" s="42">
        <f>VLOOKUP(A382,'The List'!B1:F730,5,FALSE)</f>
        <v>151</v>
      </c>
      <c r="E382" s="46">
        <f>VLOOKUP(A382,'The List'!B1:I730,8,FALSE)</f>
        <v>127.328568238936</v>
      </c>
      <c r="F382" s="46">
        <f>IF('Settings'!$E$15="POINTS",E382-VLOOKUP(B$2,C1:E432,3,FALSE),J382)</f>
        <v>-222.499407166278</v>
      </c>
      <c r="G382" s="46"/>
      <c r="H382" s="149">
        <f>RANK(I382,I3:I432)</f>
        <v>362</v>
      </c>
      <c r="I382" s="150">
        <f>VLOOKUP(A382,'Standard Deviations'!A1:C731,3,FALSE)</f>
        <v>-4.13087948554163</v>
      </c>
      <c r="J382" s="150">
        <f>I382-VLOOKUP(B$2,H1:J432,2,FALSE)</f>
        <v>-7.40963360892695</v>
      </c>
    </row>
    <row r="383" ht="21.25" customHeight="1">
      <c r="A383" t="s" s="8">
        <v>819</v>
      </c>
      <c r="B383" t="s" s="148">
        <f>VLOOKUP(A383,'The List'!B1:D730,3,FALSE)</f>
        <v>107</v>
      </c>
      <c r="C383" s="54">
        <f>IF('Settings'!$E$15="POINTS",RANK(E383,E3:E432),H383)</f>
        <v>401</v>
      </c>
      <c r="D383" t="s" s="42">
        <f>VLOOKUP(A383,'The List'!B1:F730,5,FALSE)</f>
        <v>173</v>
      </c>
      <c r="E383" s="46">
        <f>VLOOKUP(A383,'The List'!B1:I730,8,FALSE)</f>
        <v>120.078020743633</v>
      </c>
      <c r="F383" s="46">
        <f>IF('Settings'!$E$15="POINTS",E383-VLOOKUP(B$2,C1:E432,3,FALSE),J383)</f>
        <v>-229.749954661581</v>
      </c>
      <c r="G383" s="46"/>
      <c r="H383" s="149">
        <f>RANK(I383,I3:I432)</f>
        <v>356</v>
      </c>
      <c r="I383" s="150">
        <f>VLOOKUP(A383,'Standard Deviations'!A1:C731,3,FALSE)</f>
        <v>-4.05330785930687</v>
      </c>
      <c r="J383" s="150">
        <f>I383-VLOOKUP(B$2,H1:J432,2,FALSE)</f>
        <v>-7.33206198269219</v>
      </c>
    </row>
    <row r="384" ht="21.25" customHeight="1">
      <c r="A384" t="s" s="8">
        <v>823</v>
      </c>
      <c r="B384" t="s" s="148">
        <f>VLOOKUP(A384,'The List'!B1:D730,3,FALSE)</f>
        <v>107</v>
      </c>
      <c r="C384" s="54">
        <f>IF('Settings'!$E$15="POINTS",RANK(E384,E3:E432),H384)</f>
        <v>408</v>
      </c>
      <c r="D384" t="s" s="42">
        <f>VLOOKUP(A384,'The List'!B1:F730,5,FALSE)</f>
        <v>202</v>
      </c>
      <c r="E384" s="46">
        <f>VLOOKUP(A384,'The List'!B1:I730,8,FALSE)</f>
        <v>113.425558840106</v>
      </c>
      <c r="F384" s="46">
        <f>IF('Settings'!$E$15="POINTS",E384-VLOOKUP(B$2,C1:E432,3,FALSE),J384)</f>
        <v>-236.402416565108</v>
      </c>
      <c r="G384" s="46"/>
      <c r="H384" s="149">
        <f>RANK(I384,I3:I432)</f>
        <v>326</v>
      </c>
      <c r="I384" s="150">
        <f>VLOOKUP(A384,'Standard Deviations'!A1:C731,3,FALSE)</f>
        <v>-3.17873674930907</v>
      </c>
      <c r="J384" s="150">
        <f>I384-VLOOKUP(B$2,H1:J432,2,FALSE)</f>
        <v>-6.45749087269439</v>
      </c>
    </row>
    <row r="385" ht="21.25" customHeight="1">
      <c r="A385" t="s" s="8">
        <v>814</v>
      </c>
      <c r="B385" t="s" s="148">
        <f>VLOOKUP(A385,'The List'!B1:D730,3,FALSE)</f>
        <v>107</v>
      </c>
      <c r="C385" s="54">
        <f>IF('Settings'!$E$15="POINTS",RANK(E385,E3:E432),H385)</f>
        <v>349</v>
      </c>
      <c r="D385" t="s" s="42">
        <f>VLOOKUP(A385,'The List'!B1:F730,5,FALSE)</f>
        <v>122</v>
      </c>
      <c r="E385" s="46">
        <f>VLOOKUP(A385,'The List'!B1:I730,8,FALSE)</f>
        <v>159.894480647206</v>
      </c>
      <c r="F385" s="46">
        <f>IF('Settings'!$E$15="POINTS",E385-VLOOKUP(B$2,C1:E432,3,FALSE),J385)</f>
        <v>-189.933494758008</v>
      </c>
      <c r="G385" s="46"/>
      <c r="H385" s="149">
        <f>RANK(I385,I3:I432)</f>
        <v>336</v>
      </c>
      <c r="I385" s="150">
        <f>VLOOKUP(A385,'Standard Deviations'!A1:C731,3,FALSE)</f>
        <v>-3.41198316589757</v>
      </c>
      <c r="J385" s="150">
        <f>I385-VLOOKUP(B$2,H1:J432,2,FALSE)</f>
        <v>-6.69073728928289</v>
      </c>
    </row>
    <row r="386" ht="21.25" customHeight="1">
      <c r="A386" t="s" s="8">
        <v>830</v>
      </c>
      <c r="B386" t="s" s="148">
        <f>VLOOKUP(A386,'The List'!B1:D730,3,FALSE)</f>
        <v>107</v>
      </c>
      <c r="C386" s="54">
        <f>IF('Settings'!$E$15="POINTS",RANK(E386,E3:E432),H386)</f>
        <v>376</v>
      </c>
      <c r="D386" t="s" s="42">
        <f>VLOOKUP(A386,'The List'!B1:F730,5,FALSE)</f>
        <v>173</v>
      </c>
      <c r="E386" s="46">
        <f>VLOOKUP(A386,'The List'!B1:I730,8,FALSE)</f>
        <v>146.140673368827</v>
      </c>
      <c r="F386" s="46">
        <f>IF('Settings'!$E$15="POINTS",E386-VLOOKUP(B$2,C1:E432,3,FALSE),J386)</f>
        <v>-203.687302036387</v>
      </c>
      <c r="G386" s="46"/>
      <c r="H386" s="149">
        <f>RANK(I386,I3:I432)</f>
        <v>371</v>
      </c>
      <c r="I386" s="150">
        <f>VLOOKUP(A386,'Standard Deviations'!A1:C731,3,FALSE)</f>
        <v>-4.24041100123769</v>
      </c>
      <c r="J386" s="150">
        <f>I386-VLOOKUP(B$2,H1:J432,2,FALSE)</f>
        <v>-7.51916512462301</v>
      </c>
    </row>
    <row r="387" ht="21.25" customHeight="1">
      <c r="A387" t="s" s="8">
        <v>816</v>
      </c>
      <c r="B387" t="s" s="148">
        <f>VLOOKUP(A387,'The List'!B1:D730,3,FALSE)</f>
        <v>133</v>
      </c>
      <c r="C387" s="54">
        <f>IF('Settings'!$E$15="POINTS",RANK(E387,E3:E432),H387)</f>
        <v>370</v>
      </c>
      <c r="D387" t="s" s="42">
        <f>VLOOKUP(A387,'The List'!B1:F730,5,FALSE)</f>
        <v>131</v>
      </c>
      <c r="E387" s="46">
        <f>VLOOKUP(A387,'The List'!B1:I730,8,FALSE)</f>
        <v>149.798905986313</v>
      </c>
      <c r="F387" s="46">
        <f>IF('Settings'!$E$15="POINTS",E387-VLOOKUP(B$2,C1:E432,3,FALSE),J387)</f>
        <v>-200.029069418901</v>
      </c>
      <c r="G387" s="46"/>
      <c r="H387" s="149">
        <f>RANK(I387,I3:I432)</f>
        <v>410</v>
      </c>
      <c r="I387" s="150">
        <f>VLOOKUP(A387,'Standard Deviations'!A1:C731,3,FALSE)</f>
        <v>-4.9415542254457</v>
      </c>
      <c r="J387" s="150">
        <f>I387-VLOOKUP(B$2,H1:J432,2,FALSE)</f>
        <v>-8.22030834883102</v>
      </c>
    </row>
    <row r="388" ht="21.25" customHeight="1">
      <c r="A388" t="s" s="8">
        <v>831</v>
      </c>
      <c r="B388" t="s" s="148">
        <f>VLOOKUP(A388,'The List'!B1:D730,3,FALSE)</f>
        <v>107</v>
      </c>
      <c r="C388" s="54">
        <f>IF('Settings'!$E$15="POINTS",RANK(E388,E3:E432),H388)</f>
        <v>410</v>
      </c>
      <c r="D388" t="s" s="42">
        <f>VLOOKUP(A388,'The List'!B1:F730,5,FALSE)</f>
        <v>170</v>
      </c>
      <c r="E388" s="46">
        <f>VLOOKUP(A388,'The List'!B1:I730,8,FALSE)</f>
        <v>108.551089449378</v>
      </c>
      <c r="F388" s="46">
        <f>IF('Settings'!$E$15="POINTS",E388-VLOOKUP(B$2,C1:E432,3,FALSE),J388)</f>
        <v>-241.276885955836</v>
      </c>
      <c r="G388" s="46"/>
      <c r="H388" s="149">
        <f>RANK(I388,I3:I432)</f>
        <v>392</v>
      </c>
      <c r="I388" s="150">
        <f>VLOOKUP(A388,'Standard Deviations'!A1:C731,3,FALSE)</f>
        <v>-4.55442920728083</v>
      </c>
      <c r="J388" s="150">
        <f>I388-VLOOKUP(B$2,H1:J432,2,FALSE)</f>
        <v>-7.83318333066615</v>
      </c>
    </row>
    <row r="389" ht="21.25" customHeight="1">
      <c r="A389" t="s" s="8">
        <v>832</v>
      </c>
      <c r="B389" t="s" s="148">
        <f>VLOOKUP(A389,'The List'!B1:D730,3,FALSE)</f>
        <v>107</v>
      </c>
      <c r="C389" s="54">
        <f>IF('Settings'!$E$15="POINTS",RANK(E389,E3:E432),H389)</f>
        <v>394</v>
      </c>
      <c r="D389" t="s" s="42">
        <f>VLOOKUP(A389,'The List'!B1:F730,5,FALSE)</f>
        <v>204</v>
      </c>
      <c r="E389" s="46">
        <f>VLOOKUP(A389,'The List'!B1:I730,8,FALSE)</f>
        <v>129.508507985598</v>
      </c>
      <c r="F389" s="46">
        <f>IF('Settings'!$E$15="POINTS",E389-VLOOKUP(B$2,C1:E432,3,FALSE),J389)</f>
        <v>-220.319467419616</v>
      </c>
      <c r="G389" s="46"/>
      <c r="H389" s="149">
        <f>RANK(I389,I3:I432)</f>
        <v>379</v>
      </c>
      <c r="I389" s="150">
        <f>VLOOKUP(A389,'Standard Deviations'!A1:C731,3,FALSE)</f>
        <v>-4.36052995461832</v>
      </c>
      <c r="J389" s="150">
        <f>I389-VLOOKUP(B$2,H1:J432,2,FALSE)</f>
        <v>-7.63928407800364</v>
      </c>
    </row>
    <row r="390" ht="21.25" customHeight="1">
      <c r="A390" t="s" s="8">
        <v>810</v>
      </c>
      <c r="B390" t="s" s="148">
        <f>VLOOKUP(A390,'The List'!B1:D730,3,FALSE)</f>
        <v>121</v>
      </c>
      <c r="C390" s="54">
        <f>IF('Settings'!$E$15="POINTS",RANK(E390,E3:E432),H390)</f>
        <v>338</v>
      </c>
      <c r="D390" t="s" s="42">
        <f>VLOOKUP(A390,'The List'!B1:F730,5,FALSE)</f>
        <v>149</v>
      </c>
      <c r="E390" s="46">
        <f>VLOOKUP(A390,'The List'!B1:I730,8,FALSE)</f>
        <v>168.212938624379</v>
      </c>
      <c r="F390" s="46">
        <f>IF('Settings'!$E$15="POINTS",E390-VLOOKUP(B$2,C1:E432,3,FALSE),J390)</f>
        <v>-181.615036780835</v>
      </c>
      <c r="G390" s="46"/>
      <c r="H390" s="149">
        <f>RANK(I390,I3:I432)</f>
        <v>378</v>
      </c>
      <c r="I390" s="150">
        <f>VLOOKUP(A390,'Standard Deviations'!A1:C731,3,FALSE)</f>
        <v>-4.32750704106908</v>
      </c>
      <c r="J390" s="150">
        <f>I390-VLOOKUP(B$2,H1:J432,2,FALSE)</f>
        <v>-7.6062611644544</v>
      </c>
    </row>
    <row r="391" ht="21.25" customHeight="1">
      <c r="A391" t="s" s="8">
        <v>820</v>
      </c>
      <c r="B391" t="s" s="148">
        <f>VLOOKUP(A391,'The List'!B1:D730,3,FALSE)</f>
        <v>133</v>
      </c>
      <c r="C391" s="54">
        <f>IF('Settings'!$E$15="POINTS",RANK(E391,E3:E432),H391)</f>
        <v>342</v>
      </c>
      <c r="D391" t="s" s="42">
        <f>VLOOKUP(A391,'The List'!B1:F730,5,FALSE)</f>
        <v>149</v>
      </c>
      <c r="E391" s="46">
        <f>VLOOKUP(A391,'The List'!B1:I730,8,FALSE)</f>
        <v>164.470223951087</v>
      </c>
      <c r="F391" s="46">
        <f>IF('Settings'!$E$15="POINTS",E391-VLOOKUP(B$2,C1:E432,3,FALSE),J391)</f>
        <v>-185.357751454127</v>
      </c>
      <c r="G391" s="46"/>
      <c r="H391" s="149">
        <f>RANK(I391,I3:I432)</f>
        <v>389</v>
      </c>
      <c r="I391" s="150">
        <f>VLOOKUP(A391,'Standard Deviations'!A1:C731,3,FALSE)</f>
        <v>-4.49809365165263</v>
      </c>
      <c r="J391" s="150">
        <f>I391-VLOOKUP(B$2,H1:J432,2,FALSE)</f>
        <v>-7.77684777503795</v>
      </c>
    </row>
    <row r="392" ht="21.25" customHeight="1">
      <c r="A392" t="s" s="8">
        <v>803</v>
      </c>
      <c r="B392" t="s" s="148">
        <f>VLOOKUP(A392,'The List'!B1:D730,3,FALSE)</f>
        <v>133</v>
      </c>
      <c r="C392" s="54">
        <f>IF('Settings'!$E$15="POINTS",RANK(E392,E3:E432),H392)</f>
        <v>375</v>
      </c>
      <c r="D392" t="s" s="42">
        <f>VLOOKUP(A392,'The List'!B1:F730,5,FALSE)</f>
        <v>122</v>
      </c>
      <c r="E392" s="46">
        <f>VLOOKUP(A392,'The List'!B1:I730,8,FALSE)</f>
        <v>147.255521561528</v>
      </c>
      <c r="F392" s="46">
        <f>IF('Settings'!$E$15="POINTS",E392-VLOOKUP(B$2,C1:E432,3,FALSE),J392)</f>
        <v>-202.572453843686</v>
      </c>
      <c r="G392" s="46"/>
      <c r="H392" s="149">
        <f>RANK(I392,I3:I432)</f>
        <v>328</v>
      </c>
      <c r="I392" s="150">
        <f>VLOOKUP(A392,'Standard Deviations'!A1:C731,3,FALSE)</f>
        <v>-3.19533699507031</v>
      </c>
      <c r="J392" s="150">
        <f>I392-VLOOKUP(B$2,H1:J432,2,FALSE)</f>
        <v>-6.47409111845563</v>
      </c>
    </row>
    <row r="393" ht="21.25" customHeight="1">
      <c r="A393" t="s" s="8">
        <v>825</v>
      </c>
      <c r="B393" t="s" s="148">
        <f>VLOOKUP(A393,'The List'!B1:D730,3,FALSE)</f>
        <v>133</v>
      </c>
      <c r="C393" s="54">
        <f>IF('Settings'!$E$15="POINTS",RANK(E393,E3:E432),H393)</f>
        <v>413</v>
      </c>
      <c r="D393" t="s" s="42">
        <f>VLOOKUP(A393,'The List'!B1:F730,5,FALSE)</f>
        <v>170</v>
      </c>
      <c r="E393" s="46">
        <f>VLOOKUP(A393,'The List'!B1:I730,8,FALSE)</f>
        <v>104.935772017106</v>
      </c>
      <c r="F393" s="46">
        <f>IF('Settings'!$E$15="POINTS",E393-VLOOKUP(B$2,C1:E432,3,FALSE),J393)</f>
        <v>-244.892203388108</v>
      </c>
      <c r="G393" s="46"/>
      <c r="H393" s="149">
        <f>RANK(I393,I3:I432)</f>
        <v>381</v>
      </c>
      <c r="I393" s="150">
        <f>VLOOKUP(A393,'Standard Deviations'!A1:C731,3,FALSE)</f>
        <v>-4.37088978441304</v>
      </c>
      <c r="J393" s="150">
        <f>I393-VLOOKUP(B$2,H1:J432,2,FALSE)</f>
        <v>-7.64964390779836</v>
      </c>
    </row>
    <row r="394" ht="21.25" customHeight="1">
      <c r="A394" t="s" s="8">
        <v>827</v>
      </c>
      <c r="B394" t="s" s="148">
        <f>VLOOKUP(A394,'The List'!B1:D730,3,FALSE)</f>
        <v>133</v>
      </c>
      <c r="C394" s="54">
        <f>IF('Settings'!$E$15="POINTS",RANK(E394,E3:E432),H394)</f>
        <v>399</v>
      </c>
      <c r="D394" t="s" s="42">
        <f>VLOOKUP(A394,'The List'!B1:F730,5,FALSE)</f>
        <v>108</v>
      </c>
      <c r="E394" s="46">
        <f>VLOOKUP(A394,'The List'!B1:I730,8,FALSE)</f>
        <v>122.466145931906</v>
      </c>
      <c r="F394" s="46">
        <f>IF('Settings'!$E$15="POINTS",E394-VLOOKUP(B$2,C1:E432,3,FALSE),J394)</f>
        <v>-227.361829473308</v>
      </c>
      <c r="G394" s="46"/>
      <c r="H394" s="149">
        <f>RANK(I394,I3:I432)</f>
        <v>340</v>
      </c>
      <c r="I394" s="150">
        <f>VLOOKUP(A394,'Standard Deviations'!A1:C731,3,FALSE)</f>
        <v>-3.5480491756528</v>
      </c>
      <c r="J394" s="150">
        <f>I394-VLOOKUP(B$2,H1:J432,2,FALSE)</f>
        <v>-6.82680329903812</v>
      </c>
    </row>
    <row r="395" ht="21.25" customHeight="1">
      <c r="A395" t="s" s="8">
        <v>848</v>
      </c>
      <c r="B395" t="s" s="148">
        <f>VLOOKUP(A395,'The List'!B1:D730,3,FALSE)</f>
        <v>107</v>
      </c>
      <c r="C395" s="54">
        <f>IF('Settings'!$E$15="POINTS",RANK(E395,E3:E432),H395)</f>
        <v>400</v>
      </c>
      <c r="D395" t="s" s="42">
        <f>VLOOKUP(A395,'The List'!B1:F730,5,FALSE)</f>
        <v>234</v>
      </c>
      <c r="E395" s="46">
        <f>VLOOKUP(A395,'The List'!B1:I730,8,FALSE)</f>
        <v>122.466041388118</v>
      </c>
      <c r="F395" s="46">
        <f>IF('Settings'!$E$15="POINTS",E395-VLOOKUP(B$2,C1:E432,3,FALSE),J395)</f>
        <v>-227.361934017096</v>
      </c>
      <c r="G395" s="46"/>
      <c r="H395" s="149">
        <f>RANK(I395,I3:I432)</f>
        <v>428</v>
      </c>
      <c r="I395" s="150">
        <f>VLOOKUP(A395,'Standard Deviations'!A1:C731,3,FALSE)</f>
        <v>-6.41862343386397</v>
      </c>
      <c r="J395" s="150">
        <f>I395-VLOOKUP(B$2,H1:J432,2,FALSE)</f>
        <v>-9.69737755724929</v>
      </c>
    </row>
    <row r="396" ht="21.25" customHeight="1">
      <c r="A396" t="s" s="8">
        <v>835</v>
      </c>
      <c r="B396" t="s" s="148">
        <f>VLOOKUP(A396,'The List'!B1:D730,3,FALSE)</f>
        <v>107</v>
      </c>
      <c r="C396" s="54">
        <f>IF('Settings'!$E$15="POINTS",RANK(E396,E3:E432),H396)</f>
        <v>406</v>
      </c>
      <c r="D396" t="s" s="42">
        <f>VLOOKUP(A396,'The List'!B1:F730,5,FALSE)</f>
        <v>156</v>
      </c>
      <c r="E396" s="46">
        <f>VLOOKUP(A396,'The List'!B1:I730,8,FALSE)</f>
        <v>114.569578799826</v>
      </c>
      <c r="F396" s="46">
        <f>IF('Settings'!$E$15="POINTS",E396-VLOOKUP(B$2,C1:E432,3,FALSE),J396)</f>
        <v>-235.258396605388</v>
      </c>
      <c r="G396" s="46"/>
      <c r="H396" s="149">
        <f>RANK(I396,I3:I432)</f>
        <v>404</v>
      </c>
      <c r="I396" s="150">
        <f>VLOOKUP(A396,'Standard Deviations'!A1:C731,3,FALSE)</f>
        <v>-4.75985727958863</v>
      </c>
      <c r="J396" s="150">
        <f>I396-VLOOKUP(B$2,H1:J432,2,FALSE)</f>
        <v>-8.038611402973951</v>
      </c>
    </row>
    <row r="397" ht="21.25" customHeight="1">
      <c r="A397" t="s" s="8">
        <v>829</v>
      </c>
      <c r="B397" t="s" s="148">
        <f>VLOOKUP(A397,'The List'!B1:D730,3,FALSE)</f>
        <v>133</v>
      </c>
      <c r="C397" s="54">
        <f>IF('Settings'!$E$15="POINTS",RANK(E397,E3:E432),H397)</f>
        <v>389</v>
      </c>
      <c r="D397" t="s" s="42">
        <f>VLOOKUP(A397,'The List'!B1:F730,5,FALSE)</f>
        <v>134</v>
      </c>
      <c r="E397" s="46">
        <f>VLOOKUP(A397,'The List'!B1:I730,8,FALSE)</f>
        <v>132.562939715836</v>
      </c>
      <c r="F397" s="46">
        <f>IF('Settings'!$E$15="POINTS",E397-VLOOKUP(B$2,C1:E432,3,FALSE),J397)</f>
        <v>-217.265035689378</v>
      </c>
      <c r="G397" s="46"/>
      <c r="H397" s="149">
        <f>RANK(I397,I3:I432)</f>
        <v>384</v>
      </c>
      <c r="I397" s="150">
        <f>VLOOKUP(A397,'Standard Deviations'!A1:C731,3,FALSE)</f>
        <v>-4.42881548679631</v>
      </c>
      <c r="J397" s="150">
        <f>I397-VLOOKUP(B$2,H1:J432,2,FALSE)</f>
        <v>-7.70756961018163</v>
      </c>
    </row>
    <row r="398" ht="21.25" customHeight="1">
      <c r="A398" t="s" s="8">
        <v>840</v>
      </c>
      <c r="B398" t="s" s="148">
        <f>VLOOKUP(A398,'The List'!B1:D730,3,FALSE)</f>
        <v>107</v>
      </c>
      <c r="C398" s="54">
        <f>IF('Settings'!$E$15="POINTS",RANK(E398,E3:E432),H398)</f>
        <v>398</v>
      </c>
      <c r="D398" t="s" s="42">
        <f>VLOOKUP(A398,'The List'!B1:F730,5,FALSE)</f>
        <v>204</v>
      </c>
      <c r="E398" s="46">
        <f>VLOOKUP(A398,'The List'!B1:I730,8,FALSE)</f>
        <v>123.429680384993</v>
      </c>
      <c r="F398" s="46">
        <f>IF('Settings'!$E$15="POINTS",E398-VLOOKUP(B$2,C1:E432,3,FALSE),J398)</f>
        <v>-226.398295020221</v>
      </c>
      <c r="G398" s="46"/>
      <c r="H398" s="149">
        <f>RANK(I398,I3:I432)</f>
        <v>399</v>
      </c>
      <c r="I398" s="150">
        <f>VLOOKUP(A398,'Standard Deviations'!A1:C731,3,FALSE)</f>
        <v>-4.69361316543525</v>
      </c>
      <c r="J398" s="150">
        <f>I398-VLOOKUP(B$2,H1:J432,2,FALSE)</f>
        <v>-7.97236728882057</v>
      </c>
    </row>
    <row r="399" ht="21.25" customHeight="1">
      <c r="A399" t="s" s="8">
        <v>844</v>
      </c>
      <c r="B399" t="s" s="148">
        <f>VLOOKUP(A399,'The List'!B1:D730,3,FALSE)</f>
        <v>107</v>
      </c>
      <c r="C399" s="54">
        <f>IF('Settings'!$E$15="POINTS",RANK(E399,E3:E432),H399)</f>
        <v>402</v>
      </c>
      <c r="D399" t="s" s="42">
        <f>VLOOKUP(A399,'The List'!B1:F730,5,FALSE)</f>
        <v>164</v>
      </c>
      <c r="E399" s="46">
        <f>VLOOKUP(A399,'The List'!B1:I730,8,FALSE)</f>
        <v>118.729593485320</v>
      </c>
      <c r="F399" s="46">
        <f>IF('Settings'!$E$15="POINTS",E399-VLOOKUP(B$2,C1:E432,3,FALSE),J399)</f>
        <v>-231.098381919894</v>
      </c>
      <c r="G399" s="46"/>
      <c r="H399" s="149">
        <f>RANK(I399,I3:I432)</f>
        <v>387</v>
      </c>
      <c r="I399" s="150">
        <f>VLOOKUP(A399,'Standard Deviations'!A1:C731,3,FALSE)</f>
        <v>-4.46271476600624</v>
      </c>
      <c r="J399" s="150">
        <f>I399-VLOOKUP(B$2,H1:J432,2,FALSE)</f>
        <v>-7.74146888939156</v>
      </c>
    </row>
    <row r="400" ht="21.25" customHeight="1">
      <c r="A400" t="s" s="8">
        <v>833</v>
      </c>
      <c r="B400" t="s" s="148">
        <f>VLOOKUP(A400,'The List'!B1:D730,3,FALSE)</f>
        <v>133</v>
      </c>
      <c r="C400" s="54">
        <f>IF('Settings'!$E$15="POINTS",RANK(E400,E3:E432),H400)</f>
        <v>377</v>
      </c>
      <c r="D400" t="s" s="42">
        <f>VLOOKUP(A400,'The List'!B1:F730,5,FALSE)</f>
        <v>173</v>
      </c>
      <c r="E400" s="46">
        <f>VLOOKUP(A400,'The List'!B1:I730,8,FALSE)</f>
        <v>143.922123350180</v>
      </c>
      <c r="F400" s="46">
        <f>IF('Settings'!$E$15="POINTS",E400-VLOOKUP(B$2,C1:E432,3,FALSE),J400)</f>
        <v>-205.905852055034</v>
      </c>
      <c r="G400" s="46"/>
      <c r="H400" s="149">
        <f>RANK(I400,I3:I432)</f>
        <v>390</v>
      </c>
      <c r="I400" s="150">
        <f>VLOOKUP(A400,'Standard Deviations'!A1:C731,3,FALSE)</f>
        <v>-4.50697716582169</v>
      </c>
      <c r="J400" s="150">
        <f>I400-VLOOKUP(B$2,H1:J432,2,FALSE)</f>
        <v>-7.78573128920701</v>
      </c>
    </row>
    <row r="401" ht="21.25" customHeight="1">
      <c r="A401" t="s" s="8">
        <v>846</v>
      </c>
      <c r="B401" t="s" s="148">
        <f>VLOOKUP(A401,'The List'!B1:D730,3,FALSE)</f>
        <v>107</v>
      </c>
      <c r="C401" s="54">
        <f>IF('Settings'!$E$15="POINTS",RANK(E401,E3:E432),H401)</f>
        <v>416</v>
      </c>
      <c r="D401" t="s" s="42">
        <f>VLOOKUP(A401,'The List'!B1:F730,5,FALSE)</f>
        <v>119</v>
      </c>
      <c r="E401" s="46">
        <f>VLOOKUP(A401,'The List'!B1:I730,8,FALSE)</f>
        <v>101.601723836421</v>
      </c>
      <c r="F401" s="46">
        <f>IF('Settings'!$E$15="POINTS",E401-VLOOKUP(B$2,C1:E432,3,FALSE),J401)</f>
        <v>-248.226251568793</v>
      </c>
      <c r="G401" s="46"/>
      <c r="H401" s="149">
        <f>RANK(I401,I3:I432)</f>
        <v>391</v>
      </c>
      <c r="I401" s="150">
        <f>VLOOKUP(A401,'Standard Deviations'!A1:C731,3,FALSE)</f>
        <v>-4.53126288614689</v>
      </c>
      <c r="J401" s="150">
        <f>I401-VLOOKUP(B$2,H1:J432,2,FALSE)</f>
        <v>-7.81001700953221</v>
      </c>
    </row>
    <row r="402" ht="21.25" customHeight="1">
      <c r="A402" t="s" s="8">
        <v>857</v>
      </c>
      <c r="B402" t="s" s="148">
        <f>VLOOKUP(A402,'The List'!B1:D730,3,FALSE)</f>
        <v>107</v>
      </c>
      <c r="C402" s="54">
        <f>IF('Settings'!$E$15="POINTS",RANK(E402,E3:E432),H402)</f>
        <v>397</v>
      </c>
      <c r="D402" t="s" s="42">
        <f>VLOOKUP(A402,'The List'!B1:F730,5,FALSE)</f>
        <v>124</v>
      </c>
      <c r="E402" s="46">
        <f>VLOOKUP(A402,'The List'!B1:I730,8,FALSE)</f>
        <v>124.158423729645</v>
      </c>
      <c r="F402" s="46">
        <f>IF('Settings'!$E$15="POINTS",E402-VLOOKUP(B$2,C1:E432,3,FALSE),J402)</f>
        <v>-225.669551675569</v>
      </c>
      <c r="G402" s="46"/>
      <c r="H402" s="149">
        <f>RANK(I402,I3:I432)</f>
        <v>394</v>
      </c>
      <c r="I402" s="150">
        <f>VLOOKUP(A402,'Standard Deviations'!A1:C731,3,FALSE)</f>
        <v>-4.58605876013904</v>
      </c>
      <c r="J402" s="150">
        <f>I402-VLOOKUP(B$2,H1:J432,2,FALSE)</f>
        <v>-7.86481288352436</v>
      </c>
    </row>
    <row r="403" ht="21.25" customHeight="1">
      <c r="A403" t="s" s="8">
        <v>847</v>
      </c>
      <c r="B403" t="s" s="148">
        <f>VLOOKUP(A403,'The List'!B1:D730,3,FALSE)</f>
        <v>107</v>
      </c>
      <c r="C403" s="54">
        <f>IF('Settings'!$E$15="POINTS",RANK(E403,E3:E432),H403)</f>
        <v>409</v>
      </c>
      <c r="D403" t="s" s="42">
        <f>VLOOKUP(A403,'The List'!B1:F730,5,FALSE)</f>
        <v>194</v>
      </c>
      <c r="E403" s="46">
        <f>VLOOKUP(A403,'The List'!B1:I730,8,FALSE)</f>
        <v>113.347859382442</v>
      </c>
      <c r="F403" s="46">
        <f>IF('Settings'!$E$15="POINTS",E403-VLOOKUP(B$2,C1:E432,3,FALSE),J403)</f>
        <v>-236.480116022772</v>
      </c>
      <c r="G403" s="46"/>
      <c r="H403" s="149">
        <f>RANK(I403,I3:I432)</f>
        <v>420</v>
      </c>
      <c r="I403" s="150">
        <f>VLOOKUP(A403,'Standard Deviations'!A1:C731,3,FALSE)</f>
        <v>-5.29258333862174</v>
      </c>
      <c r="J403" s="150">
        <f>I403-VLOOKUP(B$2,H1:J432,2,FALSE)</f>
        <v>-8.57133746200706</v>
      </c>
    </row>
    <row r="404" ht="21.25" customHeight="1">
      <c r="A404" t="s" s="8">
        <v>849</v>
      </c>
      <c r="B404" t="s" s="148">
        <f>VLOOKUP(A404,'The List'!B1:D730,3,FALSE)</f>
        <v>107</v>
      </c>
      <c r="C404" s="54">
        <f>IF('Settings'!$E$15="POINTS",RANK(E404,E3:E432),H404)</f>
        <v>417</v>
      </c>
      <c r="D404" t="s" s="42">
        <f>VLOOKUP(A404,'The List'!B1:F730,5,FALSE)</f>
        <v>134</v>
      </c>
      <c r="E404" s="46">
        <f>VLOOKUP(A404,'The List'!B1:I730,8,FALSE)</f>
        <v>99.89542539844329</v>
      </c>
      <c r="F404" s="46">
        <f>IF('Settings'!$E$15="POINTS",E404-VLOOKUP(B$2,C1:E432,3,FALSE),J404)</f>
        <v>-249.932550006771</v>
      </c>
      <c r="G404" s="46"/>
      <c r="H404" s="149">
        <f>RANK(I404,I3:I432)</f>
        <v>398</v>
      </c>
      <c r="I404" s="150">
        <f>VLOOKUP(A404,'Standard Deviations'!A1:C731,3,FALSE)</f>
        <v>-4.64023238899804</v>
      </c>
      <c r="J404" s="150">
        <f>I404-VLOOKUP(B$2,H1:J432,2,FALSE)</f>
        <v>-7.91898651238336</v>
      </c>
    </row>
    <row r="405" ht="21.25" customHeight="1">
      <c r="A405" t="s" s="8">
        <v>822</v>
      </c>
      <c r="B405" t="s" s="148">
        <f>VLOOKUP(A405,'The List'!B1:D730,3,FALSE)</f>
        <v>121</v>
      </c>
      <c r="C405" s="54">
        <f>IF('Settings'!$E$15="POINTS",RANK(E405,E3:E432),H405)</f>
        <v>411</v>
      </c>
      <c r="D405" t="s" s="42">
        <f>VLOOKUP(A405,'The List'!B1:F730,5,FALSE)</f>
        <v>234</v>
      </c>
      <c r="E405" s="46">
        <f>VLOOKUP(A405,'The List'!B1:I730,8,FALSE)</f>
        <v>107.343962532845</v>
      </c>
      <c r="F405" s="46">
        <f>IF('Settings'!$E$15="POINTS",E405-VLOOKUP(B$2,C1:E432,3,FALSE),J405)</f>
        <v>-242.484012872369</v>
      </c>
      <c r="G405" s="46"/>
      <c r="H405" s="149">
        <f>RANK(I405,I3:I432)</f>
        <v>430</v>
      </c>
      <c r="I405" s="150">
        <f>VLOOKUP(A405,'Standard Deviations'!A1:C731,3,FALSE)</f>
        <v>-6.65617003463115</v>
      </c>
      <c r="J405" s="150">
        <f>I405-VLOOKUP(B$2,H1:J432,2,FALSE)</f>
        <v>-9.93492415801647</v>
      </c>
    </row>
    <row r="406" ht="21.25" customHeight="1">
      <c r="A406" t="s" s="8">
        <v>850</v>
      </c>
      <c r="B406" t="s" s="148">
        <f>VLOOKUP(A406,'The List'!B1:D730,3,FALSE)</f>
        <v>107</v>
      </c>
      <c r="C406" s="54">
        <f>IF('Settings'!$E$15="POINTS",RANK(E406,E3:E432),H406)</f>
        <v>393</v>
      </c>
      <c r="D406" t="s" s="42">
        <f>VLOOKUP(A406,'The List'!B1:F730,5,FALSE)</f>
        <v>173</v>
      </c>
      <c r="E406" s="46">
        <f>VLOOKUP(A406,'The List'!B1:I730,8,FALSE)</f>
        <v>129.510367729315</v>
      </c>
      <c r="F406" s="46">
        <f>IF('Settings'!$E$15="POINTS",E406-VLOOKUP(B$2,C1:E432,3,FALSE),J406)</f>
        <v>-220.317607675899</v>
      </c>
      <c r="G406" s="46"/>
      <c r="H406" s="149">
        <f>RANK(I406,I3:I432)</f>
        <v>380</v>
      </c>
      <c r="I406" s="150">
        <f>VLOOKUP(A406,'Standard Deviations'!A1:C731,3,FALSE)</f>
        <v>-4.36530360649493</v>
      </c>
      <c r="J406" s="150">
        <f>I406-VLOOKUP(B$2,H1:J432,2,FALSE)</f>
        <v>-7.64405772988025</v>
      </c>
    </row>
    <row r="407" ht="21.25" customHeight="1">
      <c r="A407" t="s" s="8">
        <v>837</v>
      </c>
      <c r="B407" t="s" s="148">
        <f>VLOOKUP(A407,'The List'!B1:D730,3,FALSE)</f>
        <v>133</v>
      </c>
      <c r="C407" s="54">
        <f>IF('Settings'!$E$15="POINTS",RANK(E407,E3:E432),H407)</f>
        <v>358</v>
      </c>
      <c r="D407" t="s" s="42">
        <f>VLOOKUP(A407,'The List'!B1:F730,5,FALSE)</f>
        <v>236</v>
      </c>
      <c r="E407" s="46">
        <f>VLOOKUP(A407,'The List'!B1:I730,8,FALSE)</f>
        <v>156.356709311373</v>
      </c>
      <c r="F407" s="46">
        <f>IF('Settings'!$E$15="POINTS",E407-VLOOKUP(B$2,C1:E432,3,FALSE),J407)</f>
        <v>-193.471266093841</v>
      </c>
      <c r="G407" s="46"/>
      <c r="H407" s="149">
        <f>RANK(I407,I3:I432)</f>
        <v>427</v>
      </c>
      <c r="I407" s="150">
        <f>VLOOKUP(A407,'Standard Deviations'!A1:C731,3,FALSE)</f>
        <v>-6.33414716400225</v>
      </c>
      <c r="J407" s="150">
        <f>I407-VLOOKUP(B$2,H1:J432,2,FALSE)</f>
        <v>-9.612901287387571</v>
      </c>
    </row>
    <row r="408" ht="21.25" customHeight="1">
      <c r="A408" t="s" s="8">
        <v>824</v>
      </c>
      <c r="B408" t="s" s="148">
        <f>VLOOKUP(A408,'The List'!B1:D730,3,FALSE)</f>
        <v>121</v>
      </c>
      <c r="C408" s="54">
        <f>IF('Settings'!$E$15="POINTS",RANK(E408,E3:E432),H408)</f>
        <v>395</v>
      </c>
      <c r="D408" t="s" s="42">
        <f>VLOOKUP(A408,'The List'!B1:F730,5,FALSE)</f>
        <v>131</v>
      </c>
      <c r="E408" s="46">
        <f>VLOOKUP(A408,'The List'!B1:I730,8,FALSE)</f>
        <v>128.068963414366</v>
      </c>
      <c r="F408" s="46">
        <f>IF('Settings'!$E$15="POINTS",E408-VLOOKUP(B$2,C1:E432,3,FALSE),J408)</f>
        <v>-221.759011990848</v>
      </c>
      <c r="G408" s="46"/>
      <c r="H408" s="149">
        <f>RANK(I408,I3:I432)</f>
        <v>402</v>
      </c>
      <c r="I408" s="150">
        <f>VLOOKUP(A408,'Standard Deviations'!A1:C731,3,FALSE)</f>
        <v>-4.69995845639205</v>
      </c>
      <c r="J408" s="150">
        <f>I408-VLOOKUP(B$2,H1:J432,2,FALSE)</f>
        <v>-7.97871257977737</v>
      </c>
    </row>
    <row r="409" ht="21.25" customHeight="1">
      <c r="A409" t="s" s="8">
        <v>843</v>
      </c>
      <c r="B409" t="s" s="148">
        <f>VLOOKUP(A409,'The List'!B1:D730,3,FALSE)</f>
        <v>133</v>
      </c>
      <c r="C409" s="54">
        <f>IF('Settings'!$E$15="POINTS",RANK(E409,E3:E432),H409)</f>
        <v>404</v>
      </c>
      <c r="D409" t="s" s="42">
        <f>VLOOKUP(A409,'The List'!B1:F730,5,FALSE)</f>
        <v>194</v>
      </c>
      <c r="E409" s="46">
        <f>VLOOKUP(A409,'The List'!B1:I730,8,FALSE)</f>
        <v>118.415479238049</v>
      </c>
      <c r="F409" s="46">
        <f>IF('Settings'!$E$15="POINTS",E409-VLOOKUP(B$2,C1:E432,3,FALSE),J409)</f>
        <v>-231.412496167165</v>
      </c>
      <c r="G409" s="46"/>
      <c r="H409" s="149">
        <f>RANK(I409,I3:I432)</f>
        <v>421</v>
      </c>
      <c r="I409" s="150">
        <f>VLOOKUP(A409,'Standard Deviations'!A1:C731,3,FALSE)</f>
        <v>-5.29747799010626</v>
      </c>
      <c r="J409" s="150">
        <f>I409-VLOOKUP(B$2,H1:J432,2,FALSE)</f>
        <v>-8.57623211349158</v>
      </c>
    </row>
    <row r="410" ht="21.25" customHeight="1">
      <c r="A410" t="s" s="8">
        <v>826</v>
      </c>
      <c r="B410" t="s" s="148">
        <f>VLOOKUP(A410,'The List'!B1:D730,3,FALSE)</f>
        <v>121</v>
      </c>
      <c r="C410" s="54">
        <f>IF('Settings'!$E$15="POINTS",RANK(E410,E3:E432),H410)</f>
        <v>388</v>
      </c>
      <c r="D410" t="s" s="42">
        <f>VLOOKUP(A410,'The List'!B1:F730,5,FALSE)</f>
        <v>124</v>
      </c>
      <c r="E410" s="46">
        <f>VLOOKUP(A410,'The List'!B1:I730,8,FALSE)</f>
        <v>135.302550366909</v>
      </c>
      <c r="F410" s="46">
        <f>IF('Settings'!$E$15="POINTS",E410-VLOOKUP(B$2,C1:E432,3,FALSE),J410)</f>
        <v>-214.525425038305</v>
      </c>
      <c r="G410" s="46"/>
      <c r="H410" s="149">
        <f>RANK(I410,I3:I432)</f>
        <v>397</v>
      </c>
      <c r="I410" s="150">
        <f>VLOOKUP(A410,'Standard Deviations'!A1:C731,3,FALSE)</f>
        <v>-4.62319227496794</v>
      </c>
      <c r="J410" s="150">
        <f>I410-VLOOKUP(B$2,H1:J432,2,FALSE)</f>
        <v>-7.90194639835326</v>
      </c>
    </row>
    <row r="411" ht="21.25" customHeight="1">
      <c r="A411" t="s" s="8">
        <v>821</v>
      </c>
      <c r="B411" t="s" s="148">
        <f>VLOOKUP(A411,'The List'!B1:D730,3,FALSE)</f>
        <v>107</v>
      </c>
      <c r="C411" s="54">
        <f>IF('Settings'!$E$15="POINTS",RANK(E411,E3:E432),H411)</f>
        <v>384</v>
      </c>
      <c r="D411" t="s" s="42">
        <f>VLOOKUP(A411,'The List'!B1:F730,5,FALSE)</f>
        <v>122</v>
      </c>
      <c r="E411" s="46">
        <f>VLOOKUP(A411,'The List'!B1:I730,8,FALSE)</f>
        <v>140.986533359531</v>
      </c>
      <c r="F411" s="46">
        <f>IF('Settings'!$E$15="POINTS",E411-VLOOKUP(B$2,C1:E432,3,FALSE),J411)</f>
        <v>-208.841442045683</v>
      </c>
      <c r="G411" s="46"/>
      <c r="H411" s="149">
        <f>RANK(I411,I3:I432)</f>
        <v>349</v>
      </c>
      <c r="I411" s="150">
        <f>VLOOKUP(A411,'Standard Deviations'!A1:C731,3,FALSE)</f>
        <v>-3.79912243454551</v>
      </c>
      <c r="J411" s="150">
        <f>I411-VLOOKUP(B$2,H1:J432,2,FALSE)</f>
        <v>-7.07787655793083</v>
      </c>
    </row>
    <row r="412" ht="21.25" customHeight="1">
      <c r="A412" t="s" s="8">
        <v>828</v>
      </c>
      <c r="B412" t="s" s="148">
        <f>VLOOKUP(A412,'The List'!B1:D730,3,FALSE)</f>
        <v>121</v>
      </c>
      <c r="C412" s="54">
        <f>IF('Settings'!$E$15="POINTS",RANK(E412,E3:E432),H412)</f>
        <v>414</v>
      </c>
      <c r="D412" t="s" s="42">
        <f>VLOOKUP(A412,'The List'!B1:F730,5,FALSE)</f>
        <v>115</v>
      </c>
      <c r="E412" s="46">
        <f>VLOOKUP(A412,'The List'!B1:I730,8,FALSE)</f>
        <v>104.483777904252</v>
      </c>
      <c r="F412" s="46">
        <f>IF('Settings'!$E$15="POINTS",E412-VLOOKUP(B$2,C1:E432,3,FALSE),J412)</f>
        <v>-245.344197500962</v>
      </c>
      <c r="G412" s="46"/>
      <c r="H412" s="149">
        <f>RANK(I412,I3:I432)</f>
        <v>363</v>
      </c>
      <c r="I412" s="150">
        <f>VLOOKUP(A412,'Standard Deviations'!A1:C731,3,FALSE)</f>
        <v>-4.1358272269703</v>
      </c>
      <c r="J412" s="150">
        <f>I412-VLOOKUP(B$2,H1:J432,2,FALSE)</f>
        <v>-7.41458135035562</v>
      </c>
    </row>
    <row r="413" ht="21.25" customHeight="1">
      <c r="A413" t="s" s="8">
        <v>856</v>
      </c>
      <c r="B413" t="s" s="148">
        <f>VLOOKUP(A413,'The List'!B1:D730,3,FALSE)</f>
        <v>107</v>
      </c>
      <c r="C413" s="54">
        <f>IF('Settings'!$E$15="POINTS",RANK(E413,E3:E432),H413)</f>
        <v>407</v>
      </c>
      <c r="D413" t="s" s="42">
        <f>VLOOKUP(A413,'The List'!B1:F730,5,FALSE)</f>
        <v>151</v>
      </c>
      <c r="E413" s="46">
        <f>VLOOKUP(A413,'The List'!B1:I730,8,FALSE)</f>
        <v>114.007896823164</v>
      </c>
      <c r="F413" s="46">
        <f>IF('Settings'!$E$15="POINTS",E413-VLOOKUP(B$2,C1:E432,3,FALSE),J413)</f>
        <v>-235.820078582050</v>
      </c>
      <c r="G413" s="46"/>
      <c r="H413" s="149">
        <f>RANK(I413,I3:I432)</f>
        <v>361</v>
      </c>
      <c r="I413" s="150">
        <f>VLOOKUP(A413,'Standard Deviations'!A1:C731,3,FALSE)</f>
        <v>-4.09755788584806</v>
      </c>
      <c r="J413" s="150">
        <f>I413-VLOOKUP(B$2,H1:J432,2,FALSE)</f>
        <v>-7.37631200923338</v>
      </c>
    </row>
    <row r="414" ht="21.25" customHeight="1">
      <c r="A414" t="s" s="8">
        <v>838</v>
      </c>
      <c r="B414" t="s" s="148">
        <f>VLOOKUP(A414,'The List'!B1:D730,3,FALSE)</f>
        <v>121</v>
      </c>
      <c r="C414" s="54">
        <f>IF('Settings'!$E$15="POINTS",RANK(E414,E3:E432),H414)</f>
        <v>405</v>
      </c>
      <c r="D414" t="s" s="42">
        <f>VLOOKUP(A414,'The List'!B1:F730,5,FALSE)</f>
        <v>189</v>
      </c>
      <c r="E414" s="46">
        <f>VLOOKUP(A414,'The List'!B1:I730,8,FALSE)</f>
        <v>117.284809072262</v>
      </c>
      <c r="F414" s="46">
        <f>IF('Settings'!$E$15="POINTS",E414-VLOOKUP(B$2,C1:E432,3,FALSE),J414)</f>
        <v>-232.543166332952</v>
      </c>
      <c r="G414" s="46"/>
      <c r="H414" s="149">
        <f>RANK(I414,I3:I432)</f>
        <v>424</v>
      </c>
      <c r="I414" s="150">
        <f>VLOOKUP(A414,'Standard Deviations'!A1:C731,3,FALSE)</f>
        <v>-5.75037718169217</v>
      </c>
      <c r="J414" s="150">
        <f>I414-VLOOKUP(B$2,H1:J432,2,FALSE)</f>
        <v>-9.02913130507749</v>
      </c>
    </row>
    <row r="415" ht="21.25" customHeight="1">
      <c r="A415" t="s" s="8">
        <v>861</v>
      </c>
      <c r="B415" t="s" s="148">
        <f>VLOOKUP(A415,'The List'!B1:D730,3,FALSE)</f>
        <v>107</v>
      </c>
      <c r="C415" s="54">
        <f>IF('Settings'!$E$15="POINTS",RANK(E415,E3:E432),H415)</f>
        <v>420</v>
      </c>
      <c r="D415" t="s" s="42">
        <f>VLOOKUP(A415,'The List'!B1:F730,5,FALSE)</f>
        <v>124</v>
      </c>
      <c r="E415" s="46">
        <f>VLOOKUP(A415,'The List'!B1:I730,8,FALSE)</f>
        <v>94.3934944940781</v>
      </c>
      <c r="F415" s="46">
        <f>IF('Settings'!$E$15="POINTS",E415-VLOOKUP(B$2,C1:E432,3,FALSE),J415)</f>
        <v>-255.434480911136</v>
      </c>
      <c r="G415" s="46"/>
      <c r="H415" s="149">
        <f>RANK(I415,I3:I432)</f>
        <v>417</v>
      </c>
      <c r="I415" s="150">
        <f>VLOOKUP(A415,'Standard Deviations'!A1:C731,3,FALSE)</f>
        <v>-5.2224401871683</v>
      </c>
      <c r="J415" s="150">
        <f>I415-VLOOKUP(B$2,H1:J432,2,FALSE)</f>
        <v>-8.50119431055362</v>
      </c>
    </row>
    <row r="416" ht="21.25" customHeight="1">
      <c r="A416" t="s" s="8">
        <v>853</v>
      </c>
      <c r="B416" t="s" s="148">
        <f>VLOOKUP(A416,'The List'!B1:D730,3,FALSE)</f>
        <v>133</v>
      </c>
      <c r="C416" s="54">
        <f>IF('Settings'!$E$15="POINTS",RANK(E416,E3:E432),H416)</f>
        <v>412</v>
      </c>
      <c r="D416" t="s" s="42">
        <f>VLOOKUP(A416,'The List'!B1:F730,5,FALSE)</f>
        <v>248</v>
      </c>
      <c r="E416" s="46">
        <f>VLOOKUP(A416,'The List'!B1:I730,8,FALSE)</f>
        <v>105.559444800325</v>
      </c>
      <c r="F416" s="46">
        <f>IF('Settings'!$E$15="POINTS",E416-VLOOKUP(B$2,C1:E432,3,FALSE),J416)</f>
        <v>-244.268530604889</v>
      </c>
      <c r="G416" s="46"/>
      <c r="H416" s="149">
        <f>RANK(I416,I3:I432)</f>
        <v>403</v>
      </c>
      <c r="I416" s="150">
        <f>VLOOKUP(A416,'Standard Deviations'!A1:C731,3,FALSE)</f>
        <v>-4.74653809985724</v>
      </c>
      <c r="J416" s="150">
        <f>I416-VLOOKUP(B$2,H1:J432,2,FALSE)</f>
        <v>-8.025292223242561</v>
      </c>
    </row>
    <row r="417" ht="21.25" customHeight="1">
      <c r="A417" t="s" s="8">
        <v>863</v>
      </c>
      <c r="B417" t="s" s="148">
        <f>VLOOKUP(A417,'The List'!B1:D730,3,FALSE)</f>
        <v>107</v>
      </c>
      <c r="C417" s="54">
        <f>IF('Settings'!$E$15="POINTS",RANK(E417,E3:E432),H417)</f>
        <v>421</v>
      </c>
      <c r="D417" t="s" s="42">
        <f>VLOOKUP(A417,'The List'!B1:F730,5,FALSE)</f>
        <v>134</v>
      </c>
      <c r="E417" s="46">
        <f>VLOOKUP(A417,'The List'!B1:I730,8,FALSE)</f>
        <v>93.0602826490606</v>
      </c>
      <c r="F417" s="46">
        <f>IF('Settings'!$E$15="POINTS",E417-VLOOKUP(B$2,C1:E432,3,FALSE),J417)</f>
        <v>-256.767692756153</v>
      </c>
      <c r="G417" s="46"/>
      <c r="H417" s="149">
        <f>RANK(I417,I3:I432)</f>
        <v>409</v>
      </c>
      <c r="I417" s="150">
        <f>VLOOKUP(A417,'Standard Deviations'!A1:C731,3,FALSE)</f>
        <v>-4.85385624421549</v>
      </c>
      <c r="J417" s="150">
        <f>I417-VLOOKUP(B$2,H1:J432,2,FALSE)</f>
        <v>-8.13261036760081</v>
      </c>
    </row>
    <row r="418" ht="21.25" customHeight="1">
      <c r="A418" t="s" s="8">
        <v>864</v>
      </c>
      <c r="B418" t="s" s="148">
        <f>VLOOKUP(A418,'The List'!B1:D730,3,FALSE)</f>
        <v>107</v>
      </c>
      <c r="C418" s="54">
        <f>IF('Settings'!$E$15="POINTS",RANK(E418,E3:E432),H418)</f>
        <v>403</v>
      </c>
      <c r="D418" t="s" s="42">
        <f>VLOOKUP(A418,'The List'!B1:F730,5,FALSE)</f>
        <v>127</v>
      </c>
      <c r="E418" s="46">
        <f>VLOOKUP(A418,'The List'!B1:I730,8,FALSE)</f>
        <v>118.428794914196</v>
      </c>
      <c r="F418" s="46">
        <f>IF('Settings'!$E$15="POINTS",E418-VLOOKUP(B$2,C1:E432,3,FALSE),J418)</f>
        <v>-231.399180491018</v>
      </c>
      <c r="G418" s="46"/>
      <c r="H418" s="149">
        <f>RANK(I418,I3:I432)</f>
        <v>401</v>
      </c>
      <c r="I418" s="150">
        <f>VLOOKUP(A418,'Standard Deviations'!A1:C731,3,FALSE)</f>
        <v>-4.69800383870838</v>
      </c>
      <c r="J418" s="150">
        <f>I418-VLOOKUP(B$2,H1:J432,2,FALSE)</f>
        <v>-7.9767579620937</v>
      </c>
    </row>
    <row r="419" ht="21.25" customHeight="1">
      <c r="A419" t="s" s="8">
        <v>845</v>
      </c>
      <c r="B419" t="s" s="148">
        <f>VLOOKUP(A419,'The List'!B1:D730,3,FALSE)</f>
        <v>121</v>
      </c>
      <c r="C419" s="54">
        <f>IF('Settings'!$E$15="POINTS",RANK(E419,E3:E432),H419)</f>
        <v>391</v>
      </c>
      <c r="D419" t="s" s="42">
        <f>VLOOKUP(A419,'The List'!B1:F730,5,FALSE)</f>
        <v>115</v>
      </c>
      <c r="E419" s="46">
        <f>VLOOKUP(A419,'The List'!B1:I730,8,FALSE)</f>
        <v>130.696762552861</v>
      </c>
      <c r="F419" s="46">
        <f>IF('Settings'!$E$15="POINTS",E419-VLOOKUP(B$2,C1:E432,3,FALSE),J419)</f>
        <v>-219.131212852353</v>
      </c>
      <c r="G419" s="46"/>
      <c r="H419" s="149">
        <f>RANK(I419,I3:I432)</f>
        <v>386</v>
      </c>
      <c r="I419" s="150">
        <f>VLOOKUP(A419,'Standard Deviations'!A1:C731,3,FALSE)</f>
        <v>-4.45288513433045</v>
      </c>
      <c r="J419" s="150">
        <f>I419-VLOOKUP(B$2,H1:J432,2,FALSE)</f>
        <v>-7.73163925771577</v>
      </c>
    </row>
    <row r="420" ht="21.25" customHeight="1">
      <c r="A420" t="s" s="8">
        <v>858</v>
      </c>
      <c r="B420" t="s" s="148">
        <f>VLOOKUP(A420,'The List'!B1:D730,3,FALSE)</f>
        <v>133</v>
      </c>
      <c r="C420" s="54">
        <f>IF('Settings'!$E$15="POINTS",RANK(E420,E3:E432),H420)</f>
        <v>422</v>
      </c>
      <c r="D420" t="s" s="42">
        <f>VLOOKUP(A420,'The List'!B1:F730,5,FALSE)</f>
        <v>113</v>
      </c>
      <c r="E420" s="46">
        <f>VLOOKUP(A420,'The List'!B1:I730,8,FALSE)</f>
        <v>91.9132654943847</v>
      </c>
      <c r="F420" s="46">
        <f>IF('Settings'!$E$15="POINTS",E420-VLOOKUP(B$2,C1:E432,3,FALSE),J420)</f>
        <v>-257.914709910829</v>
      </c>
      <c r="G420" s="46"/>
      <c r="H420" s="149">
        <f>RANK(I420,I3:I432)</f>
        <v>395</v>
      </c>
      <c r="I420" s="150">
        <f>VLOOKUP(A420,'Standard Deviations'!A1:C731,3,FALSE)</f>
        <v>-4.59248480183795</v>
      </c>
      <c r="J420" s="150">
        <f>I420-VLOOKUP(B$2,H1:J432,2,FALSE)</f>
        <v>-7.87123892522327</v>
      </c>
    </row>
    <row r="421" ht="21.25" customHeight="1">
      <c r="A421" t="s" s="8">
        <v>859</v>
      </c>
      <c r="B421" t="s" s="148">
        <f>VLOOKUP(A421,'The List'!B1:D730,3,FALSE)</f>
        <v>111</v>
      </c>
      <c r="C421" s="54">
        <f>IF('Settings'!$E$15="POINTS",RANK(E421,E3:E432),H421)</f>
        <v>418</v>
      </c>
      <c r="D421" t="s" s="42">
        <f>VLOOKUP(A421,'The List'!B1:F730,5,FALSE)</f>
        <v>238</v>
      </c>
      <c r="E421" s="46">
        <f>VLOOKUP(A421,'The List'!B1:I730,8,FALSE)</f>
        <v>99.2453956107273</v>
      </c>
      <c r="F421" s="46">
        <f>IF('Settings'!$E$15="POINTS",E421-VLOOKUP(B$2,C1:E432,3,FALSE),J421)</f>
        <v>-250.582579794487</v>
      </c>
      <c r="G421" s="46"/>
      <c r="H421" s="149">
        <f>RANK(I421,I3:I432)</f>
        <v>408</v>
      </c>
      <c r="I421" s="150">
        <f>VLOOKUP(A421,'Standard Deviations'!A1:C731,3,FALSE)</f>
        <v>-4.84128254230979</v>
      </c>
      <c r="J421" s="150">
        <f>I421-VLOOKUP(B$2,H1:J432,2,FALSE)</f>
        <v>-8.12003666569511</v>
      </c>
    </row>
    <row r="422" ht="21.25" customHeight="1">
      <c r="A422" t="s" s="8">
        <v>860</v>
      </c>
      <c r="B422" t="s" s="148">
        <f>VLOOKUP(A422,'The List'!B1:D730,3,FALSE)</f>
        <v>133</v>
      </c>
      <c r="C422" s="54">
        <f>IF('Settings'!$E$15="POINTS",RANK(E422,E3:E432),H422)</f>
        <v>423</v>
      </c>
      <c r="D422" t="s" s="42">
        <f>VLOOKUP(A422,'The List'!B1:F730,5,FALSE)</f>
        <v>119</v>
      </c>
      <c r="E422" s="46">
        <f>VLOOKUP(A422,'The List'!B1:I730,8,FALSE)</f>
        <v>91.171869739024</v>
      </c>
      <c r="F422" s="46">
        <f>IF('Settings'!$E$15="POINTS",E422-VLOOKUP(B$2,C1:E432,3,FALSE),J422)</f>
        <v>-258.656105666190</v>
      </c>
      <c r="G422" s="46"/>
      <c r="H422" s="149">
        <f>RANK(I422,I3:I432)</f>
        <v>411</v>
      </c>
      <c r="I422" s="150">
        <f>VLOOKUP(A422,'Standard Deviations'!A1:C731,3,FALSE)</f>
        <v>-4.9719457275656</v>
      </c>
      <c r="J422" s="150">
        <f>I422-VLOOKUP(B$2,H1:J432,2,FALSE)</f>
        <v>-8.25069985095092</v>
      </c>
    </row>
    <row r="423" ht="21.25" customHeight="1">
      <c r="A423" t="s" s="8">
        <v>869</v>
      </c>
      <c r="B423" t="s" s="148">
        <f>VLOOKUP(A423,'The List'!B1:D730,3,FALSE)</f>
        <v>107</v>
      </c>
      <c r="C423" s="54">
        <f>IF('Settings'!$E$15="POINTS",RANK(E423,E3:E432),H423)</f>
        <v>415</v>
      </c>
      <c r="D423" t="s" s="42">
        <f>VLOOKUP(A423,'The List'!B1:F730,5,FALSE)</f>
        <v>108</v>
      </c>
      <c r="E423" s="46">
        <f>VLOOKUP(A423,'The List'!B1:I730,8,FALSE)</f>
        <v>101.673029668278</v>
      </c>
      <c r="F423" s="46">
        <f>IF('Settings'!$E$15="POINTS",E423-VLOOKUP(B$2,C1:E432,3,FALSE),J423)</f>
        <v>-248.154945736936</v>
      </c>
      <c r="G423" s="46"/>
      <c r="H423" s="149">
        <f>RANK(I423,I3:I432)</f>
        <v>385</v>
      </c>
      <c r="I423" s="150">
        <f>VLOOKUP(A423,'Standard Deviations'!A1:C731,3,FALSE)</f>
        <v>-4.43281782317922</v>
      </c>
      <c r="J423" s="150">
        <f>I423-VLOOKUP(B$2,H1:J432,2,FALSE)</f>
        <v>-7.71157194656454</v>
      </c>
    </row>
    <row r="424" ht="21.25" customHeight="1">
      <c r="A424" t="s" s="8">
        <v>872</v>
      </c>
      <c r="B424" t="s" s="148">
        <f>VLOOKUP(A424,'The List'!B1:D730,3,FALSE)</f>
        <v>107</v>
      </c>
      <c r="C424" s="54">
        <f>IF('Settings'!$E$15="POINTS",RANK(E424,E3:E432),H424)</f>
        <v>426</v>
      </c>
      <c r="D424" t="s" s="42">
        <f>VLOOKUP(A424,'The List'!B1:F730,5,FALSE)</f>
        <v>122</v>
      </c>
      <c r="E424" s="46">
        <f>VLOOKUP(A424,'The List'!B1:I730,8,FALSE)</f>
        <v>86.7827716662041</v>
      </c>
      <c r="F424" s="46">
        <f>IF('Settings'!$E$15="POINTS",E424-VLOOKUP(B$2,C1:E432,3,FALSE),J424)</f>
        <v>-263.045203739010</v>
      </c>
      <c r="G424" s="46"/>
      <c r="H424" s="149">
        <f>RANK(I424,I3:I432)</f>
        <v>415</v>
      </c>
      <c r="I424" s="150">
        <f>VLOOKUP(A424,'Standard Deviations'!A1:C731,3,FALSE)</f>
        <v>-5.09629595551862</v>
      </c>
      <c r="J424" s="150">
        <f>I424-VLOOKUP(B$2,H1:J432,2,FALSE)</f>
        <v>-8.375050078903939</v>
      </c>
    </row>
    <row r="425" ht="21.25" customHeight="1">
      <c r="A425" t="s" s="8">
        <v>870</v>
      </c>
      <c r="B425" t="s" s="148">
        <f>VLOOKUP(A425,'The List'!B1:D730,3,FALSE)</f>
        <v>107</v>
      </c>
      <c r="C425" s="54">
        <f>IF('Settings'!$E$15="POINTS",RANK(E425,E3:E432),H425)</f>
        <v>428</v>
      </c>
      <c r="D425" t="s" s="42">
        <f>VLOOKUP(A425,'The List'!B1:F730,5,FALSE)</f>
        <v>164</v>
      </c>
      <c r="E425" s="46">
        <f>VLOOKUP(A425,'The List'!B1:I730,8,FALSE)</f>
        <v>84.0798642632196</v>
      </c>
      <c r="F425" s="46">
        <f>IF('Settings'!$E$15="POINTS",E425-VLOOKUP(B$2,C1:E432,3,FALSE),J425)</f>
        <v>-265.748111141994</v>
      </c>
      <c r="G425" s="46"/>
      <c r="H425" s="149">
        <f>RANK(I425,I3:I432)</f>
        <v>416</v>
      </c>
      <c r="I425" s="150">
        <f>VLOOKUP(A425,'Standard Deviations'!A1:C731,3,FALSE)</f>
        <v>-5.10418275166862</v>
      </c>
      <c r="J425" s="150">
        <f>I425-VLOOKUP(B$2,H1:J432,2,FALSE)</f>
        <v>-8.382936875053939</v>
      </c>
    </row>
    <row r="426" ht="21.25" customHeight="1">
      <c r="A426" t="s" s="8">
        <v>871</v>
      </c>
      <c r="B426" t="s" s="148">
        <f>VLOOKUP(A426,'The List'!B1:D730,3,FALSE)</f>
        <v>107</v>
      </c>
      <c r="C426" s="54">
        <f>IF('Settings'!$E$15="POINTS",RANK(E426,E3:E432),H426)</f>
        <v>419</v>
      </c>
      <c r="D426" t="s" s="42">
        <f>VLOOKUP(A426,'The List'!B1:F730,5,FALSE)</f>
        <v>141</v>
      </c>
      <c r="E426" s="46">
        <f>VLOOKUP(A426,'The List'!B1:I730,8,FALSE)</f>
        <v>97.4685326120683</v>
      </c>
      <c r="F426" s="46">
        <f>IF('Settings'!$E$15="POINTS",E426-VLOOKUP(B$2,C1:E432,3,FALSE),J426)</f>
        <v>-252.359442793146</v>
      </c>
      <c r="G426" s="46"/>
      <c r="H426" s="149">
        <f>RANK(I426,I3:I432)</f>
        <v>419</v>
      </c>
      <c r="I426" s="150">
        <f>VLOOKUP(A426,'Standard Deviations'!A1:C731,3,FALSE)</f>
        <v>-5.266635017848</v>
      </c>
      <c r="J426" s="150">
        <f>I426-VLOOKUP(B$2,H1:J432,2,FALSE)</f>
        <v>-8.54538914123332</v>
      </c>
    </row>
    <row r="427" ht="21.25" customHeight="1">
      <c r="A427" t="s" s="8">
        <v>873</v>
      </c>
      <c r="B427" t="s" s="148">
        <f>VLOOKUP(A427,'The List'!B1:D730,3,FALSE)</f>
        <v>107</v>
      </c>
      <c r="C427" s="54">
        <f>IF('Settings'!$E$15="POINTS",RANK(E427,E3:E432),H427)</f>
        <v>427</v>
      </c>
      <c r="D427" t="s" s="42">
        <f>VLOOKUP(A427,'The List'!B1:F730,5,FALSE)</f>
        <v>113</v>
      </c>
      <c r="E427" s="46">
        <f>VLOOKUP(A427,'The List'!B1:I730,8,FALSE)</f>
        <v>84.3135069181856</v>
      </c>
      <c r="F427" s="46">
        <f>IF('Settings'!$E$15="POINTS",E427-VLOOKUP(B$2,C1:E432,3,FALSE),J427)</f>
        <v>-265.514468487028</v>
      </c>
      <c r="G427" s="46"/>
      <c r="H427" s="149">
        <f>RANK(I427,I3:I432)</f>
        <v>405</v>
      </c>
      <c r="I427" s="150">
        <f>VLOOKUP(A427,'Standard Deviations'!A1:C731,3,FALSE)</f>
        <v>-4.7711294145642</v>
      </c>
      <c r="J427" s="150">
        <f>I427-VLOOKUP(B$2,H1:J432,2,FALSE)</f>
        <v>-8.049883537949521</v>
      </c>
    </row>
    <row r="428" ht="21.25" customHeight="1">
      <c r="A428" t="s" s="8">
        <v>862</v>
      </c>
      <c r="B428" t="s" s="148">
        <f>VLOOKUP(A428,'The List'!B1:D730,3,FALSE)</f>
        <v>121</v>
      </c>
      <c r="C428" s="54">
        <f>IF('Settings'!$E$15="POINTS",RANK(E428,E3:E432),H428)</f>
        <v>425</v>
      </c>
      <c r="D428" t="s" s="42">
        <f>VLOOKUP(A428,'The List'!B1:F730,5,FALSE)</f>
        <v>141</v>
      </c>
      <c r="E428" s="46">
        <f>VLOOKUP(A428,'The List'!B1:I730,8,FALSE)</f>
        <v>89.4992297238155</v>
      </c>
      <c r="F428" s="46">
        <f>IF('Settings'!$E$15="POINTS",E428-VLOOKUP(B$2,C1:E432,3,FALSE),J428)</f>
        <v>-260.328745681399</v>
      </c>
      <c r="G428" s="46"/>
      <c r="H428" s="149">
        <f>RANK(I428,I3:I432)</f>
        <v>422</v>
      </c>
      <c r="I428" s="150">
        <f>VLOOKUP(A428,'Standard Deviations'!A1:C731,3,FALSE)</f>
        <v>-5.58687108813121</v>
      </c>
      <c r="J428" s="150">
        <f>I428-VLOOKUP(B$2,H1:J432,2,FALSE)</f>
        <v>-8.86562521151653</v>
      </c>
    </row>
    <row r="429" ht="21.25" customHeight="1">
      <c r="A429" t="s" s="8">
        <v>874</v>
      </c>
      <c r="B429" t="s" s="148">
        <f>VLOOKUP(A429,'The List'!B1:D730,3,FALSE)</f>
        <v>107</v>
      </c>
      <c r="C429" s="54">
        <f>IF('Settings'!$E$15="POINTS",RANK(E429,E3:E432),H429)</f>
        <v>429</v>
      </c>
      <c r="D429" t="s" s="42">
        <f>VLOOKUP(A429,'The List'!B1:F730,5,FALSE)</f>
        <v>236</v>
      </c>
      <c r="E429" s="46">
        <f>VLOOKUP(A429,'The List'!B1:I730,8,FALSE)</f>
        <v>81.7889663432105</v>
      </c>
      <c r="F429" s="46">
        <f>IF('Settings'!$E$15="POINTS",E429-VLOOKUP(B$2,C1:E432,3,FALSE),J429)</f>
        <v>-268.039009062004</v>
      </c>
      <c r="G429" s="46"/>
      <c r="H429" s="149">
        <f>RANK(I429,I3:I432)</f>
        <v>429</v>
      </c>
      <c r="I429" s="150">
        <f>VLOOKUP(A429,'Standard Deviations'!A1:C731,3,FALSE)</f>
        <v>-6.51375491759583</v>
      </c>
      <c r="J429" s="150">
        <f>I429-VLOOKUP(B$2,H1:J432,2,FALSE)</f>
        <v>-9.79250904098115</v>
      </c>
    </row>
    <row r="430" ht="21.25" customHeight="1">
      <c r="A430" t="s" s="8">
        <v>876</v>
      </c>
      <c r="B430" t="s" s="148">
        <f>VLOOKUP(A430,'The List'!B1:D730,3,FALSE)</f>
        <v>133</v>
      </c>
      <c r="C430" s="54">
        <f>IF('Settings'!$E$15="POINTS",RANK(E430,E3:E432),H430)</f>
        <v>430</v>
      </c>
      <c r="D430" t="s" s="42">
        <f>VLOOKUP(A430,'The List'!B1:F730,5,FALSE)</f>
        <v>149</v>
      </c>
      <c r="E430" s="46">
        <f>VLOOKUP(A430,'The List'!B1:I730,8,FALSE)</f>
        <v>75.5628573166704</v>
      </c>
      <c r="F430" s="46">
        <f>IF('Settings'!$E$15="POINTS",E430-VLOOKUP(B$2,C1:E432,3,FALSE),J430)</f>
        <v>-274.265118088544</v>
      </c>
      <c r="G430" s="46"/>
      <c r="H430" s="149">
        <f>RANK(I430,I3:I432)</f>
        <v>426</v>
      </c>
      <c r="I430" s="150">
        <f>VLOOKUP(A430,'Standard Deviations'!A1:C731,3,FALSE)</f>
        <v>-6.04687529093529</v>
      </c>
      <c r="J430" s="150">
        <f>I430-VLOOKUP(B$2,H1:J432,2,FALSE)</f>
        <v>-9.325629414320611</v>
      </c>
    </row>
    <row r="431" ht="21.25" customHeight="1">
      <c r="A431" t="s" s="8">
        <v>865</v>
      </c>
      <c r="B431" t="s" s="148">
        <f>VLOOKUP(A431,'The List'!B1:D730,3,FALSE)</f>
        <v>133</v>
      </c>
      <c r="C431" s="54">
        <f>IF('Settings'!$E$15="POINTS",RANK(E431,E3:E432),H431)</f>
        <v>424</v>
      </c>
      <c r="D431" t="s" s="42">
        <f>VLOOKUP(A431,'The List'!B1:F730,5,FALSE)</f>
        <v>127</v>
      </c>
      <c r="E431" s="46">
        <f>VLOOKUP(A431,'The List'!B1:I730,8,FALSE)</f>
        <v>90.80716324407329</v>
      </c>
      <c r="F431" s="46">
        <f>IF('Settings'!$E$15="POINTS",E431-VLOOKUP(B$2,C1:E432,3,FALSE),J431)</f>
        <v>-259.020812161141</v>
      </c>
      <c r="G431" s="46"/>
      <c r="H431" s="149">
        <f>RANK(I431,I3:I432)</f>
        <v>418</v>
      </c>
      <c r="I431" s="150">
        <f>VLOOKUP(A431,'Standard Deviations'!A1:C731,3,FALSE)</f>
        <v>-5.24709286113394</v>
      </c>
      <c r="J431" s="150">
        <f>I431-VLOOKUP(B$2,H1:J432,2,FALSE)</f>
        <v>-8.52584698451926</v>
      </c>
    </row>
    <row r="432" ht="21.25" customHeight="1">
      <c r="A432" t="s" s="8">
        <v>591</v>
      </c>
      <c r="B432" t="s" s="148">
        <f>VLOOKUP(A432,'The List'!B1:D730,3,FALSE)</f>
        <v>107</v>
      </c>
      <c r="C432" s="54">
        <f>IF('Settings'!$E$15="POINTS",RANK(E432,E3:E432),H432)</f>
        <v>268</v>
      </c>
      <c r="D432" t="s" s="42">
        <f>VLOOKUP(A432,'The List'!B1:F730,5,FALSE)</f>
        <v>234</v>
      </c>
      <c r="E432" s="46">
        <f>VLOOKUP(A432,'The List'!B1:I730,8,FALSE)</f>
        <v>203.047887061510</v>
      </c>
      <c r="F432" s="46">
        <f>IF('Settings'!$E$15="POINTS",E432-VLOOKUP(B$2,C1:E432,3,FALSE),J432)</f>
        <v>-146.780088343704</v>
      </c>
      <c r="G432" s="46"/>
      <c r="H432" s="149">
        <f>RANK(I432,I3:I432)</f>
        <v>238</v>
      </c>
      <c r="I432" s="150">
        <f>VLOOKUP(A432,'Standard Deviations'!A1:C731,3,FALSE)</f>
        <v>-1.24001667747042</v>
      </c>
      <c r="J432" s="150">
        <f>I432-VLOOKUP(B$2,H1:J432,2,FALSE)</f>
        <v>-4.51877080085574</v>
      </c>
    </row>
  </sheetData>
  <conditionalFormatting sqref="C3:C432 H3:H432">
    <cfRule type="containsText" dxfId="23" priority="1" stopIfTrue="1" text="/">
      <formula>NOT(ISERROR(FIND(UPPER("/"),UPPER(C3))))</formula>
      <formula>"/"</formula>
    </cfRule>
    <cfRule type="containsText" dxfId="24" priority="2" stopIfTrue="1" text="C">
      <formula>NOT(ISERROR(FIND(UPPER("C"),UPPER(C3))))</formula>
      <formula>"C"</formula>
    </cfRule>
    <cfRule type="containsText" dxfId="25" priority="3" stopIfTrue="1" text="D">
      <formula>NOT(ISERROR(FIND(UPPER("D"),UPPER(C3))))</formula>
      <formula>"D"</formula>
    </cfRule>
    <cfRule type="containsText" dxfId="26" priority="4" stopIfTrue="1" text="LW">
      <formula>NOT(ISERROR(FIND(UPPER("LW"),UPPER(C3))))</formula>
      <formula>"LW"</formula>
    </cfRule>
    <cfRule type="containsText" dxfId="27" priority="5" stopIfTrue="1" text="RW">
      <formula>NOT(ISERROR(FIND(UPPER("RW"),UPPER(C3))))</formula>
      <formula>"RW"</formula>
    </cfRule>
    <cfRule type="containsText" dxfId="2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8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1" customWidth="1"/>
    <col min="2" max="2" width="7.10938" style="151" customWidth="1"/>
    <col min="3" max="3" width="5.92969" style="151" customWidth="1"/>
    <col min="4" max="6" width="8.28125" style="151" customWidth="1"/>
    <col min="7" max="10" width="1.35156" style="151" customWidth="1"/>
    <col min="11" max="16384" width="8" style="151" customWidth="1"/>
  </cols>
  <sheetData>
    <row r="1" ht="28.3" customHeight="1">
      <c r="A1" t="s" s="133">
        <v>919</v>
      </c>
      <c r="B1" t="s" s="134">
        <v>924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'Settings'!F2</f>
        <v>36</v>
      </c>
      <c r="C2" s="143"/>
      <c r="D2" s="144"/>
      <c r="E2" s="145"/>
      <c r="F2" s="145"/>
      <c r="G2" s="145"/>
      <c r="H2" s="152"/>
      <c r="I2" s="147"/>
      <c r="J2" s="153"/>
    </row>
    <row r="3" ht="21.25" customHeight="1">
      <c r="A3" t="s" s="8">
        <v>105</v>
      </c>
      <c r="B3" t="s" s="66">
        <f>VLOOKUP(A3,'The List'!B1:D730,3,FALSE)</f>
        <v>107</v>
      </c>
      <c r="C3" s="67">
        <f>IF('Settings'!$E$15="POINTS",RANK(E3,E3:E218),H3)</f>
        <v>1</v>
      </c>
      <c r="D3" t="s" s="42">
        <f>VLOOKUP(A3,'The List'!B1:F730,5,FALSE)</f>
        <v>108</v>
      </c>
      <c r="E3" s="46">
        <f>VLOOKUP(A3,'The List'!B1:I730,8,FALSE)</f>
        <v>720.352510769289</v>
      </c>
      <c r="F3" s="46">
        <f>IF('Settings'!$E$15="POINTS",E3-VLOOKUP(B$2,C1:E218,3,FALSE),J3)</f>
        <v>324.578309133274</v>
      </c>
      <c r="G3" s="46"/>
      <c r="H3" s="154">
        <f>RANK(I3,I3:I218)</f>
        <v>1</v>
      </c>
      <c r="I3" s="150">
        <f>VLOOKUP(A3,'Standard Deviations'!A1:C731,3,FALSE)</f>
        <v>19.4395921085322</v>
      </c>
      <c r="J3" s="155">
        <f>I3-VLOOKUP(B$2,H1:J218,2,FALSE)</f>
        <v>14.2521284474473</v>
      </c>
    </row>
    <row r="4" ht="21.25" customHeight="1">
      <c r="A4" t="s" s="8">
        <v>110</v>
      </c>
      <c r="B4" t="s" s="66">
        <f>VLOOKUP(A4,'The List'!B1:D730,3,FALSE)</f>
        <v>111</v>
      </c>
      <c r="C4" s="67">
        <f>IF('Settings'!$E$15="POINTS",RANK(E4,E3:E218),H4)</f>
        <v>4</v>
      </c>
      <c r="D4" t="s" s="42">
        <f>VLOOKUP(A4,'The List'!B1:F730,5,FALSE)</f>
        <v>108</v>
      </c>
      <c r="E4" s="46">
        <f>VLOOKUP(A4,'The List'!B1:I730,8,FALSE)</f>
        <v>601.765307633416</v>
      </c>
      <c r="F4" s="46">
        <f>IF('Settings'!$E$15="POINTS",E4-VLOOKUP(B$2,C1:E218,3,FALSE),J4)</f>
        <v>205.991105997401</v>
      </c>
      <c r="G4" s="46"/>
      <c r="H4" s="149">
        <f>RANK(I4,I3:I218)</f>
        <v>3</v>
      </c>
      <c r="I4" s="150">
        <f>VLOOKUP(A4,'Standard Deviations'!A1:C731,3,FALSE)</f>
        <v>14.836899308559</v>
      </c>
      <c r="J4" s="150">
        <f>I4-VLOOKUP(B$2,H1:J218,2,FALSE)</f>
        <v>9.649435647474061</v>
      </c>
    </row>
    <row r="5" ht="21.25" customHeight="1">
      <c r="A5" t="s" s="8">
        <v>112</v>
      </c>
      <c r="B5" t="s" s="66">
        <f>VLOOKUP(A5,'The List'!B1:D730,3,FALSE)</f>
        <v>107</v>
      </c>
      <c r="C5" s="67">
        <f>IF('Settings'!$E$15="POINTS",RANK(E5,E3:E218),H5)</f>
        <v>3</v>
      </c>
      <c r="D5" t="s" s="42">
        <f>VLOOKUP(A5,'The List'!B1:F730,5,FALSE)</f>
        <v>113</v>
      </c>
      <c r="E5" s="46">
        <f>VLOOKUP(A5,'The List'!B1:I730,8,FALSE)</f>
        <v>622.933121694688</v>
      </c>
      <c r="F5" s="46">
        <f>IF('Settings'!$E$15="POINTS",E5-VLOOKUP(B$2,C1:E218,3,FALSE),J5)</f>
        <v>227.158920058673</v>
      </c>
      <c r="G5" s="46"/>
      <c r="H5" s="149">
        <f>RANK(I5,I3:I218)</f>
        <v>4</v>
      </c>
      <c r="I5" s="150">
        <f>VLOOKUP(A5,'Standard Deviations'!A1:C731,3,FALSE)</f>
        <v>14.7595033384156</v>
      </c>
      <c r="J5" s="150">
        <f>I5-VLOOKUP(B$2,H1:J218,2,FALSE)</f>
        <v>9.572039677330659</v>
      </c>
    </row>
    <row r="6" ht="21.25" customHeight="1">
      <c r="A6" t="s" s="8">
        <v>114</v>
      </c>
      <c r="B6" t="s" s="66">
        <f>VLOOKUP(A6,'The List'!B1:D730,3,FALSE)</f>
        <v>107</v>
      </c>
      <c r="C6" s="67">
        <f>IF('Settings'!$E$15="POINTS",RANK(E6,E3:E218),H6)</f>
        <v>2</v>
      </c>
      <c r="D6" t="s" s="42">
        <f>VLOOKUP(A6,'The List'!B1:F730,5,FALSE)</f>
        <v>115</v>
      </c>
      <c r="E6" s="46">
        <f>VLOOKUP(A6,'The List'!B1:I730,8,FALSE)</f>
        <v>632.5553771395849</v>
      </c>
      <c r="F6" s="46">
        <f>IF('Settings'!$E$15="POINTS",E6-VLOOKUP(B$2,C1:E218,3,FALSE),J6)</f>
        <v>236.781175503570</v>
      </c>
      <c r="G6" s="46"/>
      <c r="H6" s="149">
        <f>RANK(I6,I3:I218)</f>
        <v>2</v>
      </c>
      <c r="I6" s="150">
        <f>VLOOKUP(A6,'Standard Deviations'!A1:C731,3,FALSE)</f>
        <v>15.8147064578014</v>
      </c>
      <c r="J6" s="150">
        <f>I6-VLOOKUP(B$2,H1:J218,2,FALSE)</f>
        <v>10.6272427967165</v>
      </c>
    </row>
    <row r="7" ht="21.25" customHeight="1">
      <c r="A7" t="s" s="8">
        <v>126</v>
      </c>
      <c r="B7" t="s" s="66">
        <f>VLOOKUP(A7,'The List'!B1:D730,3,FALSE)</f>
        <v>111</v>
      </c>
      <c r="C7" s="67">
        <f>IF('Settings'!$E$15="POINTS",RANK(E7,E3:E218),H7)</f>
        <v>5</v>
      </c>
      <c r="D7" t="s" s="42">
        <f>VLOOKUP(A7,'The List'!B1:F730,5,FALSE)</f>
        <v>127</v>
      </c>
      <c r="E7" s="46">
        <f>VLOOKUP(A7,'The List'!B1:I730,8,FALSE)</f>
        <v>549.712369600232</v>
      </c>
      <c r="F7" s="46">
        <f>IF('Settings'!$E$15="POINTS",E7-VLOOKUP(B$2,C1:E218,3,FALSE),J7)</f>
        <v>153.938167964217</v>
      </c>
      <c r="G7" s="46"/>
      <c r="H7" s="149">
        <f>RANK(I7,I3:I218)</f>
        <v>5</v>
      </c>
      <c r="I7" s="150">
        <f>VLOOKUP(A7,'Standard Deviations'!A1:C731,3,FALSE)</f>
        <v>10.6013146790712</v>
      </c>
      <c r="J7" s="150">
        <f>I7-VLOOKUP(B$2,H1:J218,2,FALSE)</f>
        <v>5.41385101798626</v>
      </c>
    </row>
    <row r="8" ht="21.25" customHeight="1">
      <c r="A8" t="s" s="8">
        <v>138</v>
      </c>
      <c r="B8" t="s" s="66">
        <f>VLOOKUP(A8,'The List'!B1:D730,3,FALSE)</f>
        <v>107</v>
      </c>
      <c r="C8" s="67">
        <f>IF('Settings'!$E$15="POINTS",RANK(E8,E3:E218),H8)</f>
        <v>6</v>
      </c>
      <c r="D8" t="s" s="42">
        <f>VLOOKUP(A8,'The List'!B1:F730,5,FALSE)</f>
        <v>139</v>
      </c>
      <c r="E8" s="46">
        <f>VLOOKUP(A8,'The List'!B1:I730,8,FALSE)</f>
        <v>528.449978419635</v>
      </c>
      <c r="F8" s="46">
        <f>IF('Settings'!$E$15="POINTS",E8-VLOOKUP(B$2,C1:E218,3,FALSE),J8)</f>
        <v>132.675776783620</v>
      </c>
      <c r="G8" s="46"/>
      <c r="H8" s="149">
        <f>RANK(I8,I3:I218)</f>
        <v>8</v>
      </c>
      <c r="I8" s="150">
        <f>VLOOKUP(A8,'Standard Deviations'!A1:C731,3,FALSE)</f>
        <v>9.257874012621469</v>
      </c>
      <c r="J8" s="150">
        <f>I8-VLOOKUP(B$2,H1:J218,2,FALSE)</f>
        <v>4.07041035153653</v>
      </c>
    </row>
    <row r="9" ht="21.25" customHeight="1">
      <c r="A9" t="s" s="8">
        <v>160</v>
      </c>
      <c r="B9" t="s" s="66">
        <f>VLOOKUP(A9,'The List'!B1:D730,3,FALSE)</f>
        <v>107</v>
      </c>
      <c r="C9" s="67">
        <f>IF('Settings'!$E$15="POINTS",RANK(E9,E3:E218),H9)</f>
        <v>9</v>
      </c>
      <c r="D9" t="s" s="42">
        <f>VLOOKUP(A9,'The List'!B1:F730,5,FALSE)</f>
        <v>151</v>
      </c>
      <c r="E9" s="46">
        <f>VLOOKUP(A9,'The List'!B1:I730,8,FALSE)</f>
        <v>489.974481264590</v>
      </c>
      <c r="F9" s="46">
        <f>IF('Settings'!$E$15="POINTS",E9-VLOOKUP(B$2,C1:E218,3,FALSE),J9)</f>
        <v>94.200279628575</v>
      </c>
      <c r="G9" s="46"/>
      <c r="H9" s="149">
        <f>RANK(I9,I3:I218)</f>
        <v>6</v>
      </c>
      <c r="I9" s="150">
        <f>VLOOKUP(A9,'Standard Deviations'!A1:C731,3,FALSE)</f>
        <v>9.976349054803711</v>
      </c>
      <c r="J9" s="150">
        <f>I9-VLOOKUP(B$2,H1:J218,2,FALSE)</f>
        <v>4.78888539371877</v>
      </c>
    </row>
    <row r="10" ht="21.25" customHeight="1">
      <c r="A10" t="s" s="8">
        <v>161</v>
      </c>
      <c r="B10" t="s" s="66">
        <f>VLOOKUP(A10,'The List'!B1:D730,3,FALSE)</f>
        <v>107</v>
      </c>
      <c r="C10" s="67">
        <f>IF('Settings'!$E$15="POINTS",RANK(E10,E3:E218),H10)</f>
        <v>10</v>
      </c>
      <c r="D10" t="s" s="42">
        <f>VLOOKUP(A10,'The List'!B1:F730,5,FALSE)</f>
        <v>119</v>
      </c>
      <c r="E10" s="46">
        <f>VLOOKUP(A10,'The List'!B1:I730,8,FALSE)</f>
        <v>483.428323637468</v>
      </c>
      <c r="F10" s="46">
        <f>IF('Settings'!$E$15="POINTS",E10-VLOOKUP(B$2,C1:E218,3,FALSE),J10)</f>
        <v>87.654122001453</v>
      </c>
      <c r="G10" s="46"/>
      <c r="H10" s="149">
        <f>RANK(I10,I3:I218)</f>
        <v>7</v>
      </c>
      <c r="I10" s="150">
        <f>VLOOKUP(A10,'Standard Deviations'!A1:C731,3,FALSE)</f>
        <v>9.54068082082088</v>
      </c>
      <c r="J10" s="150">
        <f>I10-VLOOKUP(B$2,H1:J218,2,FALSE)</f>
        <v>4.35321715973594</v>
      </c>
    </row>
    <row r="11" ht="21.25" customHeight="1">
      <c r="A11" t="s" s="8">
        <v>162</v>
      </c>
      <c r="B11" t="s" s="66">
        <f>VLOOKUP(A11,'The List'!B1:D730,3,FALSE)</f>
        <v>107</v>
      </c>
      <c r="C11" s="67">
        <f>IF('Settings'!$E$15="POINTS",RANK(E11,E3:E218),H11)</f>
        <v>7</v>
      </c>
      <c r="D11" t="s" s="42">
        <f>VLOOKUP(A11,'The List'!B1:F730,5,FALSE)</f>
        <v>156</v>
      </c>
      <c r="E11" s="46">
        <f>VLOOKUP(A11,'The List'!B1:I730,8,FALSE)</f>
        <v>506.445392367650</v>
      </c>
      <c r="F11" s="46">
        <f>IF('Settings'!$E$15="POINTS",E11-VLOOKUP(B$2,C1:E218,3,FALSE),J11)</f>
        <v>110.671190731635</v>
      </c>
      <c r="G11" s="46"/>
      <c r="H11" s="149">
        <f>RANK(I11,I3:I218)</f>
        <v>10</v>
      </c>
      <c r="I11" s="150">
        <f>VLOOKUP(A11,'Standard Deviations'!A1:C731,3,FALSE)</f>
        <v>9.00164665167647</v>
      </c>
      <c r="J11" s="150">
        <f>I11-VLOOKUP(B$2,H1:J218,2,FALSE)</f>
        <v>3.81418299059153</v>
      </c>
    </row>
    <row r="12" ht="21.25" customHeight="1">
      <c r="A12" t="s" s="8">
        <v>169</v>
      </c>
      <c r="B12" t="s" s="66">
        <f>VLOOKUP(A12,'The List'!B1:D730,3,FALSE)</f>
        <v>107</v>
      </c>
      <c r="C12" s="67">
        <f>IF('Settings'!$E$15="POINTS",RANK(E12,E3:E218),H12)</f>
        <v>12</v>
      </c>
      <c r="D12" t="s" s="42">
        <f>VLOOKUP(A12,'The List'!B1:F730,5,FALSE)</f>
        <v>170</v>
      </c>
      <c r="E12" s="46">
        <f>VLOOKUP(A12,'The List'!B1:I730,8,FALSE)</f>
        <v>469.456069680912</v>
      </c>
      <c r="F12" s="46">
        <f>IF('Settings'!$E$15="POINTS",E12-VLOOKUP(B$2,C1:E218,3,FALSE),J12)</f>
        <v>73.681868044897</v>
      </c>
      <c r="G12" s="46"/>
      <c r="H12" s="149">
        <f>RANK(I12,I3:I218)</f>
        <v>9</v>
      </c>
      <c r="I12" s="150">
        <f>VLOOKUP(A12,'Standard Deviations'!A1:C731,3,FALSE)</f>
        <v>9.04588136393412</v>
      </c>
      <c r="J12" s="150">
        <f>I12-VLOOKUP(B$2,H1:J218,2,FALSE)</f>
        <v>3.85841770284918</v>
      </c>
    </row>
    <row r="13" ht="21.25" customHeight="1">
      <c r="A13" t="s" s="8">
        <v>171</v>
      </c>
      <c r="B13" t="s" s="66">
        <f>VLOOKUP(A13,'The List'!B1:D730,3,FALSE)</f>
        <v>107</v>
      </c>
      <c r="C13" s="67">
        <f>IF('Settings'!$E$15="POINTS",RANK(E13,E3:E218),H13)</f>
        <v>11</v>
      </c>
      <c r="D13" t="s" s="42">
        <f>VLOOKUP(A13,'The List'!B1:F730,5,FALSE)</f>
        <v>124</v>
      </c>
      <c r="E13" s="46">
        <f>VLOOKUP(A13,'The List'!B1:I730,8,FALSE)</f>
        <v>481.349097389320</v>
      </c>
      <c r="F13" s="46">
        <f>IF('Settings'!$E$15="POINTS",E13-VLOOKUP(B$2,C1:E218,3,FALSE),J13)</f>
        <v>85.574895753305</v>
      </c>
      <c r="G13" s="46"/>
      <c r="H13" s="149">
        <f>RANK(I13,I3:I218)</f>
        <v>14</v>
      </c>
      <c r="I13" s="150">
        <f>VLOOKUP(A13,'Standard Deviations'!A1:C731,3,FALSE)</f>
        <v>8.26735342637329</v>
      </c>
      <c r="J13" s="150">
        <f>I13-VLOOKUP(B$2,H1:J218,2,FALSE)</f>
        <v>3.07988976528835</v>
      </c>
    </row>
    <row r="14" ht="21.25" customHeight="1">
      <c r="A14" t="s" s="8">
        <v>172</v>
      </c>
      <c r="B14" t="s" s="66">
        <f>VLOOKUP(A14,'The List'!B1:D730,3,FALSE)</f>
        <v>111</v>
      </c>
      <c r="C14" s="67">
        <f>IF('Settings'!$E$15="POINTS",RANK(E14,E3:E218),H14)</f>
        <v>8</v>
      </c>
      <c r="D14" t="s" s="42">
        <f>VLOOKUP(A14,'The List'!B1:F730,5,FALSE)</f>
        <v>173</v>
      </c>
      <c r="E14" s="46">
        <f>VLOOKUP(A14,'The List'!B1:I730,8,FALSE)</f>
        <v>490.670853892633</v>
      </c>
      <c r="F14" s="46">
        <f>IF('Settings'!$E$15="POINTS",E14-VLOOKUP(B$2,C1:E218,3,FALSE),J14)</f>
        <v>94.896652256618</v>
      </c>
      <c r="G14" s="46"/>
      <c r="H14" s="149">
        <f>RANK(I14,I3:I218)</f>
        <v>16</v>
      </c>
      <c r="I14" s="150">
        <f>VLOOKUP(A14,'Standard Deviations'!A1:C731,3,FALSE)</f>
        <v>8.11364838981782</v>
      </c>
      <c r="J14" s="150">
        <f>I14-VLOOKUP(B$2,H1:J218,2,FALSE)</f>
        <v>2.92618472873288</v>
      </c>
    </row>
    <row r="15" ht="21.25" customHeight="1">
      <c r="A15" t="s" s="8">
        <v>178</v>
      </c>
      <c r="B15" t="s" s="66">
        <f>VLOOKUP(A15,'The List'!B1:D730,3,FALSE)</f>
        <v>111</v>
      </c>
      <c r="C15" s="67">
        <f>IF('Settings'!$E$15="POINTS",RANK(E15,E3:E218),H15)</f>
        <v>15</v>
      </c>
      <c r="D15" t="s" s="42">
        <f>VLOOKUP(A15,'The List'!B1:F730,5,FALSE)</f>
        <v>124</v>
      </c>
      <c r="E15" s="46">
        <f>VLOOKUP(A15,'The List'!B1:I730,8,FALSE)</f>
        <v>452.923928827016</v>
      </c>
      <c r="F15" s="46">
        <f>IF('Settings'!$E$15="POINTS",E15-VLOOKUP(B$2,C1:E218,3,FALSE),J15)</f>
        <v>57.149727191001</v>
      </c>
      <c r="G15" s="46"/>
      <c r="H15" s="149">
        <f>RANK(I15,I3:I218)</f>
        <v>19</v>
      </c>
      <c r="I15" s="150">
        <f>VLOOKUP(A15,'Standard Deviations'!A1:C731,3,FALSE)</f>
        <v>7.59672120324704</v>
      </c>
      <c r="J15" s="150">
        <f>I15-VLOOKUP(B$2,H1:J218,2,FALSE)</f>
        <v>2.4092575421621</v>
      </c>
    </row>
    <row r="16" ht="21.25" customHeight="1">
      <c r="A16" t="s" s="8">
        <v>181</v>
      </c>
      <c r="B16" t="s" s="66">
        <f>VLOOKUP(A16,'The List'!B1:D730,3,FALSE)</f>
        <v>107</v>
      </c>
      <c r="C16" s="67">
        <f>IF('Settings'!$E$15="POINTS",RANK(E16,E3:E218),H16)</f>
        <v>17</v>
      </c>
      <c r="D16" t="s" s="42">
        <f>VLOOKUP(A16,'The List'!B1:F730,5,FALSE)</f>
        <v>115</v>
      </c>
      <c r="E16" s="46">
        <f>VLOOKUP(A16,'The List'!B1:I730,8,FALSE)</f>
        <v>446.554781156434</v>
      </c>
      <c r="F16" s="46">
        <f>IF('Settings'!$E$15="POINTS",E16-VLOOKUP(B$2,C1:E218,3,FALSE),J16)</f>
        <v>50.780579520419</v>
      </c>
      <c r="G16" s="46"/>
      <c r="H16" s="149">
        <f>RANK(I16,I3:I218)</f>
        <v>11</v>
      </c>
      <c r="I16" s="150">
        <f>VLOOKUP(A16,'Standard Deviations'!A1:C731,3,FALSE)</f>
        <v>8.6459745473715</v>
      </c>
      <c r="J16" s="150">
        <f>I16-VLOOKUP(B$2,H1:J218,2,FALSE)</f>
        <v>3.45851088628656</v>
      </c>
    </row>
    <row r="17" ht="21.25" customHeight="1">
      <c r="A17" t="s" s="8">
        <v>190</v>
      </c>
      <c r="B17" t="s" s="66">
        <f>VLOOKUP(A17,'The List'!B1:D730,3,FALSE)</f>
        <v>107</v>
      </c>
      <c r="C17" s="67">
        <f>IF('Settings'!$E$15="POINTS",RANK(E17,E3:E218),H17)</f>
        <v>18</v>
      </c>
      <c r="D17" t="s" s="42">
        <f>VLOOKUP(A17,'The List'!B1:F730,5,FALSE)</f>
        <v>184</v>
      </c>
      <c r="E17" s="46">
        <f>VLOOKUP(A17,'The List'!B1:I730,8,FALSE)</f>
        <v>444.144068374983</v>
      </c>
      <c r="F17" s="46">
        <f>IF('Settings'!$E$15="POINTS",E17-VLOOKUP(B$2,C1:E218,3,FALSE),J17)</f>
        <v>48.369866738968</v>
      </c>
      <c r="G17" s="46"/>
      <c r="H17" s="149">
        <f>RANK(I17,I3:I218)</f>
        <v>30</v>
      </c>
      <c r="I17" s="150">
        <f>VLOOKUP(A17,'Standard Deviations'!A1:C731,3,FALSE)</f>
        <v>5.98244358498005</v>
      </c>
      <c r="J17" s="150">
        <f>I17-VLOOKUP(B$2,H1:J218,2,FALSE)</f>
        <v>0.79497992389511</v>
      </c>
    </row>
    <row r="18" ht="21.25" customHeight="1">
      <c r="A18" t="s" s="8">
        <v>192</v>
      </c>
      <c r="B18" t="s" s="66">
        <f>VLOOKUP(A18,'The List'!B1:D730,3,FALSE)</f>
        <v>107</v>
      </c>
      <c r="C18" s="67">
        <f>IF('Settings'!$E$15="POINTS",RANK(E18,E3:E218),H18)</f>
        <v>13</v>
      </c>
      <c r="D18" t="s" s="42">
        <f>VLOOKUP(A18,'The List'!B1:F730,5,FALSE)</f>
        <v>127</v>
      </c>
      <c r="E18" s="46">
        <f>VLOOKUP(A18,'The List'!B1:I730,8,FALSE)</f>
        <v>460.547741778813</v>
      </c>
      <c r="F18" s="46">
        <f>IF('Settings'!$E$15="POINTS",E18-VLOOKUP(B$2,C1:E218,3,FALSE),J18)</f>
        <v>64.773540142798</v>
      </c>
      <c r="G18" s="46"/>
      <c r="H18" s="149">
        <f>RANK(I18,I3:I218)</f>
        <v>20</v>
      </c>
      <c r="I18" s="150">
        <f>VLOOKUP(A18,'Standard Deviations'!A1:C731,3,FALSE)</f>
        <v>7.42201412852861</v>
      </c>
      <c r="J18" s="150">
        <f>I18-VLOOKUP(B$2,H1:J218,2,FALSE)</f>
        <v>2.23455046744367</v>
      </c>
    </row>
    <row r="19" ht="21.25" customHeight="1">
      <c r="A19" t="s" s="8">
        <v>185</v>
      </c>
      <c r="B19" t="s" s="66">
        <f>VLOOKUP(A19,'The List'!B1:D730,3,FALSE)</f>
        <v>111</v>
      </c>
      <c r="C19" s="67">
        <f>IF('Settings'!$E$15="POINTS",RANK(E19,E3:E218),H19)</f>
        <v>30</v>
      </c>
      <c r="D19" t="s" s="42">
        <f>VLOOKUP(A19,'The List'!B1:F730,5,FALSE)</f>
        <v>108</v>
      </c>
      <c r="E19" s="46">
        <f>VLOOKUP(A19,'The List'!B1:I730,8,FALSE)</f>
        <v>409.977300222820</v>
      </c>
      <c r="F19" s="46">
        <f>IF('Settings'!$E$15="POINTS",E19-VLOOKUP(B$2,C1:E218,3,FALSE),J19)</f>
        <v>14.203098586805</v>
      </c>
      <c r="G19" s="46"/>
      <c r="H19" s="149">
        <f>RANK(I19,I3:I218)</f>
        <v>13</v>
      </c>
      <c r="I19" s="150">
        <f>VLOOKUP(A19,'Standard Deviations'!A1:C731,3,FALSE)</f>
        <v>8.447075415815309</v>
      </c>
      <c r="J19" s="150">
        <f>I19-VLOOKUP(B$2,H1:J218,2,FALSE)</f>
        <v>3.25961175473037</v>
      </c>
    </row>
    <row r="20" ht="21.25" customHeight="1">
      <c r="A20" t="s" s="8">
        <v>186</v>
      </c>
      <c r="B20" t="s" s="66">
        <f>VLOOKUP(A20,'The List'!B1:D730,3,FALSE)</f>
        <v>187</v>
      </c>
      <c r="C20" s="67">
        <f>IF('Settings'!$E$15="POINTS",RANK(E20,E3:E218),H20)</f>
        <v>14</v>
      </c>
      <c r="D20" t="s" s="42">
        <f>VLOOKUP(A20,'The List'!B1:F730,5,FALSE)</f>
        <v>156</v>
      </c>
      <c r="E20" s="46">
        <f>VLOOKUP(A20,'The List'!B1:I730,8,FALSE)</f>
        <v>456.358891763996</v>
      </c>
      <c r="F20" s="46">
        <f>IF('Settings'!$E$15="POINTS",E20-VLOOKUP(B$2,C1:E218,3,FALSE),J20)</f>
        <v>60.584690127981</v>
      </c>
      <c r="G20" s="46"/>
      <c r="H20" s="149">
        <f>RANK(I20,I3:I218)</f>
        <v>23</v>
      </c>
      <c r="I20" s="150">
        <f>VLOOKUP(A20,'Standard Deviations'!A1:C731,3,FALSE)</f>
        <v>6.58013071104636</v>
      </c>
      <c r="J20" s="150">
        <f>I20-VLOOKUP(B$2,H1:J218,2,FALSE)</f>
        <v>1.39266704996142</v>
      </c>
    </row>
    <row r="21" ht="21.25" customHeight="1">
      <c r="A21" t="s" s="8">
        <v>193</v>
      </c>
      <c r="B21" t="s" s="66">
        <f>VLOOKUP(A21,'The List'!B1:D730,3,FALSE)</f>
        <v>187</v>
      </c>
      <c r="C21" s="67">
        <f>IF('Settings'!$E$15="POINTS",RANK(E21,E3:E218),H21)</f>
        <v>25</v>
      </c>
      <c r="D21" t="s" s="42">
        <f>VLOOKUP(A21,'The List'!B1:F730,5,FALSE)</f>
        <v>194</v>
      </c>
      <c r="E21" s="46">
        <f>VLOOKUP(A21,'The List'!B1:I730,8,FALSE)</f>
        <v>425.025066985041</v>
      </c>
      <c r="F21" s="46">
        <f>IF('Settings'!$E$15="POINTS",E21-VLOOKUP(B$2,C1:E218,3,FALSE),J21)</f>
        <v>29.250865349026</v>
      </c>
      <c r="G21" s="46"/>
      <c r="H21" s="149">
        <f>RANK(I21,I3:I218)</f>
        <v>40</v>
      </c>
      <c r="I21" s="150">
        <f>VLOOKUP(A21,'Standard Deviations'!A1:C731,3,FALSE)</f>
        <v>4.96687775391134</v>
      </c>
      <c r="J21" s="150">
        <f>I21-VLOOKUP(B$2,H1:J218,2,FALSE)</f>
        <v>-0.2205859071736</v>
      </c>
    </row>
    <row r="22" ht="21.25" customHeight="1">
      <c r="A22" t="s" s="8">
        <v>206</v>
      </c>
      <c r="B22" t="s" s="66">
        <f>VLOOKUP(A22,'The List'!B1:D730,3,FALSE)</f>
        <v>107</v>
      </c>
      <c r="C22" s="67">
        <f>IF('Settings'!$E$15="POINTS",RANK(E22,E3:E218),H22)</f>
        <v>16</v>
      </c>
      <c r="D22" t="s" s="42">
        <f>VLOOKUP(A22,'The List'!B1:F730,5,FALSE)</f>
        <v>202</v>
      </c>
      <c r="E22" s="46">
        <f>VLOOKUP(A22,'The List'!B1:I730,8,FALSE)</f>
        <v>451.340998637869</v>
      </c>
      <c r="F22" s="46">
        <f>IF('Settings'!$E$15="POINTS",E22-VLOOKUP(B$2,C1:E218,3,FALSE),J22)</f>
        <v>55.566797001854</v>
      </c>
      <c r="G22" s="46"/>
      <c r="H22" s="149">
        <f>RANK(I22,I3:I218)</f>
        <v>15</v>
      </c>
      <c r="I22" s="150">
        <f>VLOOKUP(A22,'Standard Deviations'!A1:C731,3,FALSE)</f>
        <v>8.153177769447931</v>
      </c>
      <c r="J22" s="150">
        <f>I22-VLOOKUP(B$2,H1:J218,2,FALSE)</f>
        <v>2.96571410836299</v>
      </c>
    </row>
    <row r="23" ht="21.25" customHeight="1">
      <c r="A23" t="s" s="8">
        <v>208</v>
      </c>
      <c r="B23" t="s" s="66">
        <f>VLOOKUP(A23,'The List'!B1:D730,3,FALSE)</f>
        <v>107</v>
      </c>
      <c r="C23" s="67">
        <f>IF('Settings'!$E$15="POINTS",RANK(E23,E3:E218),H23)</f>
        <v>22</v>
      </c>
      <c r="D23" t="s" s="42">
        <f>VLOOKUP(A23,'The List'!B1:F730,5,FALSE)</f>
        <v>139</v>
      </c>
      <c r="E23" s="46">
        <f>VLOOKUP(A23,'The List'!B1:I730,8,FALSE)</f>
        <v>429.280053189410</v>
      </c>
      <c r="F23" s="46">
        <f>IF('Settings'!$E$15="POINTS",E23-VLOOKUP(B$2,C1:E218,3,FALSE),J23)</f>
        <v>33.505851553395</v>
      </c>
      <c r="G23" s="46"/>
      <c r="H23" s="149">
        <f>RANK(I23,I3:I218)</f>
        <v>34</v>
      </c>
      <c r="I23" s="150">
        <f>VLOOKUP(A23,'Standard Deviations'!A1:C731,3,FALSE)</f>
        <v>5.43262590035221</v>
      </c>
      <c r="J23" s="150">
        <f>I23-VLOOKUP(B$2,H1:J218,2,FALSE)</f>
        <v>0.24516223926727</v>
      </c>
    </row>
    <row r="24" ht="21.25" customHeight="1">
      <c r="A24" t="s" s="8">
        <v>210</v>
      </c>
      <c r="B24" t="s" s="66">
        <f>VLOOKUP(A24,'The List'!B1:D730,3,FALSE)</f>
        <v>107</v>
      </c>
      <c r="C24" s="67">
        <f>IF('Settings'!$E$15="POINTS",RANK(E24,E3:E218),H24)</f>
        <v>20</v>
      </c>
      <c r="D24" t="s" s="42">
        <f>VLOOKUP(A24,'The List'!B1:F730,5,FALSE)</f>
        <v>136</v>
      </c>
      <c r="E24" s="46">
        <f>VLOOKUP(A24,'The List'!B1:I730,8,FALSE)</f>
        <v>438.310084617597</v>
      </c>
      <c r="F24" s="46">
        <f>IF('Settings'!$E$15="POINTS",E24-VLOOKUP(B$2,C1:E218,3,FALSE),J24)</f>
        <v>42.535882981582</v>
      </c>
      <c r="G24" s="46"/>
      <c r="H24" s="149">
        <f>RANK(I24,I3:I218)</f>
        <v>12</v>
      </c>
      <c r="I24" s="150">
        <f>VLOOKUP(A24,'Standard Deviations'!A1:C731,3,FALSE)</f>
        <v>8.47737890282724</v>
      </c>
      <c r="J24" s="150">
        <f>I24-VLOOKUP(B$2,H1:J218,2,FALSE)</f>
        <v>3.2899152417423</v>
      </c>
    </row>
    <row r="25" ht="21.25" customHeight="1">
      <c r="A25" t="s" s="8">
        <v>217</v>
      </c>
      <c r="B25" t="s" s="66">
        <f>VLOOKUP(A25,'The List'!B1:D730,3,FALSE)</f>
        <v>107</v>
      </c>
      <c r="C25" s="67">
        <f>IF('Settings'!$E$15="POINTS",RANK(E25,E3:E218),H25)</f>
        <v>21</v>
      </c>
      <c r="D25" t="s" s="42">
        <f>VLOOKUP(A25,'The List'!B1:F730,5,FALSE)</f>
        <v>218</v>
      </c>
      <c r="E25" s="46">
        <f>VLOOKUP(A25,'The List'!B1:I730,8,FALSE)</f>
        <v>430.634958060113</v>
      </c>
      <c r="F25" s="46">
        <f>IF('Settings'!$E$15="POINTS",E25-VLOOKUP(B$2,C1:E218,3,FALSE),J25)</f>
        <v>34.860756424098</v>
      </c>
      <c r="G25" s="46"/>
      <c r="H25" s="149">
        <f>RANK(I25,I3:I218)</f>
        <v>18</v>
      </c>
      <c r="I25" s="150">
        <f>VLOOKUP(A25,'Standard Deviations'!A1:C731,3,FALSE)</f>
        <v>7.64825685043151</v>
      </c>
      <c r="J25" s="150">
        <f>I25-VLOOKUP(B$2,H1:J218,2,FALSE)</f>
        <v>2.46079318934657</v>
      </c>
    </row>
    <row r="26" ht="21.25" customHeight="1">
      <c r="A26" t="s" s="8">
        <v>228</v>
      </c>
      <c r="B26" t="s" s="66">
        <f>VLOOKUP(A26,'The List'!B1:D730,3,FALSE)</f>
        <v>107</v>
      </c>
      <c r="C26" s="67">
        <f>IF('Settings'!$E$15="POINTS",RANK(E26,E3:E218),H26)</f>
        <v>19</v>
      </c>
      <c r="D26" t="s" s="42">
        <f>VLOOKUP(A26,'The List'!B1:F730,5,FALSE)</f>
        <v>149</v>
      </c>
      <c r="E26" s="46">
        <f>VLOOKUP(A26,'The List'!B1:I730,8,FALSE)</f>
        <v>441.402765266841</v>
      </c>
      <c r="F26" s="46">
        <f>IF('Settings'!$E$15="POINTS",E26-VLOOKUP(B$2,C1:E218,3,FALSE),J26)</f>
        <v>45.628563630826</v>
      </c>
      <c r="G26" s="46"/>
      <c r="H26" s="149">
        <f>RANK(I26,I3:I218)</f>
        <v>26</v>
      </c>
      <c r="I26" s="150">
        <f>VLOOKUP(A26,'Standard Deviations'!A1:C731,3,FALSE)</f>
        <v>6.31410716630591</v>
      </c>
      <c r="J26" s="150">
        <f>I26-VLOOKUP(B$2,H1:J218,2,FALSE)</f>
        <v>1.12664350522097</v>
      </c>
    </row>
    <row r="27" ht="21.25" customHeight="1">
      <c r="A27" t="s" s="8">
        <v>216</v>
      </c>
      <c r="B27" t="s" s="66">
        <f>VLOOKUP(A27,'The List'!B1:D730,3,FALSE)</f>
        <v>111</v>
      </c>
      <c r="C27" s="67">
        <f>IF('Settings'!$E$15="POINTS",RANK(E27,E3:E218),H27)</f>
        <v>27</v>
      </c>
      <c r="D27" t="s" s="42">
        <f>VLOOKUP(A27,'The List'!B1:F730,5,FALSE)</f>
        <v>194</v>
      </c>
      <c r="E27" s="46">
        <f>VLOOKUP(A27,'The List'!B1:I730,8,FALSE)</f>
        <v>417.887478326887</v>
      </c>
      <c r="F27" s="46">
        <f>IF('Settings'!$E$15="POINTS",E27-VLOOKUP(B$2,C1:E218,3,FALSE),J27)</f>
        <v>22.113276690872</v>
      </c>
      <c r="G27" s="46"/>
      <c r="H27" s="149">
        <f>RANK(I27,I3:I218)</f>
        <v>35</v>
      </c>
      <c r="I27" s="150">
        <f>VLOOKUP(A27,'Standard Deviations'!A1:C731,3,FALSE)</f>
        <v>5.29247492065536</v>
      </c>
      <c r="J27" s="150">
        <f>I27-VLOOKUP(B$2,H1:J218,2,FALSE)</f>
        <v>0.10501125957042</v>
      </c>
    </row>
    <row r="28" ht="21.25" customHeight="1">
      <c r="A28" t="s" s="8">
        <v>230</v>
      </c>
      <c r="B28" t="s" s="66">
        <f>VLOOKUP(A28,'The List'!B1:D730,3,FALSE)</f>
        <v>107</v>
      </c>
      <c r="C28" s="67">
        <f>IF('Settings'!$E$15="POINTS",RANK(E28,E3:E218),H28)</f>
        <v>26</v>
      </c>
      <c r="D28" t="s" s="42">
        <f>VLOOKUP(A28,'The List'!B1:F730,5,FALSE)</f>
        <v>164</v>
      </c>
      <c r="E28" s="46">
        <f>VLOOKUP(A28,'The List'!B1:I730,8,FALSE)</f>
        <v>420.257771304693</v>
      </c>
      <c r="F28" s="46">
        <f>IF('Settings'!$E$15="POINTS",E28-VLOOKUP(B$2,C1:E218,3,FALSE),J28)</f>
        <v>24.483569668678</v>
      </c>
      <c r="G28" s="46"/>
      <c r="H28" s="149">
        <f>RANK(I28,I3:I218)</f>
        <v>29</v>
      </c>
      <c r="I28" s="150">
        <f>VLOOKUP(A28,'Standard Deviations'!A1:C731,3,FALSE)</f>
        <v>6.00964313038038</v>
      </c>
      <c r="J28" s="150">
        <f>I28-VLOOKUP(B$2,H1:J218,2,FALSE)</f>
        <v>0.8221794692954399</v>
      </c>
    </row>
    <row r="29" ht="21.25" customHeight="1">
      <c r="A29" t="s" s="8">
        <v>233</v>
      </c>
      <c r="B29" t="s" s="66">
        <f>VLOOKUP(A29,'The List'!B1:D730,3,FALSE)</f>
        <v>107</v>
      </c>
      <c r="C29" s="67">
        <f>IF('Settings'!$E$15="POINTS",RANK(E29,E3:E218),H29)</f>
        <v>31</v>
      </c>
      <c r="D29" t="s" s="42">
        <f>VLOOKUP(A29,'The List'!B1:F730,5,FALSE)</f>
        <v>234</v>
      </c>
      <c r="E29" s="46">
        <f>VLOOKUP(A29,'The List'!B1:I730,8,FALSE)</f>
        <v>404.285265978265</v>
      </c>
      <c r="F29" s="46">
        <f>IF('Settings'!$E$15="POINTS",E29-VLOOKUP(B$2,C1:E218,3,FALSE),J29)</f>
        <v>8.511064342250</v>
      </c>
      <c r="G29" s="46"/>
      <c r="H29" s="149">
        <f>RANK(I29,I3:I218)</f>
        <v>55</v>
      </c>
      <c r="I29" s="150">
        <f>VLOOKUP(A29,'Standard Deviations'!A1:C731,3,FALSE)</f>
        <v>2.79390252567511</v>
      </c>
      <c r="J29" s="150">
        <f>I29-VLOOKUP(B$2,H1:J218,2,FALSE)</f>
        <v>-2.39356113540983</v>
      </c>
    </row>
    <row r="30" ht="21.25" customHeight="1">
      <c r="A30" t="s" s="8">
        <v>226</v>
      </c>
      <c r="B30" t="s" s="66">
        <f>VLOOKUP(A30,'The List'!B1:D730,3,FALSE)</f>
        <v>111</v>
      </c>
      <c r="C30" s="67">
        <f>IF('Settings'!$E$15="POINTS",RANK(E30,E3:E218),H30)</f>
        <v>24</v>
      </c>
      <c r="D30" t="s" s="42">
        <f>VLOOKUP(A30,'The List'!B1:F730,5,FALSE)</f>
        <v>119</v>
      </c>
      <c r="E30" s="46">
        <f>VLOOKUP(A30,'The List'!B1:I730,8,FALSE)</f>
        <v>426.295752779934</v>
      </c>
      <c r="F30" s="46">
        <f>IF('Settings'!$E$15="POINTS",E30-VLOOKUP(B$2,C1:E218,3,FALSE),J30)</f>
        <v>30.521551143919</v>
      </c>
      <c r="G30" s="46"/>
      <c r="H30" s="149">
        <f>RANK(I30,I3:I218)</f>
        <v>21</v>
      </c>
      <c r="I30" s="150">
        <f>VLOOKUP(A30,'Standard Deviations'!A1:C731,3,FALSE)</f>
        <v>7.10854151458907</v>
      </c>
      <c r="J30" s="150">
        <f>I30-VLOOKUP(B$2,H1:J218,2,FALSE)</f>
        <v>1.92107785350413</v>
      </c>
    </row>
    <row r="31" ht="21.25" customHeight="1">
      <c r="A31" t="s" s="8">
        <v>239</v>
      </c>
      <c r="B31" t="s" s="66">
        <f>VLOOKUP(A31,'The List'!B1:D730,3,FALSE)</f>
        <v>107</v>
      </c>
      <c r="C31" s="67">
        <f>IF('Settings'!$E$15="POINTS",RANK(E31,E3:E218),H31)</f>
        <v>34</v>
      </c>
      <c r="D31" t="s" s="42">
        <f>VLOOKUP(A31,'The List'!B1:F730,5,FALSE)</f>
        <v>225</v>
      </c>
      <c r="E31" s="46">
        <f>VLOOKUP(A31,'The List'!B1:I730,8,FALSE)</f>
        <v>402.123785067730</v>
      </c>
      <c r="F31" s="46">
        <f>IF('Settings'!$E$15="POINTS",E31-VLOOKUP(B$2,C1:E218,3,FALSE),J31)</f>
        <v>6.349583431715</v>
      </c>
      <c r="G31" s="46"/>
      <c r="H31" s="149">
        <f>RANK(I31,I3:I218)</f>
        <v>32</v>
      </c>
      <c r="I31" s="150">
        <f>VLOOKUP(A31,'Standard Deviations'!A1:C731,3,FALSE)</f>
        <v>5.57064864773065</v>
      </c>
      <c r="J31" s="150">
        <f>I31-VLOOKUP(B$2,H1:J218,2,FALSE)</f>
        <v>0.38318498664571</v>
      </c>
    </row>
    <row r="32" ht="21.25" customHeight="1">
      <c r="A32" t="s" s="8">
        <v>242</v>
      </c>
      <c r="B32" t="s" s="66">
        <f>VLOOKUP(A32,'The List'!B1:D730,3,FALSE)</f>
        <v>107</v>
      </c>
      <c r="C32" s="67">
        <f>IF('Settings'!$E$15="POINTS",RANK(E32,E3:E218),H32)</f>
        <v>23</v>
      </c>
      <c r="D32" t="s" s="42">
        <f>VLOOKUP(A32,'The List'!B1:F730,5,FALSE)</f>
        <v>134</v>
      </c>
      <c r="E32" s="46">
        <f>VLOOKUP(A32,'The List'!B1:I730,8,FALSE)</f>
        <v>428.276917866636</v>
      </c>
      <c r="F32" s="46">
        <f>IF('Settings'!$E$15="POINTS",E32-VLOOKUP(B$2,C1:E218,3,FALSE),J32)</f>
        <v>32.502716230621</v>
      </c>
      <c r="G32" s="46"/>
      <c r="H32" s="149">
        <f>RANK(I32,I3:I218)</f>
        <v>22</v>
      </c>
      <c r="I32" s="150">
        <f>VLOOKUP(A32,'Standard Deviations'!A1:C731,3,FALSE)</f>
        <v>6.94616677299309</v>
      </c>
      <c r="J32" s="150">
        <f>I32-VLOOKUP(B$2,H1:J218,2,FALSE)</f>
        <v>1.75870311190815</v>
      </c>
    </row>
    <row r="33" ht="21.25" customHeight="1">
      <c r="A33" t="s" s="8">
        <v>243</v>
      </c>
      <c r="B33" t="s" s="66">
        <f>VLOOKUP(A33,'The List'!B1:D730,3,FALSE)</f>
        <v>107</v>
      </c>
      <c r="C33" s="67">
        <f>IF('Settings'!$E$15="POINTS",RANK(E33,E3:E218),H33)</f>
        <v>41</v>
      </c>
      <c r="D33" t="s" s="42">
        <f>VLOOKUP(A33,'The List'!B1:F730,5,FALSE)</f>
        <v>170</v>
      </c>
      <c r="E33" s="46">
        <f>VLOOKUP(A33,'The List'!B1:I730,8,FALSE)</f>
        <v>378.678996168849</v>
      </c>
      <c r="F33" s="46">
        <f>IF('Settings'!$E$15="POINTS",E33-VLOOKUP(B$2,C1:E218,3,FALSE),J33)</f>
        <v>-17.095205467166</v>
      </c>
      <c r="G33" s="46"/>
      <c r="H33" s="149">
        <f>RANK(I33,I3:I218)</f>
        <v>27</v>
      </c>
      <c r="I33" s="150">
        <f>VLOOKUP(A33,'Standard Deviations'!A1:C731,3,FALSE)</f>
        <v>6.15435874869361</v>
      </c>
      <c r="J33" s="150">
        <f>I33-VLOOKUP(B$2,H1:J218,2,FALSE)</f>
        <v>0.96689508760867</v>
      </c>
    </row>
    <row r="34" ht="21.25" customHeight="1">
      <c r="A34" t="s" s="8">
        <v>232</v>
      </c>
      <c r="B34" t="s" s="66">
        <f>VLOOKUP(A34,'The List'!B1:D730,3,FALSE)</f>
        <v>187</v>
      </c>
      <c r="C34" s="67">
        <f>IF('Settings'!$E$15="POINTS",RANK(E34,E3:E218),H34)</f>
        <v>35</v>
      </c>
      <c r="D34" t="s" s="42">
        <f>VLOOKUP(A34,'The List'!B1:F730,5,FALSE)</f>
        <v>119</v>
      </c>
      <c r="E34" s="46">
        <f>VLOOKUP(A34,'The List'!B1:I730,8,FALSE)</f>
        <v>399.565113963845</v>
      </c>
      <c r="F34" s="46">
        <f>IF('Settings'!$E$15="POINTS",E34-VLOOKUP(B$2,C1:E218,3,FALSE),J34)</f>
        <v>3.790912327830</v>
      </c>
      <c r="G34" s="46"/>
      <c r="H34" s="149">
        <f>RANK(I34,I3:I218)</f>
        <v>25</v>
      </c>
      <c r="I34" s="150">
        <f>VLOOKUP(A34,'Standard Deviations'!A1:C731,3,FALSE)</f>
        <v>6.39061856439438</v>
      </c>
      <c r="J34" s="150">
        <f>I34-VLOOKUP(B$2,H1:J218,2,FALSE)</f>
        <v>1.20315490330944</v>
      </c>
    </row>
    <row r="35" ht="21.25" customHeight="1">
      <c r="A35" t="s" s="8">
        <v>251</v>
      </c>
      <c r="B35" t="s" s="66">
        <f>VLOOKUP(A35,'The List'!B1:D730,3,FALSE)</f>
        <v>107</v>
      </c>
      <c r="C35" s="67">
        <f>IF('Settings'!$E$15="POINTS",RANK(E35,E3:E218),H35)</f>
        <v>28</v>
      </c>
      <c r="D35" t="s" s="42">
        <f>VLOOKUP(A35,'The List'!B1:F730,5,FALSE)</f>
        <v>238</v>
      </c>
      <c r="E35" s="46">
        <f>VLOOKUP(A35,'The List'!B1:I730,8,FALSE)</f>
        <v>412.971004757655</v>
      </c>
      <c r="F35" s="46">
        <f>IF('Settings'!$E$15="POINTS",E35-VLOOKUP(B$2,C1:E218,3,FALSE),J35)</f>
        <v>17.196803121640</v>
      </c>
      <c r="G35" s="46"/>
      <c r="H35" s="149">
        <f>RANK(I35,I3:I218)</f>
        <v>24</v>
      </c>
      <c r="I35" s="150">
        <f>VLOOKUP(A35,'Standard Deviations'!A1:C731,3,FALSE)</f>
        <v>6.54983777148024</v>
      </c>
      <c r="J35" s="150">
        <f>I35-VLOOKUP(B$2,H1:J218,2,FALSE)</f>
        <v>1.3623741103953</v>
      </c>
    </row>
    <row r="36" ht="21.25" customHeight="1">
      <c r="A36" t="s" s="8">
        <v>240</v>
      </c>
      <c r="B36" t="s" s="66">
        <f>VLOOKUP(A36,'The List'!B1:D730,3,FALSE)</f>
        <v>187</v>
      </c>
      <c r="C36" s="67">
        <f>IF('Settings'!$E$15="POINTS",RANK(E36,E3:E218),H36)</f>
        <v>45</v>
      </c>
      <c r="D36" t="s" s="42">
        <f>VLOOKUP(A36,'The List'!B1:F730,5,FALSE)</f>
        <v>149</v>
      </c>
      <c r="E36" s="46">
        <f>VLOOKUP(A36,'The List'!B1:I730,8,FALSE)</f>
        <v>370.596662049552</v>
      </c>
      <c r="F36" s="46">
        <f>IF('Settings'!$E$15="POINTS",E36-VLOOKUP(B$2,C1:E218,3,FALSE),J36)</f>
        <v>-25.177539586463</v>
      </c>
      <c r="G36" s="46"/>
      <c r="H36" s="149">
        <f>RANK(I36,I3:I218)</f>
        <v>31</v>
      </c>
      <c r="I36" s="150">
        <f>VLOOKUP(A36,'Standard Deviations'!A1:C731,3,FALSE)</f>
        <v>5.63464338047043</v>
      </c>
      <c r="J36" s="150">
        <f>I36-VLOOKUP(B$2,H1:J218,2,FALSE)</f>
        <v>0.44717971938549</v>
      </c>
    </row>
    <row r="37" ht="21.25" customHeight="1">
      <c r="A37" t="s" s="8">
        <v>244</v>
      </c>
      <c r="B37" t="s" s="66">
        <f>VLOOKUP(A37,'The List'!B1:D730,3,FALSE)</f>
        <v>187</v>
      </c>
      <c r="C37" s="67">
        <f>IF('Settings'!$E$15="POINTS",RANK(E37,E3:E218),H37)</f>
        <v>36</v>
      </c>
      <c r="D37" t="s" s="42">
        <f>VLOOKUP(A37,'The List'!B1:F730,5,FALSE)</f>
        <v>136</v>
      </c>
      <c r="E37" s="46">
        <f>VLOOKUP(A37,'The List'!B1:I730,8,FALSE)</f>
        <v>395.774201636015</v>
      </c>
      <c r="F37" s="46">
        <f>IF('Settings'!$E$15="POINTS",E37-VLOOKUP(B$2,C1:E218,3,FALSE),J37)</f>
        <v>0</v>
      </c>
      <c r="G37" s="46"/>
      <c r="H37" s="149">
        <f>RANK(I37,I3:I218)</f>
        <v>17</v>
      </c>
      <c r="I37" s="150">
        <f>VLOOKUP(A37,'Standard Deviations'!A1:C731,3,FALSE)</f>
        <v>7.77637529810552</v>
      </c>
      <c r="J37" s="150">
        <f>I37-VLOOKUP(B$2,H1:J218,2,FALSE)</f>
        <v>2.58891163702058</v>
      </c>
    </row>
    <row r="38" ht="21.25" customHeight="1">
      <c r="A38" t="s" s="8">
        <v>249</v>
      </c>
      <c r="B38" t="s" s="66">
        <f>VLOOKUP(A38,'The List'!B1:D730,3,FALSE)</f>
        <v>187</v>
      </c>
      <c r="C38" s="67">
        <f>IF('Settings'!$E$15="POINTS",RANK(E38,E3:E218),H38)</f>
        <v>39</v>
      </c>
      <c r="D38" t="s" s="42">
        <f>VLOOKUP(A38,'The List'!B1:F730,5,FALSE)</f>
        <v>202</v>
      </c>
      <c r="E38" s="46">
        <f>VLOOKUP(A38,'The List'!B1:I730,8,FALSE)</f>
        <v>383.059770401307</v>
      </c>
      <c r="F38" s="46">
        <f>IF('Settings'!$E$15="POINTS",E38-VLOOKUP(B$2,C1:E218,3,FALSE),J38)</f>
        <v>-12.714431234708</v>
      </c>
      <c r="G38" s="46"/>
      <c r="H38" s="149">
        <f>RANK(I38,I3:I218)</f>
        <v>28</v>
      </c>
      <c r="I38" s="150">
        <f>VLOOKUP(A38,'Standard Deviations'!A1:C731,3,FALSE)</f>
        <v>6.10556114419272</v>
      </c>
      <c r="J38" s="150">
        <f>I38-VLOOKUP(B$2,H1:J218,2,FALSE)</f>
        <v>0.9180974831077801</v>
      </c>
    </row>
    <row r="39" ht="21.25" customHeight="1">
      <c r="A39" t="s" s="8">
        <v>260</v>
      </c>
      <c r="B39" t="s" s="66">
        <f>VLOOKUP(A39,'The List'!B1:D730,3,FALSE)</f>
        <v>107</v>
      </c>
      <c r="C39" s="67">
        <f>IF('Settings'!$E$15="POINTS",RANK(E39,E3:E218),H39)</f>
        <v>33</v>
      </c>
      <c r="D39" t="s" s="42">
        <f>VLOOKUP(A39,'The List'!B1:F730,5,FALSE)</f>
        <v>149</v>
      </c>
      <c r="E39" s="46">
        <f>VLOOKUP(A39,'The List'!B1:I730,8,FALSE)</f>
        <v>402.232228471616</v>
      </c>
      <c r="F39" s="46">
        <f>IF('Settings'!$E$15="POINTS",E39-VLOOKUP(B$2,C1:E218,3,FALSE),J39)</f>
        <v>6.458026835601</v>
      </c>
      <c r="G39" s="46"/>
      <c r="H39" s="149">
        <f>RANK(I39,I3:I218)</f>
        <v>33</v>
      </c>
      <c r="I39" s="150">
        <f>VLOOKUP(A39,'Standard Deviations'!A1:C731,3,FALSE)</f>
        <v>5.56465126732554</v>
      </c>
      <c r="J39" s="150">
        <f>I39-VLOOKUP(B$2,H1:J218,2,FALSE)</f>
        <v>0.3771876062406</v>
      </c>
    </row>
    <row r="40" ht="21.25" customHeight="1">
      <c r="A40" t="s" s="8">
        <v>268</v>
      </c>
      <c r="B40" t="s" s="66">
        <f>VLOOKUP(A40,'The List'!B1:D730,3,FALSE)</f>
        <v>107</v>
      </c>
      <c r="C40" s="67">
        <f>IF('Settings'!$E$15="POINTS",RANK(E40,E3:E218),H40)</f>
        <v>32</v>
      </c>
      <c r="D40" t="s" s="42">
        <f>VLOOKUP(A40,'The List'!B1:F730,5,FALSE)</f>
        <v>248</v>
      </c>
      <c r="E40" s="46">
        <f>VLOOKUP(A40,'The List'!B1:I730,8,FALSE)</f>
        <v>404.252312586028</v>
      </c>
      <c r="F40" s="46">
        <f>IF('Settings'!$E$15="POINTS",E40-VLOOKUP(B$2,C1:E218,3,FALSE),J40)</f>
        <v>8.478110950013001</v>
      </c>
      <c r="G40" s="46"/>
      <c r="H40" s="149">
        <f>RANK(I40,I3:I218)</f>
        <v>36</v>
      </c>
      <c r="I40" s="150">
        <f>VLOOKUP(A40,'Standard Deviations'!A1:C731,3,FALSE)</f>
        <v>5.18746366108494</v>
      </c>
      <c r="J40" s="150">
        <f>I40-VLOOKUP(B$2,H1:J218,2,FALSE)</f>
        <v>0</v>
      </c>
    </row>
    <row r="41" ht="21.25" customHeight="1">
      <c r="A41" t="s" s="8">
        <v>274</v>
      </c>
      <c r="B41" t="s" s="66">
        <f>VLOOKUP(A41,'The List'!B1:D730,3,FALSE)</f>
        <v>107</v>
      </c>
      <c r="C41" s="67">
        <f>IF('Settings'!$E$15="POINTS",RANK(E41,E3:E218),H41)</f>
        <v>43</v>
      </c>
      <c r="D41" t="s" s="42">
        <f>VLOOKUP(A41,'The List'!B1:F730,5,FALSE)</f>
        <v>238</v>
      </c>
      <c r="E41" s="46">
        <f>VLOOKUP(A41,'The List'!B1:I730,8,FALSE)</f>
        <v>376.159464868079</v>
      </c>
      <c r="F41" s="46">
        <f>IF('Settings'!$E$15="POINTS",E41-VLOOKUP(B$2,C1:E218,3,FALSE),J41)</f>
        <v>-19.614736767936</v>
      </c>
      <c r="G41" s="46"/>
      <c r="H41" s="149">
        <f>RANK(I41,I3:I218)</f>
        <v>39</v>
      </c>
      <c r="I41" s="150">
        <f>VLOOKUP(A41,'Standard Deviations'!A1:C731,3,FALSE)</f>
        <v>4.99473721155809</v>
      </c>
      <c r="J41" s="150">
        <f>I41-VLOOKUP(B$2,H1:J218,2,FALSE)</f>
        <v>-0.19272644952685</v>
      </c>
    </row>
    <row r="42" ht="21.25" customHeight="1">
      <c r="A42" t="s" s="8">
        <v>256</v>
      </c>
      <c r="B42" t="s" s="66">
        <f>VLOOKUP(A42,'The List'!B1:D730,3,FALSE)</f>
        <v>187</v>
      </c>
      <c r="C42" s="67">
        <f>IF('Settings'!$E$15="POINTS",RANK(E42,E3:E218),H42)</f>
        <v>29</v>
      </c>
      <c r="D42" t="s" s="42">
        <f>VLOOKUP(A42,'The List'!B1:F730,5,FALSE)</f>
        <v>204</v>
      </c>
      <c r="E42" s="46">
        <f>VLOOKUP(A42,'The List'!B1:I730,8,FALSE)</f>
        <v>410.7826647549</v>
      </c>
      <c r="F42" s="46">
        <f>IF('Settings'!$E$15="POINTS",E42-VLOOKUP(B$2,C1:E218,3,FALSE),J42)</f>
        <v>15.008463118885</v>
      </c>
      <c r="G42" s="46"/>
      <c r="H42" s="149">
        <f>RANK(I42,I3:I218)</f>
        <v>41</v>
      </c>
      <c r="I42" s="150">
        <f>VLOOKUP(A42,'Standard Deviations'!A1:C731,3,FALSE)</f>
        <v>4.73394617412908</v>
      </c>
      <c r="J42" s="150">
        <f>I42-VLOOKUP(B$2,H1:J218,2,FALSE)</f>
        <v>-0.45351748695586</v>
      </c>
    </row>
    <row r="43" ht="21.25" customHeight="1">
      <c r="A43" t="s" s="8">
        <v>266</v>
      </c>
      <c r="B43" t="s" s="66">
        <f>VLOOKUP(A43,'The List'!B1:D730,3,FALSE)</f>
        <v>111</v>
      </c>
      <c r="C43" s="67">
        <f>IF('Settings'!$E$15="POINTS",RANK(E43,E3:E218),H43)</f>
        <v>37</v>
      </c>
      <c r="D43" t="s" s="42">
        <f>VLOOKUP(A43,'The List'!B1:F730,5,FALSE)</f>
        <v>204</v>
      </c>
      <c r="E43" s="46">
        <f>VLOOKUP(A43,'The List'!B1:I730,8,FALSE)</f>
        <v>388.528267213397</v>
      </c>
      <c r="F43" s="46">
        <f>IF('Settings'!$E$15="POINTS",E43-VLOOKUP(B$2,C1:E218,3,FALSE),J43)</f>
        <v>-7.245934422618</v>
      </c>
      <c r="G43" s="46"/>
      <c r="H43" s="149">
        <f>RANK(I43,I3:I218)</f>
        <v>37</v>
      </c>
      <c r="I43" s="150">
        <f>VLOOKUP(A43,'Standard Deviations'!A1:C731,3,FALSE)</f>
        <v>5.02695051357294</v>
      </c>
      <c r="J43" s="150">
        <f>I43-VLOOKUP(B$2,H1:J218,2,FALSE)</f>
        <v>-0.160513147512</v>
      </c>
    </row>
    <row r="44" ht="21.25" customHeight="1">
      <c r="A44" t="s" s="8">
        <v>275</v>
      </c>
      <c r="B44" t="s" s="66">
        <f>VLOOKUP(A44,'The List'!B1:D730,3,FALSE)</f>
        <v>107</v>
      </c>
      <c r="C44" s="67">
        <f>IF('Settings'!$E$15="POINTS",RANK(E44,E3:E218),H44)</f>
        <v>38</v>
      </c>
      <c r="D44" t="s" s="42">
        <f>VLOOKUP(A44,'The List'!B1:F730,5,FALSE)</f>
        <v>258</v>
      </c>
      <c r="E44" s="46">
        <f>VLOOKUP(A44,'The List'!B1:I730,8,FALSE)</f>
        <v>387.391391386555</v>
      </c>
      <c r="F44" s="46">
        <f>IF('Settings'!$E$15="POINTS",E44-VLOOKUP(B$2,C1:E218,3,FALSE),J44)</f>
        <v>-8.382810249460</v>
      </c>
      <c r="G44" s="46"/>
      <c r="H44" s="149">
        <f>RANK(I44,I3:I218)</f>
        <v>58</v>
      </c>
      <c r="I44" s="150">
        <f>VLOOKUP(A44,'Standard Deviations'!A1:C731,3,FALSE)</f>
        <v>2.52615937618543</v>
      </c>
      <c r="J44" s="150">
        <f>I44-VLOOKUP(B$2,H1:J218,2,FALSE)</f>
        <v>-2.66130428489951</v>
      </c>
    </row>
    <row r="45" ht="21.25" customHeight="1">
      <c r="A45" t="s" s="8">
        <v>284</v>
      </c>
      <c r="B45" t="s" s="66">
        <f>VLOOKUP(A45,'The List'!B1:D730,3,FALSE)</f>
        <v>107</v>
      </c>
      <c r="C45" s="67">
        <f>IF('Settings'!$E$15="POINTS",RANK(E45,E3:E218),H45)</f>
        <v>40</v>
      </c>
      <c r="D45" t="s" s="42">
        <f>VLOOKUP(A45,'The List'!B1:F730,5,FALSE)</f>
        <v>204</v>
      </c>
      <c r="E45" s="46">
        <f>VLOOKUP(A45,'The List'!B1:I730,8,FALSE)</f>
        <v>379.245532040092</v>
      </c>
      <c r="F45" s="46">
        <f>IF('Settings'!$E$15="POINTS",E45-VLOOKUP(B$2,C1:E218,3,FALSE),J45)</f>
        <v>-16.528669595923</v>
      </c>
      <c r="G45" s="46"/>
      <c r="H45" s="149">
        <f>RANK(I45,I3:I218)</f>
        <v>38</v>
      </c>
      <c r="I45" s="150">
        <f>VLOOKUP(A45,'Standard Deviations'!A1:C731,3,FALSE)</f>
        <v>5.01129207286021</v>
      </c>
      <c r="J45" s="150">
        <f>I45-VLOOKUP(B$2,H1:J218,2,FALSE)</f>
        <v>-0.17617158822473</v>
      </c>
    </row>
    <row r="46" ht="21.25" customHeight="1">
      <c r="A46" t="s" s="8">
        <v>285</v>
      </c>
      <c r="B46" t="s" s="66">
        <f>VLOOKUP(A46,'The List'!B1:D730,3,FALSE)</f>
        <v>107</v>
      </c>
      <c r="C46" s="67">
        <f>IF('Settings'!$E$15="POINTS",RANK(E46,E3:E218),H46)</f>
        <v>42</v>
      </c>
      <c r="D46" t="s" s="42">
        <f>VLOOKUP(A46,'The List'!B1:F730,5,FALSE)</f>
        <v>141</v>
      </c>
      <c r="E46" s="46">
        <f>VLOOKUP(A46,'The List'!B1:I730,8,FALSE)</f>
        <v>378.161877422354</v>
      </c>
      <c r="F46" s="46">
        <f>IF('Settings'!$E$15="POINTS",E46-VLOOKUP(B$2,C1:E218,3,FALSE),J46)</f>
        <v>-17.612324213661</v>
      </c>
      <c r="G46" s="46"/>
      <c r="H46" s="149">
        <f>RANK(I46,I3:I218)</f>
        <v>42</v>
      </c>
      <c r="I46" s="150">
        <f>VLOOKUP(A46,'Standard Deviations'!A1:C731,3,FALSE)</f>
        <v>4.67668052588961</v>
      </c>
      <c r="J46" s="150">
        <f>I46-VLOOKUP(B$2,H1:J218,2,FALSE)</f>
        <v>-0.51078313519533</v>
      </c>
    </row>
    <row r="47" ht="21.25" customHeight="1">
      <c r="A47" t="s" s="8">
        <v>286</v>
      </c>
      <c r="B47" t="s" s="66">
        <f>VLOOKUP(A47,'The List'!B1:D730,3,FALSE)</f>
        <v>107</v>
      </c>
      <c r="C47" s="67">
        <f>IF('Settings'!$E$15="POINTS",RANK(E47,E3:E218),H47)</f>
        <v>52</v>
      </c>
      <c r="D47" t="s" s="42">
        <f>VLOOKUP(A47,'The List'!B1:F730,5,FALSE)</f>
        <v>194</v>
      </c>
      <c r="E47" s="46">
        <f>VLOOKUP(A47,'The List'!B1:I730,8,FALSE)</f>
        <v>347.827043003708</v>
      </c>
      <c r="F47" s="46">
        <f>IF('Settings'!$E$15="POINTS",E47-VLOOKUP(B$2,C1:E218,3,FALSE),J47)</f>
        <v>-47.947158632307</v>
      </c>
      <c r="G47" s="46"/>
      <c r="H47" s="149">
        <f>RANK(I47,I3:I218)</f>
        <v>53</v>
      </c>
      <c r="I47" s="150">
        <f>VLOOKUP(A47,'Standard Deviations'!A1:C731,3,FALSE)</f>
        <v>3.09437473900614</v>
      </c>
      <c r="J47" s="150">
        <f>I47-VLOOKUP(B$2,H1:J218,2,FALSE)</f>
        <v>-2.0930889220788</v>
      </c>
    </row>
    <row r="48" ht="21.25" customHeight="1">
      <c r="A48" t="s" s="8">
        <v>281</v>
      </c>
      <c r="B48" t="s" s="66">
        <f>VLOOKUP(A48,'The List'!B1:D730,3,FALSE)</f>
        <v>187</v>
      </c>
      <c r="C48" s="67">
        <f>IF('Settings'!$E$15="POINTS",RANK(E48,E3:E218),H48)</f>
        <v>48</v>
      </c>
      <c r="D48" t="s" s="42">
        <f>VLOOKUP(A48,'The List'!B1:F730,5,FALSE)</f>
        <v>196</v>
      </c>
      <c r="E48" s="46">
        <f>VLOOKUP(A48,'The List'!B1:I730,8,FALSE)</f>
        <v>362.001897235797</v>
      </c>
      <c r="F48" s="46">
        <f>IF('Settings'!$E$15="POINTS",E48-VLOOKUP(B$2,C1:E218,3,FALSE),J48)</f>
        <v>-33.772304400218</v>
      </c>
      <c r="G48" s="46"/>
      <c r="H48" s="149">
        <f>RANK(I48,I3:I218)</f>
        <v>51</v>
      </c>
      <c r="I48" s="150">
        <f>VLOOKUP(A48,'Standard Deviations'!A1:C731,3,FALSE)</f>
        <v>3.27875412338532</v>
      </c>
      <c r="J48" s="150">
        <f>I48-VLOOKUP(B$2,H1:J218,2,FALSE)</f>
        <v>-1.90870953769962</v>
      </c>
    </row>
    <row r="49" ht="21.25" customHeight="1">
      <c r="A49" t="s" s="8">
        <v>301</v>
      </c>
      <c r="B49" t="s" s="66">
        <f>VLOOKUP(A49,'The List'!B1:D730,3,FALSE)</f>
        <v>107</v>
      </c>
      <c r="C49" s="67">
        <f>IF('Settings'!$E$15="POINTS",RANK(E49,E3:E218),H49)</f>
        <v>44</v>
      </c>
      <c r="D49" t="s" s="42">
        <f>VLOOKUP(A49,'The List'!B1:F730,5,FALSE)</f>
        <v>141</v>
      </c>
      <c r="E49" s="46">
        <f>VLOOKUP(A49,'The List'!B1:I730,8,FALSE)</f>
        <v>375.145434324828</v>
      </c>
      <c r="F49" s="46">
        <f>IF('Settings'!$E$15="POINTS",E49-VLOOKUP(B$2,C1:E218,3,FALSE),J49)</f>
        <v>-20.628767311187</v>
      </c>
      <c r="G49" s="46"/>
      <c r="H49" s="149">
        <f>RANK(I49,I3:I218)</f>
        <v>43</v>
      </c>
      <c r="I49" s="150">
        <f>VLOOKUP(A49,'Standard Deviations'!A1:C731,3,FALSE)</f>
        <v>4.40114113302351</v>
      </c>
      <c r="J49" s="150">
        <f>I49-VLOOKUP(B$2,H1:J218,2,FALSE)</f>
        <v>-0.78632252806143</v>
      </c>
    </row>
    <row r="50" ht="21.25" customHeight="1">
      <c r="A50" t="s" s="8">
        <v>289</v>
      </c>
      <c r="B50" t="s" s="66">
        <f>VLOOKUP(A50,'The List'!B1:D730,3,FALSE)</f>
        <v>187</v>
      </c>
      <c r="C50" s="67">
        <f>IF('Settings'!$E$15="POINTS",RANK(E50,E3:E218),H50)</f>
        <v>47</v>
      </c>
      <c r="D50" t="s" s="42">
        <f>VLOOKUP(A50,'The List'!B1:F730,5,FALSE)</f>
        <v>173</v>
      </c>
      <c r="E50" s="46">
        <f>VLOOKUP(A50,'The List'!B1:I730,8,FALSE)</f>
        <v>362.056336886222</v>
      </c>
      <c r="F50" s="46">
        <f>IF('Settings'!$E$15="POINTS",E50-VLOOKUP(B$2,C1:E218,3,FALSE),J50)</f>
        <v>-33.717864749793</v>
      </c>
      <c r="G50" s="46"/>
      <c r="H50" s="149">
        <f>RANK(I50,I3:I218)</f>
        <v>45</v>
      </c>
      <c r="I50" s="150">
        <f>VLOOKUP(A50,'Standard Deviations'!A1:C731,3,FALSE)</f>
        <v>4.24477425595924</v>
      </c>
      <c r="J50" s="150">
        <f>I50-VLOOKUP(B$2,H1:J218,2,FALSE)</f>
        <v>-0.9426894051257</v>
      </c>
    </row>
    <row r="51" ht="21.25" customHeight="1">
      <c r="A51" t="s" s="8">
        <v>309</v>
      </c>
      <c r="B51" t="s" s="66">
        <f>VLOOKUP(A51,'The List'!B1:D730,3,FALSE)</f>
        <v>107</v>
      </c>
      <c r="C51" s="67">
        <f>IF('Settings'!$E$15="POINTS",RANK(E51,E3:E218),H51)</f>
        <v>49</v>
      </c>
      <c r="D51" t="s" s="42">
        <f>VLOOKUP(A51,'The List'!B1:F730,5,FALSE)</f>
        <v>122</v>
      </c>
      <c r="E51" s="46">
        <f>VLOOKUP(A51,'The List'!B1:I730,8,FALSE)</f>
        <v>356.089745401664</v>
      </c>
      <c r="F51" s="46">
        <f>IF('Settings'!$E$15="POINTS",E51-VLOOKUP(B$2,C1:E218,3,FALSE),J51)</f>
        <v>-39.684456234351</v>
      </c>
      <c r="G51" s="46"/>
      <c r="H51" s="149">
        <f>RANK(I51,I3:I218)</f>
        <v>47</v>
      </c>
      <c r="I51" s="150">
        <f>VLOOKUP(A51,'Standard Deviations'!A1:C731,3,FALSE)</f>
        <v>4.01022660985968</v>
      </c>
      <c r="J51" s="150">
        <f>I51-VLOOKUP(B$2,H1:J218,2,FALSE)</f>
        <v>-1.17723705122526</v>
      </c>
    </row>
    <row r="52" ht="21.25" customHeight="1">
      <c r="A52" t="s" s="8">
        <v>315</v>
      </c>
      <c r="B52" t="s" s="66">
        <f>VLOOKUP(A52,'The List'!B1:D730,3,FALSE)</f>
        <v>111</v>
      </c>
      <c r="C52" s="67">
        <f>IF('Settings'!$E$15="POINTS",RANK(E52,E3:E218),H52)</f>
        <v>55</v>
      </c>
      <c r="D52" t="s" s="42">
        <f>VLOOKUP(A52,'The List'!B1:F730,5,FALSE)</f>
        <v>234</v>
      </c>
      <c r="E52" s="46">
        <f>VLOOKUP(A52,'The List'!B1:I730,8,FALSE)</f>
        <v>334.766313629119</v>
      </c>
      <c r="F52" s="46">
        <f>IF('Settings'!$E$15="POINTS",E52-VLOOKUP(B$2,C1:E218,3,FALSE),J52)</f>
        <v>-61.007888006896</v>
      </c>
      <c r="G52" s="46"/>
      <c r="H52" s="149">
        <f>RANK(I52,I3:I218)</f>
        <v>75</v>
      </c>
      <c r="I52" s="150">
        <f>VLOOKUP(A52,'Standard Deviations'!A1:C731,3,FALSE)</f>
        <v>1.02723151378167</v>
      </c>
      <c r="J52" s="150">
        <f>I52-VLOOKUP(B$2,H1:J218,2,FALSE)</f>
        <v>-4.16023214730327</v>
      </c>
    </row>
    <row r="53" ht="21.25" customHeight="1">
      <c r="A53" t="s" s="8">
        <v>322</v>
      </c>
      <c r="B53" t="s" s="66">
        <f>VLOOKUP(A53,'The List'!B1:D730,3,FALSE)</f>
        <v>107</v>
      </c>
      <c r="C53" s="67">
        <f>IF('Settings'!$E$15="POINTS",RANK(E53,E3:E218),H53)</f>
        <v>46</v>
      </c>
      <c r="D53" t="s" s="42">
        <f>VLOOKUP(A53,'The List'!B1:F730,5,FALSE)</f>
        <v>151</v>
      </c>
      <c r="E53" s="46">
        <f>VLOOKUP(A53,'The List'!B1:I730,8,FALSE)</f>
        <v>366.412761568744</v>
      </c>
      <c r="F53" s="46">
        <f>IF('Settings'!$E$15="POINTS",E53-VLOOKUP(B$2,C1:E218,3,FALSE),J53)</f>
        <v>-29.361440067271</v>
      </c>
      <c r="G53" s="46"/>
      <c r="H53" s="149">
        <f>RANK(I53,I3:I218)</f>
        <v>46</v>
      </c>
      <c r="I53" s="150">
        <f>VLOOKUP(A53,'Standard Deviations'!A1:C731,3,FALSE)</f>
        <v>4.21998727867727</v>
      </c>
      <c r="J53" s="150">
        <f>I53-VLOOKUP(B$2,H1:J218,2,FALSE)</f>
        <v>-0.96747638240767</v>
      </c>
    </row>
    <row r="54" ht="21.25" customHeight="1">
      <c r="A54" t="s" s="8">
        <v>313</v>
      </c>
      <c r="B54" t="s" s="66">
        <f>VLOOKUP(A54,'The List'!B1:D730,3,FALSE)</f>
        <v>187</v>
      </c>
      <c r="C54" s="67">
        <f>IF('Settings'!$E$15="POINTS",RANK(E54,E3:E218),H54)</f>
        <v>50</v>
      </c>
      <c r="D54" t="s" s="42">
        <f>VLOOKUP(A54,'The List'!B1:F730,5,FALSE)</f>
        <v>127</v>
      </c>
      <c r="E54" s="46">
        <f>VLOOKUP(A54,'The List'!B1:I730,8,FALSE)</f>
        <v>355.123293102622</v>
      </c>
      <c r="F54" s="46">
        <f>IF('Settings'!$E$15="POINTS",E54-VLOOKUP(B$2,C1:E218,3,FALSE),J54)</f>
        <v>-40.650908533393</v>
      </c>
      <c r="G54" s="46"/>
      <c r="H54" s="149">
        <f>RANK(I54,I3:I218)</f>
        <v>54</v>
      </c>
      <c r="I54" s="150">
        <f>VLOOKUP(A54,'Standard Deviations'!A1:C731,3,FALSE)</f>
        <v>3.09260618844406</v>
      </c>
      <c r="J54" s="150">
        <f>I54-VLOOKUP(B$2,H1:J218,2,FALSE)</f>
        <v>-2.09485747264088</v>
      </c>
    </row>
    <row r="55" ht="21.25" customHeight="1">
      <c r="A55" t="s" s="8">
        <v>326</v>
      </c>
      <c r="B55" t="s" s="66">
        <f>VLOOKUP(A55,'The List'!B1:D730,3,FALSE)</f>
        <v>107</v>
      </c>
      <c r="C55" s="67">
        <f>IF('Settings'!$E$15="POINTS",RANK(E55,E3:E218),H55)</f>
        <v>53</v>
      </c>
      <c r="D55" t="s" s="42">
        <f>VLOOKUP(A55,'The List'!B1:F730,5,FALSE)</f>
        <v>218</v>
      </c>
      <c r="E55" s="46">
        <f>VLOOKUP(A55,'The List'!B1:I730,8,FALSE)</f>
        <v>339.949952198042</v>
      </c>
      <c r="F55" s="46">
        <f>IF('Settings'!$E$15="POINTS",E55-VLOOKUP(B$2,C1:E218,3,FALSE),J55)</f>
        <v>-55.824249437973</v>
      </c>
      <c r="G55" s="46"/>
      <c r="H55" s="149">
        <f>RANK(I55,I3:I218)</f>
        <v>44</v>
      </c>
      <c r="I55" s="150">
        <f>VLOOKUP(A55,'Standard Deviations'!A1:C731,3,FALSE)</f>
        <v>4.34989975227573</v>
      </c>
      <c r="J55" s="150">
        <f>I55-VLOOKUP(B$2,H1:J218,2,FALSE)</f>
        <v>-0.8375639088092099</v>
      </c>
    </row>
    <row r="56" ht="21.25" customHeight="1">
      <c r="A56" t="s" s="8">
        <v>331</v>
      </c>
      <c r="B56" t="s" s="66">
        <f>VLOOKUP(A56,'The List'!B1:D730,3,FALSE)</f>
        <v>107</v>
      </c>
      <c r="C56" s="67">
        <f>IF('Settings'!$E$15="POINTS",RANK(E56,E3:E218),H56)</f>
        <v>64</v>
      </c>
      <c r="D56" t="s" s="42">
        <f>VLOOKUP(A56,'The List'!B1:F730,5,FALSE)</f>
        <v>166</v>
      </c>
      <c r="E56" s="46">
        <f>VLOOKUP(A56,'The List'!B1:I730,8,FALSE)</f>
        <v>310.479071487205</v>
      </c>
      <c r="F56" s="46">
        <f>IF('Settings'!$E$15="POINTS",E56-VLOOKUP(B$2,C1:E218,3,FALSE),J56)</f>
        <v>-85.295130148810</v>
      </c>
      <c r="G56" s="46"/>
      <c r="H56" s="149">
        <f>RANK(I56,I3:I218)</f>
        <v>68</v>
      </c>
      <c r="I56" s="150">
        <f>VLOOKUP(A56,'Standard Deviations'!A1:C731,3,FALSE)</f>
        <v>1.5315118770389</v>
      </c>
      <c r="J56" s="150">
        <f>I56-VLOOKUP(B$2,H1:J218,2,FALSE)</f>
        <v>-3.65595178404604</v>
      </c>
    </row>
    <row r="57" ht="21.25" customHeight="1">
      <c r="A57" t="s" s="8">
        <v>339</v>
      </c>
      <c r="B57" t="s" s="66">
        <f>VLOOKUP(A57,'The List'!B1:D730,3,FALSE)</f>
        <v>107</v>
      </c>
      <c r="C57" s="67">
        <f>IF('Settings'!$E$15="POINTS",RANK(E57,E3:E218),H57)</f>
        <v>56</v>
      </c>
      <c r="D57" t="s" s="42">
        <f>VLOOKUP(A57,'The List'!B1:F730,5,FALSE)</f>
        <v>173</v>
      </c>
      <c r="E57" s="46">
        <f>VLOOKUP(A57,'The List'!B1:I730,8,FALSE)</f>
        <v>333.021050553513</v>
      </c>
      <c r="F57" s="46">
        <f>IF('Settings'!$E$15="POINTS",E57-VLOOKUP(B$2,C1:E218,3,FALSE),J57)</f>
        <v>-62.753151082502</v>
      </c>
      <c r="G57" s="46"/>
      <c r="H57" s="149">
        <f>RANK(I57,I3:I218)</f>
        <v>49</v>
      </c>
      <c r="I57" s="150">
        <f>VLOOKUP(A57,'Standard Deviations'!A1:C731,3,FALSE)</f>
        <v>3.46655758576032</v>
      </c>
      <c r="J57" s="150">
        <f>I57-VLOOKUP(B$2,H1:J218,2,FALSE)</f>
        <v>-1.72090607532462</v>
      </c>
    </row>
    <row r="58" ht="21.25" customHeight="1">
      <c r="A58" t="s" s="8">
        <v>333</v>
      </c>
      <c r="B58" t="s" s="66">
        <f>VLOOKUP(A58,'The List'!B1:D730,3,FALSE)</f>
        <v>111</v>
      </c>
      <c r="C58" s="67">
        <f>IF('Settings'!$E$15="POINTS",RANK(E58,E3:E218),H58)</f>
        <v>54</v>
      </c>
      <c r="D58" t="s" s="42">
        <f>VLOOKUP(A58,'The List'!B1:F730,5,FALSE)</f>
        <v>194</v>
      </c>
      <c r="E58" s="46">
        <f>VLOOKUP(A58,'The List'!B1:I730,8,FALSE)</f>
        <v>335.707827981214</v>
      </c>
      <c r="F58" s="46">
        <f>IF('Settings'!$E$15="POINTS",E58-VLOOKUP(B$2,C1:E218,3,FALSE),J58)</f>
        <v>-60.066373654801</v>
      </c>
      <c r="G58" s="46"/>
      <c r="H58" s="149">
        <f>RANK(I58,I3:I218)</f>
        <v>74</v>
      </c>
      <c r="I58" s="150">
        <f>VLOOKUP(A58,'Standard Deviations'!A1:C731,3,FALSE)</f>
        <v>1.02928773954211</v>
      </c>
      <c r="J58" s="150">
        <f>I58-VLOOKUP(B$2,H1:J218,2,FALSE)</f>
        <v>-4.15817592154283</v>
      </c>
    </row>
    <row r="59" ht="21.25" customHeight="1">
      <c r="A59" t="s" s="8">
        <v>346</v>
      </c>
      <c r="B59" t="s" s="66">
        <f>VLOOKUP(A59,'The List'!B1:D730,3,FALSE)</f>
        <v>107</v>
      </c>
      <c r="C59" s="67">
        <f>IF('Settings'!$E$15="POINTS",RANK(E59,E3:E218),H59)</f>
        <v>63</v>
      </c>
      <c r="D59" t="s" s="42">
        <f>VLOOKUP(A59,'The List'!B1:F730,5,FALSE)</f>
        <v>196</v>
      </c>
      <c r="E59" s="46">
        <f>VLOOKUP(A59,'The List'!B1:I730,8,FALSE)</f>
        <v>311.274462490166</v>
      </c>
      <c r="F59" s="46">
        <f>IF('Settings'!$E$15="POINTS",E59-VLOOKUP(B$2,C1:E218,3,FALSE),J59)</f>
        <v>-84.49973914584901</v>
      </c>
      <c r="G59" s="46"/>
      <c r="H59" s="149">
        <f>RANK(I59,I3:I218)</f>
        <v>60</v>
      </c>
      <c r="I59" s="150">
        <f>VLOOKUP(A59,'Standard Deviations'!A1:C731,3,FALSE)</f>
        <v>2.3272296789995</v>
      </c>
      <c r="J59" s="150">
        <f>I59-VLOOKUP(B$2,H1:J218,2,FALSE)</f>
        <v>-2.86023398208544</v>
      </c>
    </row>
    <row r="60" ht="21.25" customHeight="1">
      <c r="A60" t="s" s="8">
        <v>350</v>
      </c>
      <c r="B60" t="s" s="66">
        <f>VLOOKUP(A60,'The List'!B1:D730,3,FALSE)</f>
        <v>107</v>
      </c>
      <c r="C60" s="67">
        <f>IF('Settings'!$E$15="POINTS",RANK(E60,E3:E218),H60)</f>
        <v>51</v>
      </c>
      <c r="D60" t="s" s="42">
        <f>VLOOKUP(A60,'The List'!B1:F730,5,FALSE)</f>
        <v>119</v>
      </c>
      <c r="E60" s="46">
        <f>VLOOKUP(A60,'The List'!B1:I730,8,FALSE)</f>
        <v>349.827975405214</v>
      </c>
      <c r="F60" s="46">
        <f>IF('Settings'!$E$15="POINTS",E60-VLOOKUP(B$2,C1:E218,3,FALSE),J60)</f>
        <v>-45.946226230801</v>
      </c>
      <c r="G60" s="46"/>
      <c r="H60" s="149">
        <f>RANK(I60,I3:I218)</f>
        <v>50</v>
      </c>
      <c r="I60" s="150">
        <f>VLOOKUP(A60,'Standard Deviations'!A1:C731,3,FALSE)</f>
        <v>3.39862422271558</v>
      </c>
      <c r="J60" s="150">
        <f>I60-VLOOKUP(B$2,H1:J218,2,FALSE)</f>
        <v>-1.78883943836936</v>
      </c>
    </row>
    <row r="61" ht="21.25" customHeight="1">
      <c r="A61" t="s" s="8">
        <v>351</v>
      </c>
      <c r="B61" t="s" s="66">
        <f>VLOOKUP(A61,'The List'!B1:D730,3,FALSE)</f>
        <v>107</v>
      </c>
      <c r="C61" s="67">
        <f>IF('Settings'!$E$15="POINTS",RANK(E61,E3:E218),H61)</f>
        <v>70</v>
      </c>
      <c r="D61" t="s" s="42">
        <f>VLOOKUP(A61,'The List'!B1:F730,5,FALSE)</f>
        <v>131</v>
      </c>
      <c r="E61" s="46">
        <f>VLOOKUP(A61,'The List'!B1:I730,8,FALSE)</f>
        <v>294.332921439397</v>
      </c>
      <c r="F61" s="46">
        <f>IF('Settings'!$E$15="POINTS",E61-VLOOKUP(B$2,C1:E218,3,FALSE),J61)</f>
        <v>-101.441280196618</v>
      </c>
      <c r="G61" s="46"/>
      <c r="H61" s="149">
        <f>RANK(I61,I3:I218)</f>
        <v>63</v>
      </c>
      <c r="I61" s="150">
        <f>VLOOKUP(A61,'Standard Deviations'!A1:C731,3,FALSE)</f>
        <v>1.91222302738432</v>
      </c>
      <c r="J61" s="150">
        <f>I61-VLOOKUP(B$2,H1:J218,2,FALSE)</f>
        <v>-3.27524063370062</v>
      </c>
    </row>
    <row r="62" ht="21.25" customHeight="1">
      <c r="A62" t="s" s="8">
        <v>353</v>
      </c>
      <c r="B62" t="s" s="66">
        <f>VLOOKUP(A62,'The List'!B1:D730,3,FALSE)</f>
        <v>107</v>
      </c>
      <c r="C62" s="67">
        <f>IF('Settings'!$E$15="POINTS",RANK(E62,E3:E218),H62)</f>
        <v>59</v>
      </c>
      <c r="D62" t="s" s="42">
        <f>VLOOKUP(A62,'The List'!B1:F730,5,FALSE)</f>
        <v>238</v>
      </c>
      <c r="E62" s="46">
        <f>VLOOKUP(A62,'The List'!B1:I730,8,FALSE)</f>
        <v>318.596881418557</v>
      </c>
      <c r="F62" s="46">
        <f>IF('Settings'!$E$15="POINTS",E62-VLOOKUP(B$2,C1:E218,3,FALSE),J62)</f>
        <v>-77.177320217458</v>
      </c>
      <c r="G62" s="46"/>
      <c r="H62" s="149">
        <f>RANK(I62,I3:I218)</f>
        <v>52</v>
      </c>
      <c r="I62" s="150">
        <f>VLOOKUP(A62,'Standard Deviations'!A1:C731,3,FALSE)</f>
        <v>3.24623541119633</v>
      </c>
      <c r="J62" s="150">
        <f>I62-VLOOKUP(B$2,H1:J218,2,FALSE)</f>
        <v>-1.94122824988861</v>
      </c>
    </row>
    <row r="63" ht="21.25" customHeight="1">
      <c r="A63" t="s" s="8">
        <v>356</v>
      </c>
      <c r="B63" t="s" s="66">
        <f>VLOOKUP(A63,'The List'!B1:D730,3,FALSE)</f>
        <v>107</v>
      </c>
      <c r="C63" s="67">
        <f>IF('Settings'!$E$15="POINTS",RANK(E63,E3:E218),H63)</f>
        <v>75</v>
      </c>
      <c r="D63" t="s" s="42">
        <f>VLOOKUP(A63,'The List'!B1:F730,5,FALSE)</f>
        <v>139</v>
      </c>
      <c r="E63" s="46">
        <f>VLOOKUP(A63,'The List'!B1:I730,8,FALSE)</f>
        <v>287.398662446365</v>
      </c>
      <c r="F63" s="46">
        <f>IF('Settings'!$E$15="POINTS",E63-VLOOKUP(B$2,C1:E218,3,FALSE),J63)</f>
        <v>-108.375539189650</v>
      </c>
      <c r="G63" s="46"/>
      <c r="H63" s="149">
        <f>RANK(I63,I3:I218)</f>
        <v>78</v>
      </c>
      <c r="I63" s="150">
        <f>VLOOKUP(A63,'Standard Deviations'!A1:C731,3,FALSE)</f>
        <v>0.906432495038527</v>
      </c>
      <c r="J63" s="150">
        <f>I63-VLOOKUP(B$2,H1:J218,2,FALSE)</f>
        <v>-4.28103116604641</v>
      </c>
    </row>
    <row r="64" ht="21.25" customHeight="1">
      <c r="A64" t="s" s="8">
        <v>345</v>
      </c>
      <c r="B64" t="s" s="66">
        <f>VLOOKUP(A64,'The List'!B1:D730,3,FALSE)</f>
        <v>187</v>
      </c>
      <c r="C64" s="67">
        <f>IF('Settings'!$E$15="POINTS",RANK(E64,E3:E218),H64)</f>
        <v>58</v>
      </c>
      <c r="D64" t="s" s="42">
        <f>VLOOKUP(A64,'The List'!B1:F730,5,FALSE)</f>
        <v>202</v>
      </c>
      <c r="E64" s="46">
        <f>VLOOKUP(A64,'The List'!B1:I730,8,FALSE)</f>
        <v>319.635637991465</v>
      </c>
      <c r="F64" s="46">
        <f>IF('Settings'!$E$15="POINTS",E64-VLOOKUP(B$2,C1:E218,3,FALSE),J64)</f>
        <v>-76.138563644550</v>
      </c>
      <c r="G64" s="46"/>
      <c r="H64" s="149">
        <f>RANK(I64,I3:I218)</f>
        <v>48</v>
      </c>
      <c r="I64" s="150">
        <f>VLOOKUP(A64,'Standard Deviations'!A1:C731,3,FALSE)</f>
        <v>3.88433731441189</v>
      </c>
      <c r="J64" s="150">
        <f>I64-VLOOKUP(B$2,H1:J218,2,FALSE)</f>
        <v>-1.30312634667305</v>
      </c>
    </row>
    <row r="65" ht="21.25" customHeight="1">
      <c r="A65" t="s" s="8">
        <v>354</v>
      </c>
      <c r="B65" t="s" s="66">
        <f>VLOOKUP(A65,'The List'!B1:D730,3,FALSE)</f>
        <v>187</v>
      </c>
      <c r="C65" s="67">
        <f>IF('Settings'!$E$15="POINTS",RANK(E65,E3:E218),H65)</f>
        <v>68</v>
      </c>
      <c r="D65" t="s" s="42">
        <f>VLOOKUP(A65,'The List'!B1:F730,5,FALSE)</f>
        <v>136</v>
      </c>
      <c r="E65" s="46">
        <f>VLOOKUP(A65,'The List'!B1:I730,8,FALSE)</f>
        <v>294.814134078005</v>
      </c>
      <c r="F65" s="46">
        <f>IF('Settings'!$E$15="POINTS",E65-VLOOKUP(B$2,C1:E218,3,FALSE),J65)</f>
        <v>-100.960067558010</v>
      </c>
      <c r="G65" s="46"/>
      <c r="H65" s="149">
        <f>RANK(I65,I3:I218)</f>
        <v>57</v>
      </c>
      <c r="I65" s="150">
        <f>VLOOKUP(A65,'Standard Deviations'!A1:C731,3,FALSE)</f>
        <v>2.7500624606879</v>
      </c>
      <c r="J65" s="150">
        <f>I65-VLOOKUP(B$2,H1:J218,2,FALSE)</f>
        <v>-2.43740120039704</v>
      </c>
    </row>
    <row r="66" ht="21.25" customHeight="1">
      <c r="A66" t="s" s="8">
        <v>381</v>
      </c>
      <c r="B66" t="s" s="66">
        <f>VLOOKUP(A66,'The List'!B1:D730,3,FALSE)</f>
        <v>107</v>
      </c>
      <c r="C66" s="67">
        <f>IF('Settings'!$E$15="POINTS",RANK(E66,E3:E218),H66)</f>
        <v>62</v>
      </c>
      <c r="D66" t="s" s="42">
        <f>VLOOKUP(A66,'The List'!B1:F730,5,FALSE)</f>
        <v>204</v>
      </c>
      <c r="E66" s="46">
        <f>VLOOKUP(A66,'The List'!B1:I730,8,FALSE)</f>
        <v>311.426822241602</v>
      </c>
      <c r="F66" s="46">
        <f>IF('Settings'!$E$15="POINTS",E66-VLOOKUP(B$2,C1:E218,3,FALSE),J66)</f>
        <v>-84.347379394413</v>
      </c>
      <c r="G66" s="46"/>
      <c r="H66" s="149">
        <f>RANK(I66,I3:I218)</f>
        <v>61</v>
      </c>
      <c r="I66" s="150">
        <f>VLOOKUP(A66,'Standard Deviations'!A1:C731,3,FALSE)</f>
        <v>2.24833658196164</v>
      </c>
      <c r="J66" s="150">
        <f>I66-VLOOKUP(B$2,H1:J218,2,FALSE)</f>
        <v>-2.9391270791233</v>
      </c>
    </row>
    <row r="67" ht="21.25" customHeight="1">
      <c r="A67" t="s" s="8">
        <v>383</v>
      </c>
      <c r="B67" t="s" s="66">
        <f>VLOOKUP(A67,'The List'!B1:D730,3,FALSE)</f>
        <v>107</v>
      </c>
      <c r="C67" s="67">
        <f>IF('Settings'!$E$15="POINTS",RANK(E67,E3:E218),H67)</f>
        <v>67</v>
      </c>
      <c r="D67" t="s" s="42">
        <f>VLOOKUP(A67,'The List'!B1:F730,5,FALSE)</f>
        <v>189</v>
      </c>
      <c r="E67" s="46">
        <f>VLOOKUP(A67,'The List'!B1:I730,8,FALSE)</f>
        <v>295.271696404835</v>
      </c>
      <c r="F67" s="46">
        <f>IF('Settings'!$E$15="POINTS",E67-VLOOKUP(B$2,C1:E218,3,FALSE),J67)</f>
        <v>-100.502505231180</v>
      </c>
      <c r="G67" s="46"/>
      <c r="H67" s="149">
        <f>RANK(I67,I3:I218)</f>
        <v>67</v>
      </c>
      <c r="I67" s="150">
        <f>VLOOKUP(A67,'Standard Deviations'!A1:C731,3,FALSE)</f>
        <v>1.63290651569308</v>
      </c>
      <c r="J67" s="150">
        <f>I67-VLOOKUP(B$2,H1:J218,2,FALSE)</f>
        <v>-3.55455714539186</v>
      </c>
    </row>
    <row r="68" ht="21.25" customHeight="1">
      <c r="A68" t="s" s="8">
        <v>371</v>
      </c>
      <c r="B68" t="s" s="66">
        <f>VLOOKUP(A68,'The List'!B1:D730,3,FALSE)</f>
        <v>111</v>
      </c>
      <c r="C68" s="67">
        <f>IF('Settings'!$E$15="POINTS",RANK(E68,E3:E218),H68)</f>
        <v>57</v>
      </c>
      <c r="D68" t="s" s="42">
        <f>VLOOKUP(A68,'The List'!B1:F730,5,FALSE)</f>
        <v>189</v>
      </c>
      <c r="E68" s="46">
        <f>VLOOKUP(A68,'The List'!B1:I730,8,FALSE)</f>
        <v>329.658701122838</v>
      </c>
      <c r="F68" s="46">
        <f>IF('Settings'!$E$15="POINTS",E68-VLOOKUP(B$2,C1:E218,3,FALSE),J68)</f>
        <v>-66.115500513177</v>
      </c>
      <c r="G68" s="46"/>
      <c r="H68" s="149">
        <f>RANK(I68,I3:I218)</f>
        <v>82</v>
      </c>
      <c r="I68" s="150">
        <f>VLOOKUP(A68,'Standard Deviations'!A1:C731,3,FALSE)</f>
        <v>0.691379764942408</v>
      </c>
      <c r="J68" s="150">
        <f>I68-VLOOKUP(B$2,H1:J218,2,FALSE)</f>
        <v>-4.49608389614253</v>
      </c>
    </row>
    <row r="69" ht="21.25" customHeight="1">
      <c r="A69" t="s" s="8">
        <v>378</v>
      </c>
      <c r="B69" t="s" s="66">
        <f>VLOOKUP(A69,'The List'!B1:D730,3,FALSE)</f>
        <v>111</v>
      </c>
      <c r="C69" s="67">
        <f>IF('Settings'!$E$15="POINTS",RANK(E69,E3:E218),H69)</f>
        <v>83</v>
      </c>
      <c r="D69" t="s" s="42">
        <f>VLOOKUP(A69,'The List'!B1:F730,5,FALSE)</f>
        <v>189</v>
      </c>
      <c r="E69" s="46">
        <f>VLOOKUP(A69,'The List'!B1:I730,8,FALSE)</f>
        <v>278.8344223246</v>
      </c>
      <c r="F69" s="46">
        <f>IF('Settings'!$E$15="POINTS",E69-VLOOKUP(B$2,C1:E218,3,FALSE),J69)</f>
        <v>-116.939779311415</v>
      </c>
      <c r="G69" s="46"/>
      <c r="H69" s="149">
        <f>RANK(I69,I3:I218)</f>
        <v>97</v>
      </c>
      <c r="I69" s="150">
        <f>VLOOKUP(A69,'Standard Deviations'!A1:C731,3,FALSE)</f>
        <v>-0.076165716071106</v>
      </c>
      <c r="J69" s="150">
        <f>I69-VLOOKUP(B$2,H1:J218,2,FALSE)</f>
        <v>-5.26362937715605</v>
      </c>
    </row>
    <row r="70" ht="21.25" customHeight="1">
      <c r="A70" t="s" s="8">
        <v>388</v>
      </c>
      <c r="B70" t="s" s="66">
        <f>VLOOKUP(A70,'The List'!B1:D730,3,FALSE)</f>
        <v>107</v>
      </c>
      <c r="C70" s="67">
        <f>IF('Settings'!$E$15="POINTS",RANK(E70,E3:E218),H70)</f>
        <v>66</v>
      </c>
      <c r="D70" t="s" s="42">
        <f>VLOOKUP(A70,'The List'!B1:F730,5,FALSE)</f>
        <v>136</v>
      </c>
      <c r="E70" s="46">
        <f>VLOOKUP(A70,'The List'!B1:I730,8,FALSE)</f>
        <v>300.680135404697</v>
      </c>
      <c r="F70" s="46">
        <f>IF('Settings'!$E$15="POINTS",E70-VLOOKUP(B$2,C1:E218,3,FALSE),J70)</f>
        <v>-95.094066231318</v>
      </c>
      <c r="G70" s="46"/>
      <c r="H70" s="149">
        <f>RANK(I70,I3:I218)</f>
        <v>56</v>
      </c>
      <c r="I70" s="150">
        <f>VLOOKUP(A70,'Standard Deviations'!A1:C731,3,FALSE)</f>
        <v>2.78655981619413</v>
      </c>
      <c r="J70" s="150">
        <f>I70-VLOOKUP(B$2,H1:J218,2,FALSE)</f>
        <v>-2.40090384489081</v>
      </c>
    </row>
    <row r="71" ht="21.25" customHeight="1">
      <c r="A71" t="s" s="8">
        <v>404</v>
      </c>
      <c r="B71" t="s" s="66">
        <f>VLOOKUP(A71,'The List'!B1:D730,3,FALSE)</f>
        <v>107</v>
      </c>
      <c r="C71" s="67">
        <f>IF('Settings'!$E$15="POINTS",RANK(E71,E3:E218),H71)</f>
        <v>85</v>
      </c>
      <c r="D71" t="s" s="42">
        <f>VLOOKUP(A71,'The List'!B1:F730,5,FALSE)</f>
        <v>258</v>
      </c>
      <c r="E71" s="46">
        <f>VLOOKUP(A71,'The List'!B1:I730,8,FALSE)</f>
        <v>275.685959845641</v>
      </c>
      <c r="F71" s="46">
        <f>IF('Settings'!$E$15="POINTS",E71-VLOOKUP(B$2,C1:E218,3,FALSE),J71)</f>
        <v>-120.088241790374</v>
      </c>
      <c r="G71" s="46"/>
      <c r="H71" s="149">
        <f>RANK(I71,I3:I218)</f>
        <v>93</v>
      </c>
      <c r="I71" s="150">
        <f>VLOOKUP(A71,'Standard Deviations'!A1:C731,3,FALSE)</f>
        <v>0.129052083527824</v>
      </c>
      <c r="J71" s="150">
        <f>I71-VLOOKUP(B$2,H1:J218,2,FALSE)</f>
        <v>-5.05841157755712</v>
      </c>
    </row>
    <row r="72" ht="21.25" customHeight="1">
      <c r="A72" t="s" s="8">
        <v>377</v>
      </c>
      <c r="B72" t="s" s="66">
        <f>VLOOKUP(A72,'The List'!B1:D730,3,FALSE)</f>
        <v>187</v>
      </c>
      <c r="C72" s="67">
        <f>IF('Settings'!$E$15="POINTS",RANK(E72,E3:E218),H72)</f>
        <v>60</v>
      </c>
      <c r="D72" t="s" s="42">
        <f>VLOOKUP(A72,'The List'!B1:F730,5,FALSE)</f>
        <v>134</v>
      </c>
      <c r="E72" s="46">
        <f>VLOOKUP(A72,'The List'!B1:I730,8,FALSE)</f>
        <v>316.521418207539</v>
      </c>
      <c r="F72" s="46">
        <f>IF('Settings'!$E$15="POINTS",E72-VLOOKUP(B$2,C1:E218,3,FALSE),J72)</f>
        <v>-79.25278342847599</v>
      </c>
      <c r="G72" s="46"/>
      <c r="H72" s="149">
        <f>RANK(I72,I3:I218)</f>
        <v>62</v>
      </c>
      <c r="I72" s="150">
        <f>VLOOKUP(A72,'Standard Deviations'!A1:C731,3,FALSE)</f>
        <v>2.18779100632093</v>
      </c>
      <c r="J72" s="150">
        <f>I72-VLOOKUP(B$2,H1:J218,2,FALSE)</f>
        <v>-2.99967265476401</v>
      </c>
    </row>
    <row r="73" ht="21.25" customHeight="1">
      <c r="A73" t="s" s="8">
        <v>390</v>
      </c>
      <c r="B73" t="s" s="66">
        <f>VLOOKUP(A73,'The List'!B1:D730,3,FALSE)</f>
        <v>111</v>
      </c>
      <c r="C73" s="67">
        <f>IF('Settings'!$E$15="POINTS",RANK(E73,E3:E218),H73)</f>
        <v>69</v>
      </c>
      <c r="D73" t="s" s="42">
        <f>VLOOKUP(A73,'The List'!B1:F730,5,FALSE)</f>
        <v>234</v>
      </c>
      <c r="E73" s="46">
        <f>VLOOKUP(A73,'The List'!B1:I730,8,FALSE)</f>
        <v>294.557117842121</v>
      </c>
      <c r="F73" s="46">
        <f>IF('Settings'!$E$15="POINTS",E73-VLOOKUP(B$2,C1:E218,3,FALSE),J73)</f>
        <v>-101.217083793894</v>
      </c>
      <c r="G73" s="46"/>
      <c r="H73" s="149">
        <f>RANK(I73,I3:I218)</f>
        <v>87</v>
      </c>
      <c r="I73" s="150">
        <f>VLOOKUP(A73,'Standard Deviations'!A1:C731,3,FALSE)</f>
        <v>0.301284683960606</v>
      </c>
      <c r="J73" s="150">
        <f>I73-VLOOKUP(B$2,H1:J218,2,FALSE)</f>
        <v>-4.88617897712433</v>
      </c>
    </row>
    <row r="74" ht="21.25" customHeight="1">
      <c r="A74" t="s" s="8">
        <v>410</v>
      </c>
      <c r="B74" t="s" s="66">
        <f>VLOOKUP(A74,'The List'!B1:D730,3,FALSE)</f>
        <v>107</v>
      </c>
      <c r="C74" s="67">
        <f>IF('Settings'!$E$15="POINTS",RANK(E74,E3:E218),H74)</f>
        <v>77</v>
      </c>
      <c r="D74" t="s" s="42">
        <f>VLOOKUP(A74,'The List'!B1:F730,5,FALSE)</f>
        <v>236</v>
      </c>
      <c r="E74" s="46">
        <f>VLOOKUP(A74,'The List'!B1:I730,8,FALSE)</f>
        <v>283.189386986371</v>
      </c>
      <c r="F74" s="46">
        <f>IF('Settings'!$E$15="POINTS",E74-VLOOKUP(B$2,C1:E218,3,FALSE),J74)</f>
        <v>-112.584814649644</v>
      </c>
      <c r="G74" s="46"/>
      <c r="H74" s="149">
        <f>RANK(I74,I3:I218)</f>
        <v>90</v>
      </c>
      <c r="I74" s="150">
        <f>VLOOKUP(A74,'Standard Deviations'!A1:C731,3,FALSE)</f>
        <v>0.20232395299415</v>
      </c>
      <c r="J74" s="150">
        <f>I74-VLOOKUP(B$2,H1:J218,2,FALSE)</f>
        <v>-4.98513970809079</v>
      </c>
    </row>
    <row r="75" ht="21.25" customHeight="1">
      <c r="A75" t="s" s="8">
        <v>411</v>
      </c>
      <c r="B75" t="s" s="66">
        <f>VLOOKUP(A75,'The List'!B1:D730,3,FALSE)</f>
        <v>107</v>
      </c>
      <c r="C75" s="67">
        <f>IF('Settings'!$E$15="POINTS",RANK(E75,E3:E218),H75)</f>
        <v>92</v>
      </c>
      <c r="D75" t="s" s="42">
        <f>VLOOKUP(A75,'The List'!B1:F730,5,FALSE)</f>
        <v>141</v>
      </c>
      <c r="E75" s="46">
        <f>VLOOKUP(A75,'The List'!B1:I730,8,FALSE)</f>
        <v>268.377119151085</v>
      </c>
      <c r="F75" s="46">
        <f>IF('Settings'!$E$15="POINTS",E75-VLOOKUP(B$2,C1:E218,3,FALSE),J75)</f>
        <v>-127.397082484930</v>
      </c>
      <c r="G75" s="46"/>
      <c r="H75" s="149">
        <f>RANK(I75,I3:I218)</f>
        <v>73</v>
      </c>
      <c r="I75" s="150">
        <f>VLOOKUP(A75,'Standard Deviations'!A1:C731,3,FALSE)</f>
        <v>1.19893194855445</v>
      </c>
      <c r="J75" s="150">
        <f>I75-VLOOKUP(B$2,H1:J218,2,FALSE)</f>
        <v>-3.98853171253049</v>
      </c>
    </row>
    <row r="76" ht="21.25" customHeight="1">
      <c r="A76" t="s" s="8">
        <v>416</v>
      </c>
      <c r="B76" t="s" s="66">
        <f>VLOOKUP(A76,'The List'!B1:D730,3,FALSE)</f>
        <v>107</v>
      </c>
      <c r="C76" s="67">
        <f>IF('Settings'!$E$15="POINTS",RANK(E76,E3:E218),H76)</f>
        <v>72</v>
      </c>
      <c r="D76" t="s" s="42">
        <f>VLOOKUP(A76,'The List'!B1:F730,5,FALSE)</f>
        <v>218</v>
      </c>
      <c r="E76" s="46">
        <f>VLOOKUP(A76,'The List'!B1:I730,8,FALSE)</f>
        <v>290.643047280141</v>
      </c>
      <c r="F76" s="46">
        <f>IF('Settings'!$E$15="POINTS",E76-VLOOKUP(B$2,C1:E218,3,FALSE),J76)</f>
        <v>-105.131154355874</v>
      </c>
      <c r="G76" s="46"/>
      <c r="H76" s="149">
        <f>RANK(I76,I3:I218)</f>
        <v>59</v>
      </c>
      <c r="I76" s="150">
        <f>VLOOKUP(A76,'Standard Deviations'!A1:C731,3,FALSE)</f>
        <v>2.46113278956586</v>
      </c>
      <c r="J76" s="150">
        <f>I76-VLOOKUP(B$2,H1:J218,2,FALSE)</f>
        <v>-2.72633087151908</v>
      </c>
    </row>
    <row r="77" ht="21.25" customHeight="1">
      <c r="A77" t="s" s="8">
        <v>421</v>
      </c>
      <c r="B77" t="s" s="66">
        <f>VLOOKUP(A77,'The List'!B1:D730,3,FALSE)</f>
        <v>107</v>
      </c>
      <c r="C77" s="67">
        <f>IF('Settings'!$E$15="POINTS",RANK(E77,E3:E218),H77)</f>
        <v>82</v>
      </c>
      <c r="D77" t="s" s="42">
        <f>VLOOKUP(A77,'The List'!B1:F730,5,FALSE)</f>
        <v>131</v>
      </c>
      <c r="E77" s="46">
        <f>VLOOKUP(A77,'The List'!B1:I730,8,FALSE)</f>
        <v>279.956275112218</v>
      </c>
      <c r="F77" s="46">
        <f>IF('Settings'!$E$15="POINTS",E77-VLOOKUP(B$2,C1:E218,3,FALSE),J77)</f>
        <v>-115.817926523797</v>
      </c>
      <c r="G77" s="46"/>
      <c r="H77" s="149">
        <f>RANK(I77,I3:I218)</f>
        <v>81</v>
      </c>
      <c r="I77" s="150">
        <f>VLOOKUP(A77,'Standard Deviations'!A1:C731,3,FALSE)</f>
        <v>0.735499135072556</v>
      </c>
      <c r="J77" s="150">
        <f>I77-VLOOKUP(B$2,H1:J218,2,FALSE)</f>
        <v>-4.45196452601238</v>
      </c>
    </row>
    <row r="78" ht="21.25" customHeight="1">
      <c r="A78" t="s" s="8">
        <v>412</v>
      </c>
      <c r="B78" t="s" s="66">
        <f>VLOOKUP(A78,'The List'!B1:D730,3,FALSE)</f>
        <v>111</v>
      </c>
      <c r="C78" s="67">
        <f>IF('Settings'!$E$15="POINTS",RANK(E78,E3:E218),H78)</f>
        <v>61</v>
      </c>
      <c r="D78" t="s" s="42">
        <f>VLOOKUP(A78,'The List'!B1:F730,5,FALSE)</f>
        <v>218</v>
      </c>
      <c r="E78" s="46">
        <f>VLOOKUP(A78,'The List'!B1:I730,8,FALSE)</f>
        <v>313.249482395520</v>
      </c>
      <c r="F78" s="46">
        <f>IF('Settings'!$E$15="POINTS",E78-VLOOKUP(B$2,C1:E218,3,FALSE),J78)</f>
        <v>-82.524719240495</v>
      </c>
      <c r="G78" s="46"/>
      <c r="H78" s="149">
        <f>RANK(I78,I3:I218)</f>
        <v>66</v>
      </c>
      <c r="I78" s="150">
        <f>VLOOKUP(A78,'Standard Deviations'!A1:C731,3,FALSE)</f>
        <v>1.69664406746513</v>
      </c>
      <c r="J78" s="150">
        <f>I78-VLOOKUP(B$2,H1:J218,2,FALSE)</f>
        <v>-3.49081959361981</v>
      </c>
    </row>
    <row r="79" ht="21.25" customHeight="1">
      <c r="A79" t="s" s="8">
        <v>424</v>
      </c>
      <c r="B79" t="s" s="66">
        <f>VLOOKUP(A79,'The List'!B1:D730,3,FALSE)</f>
        <v>107</v>
      </c>
      <c r="C79" s="67">
        <f>IF('Settings'!$E$15="POINTS",RANK(E79,E3:E218),H79)</f>
        <v>89</v>
      </c>
      <c r="D79" t="s" s="42">
        <f>VLOOKUP(A79,'The List'!B1:F730,5,FALSE)</f>
        <v>166</v>
      </c>
      <c r="E79" s="46">
        <f>VLOOKUP(A79,'The List'!B1:I730,8,FALSE)</f>
        <v>271.611865412343</v>
      </c>
      <c r="F79" s="46">
        <f>IF('Settings'!$E$15="POINTS",E79-VLOOKUP(B$2,C1:E218,3,FALSE),J79)</f>
        <v>-124.162336223672</v>
      </c>
      <c r="G79" s="46"/>
      <c r="H79" s="149">
        <f>RANK(I79,I3:I218)</f>
        <v>83</v>
      </c>
      <c r="I79" s="150">
        <f>VLOOKUP(A79,'Standard Deviations'!A1:C731,3,FALSE)</f>
        <v>0.5847814453793591</v>
      </c>
      <c r="J79" s="150">
        <f>I79-VLOOKUP(B$2,H1:J218,2,FALSE)</f>
        <v>-4.60268221570558</v>
      </c>
    </row>
    <row r="80" ht="21.25" customHeight="1">
      <c r="A80" t="s" s="8">
        <v>428</v>
      </c>
      <c r="B80" t="s" s="66">
        <f>VLOOKUP(A80,'The List'!B1:D730,3,FALSE)</f>
        <v>107</v>
      </c>
      <c r="C80" s="67">
        <f>IF('Settings'!$E$15="POINTS",RANK(E80,E3:E218),H80)</f>
        <v>81</v>
      </c>
      <c r="D80" t="s" s="42">
        <f>VLOOKUP(A80,'The List'!B1:F730,5,FALSE)</f>
        <v>196</v>
      </c>
      <c r="E80" s="46">
        <f>VLOOKUP(A80,'The List'!B1:I730,8,FALSE)</f>
        <v>281.042703130187</v>
      </c>
      <c r="F80" s="46">
        <f>IF('Settings'!$E$15="POINTS",E80-VLOOKUP(B$2,C1:E218,3,FALSE),J80)</f>
        <v>-114.731498505828</v>
      </c>
      <c r="G80" s="46"/>
      <c r="H80" s="149">
        <f>RANK(I80,I3:I218)</f>
        <v>89</v>
      </c>
      <c r="I80" s="150">
        <f>VLOOKUP(A80,'Standard Deviations'!A1:C731,3,FALSE)</f>
        <v>0.239525693790043</v>
      </c>
      <c r="J80" s="150">
        <f>I80-VLOOKUP(B$2,H1:J218,2,FALSE)</f>
        <v>-4.9479379672949</v>
      </c>
    </row>
    <row r="81" ht="21.25" customHeight="1">
      <c r="A81" t="s" s="8">
        <v>405</v>
      </c>
      <c r="B81" t="s" s="66">
        <f>VLOOKUP(A81,'The List'!B1:D730,3,FALSE)</f>
        <v>187</v>
      </c>
      <c r="C81" s="67">
        <f>IF('Settings'!$E$15="POINTS",RANK(E81,E3:E218),H81)</f>
        <v>78</v>
      </c>
      <c r="D81" t="s" s="42">
        <f>VLOOKUP(A81,'The List'!B1:F730,5,FALSE)</f>
        <v>136</v>
      </c>
      <c r="E81" s="46">
        <f>VLOOKUP(A81,'The List'!B1:I730,8,FALSE)</f>
        <v>282.829170552147</v>
      </c>
      <c r="F81" s="46">
        <f>IF('Settings'!$E$15="POINTS",E81-VLOOKUP(B$2,C1:E218,3,FALSE),J81)</f>
        <v>-112.945031083868</v>
      </c>
      <c r="G81" s="46"/>
      <c r="H81" s="149">
        <f>RANK(I81,I3:I218)</f>
        <v>70</v>
      </c>
      <c r="I81" s="150">
        <f>VLOOKUP(A81,'Standard Deviations'!A1:C731,3,FALSE)</f>
        <v>1.49513379496146</v>
      </c>
      <c r="J81" s="150">
        <f>I81-VLOOKUP(B$2,H1:J218,2,FALSE)</f>
        <v>-3.69232986612348</v>
      </c>
    </row>
    <row r="82" ht="21.25" customHeight="1">
      <c r="A82" t="s" s="8">
        <v>434</v>
      </c>
      <c r="B82" t="s" s="66">
        <f>VLOOKUP(A82,'The List'!B1:D730,3,FALSE)</f>
        <v>107</v>
      </c>
      <c r="C82" s="67">
        <f>IF('Settings'!$E$15="POINTS",RANK(E82,E3:E218),H82)</f>
        <v>79</v>
      </c>
      <c r="D82" t="s" s="42">
        <f>VLOOKUP(A82,'The List'!B1:F730,5,FALSE)</f>
        <v>119</v>
      </c>
      <c r="E82" s="46">
        <f>VLOOKUP(A82,'The List'!B1:I730,8,FALSE)</f>
        <v>282.358324502504</v>
      </c>
      <c r="F82" s="46">
        <f>IF('Settings'!$E$15="POINTS",E82-VLOOKUP(B$2,C1:E218,3,FALSE),J82)</f>
        <v>-113.415877133511</v>
      </c>
      <c r="G82" s="46"/>
      <c r="H82" s="149">
        <f>RANK(I82,I3:I218)</f>
        <v>64</v>
      </c>
      <c r="I82" s="150">
        <f>VLOOKUP(A82,'Standard Deviations'!A1:C731,3,FALSE)</f>
        <v>1.8302818310444</v>
      </c>
      <c r="J82" s="150">
        <f>I82-VLOOKUP(B$2,H1:J218,2,FALSE)</f>
        <v>-3.35718183004054</v>
      </c>
    </row>
    <row r="83" ht="21.25" customHeight="1">
      <c r="A83" t="s" s="8">
        <v>425</v>
      </c>
      <c r="B83" t="s" s="66">
        <f>VLOOKUP(A83,'The List'!B1:D730,3,FALSE)</f>
        <v>111</v>
      </c>
      <c r="C83" s="67">
        <f>IF('Settings'!$E$15="POINTS",RANK(E83,E3:E218),H83)</f>
        <v>71</v>
      </c>
      <c r="D83" t="s" s="42">
        <f>VLOOKUP(A83,'The List'!B1:F730,5,FALSE)</f>
        <v>234</v>
      </c>
      <c r="E83" s="46">
        <f>VLOOKUP(A83,'The List'!B1:I730,8,FALSE)</f>
        <v>293.302708085821</v>
      </c>
      <c r="F83" s="46">
        <f>IF('Settings'!$E$15="POINTS",E83-VLOOKUP(B$2,C1:E218,3,FALSE),J83)</f>
        <v>-102.471493550194</v>
      </c>
      <c r="G83" s="46"/>
      <c r="H83" s="149">
        <f>RANK(I83,I3:I218)</f>
        <v>120</v>
      </c>
      <c r="I83" s="150">
        <f>VLOOKUP(A83,'Standard Deviations'!A1:C731,3,FALSE)</f>
        <v>-1.30578251692731</v>
      </c>
      <c r="J83" s="150">
        <f>I83-VLOOKUP(B$2,H1:J218,2,FALSE)</f>
        <v>-6.49324617801225</v>
      </c>
    </row>
    <row r="84" ht="21.25" customHeight="1">
      <c r="A84" t="s" s="8">
        <v>438</v>
      </c>
      <c r="B84" t="s" s="66">
        <f>VLOOKUP(A84,'The List'!B1:D730,3,FALSE)</f>
        <v>107</v>
      </c>
      <c r="C84" s="67">
        <f>IF('Settings'!$E$15="POINTS",RANK(E84,E3:E218),H84)</f>
        <v>95</v>
      </c>
      <c r="D84" t="s" s="42">
        <f>VLOOKUP(A84,'The List'!B1:F730,5,FALSE)</f>
        <v>194</v>
      </c>
      <c r="E84" s="46">
        <f>VLOOKUP(A84,'The List'!B1:I730,8,FALSE)</f>
        <v>259.302253055917</v>
      </c>
      <c r="F84" s="46">
        <f>IF('Settings'!$E$15="POINTS",E84-VLOOKUP(B$2,C1:E218,3,FALSE),J84)</f>
        <v>-136.471948580098</v>
      </c>
      <c r="G84" s="46"/>
      <c r="H84" s="149">
        <f>RANK(I84,I3:I218)</f>
        <v>103</v>
      </c>
      <c r="I84" s="150">
        <f>VLOOKUP(A84,'Standard Deviations'!A1:C731,3,FALSE)</f>
        <v>-0.650659950265147</v>
      </c>
      <c r="J84" s="150">
        <f>I84-VLOOKUP(B$2,H1:J218,2,FALSE)</f>
        <v>-5.83812361135009</v>
      </c>
    </row>
    <row r="85" ht="21.25" customHeight="1">
      <c r="A85" t="s" s="8">
        <v>442</v>
      </c>
      <c r="B85" t="s" s="66">
        <f>VLOOKUP(A85,'The List'!B1:D730,3,FALSE)</f>
        <v>107</v>
      </c>
      <c r="C85" s="67">
        <f>IF('Settings'!$E$15="POINTS",RANK(E85,E3:E218),H85)</f>
        <v>86</v>
      </c>
      <c r="D85" t="s" s="42">
        <f>VLOOKUP(A85,'The List'!B1:F730,5,FALSE)</f>
        <v>164</v>
      </c>
      <c r="E85" s="46">
        <f>VLOOKUP(A85,'The List'!B1:I730,8,FALSE)</f>
        <v>272.199213637904</v>
      </c>
      <c r="F85" s="46">
        <f>IF('Settings'!$E$15="POINTS",E85-VLOOKUP(B$2,C1:E218,3,FALSE),J85)</f>
        <v>-123.574987998111</v>
      </c>
      <c r="G85" s="46"/>
      <c r="H85" s="149">
        <f>RANK(I85,I3:I218)</f>
        <v>72</v>
      </c>
      <c r="I85" s="150">
        <f>VLOOKUP(A85,'Standard Deviations'!A1:C731,3,FALSE)</f>
        <v>1.40018109076336</v>
      </c>
      <c r="J85" s="150">
        <f>I85-VLOOKUP(B$2,H1:J218,2,FALSE)</f>
        <v>-3.78728257032158</v>
      </c>
    </row>
    <row r="86" ht="21.25" customHeight="1">
      <c r="A86" t="s" s="8">
        <v>447</v>
      </c>
      <c r="B86" t="s" s="66">
        <f>VLOOKUP(A86,'The List'!B1:D730,3,FALSE)</f>
        <v>107</v>
      </c>
      <c r="C86" s="67">
        <f>IF('Settings'!$E$15="POINTS",RANK(E86,E3:E218),H86)</f>
        <v>94</v>
      </c>
      <c r="D86" t="s" s="42">
        <f>VLOOKUP(A86,'The List'!B1:F730,5,FALSE)</f>
        <v>131</v>
      </c>
      <c r="E86" s="46">
        <f>VLOOKUP(A86,'The List'!B1:I730,8,FALSE)</f>
        <v>262.620056600446</v>
      </c>
      <c r="F86" s="46">
        <f>IF('Settings'!$E$15="POINTS",E86-VLOOKUP(B$2,C1:E218,3,FALSE),J86)</f>
        <v>-133.154145035569</v>
      </c>
      <c r="G86" s="46"/>
      <c r="H86" s="149">
        <f>RANK(I86,I3:I218)</f>
        <v>79</v>
      </c>
      <c r="I86" s="150">
        <f>VLOOKUP(A86,'Standard Deviations'!A1:C731,3,FALSE)</f>
        <v>0.8992070465470891</v>
      </c>
      <c r="J86" s="150">
        <f>I86-VLOOKUP(B$2,H1:J218,2,FALSE)</f>
        <v>-4.28825661453785</v>
      </c>
    </row>
    <row r="87" ht="21.25" customHeight="1">
      <c r="A87" t="s" s="8">
        <v>449</v>
      </c>
      <c r="B87" t="s" s="66">
        <f>VLOOKUP(A87,'The List'!B1:D730,3,FALSE)</f>
        <v>107</v>
      </c>
      <c r="C87" s="67">
        <f>IF('Settings'!$E$15="POINTS",RANK(E87,E3:E218),H87)</f>
        <v>74</v>
      </c>
      <c r="D87" t="s" s="42">
        <f>VLOOKUP(A87,'The List'!B1:F730,5,FALSE)</f>
        <v>122</v>
      </c>
      <c r="E87" s="46">
        <f>VLOOKUP(A87,'The List'!B1:I730,8,FALSE)</f>
        <v>288.119689625468</v>
      </c>
      <c r="F87" s="46">
        <f>IF('Settings'!$E$15="POINTS",E87-VLOOKUP(B$2,C1:E218,3,FALSE),J87)</f>
        <v>-107.654512010547</v>
      </c>
      <c r="G87" s="46"/>
      <c r="H87" s="149">
        <f>RANK(I87,I3:I218)</f>
        <v>71</v>
      </c>
      <c r="I87" s="150">
        <f>VLOOKUP(A87,'Standard Deviations'!A1:C731,3,FALSE)</f>
        <v>1.4567612962064</v>
      </c>
      <c r="J87" s="150">
        <f>I87-VLOOKUP(B$2,H1:J218,2,FALSE)</f>
        <v>-3.73070236487854</v>
      </c>
    </row>
    <row r="88" ht="21.25" customHeight="1">
      <c r="A88" t="s" s="8">
        <v>453</v>
      </c>
      <c r="B88" t="s" s="66">
        <f>VLOOKUP(A88,'The List'!B1:D730,3,FALSE)</f>
        <v>107</v>
      </c>
      <c r="C88" s="67">
        <f>IF('Settings'!$E$15="POINTS",RANK(E88,E3:E218),H88)</f>
        <v>93</v>
      </c>
      <c r="D88" t="s" s="42">
        <f>VLOOKUP(A88,'The List'!B1:F730,5,FALSE)</f>
        <v>204</v>
      </c>
      <c r="E88" s="46">
        <f>VLOOKUP(A88,'The List'!B1:I730,8,FALSE)</f>
        <v>264.764340336238</v>
      </c>
      <c r="F88" s="46">
        <f>IF('Settings'!$E$15="POINTS",E88-VLOOKUP(B$2,C1:E218,3,FALSE),J88)</f>
        <v>-131.009861299777</v>
      </c>
      <c r="G88" s="46"/>
      <c r="H88" s="149">
        <f>RANK(I88,I3:I218)</f>
        <v>88</v>
      </c>
      <c r="I88" s="150">
        <f>VLOOKUP(A88,'Standard Deviations'!A1:C731,3,FALSE)</f>
        <v>0.284422905979091</v>
      </c>
      <c r="J88" s="150">
        <f>I88-VLOOKUP(B$2,H1:J218,2,FALSE)</f>
        <v>-4.90304075510585</v>
      </c>
    </row>
    <row r="89" ht="21.25" customHeight="1">
      <c r="A89" t="s" s="8">
        <v>455</v>
      </c>
      <c r="B89" t="s" s="66">
        <f>VLOOKUP(A89,'The List'!B1:D730,3,FALSE)</f>
        <v>107</v>
      </c>
      <c r="C89" s="67">
        <f>IF('Settings'!$E$15="POINTS",RANK(E89,E3:E218),H89)</f>
        <v>65</v>
      </c>
      <c r="D89" t="s" s="42">
        <f>VLOOKUP(A89,'The List'!B1:F730,5,FALSE)</f>
        <v>236</v>
      </c>
      <c r="E89" s="46">
        <f>VLOOKUP(A89,'The List'!B1:I730,8,FALSE)</f>
        <v>304.525187168220</v>
      </c>
      <c r="F89" s="46">
        <f>IF('Settings'!$E$15="POINTS",E89-VLOOKUP(B$2,C1:E218,3,FALSE),J89)</f>
        <v>-91.24901446779501</v>
      </c>
      <c r="G89" s="46"/>
      <c r="H89" s="149">
        <f>RANK(I89,I3:I218)</f>
        <v>106</v>
      </c>
      <c r="I89" s="150">
        <f>VLOOKUP(A89,'Standard Deviations'!A1:C731,3,FALSE)</f>
        <v>-0.74294940918567</v>
      </c>
      <c r="J89" s="150">
        <f>I89-VLOOKUP(B$2,H1:J218,2,FALSE)</f>
        <v>-5.93041307027061</v>
      </c>
    </row>
    <row r="90" ht="21.25" customHeight="1">
      <c r="A90" t="s" s="8">
        <v>457</v>
      </c>
      <c r="B90" t="s" s="66">
        <f>VLOOKUP(A90,'The List'!B1:D730,3,FALSE)</f>
        <v>107</v>
      </c>
      <c r="C90" s="67">
        <f>IF('Settings'!$E$15="POINTS",RANK(E90,E3:E218),H90)</f>
        <v>87</v>
      </c>
      <c r="D90" t="s" s="42">
        <f>VLOOKUP(A90,'The List'!B1:F730,5,FALSE)</f>
        <v>151</v>
      </c>
      <c r="E90" s="46">
        <f>VLOOKUP(A90,'The List'!B1:I730,8,FALSE)</f>
        <v>271.894860340010</v>
      </c>
      <c r="F90" s="46">
        <f>IF('Settings'!$E$15="POINTS",E90-VLOOKUP(B$2,C1:E218,3,FALSE),J90)</f>
        <v>-123.879341296005</v>
      </c>
      <c r="G90" s="46"/>
      <c r="H90" s="149">
        <f>RANK(I90,I3:I218)</f>
        <v>69</v>
      </c>
      <c r="I90" s="150">
        <f>VLOOKUP(A90,'Standard Deviations'!A1:C731,3,FALSE)</f>
        <v>1.51475706487968</v>
      </c>
      <c r="J90" s="150">
        <f>I90-VLOOKUP(B$2,H1:J218,2,FALSE)</f>
        <v>-3.67270659620526</v>
      </c>
    </row>
    <row r="91" ht="21.25" customHeight="1">
      <c r="A91" t="s" s="8">
        <v>469</v>
      </c>
      <c r="B91" t="s" s="66">
        <f>VLOOKUP(A91,'The List'!B1:D730,3,FALSE)</f>
        <v>107</v>
      </c>
      <c r="C91" s="67">
        <f>IF('Settings'!$E$15="POINTS",RANK(E91,E3:E218),H91)</f>
        <v>90</v>
      </c>
      <c r="D91" t="s" s="42">
        <f>VLOOKUP(A91,'The List'!B1:F730,5,FALSE)</f>
        <v>202</v>
      </c>
      <c r="E91" s="46">
        <f>VLOOKUP(A91,'The List'!B1:I730,8,FALSE)</f>
        <v>269.036513206511</v>
      </c>
      <c r="F91" s="46">
        <f>IF('Settings'!$E$15="POINTS",E91-VLOOKUP(B$2,C1:E218,3,FALSE),J91)</f>
        <v>-126.737688429504</v>
      </c>
      <c r="G91" s="46"/>
      <c r="H91" s="149">
        <f>RANK(I91,I3:I218)</f>
        <v>65</v>
      </c>
      <c r="I91" s="150">
        <f>VLOOKUP(A91,'Standard Deviations'!A1:C731,3,FALSE)</f>
        <v>1.71362241353082</v>
      </c>
      <c r="J91" s="150">
        <f>I91-VLOOKUP(B$2,H1:J218,2,FALSE)</f>
        <v>-3.47384124755412</v>
      </c>
    </row>
    <row r="92" ht="21.25" customHeight="1">
      <c r="A92" t="s" s="8">
        <v>439</v>
      </c>
      <c r="B92" t="s" s="66">
        <f>VLOOKUP(A92,'The List'!B1:D730,3,FALSE)</f>
        <v>187</v>
      </c>
      <c r="C92" s="67">
        <f>IF('Settings'!$E$15="POINTS",RANK(E92,E3:E218),H92)</f>
        <v>76</v>
      </c>
      <c r="D92" t="s" s="42">
        <f>VLOOKUP(A92,'The List'!B1:F730,5,FALSE)</f>
        <v>238</v>
      </c>
      <c r="E92" s="46">
        <f>VLOOKUP(A92,'The List'!B1:I730,8,FALSE)</f>
        <v>286.094737747958</v>
      </c>
      <c r="F92" s="46">
        <f>IF('Settings'!$E$15="POINTS",E92-VLOOKUP(B$2,C1:E218,3,FALSE),J92)</f>
        <v>-109.679463888057</v>
      </c>
      <c r="G92" s="46"/>
      <c r="H92" s="149">
        <f>RANK(I92,I3:I218)</f>
        <v>95</v>
      </c>
      <c r="I92" s="150">
        <f>VLOOKUP(A92,'Standard Deviations'!A1:C731,3,FALSE)</f>
        <v>0.0470929130486768</v>
      </c>
      <c r="J92" s="150">
        <f>I92-VLOOKUP(B$2,H1:J218,2,FALSE)</f>
        <v>-5.14037074803626</v>
      </c>
    </row>
    <row r="93" ht="21.25" customHeight="1">
      <c r="A93" t="s" s="8">
        <v>461</v>
      </c>
      <c r="B93" t="s" s="66">
        <f>VLOOKUP(A93,'The List'!B1:D730,3,FALSE)</f>
        <v>111</v>
      </c>
      <c r="C93" s="67">
        <f>IF('Settings'!$E$15="POINTS",RANK(E93,E3:E218),H93)</f>
        <v>97</v>
      </c>
      <c r="D93" t="s" s="42">
        <f>VLOOKUP(A93,'The List'!B1:F730,5,FALSE)</f>
        <v>119</v>
      </c>
      <c r="E93" s="46">
        <f>VLOOKUP(A93,'The List'!B1:I730,8,FALSE)</f>
        <v>253.583202145797</v>
      </c>
      <c r="F93" s="46">
        <f>IF('Settings'!$E$15="POINTS",E93-VLOOKUP(B$2,C1:E218,3,FALSE),J93)</f>
        <v>-142.190999490218</v>
      </c>
      <c r="G93" s="46"/>
      <c r="H93" s="149">
        <f>RANK(I93,I3:I218)</f>
        <v>76</v>
      </c>
      <c r="I93" s="150">
        <f>VLOOKUP(A93,'Standard Deviations'!A1:C731,3,FALSE)</f>
        <v>1.00623857567292</v>
      </c>
      <c r="J93" s="150">
        <f>I93-VLOOKUP(B$2,H1:J218,2,FALSE)</f>
        <v>-4.18122508541202</v>
      </c>
    </row>
    <row r="94" ht="21.25" customHeight="1">
      <c r="A94" t="s" s="8">
        <v>466</v>
      </c>
      <c r="B94" t="s" s="66">
        <f>VLOOKUP(A94,'The List'!B1:D730,3,FALSE)</f>
        <v>111</v>
      </c>
      <c r="C94" s="67">
        <f>IF('Settings'!$E$15="POINTS",RANK(E94,E3:E218),H94)</f>
        <v>104</v>
      </c>
      <c r="D94" t="s" s="42">
        <f>VLOOKUP(A94,'The List'!B1:F730,5,FALSE)</f>
        <v>115</v>
      </c>
      <c r="E94" s="46">
        <f>VLOOKUP(A94,'The List'!B1:I730,8,FALSE)</f>
        <v>240.325171107494</v>
      </c>
      <c r="F94" s="46">
        <f>IF('Settings'!$E$15="POINTS",E94-VLOOKUP(B$2,C1:E218,3,FALSE),J94)</f>
        <v>-155.449030528521</v>
      </c>
      <c r="G94" s="46"/>
      <c r="H94" s="149">
        <f>RANK(I94,I3:I218)</f>
        <v>84</v>
      </c>
      <c r="I94" s="150">
        <f>VLOOKUP(A94,'Standard Deviations'!A1:C731,3,FALSE)</f>
        <v>0.581697901946639</v>
      </c>
      <c r="J94" s="150">
        <f>I94-VLOOKUP(B$2,H1:J218,2,FALSE)</f>
        <v>-4.6057657591383</v>
      </c>
    </row>
    <row r="95" ht="21.25" customHeight="1">
      <c r="A95" t="s" s="8">
        <v>479</v>
      </c>
      <c r="B95" t="s" s="66">
        <f>VLOOKUP(A95,'The List'!B1:D730,3,FALSE)</f>
        <v>107</v>
      </c>
      <c r="C95" s="67">
        <f>IF('Settings'!$E$15="POINTS",RANK(E95,E3:E218),H95)</f>
        <v>91</v>
      </c>
      <c r="D95" t="s" s="42">
        <f>VLOOKUP(A95,'The List'!B1:F730,5,FALSE)</f>
        <v>124</v>
      </c>
      <c r="E95" s="46">
        <f>VLOOKUP(A95,'The List'!B1:I730,8,FALSE)</f>
        <v>268.418974390427</v>
      </c>
      <c r="F95" s="46">
        <f>IF('Settings'!$E$15="POINTS",E95-VLOOKUP(B$2,C1:E218,3,FALSE),J95)</f>
        <v>-127.355227245588</v>
      </c>
      <c r="G95" s="46"/>
      <c r="H95" s="149">
        <f>RANK(I95,I3:I218)</f>
        <v>85</v>
      </c>
      <c r="I95" s="150">
        <f>VLOOKUP(A95,'Standard Deviations'!A1:C731,3,FALSE)</f>
        <v>0.576856550935734</v>
      </c>
      <c r="J95" s="150">
        <f>I95-VLOOKUP(B$2,H1:J218,2,FALSE)</f>
        <v>-4.61060711014921</v>
      </c>
    </row>
    <row r="96" ht="21.25" customHeight="1">
      <c r="A96" t="s" s="8">
        <v>473</v>
      </c>
      <c r="B96" t="s" s="66">
        <f>VLOOKUP(A96,'The List'!B1:D730,3,FALSE)</f>
        <v>111</v>
      </c>
      <c r="C96" s="67">
        <f>IF('Settings'!$E$15="POINTS",RANK(E96,E3:E218),H96)</f>
        <v>73</v>
      </c>
      <c r="D96" t="s" s="42">
        <f>VLOOKUP(A96,'The List'!B1:F730,5,FALSE)</f>
        <v>113</v>
      </c>
      <c r="E96" s="46">
        <f>VLOOKUP(A96,'The List'!B1:I730,8,FALSE)</f>
        <v>290.505394635124</v>
      </c>
      <c r="F96" s="46">
        <f>IF('Settings'!$E$15="POINTS",E96-VLOOKUP(B$2,C1:E218,3,FALSE),J96)</f>
        <v>-105.268807000891</v>
      </c>
      <c r="G96" s="46"/>
      <c r="H96" s="149">
        <f>RANK(I96,I3:I218)</f>
        <v>80</v>
      </c>
      <c r="I96" s="150">
        <f>VLOOKUP(A96,'Standard Deviations'!A1:C731,3,FALSE)</f>
        <v>0.88902117963031</v>
      </c>
      <c r="J96" s="150">
        <f>I96-VLOOKUP(B$2,H1:J218,2,FALSE)</f>
        <v>-4.29844248145463</v>
      </c>
    </row>
    <row r="97" ht="21.25" customHeight="1">
      <c r="A97" t="s" s="8">
        <v>484</v>
      </c>
      <c r="B97" t="s" s="66">
        <f>VLOOKUP(A97,'The List'!B1:D730,3,FALSE)</f>
        <v>107</v>
      </c>
      <c r="C97" s="67">
        <f>IF('Settings'!$E$15="POINTS",RANK(E97,E3:E218),H97)</f>
        <v>80</v>
      </c>
      <c r="D97" t="s" s="42">
        <f>VLOOKUP(A97,'The List'!B1:F730,5,FALSE)</f>
        <v>248</v>
      </c>
      <c r="E97" s="46">
        <f>VLOOKUP(A97,'The List'!B1:I730,8,FALSE)</f>
        <v>281.439424041059</v>
      </c>
      <c r="F97" s="46">
        <f>IF('Settings'!$E$15="POINTS",E97-VLOOKUP(B$2,C1:E218,3,FALSE),J97)</f>
        <v>-114.334777594956</v>
      </c>
      <c r="G97" s="46"/>
      <c r="H97" s="149">
        <f>RANK(I97,I3:I218)</f>
        <v>94</v>
      </c>
      <c r="I97" s="150">
        <f>VLOOKUP(A97,'Standard Deviations'!A1:C731,3,FALSE)</f>
        <v>0.0669683551466</v>
      </c>
      <c r="J97" s="150">
        <f>I97-VLOOKUP(B$2,H1:J218,2,FALSE)</f>
        <v>-5.12049530593834</v>
      </c>
    </row>
    <row r="98" ht="21.25" customHeight="1">
      <c r="A98" t="s" s="8">
        <v>493</v>
      </c>
      <c r="B98" t="s" s="66">
        <f>VLOOKUP(A98,'The List'!B1:D730,3,FALSE)</f>
        <v>107</v>
      </c>
      <c r="C98" s="67">
        <f>IF('Settings'!$E$15="POINTS",RANK(E98,E3:E218),H98)</f>
        <v>96</v>
      </c>
      <c r="D98" t="s" s="42">
        <f>VLOOKUP(A98,'The List'!B1:F730,5,FALSE)</f>
        <v>236</v>
      </c>
      <c r="E98" s="46">
        <f>VLOOKUP(A98,'The List'!B1:I730,8,FALSE)</f>
        <v>259.184664492259</v>
      </c>
      <c r="F98" s="46">
        <f>IF('Settings'!$E$15="POINTS",E98-VLOOKUP(B$2,C1:E218,3,FALSE),J98)</f>
        <v>-136.589537143756</v>
      </c>
      <c r="G98" s="46"/>
      <c r="H98" s="149">
        <f>RANK(I98,I3:I218)</f>
        <v>118</v>
      </c>
      <c r="I98" s="150">
        <f>VLOOKUP(A98,'Standard Deviations'!A1:C731,3,FALSE)</f>
        <v>-1.2704638434726</v>
      </c>
      <c r="J98" s="150">
        <f>I98-VLOOKUP(B$2,H1:J218,2,FALSE)</f>
        <v>-6.45792750455754</v>
      </c>
    </row>
    <row r="99" ht="21.25" customHeight="1">
      <c r="A99" t="s" s="8">
        <v>496</v>
      </c>
      <c r="B99" t="s" s="66">
        <f>VLOOKUP(A99,'The List'!B1:D730,3,FALSE)</f>
        <v>107</v>
      </c>
      <c r="C99" s="67">
        <f>IF('Settings'!$E$15="POINTS",RANK(E99,E3:E218),H99)</f>
        <v>124</v>
      </c>
      <c r="D99" t="s" s="42">
        <f>VLOOKUP(A99,'The List'!B1:F730,5,FALSE)</f>
        <v>166</v>
      </c>
      <c r="E99" s="46">
        <f>VLOOKUP(A99,'The List'!B1:I730,8,FALSE)</f>
        <v>219.319991309329</v>
      </c>
      <c r="F99" s="46">
        <f>IF('Settings'!$E$15="POINTS",E99-VLOOKUP(B$2,C1:E218,3,FALSE),J99)</f>
        <v>-176.454210326686</v>
      </c>
      <c r="G99" s="46"/>
      <c r="H99" s="149">
        <f>RANK(I99,I3:I218)</f>
        <v>107</v>
      </c>
      <c r="I99" s="150">
        <f>VLOOKUP(A99,'Standard Deviations'!A1:C731,3,FALSE)</f>
        <v>-0.875864424089313</v>
      </c>
      <c r="J99" s="150">
        <f>I99-VLOOKUP(B$2,H1:J218,2,FALSE)</f>
        <v>-6.06332808517425</v>
      </c>
    </row>
    <row r="100" ht="21.25" customHeight="1">
      <c r="A100" t="s" s="8">
        <v>498</v>
      </c>
      <c r="B100" t="s" s="66">
        <f>VLOOKUP(A100,'The List'!B1:D730,3,FALSE)</f>
        <v>107</v>
      </c>
      <c r="C100" s="67">
        <f>IF('Settings'!$E$15="POINTS",RANK(E100,E3:E218),H100)</f>
        <v>99</v>
      </c>
      <c r="D100" t="s" s="42">
        <f>VLOOKUP(A100,'The List'!B1:F730,5,FALSE)</f>
        <v>225</v>
      </c>
      <c r="E100" s="46">
        <f>VLOOKUP(A100,'The List'!B1:I730,8,FALSE)</f>
        <v>251.911539844084</v>
      </c>
      <c r="F100" s="46">
        <f>IF('Settings'!$E$15="POINTS",E100-VLOOKUP(B$2,C1:E218,3,FALSE),J100)</f>
        <v>-143.862661791931</v>
      </c>
      <c r="G100" s="46"/>
      <c r="H100" s="149">
        <f>RANK(I100,I3:I218)</f>
        <v>124</v>
      </c>
      <c r="I100" s="150">
        <f>VLOOKUP(A100,'Standard Deviations'!A1:C731,3,FALSE)</f>
        <v>-1.73391063942743</v>
      </c>
      <c r="J100" s="150">
        <f>I100-VLOOKUP(B$2,H1:J218,2,FALSE)</f>
        <v>-6.92137430051237</v>
      </c>
    </row>
    <row r="101" ht="21.25" customHeight="1">
      <c r="A101" t="s" s="8">
        <v>499</v>
      </c>
      <c r="B101" t="s" s="66">
        <f>VLOOKUP(A101,'The List'!B1:D730,3,FALSE)</f>
        <v>107</v>
      </c>
      <c r="C101" s="67">
        <f>IF('Settings'!$E$15="POINTS",RANK(E101,E3:E218),H101)</f>
        <v>105</v>
      </c>
      <c r="D101" t="s" s="42">
        <f>VLOOKUP(A101,'The List'!B1:F730,5,FALSE)</f>
        <v>164</v>
      </c>
      <c r="E101" s="46">
        <f>VLOOKUP(A101,'The List'!B1:I730,8,FALSE)</f>
        <v>239.943592149655</v>
      </c>
      <c r="F101" s="46">
        <f>IF('Settings'!$E$15="POINTS",E101-VLOOKUP(B$2,C1:E218,3,FALSE),J101)</f>
        <v>-155.830609486360</v>
      </c>
      <c r="G101" s="46"/>
      <c r="H101" s="149">
        <f>RANK(I101,I3:I218)</f>
        <v>92</v>
      </c>
      <c r="I101" s="150">
        <f>VLOOKUP(A101,'Standard Deviations'!A1:C731,3,FALSE)</f>
        <v>0.135375837096808</v>
      </c>
      <c r="J101" s="150">
        <f>I101-VLOOKUP(B$2,H1:J218,2,FALSE)</f>
        <v>-5.05208782398813</v>
      </c>
    </row>
    <row r="102" ht="21.25" customHeight="1">
      <c r="A102" t="s" s="8">
        <v>503</v>
      </c>
      <c r="B102" t="s" s="66">
        <f>VLOOKUP(A102,'The List'!B1:D730,3,FALSE)</f>
        <v>111</v>
      </c>
      <c r="C102" s="67">
        <f>IF('Settings'!$E$15="POINTS",RANK(E102,E3:E218),H102)</f>
        <v>98</v>
      </c>
      <c r="D102" t="s" s="42">
        <f>VLOOKUP(A102,'The List'!B1:F730,5,FALSE)</f>
        <v>236</v>
      </c>
      <c r="E102" s="46">
        <f>VLOOKUP(A102,'The List'!B1:I730,8,FALSE)</f>
        <v>252.698927595027</v>
      </c>
      <c r="F102" s="46">
        <f>IF('Settings'!$E$15="POINTS",E102-VLOOKUP(B$2,C1:E218,3,FALSE),J102)</f>
        <v>-143.075274040988</v>
      </c>
      <c r="G102" s="46"/>
      <c r="H102" s="149">
        <f>RANK(I102,I3:I218)</f>
        <v>109</v>
      </c>
      <c r="I102" s="150">
        <f>VLOOKUP(A102,'Standard Deviations'!A1:C731,3,FALSE)</f>
        <v>-1.01240671783756</v>
      </c>
      <c r="J102" s="150">
        <f>I102-VLOOKUP(B$2,H1:J218,2,FALSE)</f>
        <v>-6.1998703789225</v>
      </c>
    </row>
    <row r="103" ht="21.25" customHeight="1">
      <c r="A103" t="s" s="8">
        <v>524</v>
      </c>
      <c r="B103" t="s" s="66">
        <f>VLOOKUP(A103,'The List'!B1:D730,3,FALSE)</f>
        <v>107</v>
      </c>
      <c r="C103" s="67">
        <f>IF('Settings'!$E$15="POINTS",RANK(E103,E3:E218),H103)</f>
        <v>111</v>
      </c>
      <c r="D103" t="s" s="42">
        <f>VLOOKUP(A103,'The List'!B1:F730,5,FALSE)</f>
        <v>131</v>
      </c>
      <c r="E103" s="46">
        <f>VLOOKUP(A103,'The List'!B1:I730,8,FALSE)</f>
        <v>229.411015171373</v>
      </c>
      <c r="F103" s="46">
        <f>IF('Settings'!$E$15="POINTS",E103-VLOOKUP(B$2,C1:E218,3,FALSE),J103)</f>
        <v>-166.363186464642</v>
      </c>
      <c r="G103" s="46"/>
      <c r="H103" s="149">
        <f>RANK(I103,I3:I218)</f>
        <v>102</v>
      </c>
      <c r="I103" s="150">
        <f>VLOOKUP(A103,'Standard Deviations'!A1:C731,3,FALSE)</f>
        <v>-0.587567450918798</v>
      </c>
      <c r="J103" s="150">
        <f>I103-VLOOKUP(B$2,H1:J218,2,FALSE)</f>
        <v>-5.77503111200374</v>
      </c>
    </row>
    <row r="104" ht="21.25" customHeight="1">
      <c r="A104" t="s" s="8">
        <v>527</v>
      </c>
      <c r="B104" t="s" s="66">
        <f>VLOOKUP(A104,'The List'!B1:D730,3,FALSE)</f>
        <v>107</v>
      </c>
      <c r="C104" s="67">
        <f>IF('Settings'!$E$15="POINTS",RANK(E104,E3:E218),H104)</f>
        <v>101</v>
      </c>
      <c r="D104" t="s" s="42">
        <f>VLOOKUP(A104,'The List'!B1:F730,5,FALSE)</f>
        <v>184</v>
      </c>
      <c r="E104" s="46">
        <f>VLOOKUP(A104,'The List'!B1:I730,8,FALSE)</f>
        <v>245.157568840806</v>
      </c>
      <c r="F104" s="46">
        <f>IF('Settings'!$E$15="POINTS",E104-VLOOKUP(B$2,C1:E218,3,FALSE),J104)</f>
        <v>-150.616632795209</v>
      </c>
      <c r="G104" s="46"/>
      <c r="H104" s="149">
        <f>RANK(I104,I3:I218)</f>
        <v>112</v>
      </c>
      <c r="I104" s="150">
        <f>VLOOKUP(A104,'Standard Deviations'!A1:C731,3,FALSE)</f>
        <v>-1.07876542269626</v>
      </c>
      <c r="J104" s="150">
        <f>I104-VLOOKUP(B$2,H1:J218,2,FALSE)</f>
        <v>-6.2662290837812</v>
      </c>
    </row>
    <row r="105" ht="21.25" customHeight="1">
      <c r="A105" t="s" s="8">
        <v>487</v>
      </c>
      <c r="B105" t="s" s="66">
        <f>VLOOKUP(A105,'The List'!B1:D730,3,FALSE)</f>
        <v>187</v>
      </c>
      <c r="C105" s="67">
        <f>IF('Settings'!$E$15="POINTS",RANK(E105,E3:E218),H105)</f>
        <v>88</v>
      </c>
      <c r="D105" t="s" s="42">
        <f>VLOOKUP(A105,'The List'!B1:F730,5,FALSE)</f>
        <v>238</v>
      </c>
      <c r="E105" s="46">
        <f>VLOOKUP(A105,'The List'!B1:I730,8,FALSE)</f>
        <v>271.737817035630</v>
      </c>
      <c r="F105" s="46">
        <f>IF('Settings'!$E$15="POINTS",E105-VLOOKUP(B$2,C1:E218,3,FALSE),J105)</f>
        <v>-124.036384600385</v>
      </c>
      <c r="G105" s="46"/>
      <c r="H105" s="149">
        <f>RANK(I105,I3:I218)</f>
        <v>86</v>
      </c>
      <c r="I105" s="150">
        <f>VLOOKUP(A105,'Standard Deviations'!A1:C731,3,FALSE)</f>
        <v>0.35014605413294</v>
      </c>
      <c r="J105" s="150">
        <f>I105-VLOOKUP(B$2,H1:J218,2,FALSE)</f>
        <v>-4.837317606952</v>
      </c>
    </row>
    <row r="106" ht="21.25" customHeight="1">
      <c r="A106" t="s" s="8">
        <v>535</v>
      </c>
      <c r="B106" t="s" s="66">
        <f>VLOOKUP(A106,'The List'!B1:D730,3,FALSE)</f>
        <v>107</v>
      </c>
      <c r="C106" s="67">
        <f>IF('Settings'!$E$15="POINTS",RANK(E106,E3:E218),H106)</f>
        <v>84</v>
      </c>
      <c r="D106" t="s" s="42">
        <f>VLOOKUP(A106,'The List'!B1:F730,5,FALSE)</f>
        <v>149</v>
      </c>
      <c r="E106" s="46">
        <f>VLOOKUP(A106,'The List'!B1:I730,8,FALSE)</f>
        <v>278.648521537042</v>
      </c>
      <c r="F106" s="46">
        <f>IF('Settings'!$E$15="POINTS",E106-VLOOKUP(B$2,C1:E218,3,FALSE),J106)</f>
        <v>-117.125680098973</v>
      </c>
      <c r="G106" s="46"/>
      <c r="H106" s="149">
        <f>RANK(I106,I3:I218)</f>
        <v>91</v>
      </c>
      <c r="I106" s="150">
        <f>VLOOKUP(A106,'Standard Deviations'!A1:C731,3,FALSE)</f>
        <v>0.187750215134797</v>
      </c>
      <c r="J106" s="150">
        <f>I106-VLOOKUP(B$2,H1:J218,2,FALSE)</f>
        <v>-4.99971344595014</v>
      </c>
    </row>
    <row r="107" ht="21.25" customHeight="1">
      <c r="A107" t="s" s="8">
        <v>541</v>
      </c>
      <c r="B107" t="s" s="66">
        <f>VLOOKUP(A107,'The List'!B1:D730,3,FALSE)</f>
        <v>107</v>
      </c>
      <c r="C107" s="67">
        <f>IF('Settings'!$E$15="POINTS",RANK(E107,E3:E218),H107)</f>
        <v>100</v>
      </c>
      <c r="D107" t="s" s="42">
        <f>VLOOKUP(A107,'The List'!B1:F730,5,FALSE)</f>
        <v>218</v>
      </c>
      <c r="E107" s="46">
        <f>VLOOKUP(A107,'The List'!B1:I730,8,FALSE)</f>
        <v>249.231752359059</v>
      </c>
      <c r="F107" s="46">
        <f>IF('Settings'!$E$15="POINTS",E107-VLOOKUP(B$2,C1:E218,3,FALSE),J107)</f>
        <v>-146.542449276956</v>
      </c>
      <c r="G107" s="46"/>
      <c r="H107" s="149">
        <f>RANK(I107,I3:I218)</f>
        <v>77</v>
      </c>
      <c r="I107" s="150">
        <f>VLOOKUP(A107,'Standard Deviations'!A1:C731,3,FALSE)</f>
        <v>0.993613175576638</v>
      </c>
      <c r="J107" s="150">
        <f>I107-VLOOKUP(B$2,H1:J218,2,FALSE)</f>
        <v>-4.1938504855083</v>
      </c>
    </row>
    <row r="108" ht="21.25" customHeight="1">
      <c r="A108" t="s" s="8">
        <v>521</v>
      </c>
      <c r="B108" t="s" s="66">
        <f>VLOOKUP(A108,'The List'!B1:D730,3,FALSE)</f>
        <v>111</v>
      </c>
      <c r="C108" s="67">
        <f>IF('Settings'!$E$15="POINTS",RANK(E108,E3:E218),H108)</f>
        <v>108</v>
      </c>
      <c r="D108" t="s" s="42">
        <f>VLOOKUP(A108,'The List'!B1:F730,5,FALSE)</f>
        <v>248</v>
      </c>
      <c r="E108" s="46">
        <f>VLOOKUP(A108,'The List'!B1:I730,8,FALSE)</f>
        <v>233.596085694548</v>
      </c>
      <c r="F108" s="46">
        <f>IF('Settings'!$E$15="POINTS",E108-VLOOKUP(B$2,C1:E218,3,FALSE),J108)</f>
        <v>-162.178115941467</v>
      </c>
      <c r="G108" s="46"/>
      <c r="H108" s="149">
        <f>RANK(I108,I3:I218)</f>
        <v>110</v>
      </c>
      <c r="I108" s="150">
        <f>VLOOKUP(A108,'Standard Deviations'!A1:C731,3,FALSE)</f>
        <v>-1.03464643508656</v>
      </c>
      <c r="J108" s="150">
        <f>I108-VLOOKUP(B$2,H1:J218,2,FALSE)</f>
        <v>-6.2221100961715</v>
      </c>
    </row>
    <row r="109" ht="21.25" customHeight="1">
      <c r="A109" t="s" s="8">
        <v>512</v>
      </c>
      <c r="B109" t="s" s="66">
        <f>VLOOKUP(A109,'The List'!B1:D730,3,FALSE)</f>
        <v>187</v>
      </c>
      <c r="C109" s="67">
        <f>IF('Settings'!$E$15="POINTS",RANK(E109,E3:E218),H109)</f>
        <v>112</v>
      </c>
      <c r="D109" t="s" s="42">
        <f>VLOOKUP(A109,'The List'!B1:F730,5,FALSE)</f>
        <v>170</v>
      </c>
      <c r="E109" s="46">
        <f>VLOOKUP(A109,'The List'!B1:I730,8,FALSE)</f>
        <v>229.213799750828</v>
      </c>
      <c r="F109" s="46">
        <f>IF('Settings'!$E$15="POINTS",E109-VLOOKUP(B$2,C1:E218,3,FALSE),J109)</f>
        <v>-166.560401885187</v>
      </c>
      <c r="G109" s="46"/>
      <c r="H109" s="149">
        <f>RANK(I109,I3:I218)</f>
        <v>105</v>
      </c>
      <c r="I109" s="150">
        <f>VLOOKUP(A109,'Standard Deviations'!A1:C731,3,FALSE)</f>
        <v>-0.667546597837515</v>
      </c>
      <c r="J109" s="150">
        <f>I109-VLOOKUP(B$2,H1:J218,2,FALSE)</f>
        <v>-5.85501025892246</v>
      </c>
    </row>
    <row r="110" ht="21.25" customHeight="1">
      <c r="A110" t="s" s="8">
        <v>560</v>
      </c>
      <c r="B110" t="s" s="66">
        <f>VLOOKUP(A110,'The List'!B1:D730,3,FALSE)</f>
        <v>107</v>
      </c>
      <c r="C110" s="67">
        <f>IF('Settings'!$E$15="POINTS",RANK(E110,E3:E218),H110)</f>
        <v>126</v>
      </c>
      <c r="D110" t="s" s="42">
        <f>VLOOKUP(A110,'The List'!B1:F730,5,FALSE)</f>
        <v>258</v>
      </c>
      <c r="E110" s="46">
        <f>VLOOKUP(A110,'The List'!B1:I730,8,FALSE)</f>
        <v>215.054190290708</v>
      </c>
      <c r="F110" s="46">
        <f>IF('Settings'!$E$15="POINTS",E110-VLOOKUP(B$2,C1:E218,3,FALSE),J110)</f>
        <v>-180.720011345307</v>
      </c>
      <c r="G110" s="46"/>
      <c r="H110" s="149">
        <f>RANK(I110,I3:I218)</f>
        <v>143</v>
      </c>
      <c r="I110" s="150">
        <f>VLOOKUP(A110,'Standard Deviations'!A1:C731,3,FALSE)</f>
        <v>-2.33805160932486</v>
      </c>
      <c r="J110" s="150">
        <f>I110-VLOOKUP(B$2,H1:J218,2,FALSE)</f>
        <v>-7.5255152704098</v>
      </c>
    </row>
    <row r="111" ht="21.25" customHeight="1">
      <c r="A111" t="s" s="8">
        <v>567</v>
      </c>
      <c r="B111" t="s" s="66">
        <f>VLOOKUP(A111,'The List'!B1:D730,3,FALSE)</f>
        <v>107</v>
      </c>
      <c r="C111" s="67">
        <f>IF('Settings'!$E$15="POINTS",RANK(E111,E3:E218),H111)</f>
        <v>106</v>
      </c>
      <c r="D111" t="s" s="42">
        <f>VLOOKUP(A111,'The List'!B1:F730,5,FALSE)</f>
        <v>258</v>
      </c>
      <c r="E111" s="46">
        <f>VLOOKUP(A111,'The List'!B1:I730,8,FALSE)</f>
        <v>237.483772989843</v>
      </c>
      <c r="F111" s="46">
        <f>IF('Settings'!$E$15="POINTS",E111-VLOOKUP(B$2,C1:E218,3,FALSE),J111)</f>
        <v>-158.290428646172</v>
      </c>
      <c r="G111" s="46"/>
      <c r="H111" s="149">
        <f>RANK(I111,I3:I218)</f>
        <v>145</v>
      </c>
      <c r="I111" s="150">
        <f>VLOOKUP(A111,'Standard Deviations'!A1:C731,3,FALSE)</f>
        <v>-2.37931907862613</v>
      </c>
      <c r="J111" s="150">
        <f>I111-VLOOKUP(B$2,H1:J218,2,FALSE)</f>
        <v>-7.56678273971107</v>
      </c>
    </row>
    <row r="112" ht="21.25" customHeight="1">
      <c r="A112" t="s" s="8">
        <v>569</v>
      </c>
      <c r="B112" t="s" s="66">
        <f>VLOOKUP(A112,'The List'!B1:D730,3,FALSE)</f>
        <v>107</v>
      </c>
      <c r="C112" s="67">
        <f>IF('Settings'!$E$15="POINTS",RANK(E112,E3:E218),H112)</f>
        <v>113</v>
      </c>
      <c r="D112" t="s" s="42">
        <f>VLOOKUP(A112,'The List'!B1:F730,5,FALSE)</f>
        <v>113</v>
      </c>
      <c r="E112" s="46">
        <f>VLOOKUP(A112,'The List'!B1:I730,8,FALSE)</f>
        <v>228.064280746874</v>
      </c>
      <c r="F112" s="46">
        <f>IF('Settings'!$E$15="POINTS",E112-VLOOKUP(B$2,C1:E218,3,FALSE),J112)</f>
        <v>-167.709920889141</v>
      </c>
      <c r="G112" s="46"/>
      <c r="H112" s="149">
        <f>RANK(I112,I3:I218)</f>
        <v>96</v>
      </c>
      <c r="I112" s="150">
        <f>VLOOKUP(A112,'Standard Deviations'!A1:C731,3,FALSE)</f>
        <v>-0.007950914484358701</v>
      </c>
      <c r="J112" s="150">
        <f>I112-VLOOKUP(B$2,H1:J218,2,FALSE)</f>
        <v>-5.1954145755693</v>
      </c>
    </row>
    <row r="113" ht="21.25" customHeight="1">
      <c r="A113" t="s" s="8">
        <v>571</v>
      </c>
      <c r="B113" t="s" s="66">
        <f>VLOOKUP(A113,'The List'!B1:D730,3,FALSE)</f>
        <v>107</v>
      </c>
      <c r="C113" s="67">
        <f>IF('Settings'!$E$15="POINTS",RANK(E113,E3:E218),H113)</f>
        <v>109</v>
      </c>
      <c r="D113" t="s" s="42">
        <f>VLOOKUP(A113,'The List'!B1:F730,5,FALSE)</f>
        <v>122</v>
      </c>
      <c r="E113" s="46">
        <f>VLOOKUP(A113,'The List'!B1:I730,8,FALSE)</f>
        <v>232.464900568512</v>
      </c>
      <c r="F113" s="46">
        <f>IF('Settings'!$E$15="POINTS",E113-VLOOKUP(B$2,C1:E218,3,FALSE),J113)</f>
        <v>-163.309301067503</v>
      </c>
      <c r="G113" s="46"/>
      <c r="H113" s="149">
        <f>RANK(I113,I3:I218)</f>
        <v>98</v>
      </c>
      <c r="I113" s="150">
        <f>VLOOKUP(A113,'Standard Deviations'!A1:C731,3,FALSE)</f>
        <v>-0.123078707523954</v>
      </c>
      <c r="J113" s="150">
        <f>I113-VLOOKUP(B$2,H1:J218,2,FALSE)</f>
        <v>-5.31054236860889</v>
      </c>
    </row>
    <row r="114" ht="21.25" customHeight="1">
      <c r="A114" t="s" s="8">
        <v>584</v>
      </c>
      <c r="B114" t="s" s="66">
        <f>VLOOKUP(A114,'The List'!B1:D730,3,FALSE)</f>
        <v>107</v>
      </c>
      <c r="C114" s="67">
        <f>IF('Settings'!$E$15="POINTS",RANK(E114,E3:E218),H114)</f>
        <v>103</v>
      </c>
      <c r="D114" t="s" s="42">
        <f>VLOOKUP(A114,'The List'!B1:F730,5,FALSE)</f>
        <v>238</v>
      </c>
      <c r="E114" s="46">
        <f>VLOOKUP(A114,'The List'!B1:I730,8,FALSE)</f>
        <v>241.235433485918</v>
      </c>
      <c r="F114" s="46">
        <f>IF('Settings'!$E$15="POINTS",E114-VLOOKUP(B$2,C1:E218,3,FALSE),J114)</f>
        <v>-154.538768150097</v>
      </c>
      <c r="G114" s="46"/>
      <c r="H114" s="149">
        <f>RANK(I114,I3:I218)</f>
        <v>113</v>
      </c>
      <c r="I114" s="150">
        <f>VLOOKUP(A114,'Standard Deviations'!A1:C731,3,FALSE)</f>
        <v>-1.09050848585675</v>
      </c>
      <c r="J114" s="150">
        <f>I114-VLOOKUP(B$2,H1:J218,2,FALSE)</f>
        <v>-6.27797214694169</v>
      </c>
    </row>
    <row r="115" ht="21.25" customHeight="1">
      <c r="A115" t="s" s="8">
        <v>587</v>
      </c>
      <c r="B115" t="s" s="66">
        <f>VLOOKUP(A115,'The List'!B1:D730,3,FALSE)</f>
        <v>107</v>
      </c>
      <c r="C115" s="67">
        <f>IF('Settings'!$E$15="POINTS",RANK(E115,E3:E218),H115)</f>
        <v>125</v>
      </c>
      <c r="D115" t="s" s="42">
        <f>VLOOKUP(A115,'The List'!B1:F730,5,FALSE)</f>
        <v>225</v>
      </c>
      <c r="E115" s="46">
        <f>VLOOKUP(A115,'The List'!B1:I730,8,FALSE)</f>
        <v>217.179055887973</v>
      </c>
      <c r="F115" s="46">
        <f>IF('Settings'!$E$15="POINTS",E115-VLOOKUP(B$2,C1:E218,3,FALSE),J115)</f>
        <v>-178.595145748042</v>
      </c>
      <c r="G115" s="46"/>
      <c r="H115" s="149">
        <f>RANK(I115,I3:I218)</f>
        <v>156</v>
      </c>
      <c r="I115" s="150">
        <f>VLOOKUP(A115,'Standard Deviations'!A1:C731,3,FALSE)</f>
        <v>-2.69389495570144</v>
      </c>
      <c r="J115" s="150">
        <f>I115-VLOOKUP(B$2,H1:J218,2,FALSE)</f>
        <v>-7.88135861678638</v>
      </c>
    </row>
    <row r="116" ht="21.25" customHeight="1">
      <c r="A116" t="s" s="8">
        <v>589</v>
      </c>
      <c r="B116" t="s" s="66">
        <f>VLOOKUP(A116,'The List'!B1:D730,3,FALSE)</f>
        <v>107</v>
      </c>
      <c r="C116" s="67">
        <f>IF('Settings'!$E$15="POINTS",RANK(E116,E3:E218),H116)</f>
        <v>122</v>
      </c>
      <c r="D116" t="s" s="42">
        <f>VLOOKUP(A116,'The List'!B1:F730,5,FALSE)</f>
        <v>131</v>
      </c>
      <c r="E116" s="46">
        <f>VLOOKUP(A116,'The List'!B1:I730,8,FALSE)</f>
        <v>220.640247210502</v>
      </c>
      <c r="F116" s="46">
        <f>IF('Settings'!$E$15="POINTS",E116-VLOOKUP(B$2,C1:E218,3,FALSE),J116)</f>
        <v>-175.133954425513</v>
      </c>
      <c r="G116" s="46"/>
      <c r="H116" s="149">
        <f>RANK(I116,I3:I218)</f>
        <v>116</v>
      </c>
      <c r="I116" s="150">
        <f>VLOOKUP(A116,'Standard Deviations'!A1:C731,3,FALSE)</f>
        <v>-1.16851549966749</v>
      </c>
      <c r="J116" s="150">
        <f>I116-VLOOKUP(B$2,H1:J218,2,FALSE)</f>
        <v>-6.35597916075243</v>
      </c>
    </row>
    <row r="117" ht="21.25" customHeight="1">
      <c r="A117" t="s" s="8">
        <v>591</v>
      </c>
      <c r="B117" t="s" s="66">
        <f>VLOOKUP(A117,'The List'!B1:D730,3,FALSE)</f>
        <v>107</v>
      </c>
      <c r="C117" s="67">
        <f>IF('Settings'!$E$15="POINTS",RANK(E117,E3:E218),H117)</f>
        <v>140</v>
      </c>
      <c r="D117" t="s" s="42">
        <f>VLOOKUP(A117,'The List'!B1:F730,5,FALSE)</f>
        <v>234</v>
      </c>
      <c r="E117" s="46">
        <f>VLOOKUP(A117,'The List'!B1:I730,8,FALSE)</f>
        <v>203.047887061510</v>
      </c>
      <c r="F117" s="46">
        <f>IF('Settings'!$E$15="POINTS",E117-VLOOKUP(B$2,C1:E218,3,FALSE),J117)</f>
        <v>-192.726314574505</v>
      </c>
      <c r="G117" s="46"/>
      <c r="H117" s="149">
        <f>RANK(I117,I3:I218)</f>
        <v>117</v>
      </c>
      <c r="I117" s="150">
        <f>VLOOKUP(A117,'Standard Deviations'!A1:C731,3,FALSE)</f>
        <v>-1.24001667747042</v>
      </c>
      <c r="J117" s="150">
        <f>I117-VLOOKUP(B$2,H1:J218,2,FALSE)</f>
        <v>-6.42748033855536</v>
      </c>
    </row>
    <row r="118" ht="21.25" customHeight="1">
      <c r="A118" t="s" s="8">
        <v>594</v>
      </c>
      <c r="B118" t="s" s="66">
        <f>VLOOKUP(A118,'The List'!B1:D730,3,FALSE)</f>
        <v>107</v>
      </c>
      <c r="C118" s="67">
        <f>IF('Settings'!$E$15="POINTS",RANK(E118,E3:E218),H118)</f>
        <v>135</v>
      </c>
      <c r="D118" t="s" s="42">
        <f>VLOOKUP(A118,'The List'!B1:F730,5,FALSE)</f>
        <v>141</v>
      </c>
      <c r="E118" s="46">
        <f>VLOOKUP(A118,'The List'!B1:I730,8,FALSE)</f>
        <v>208.262051433599</v>
      </c>
      <c r="F118" s="46">
        <f>IF('Settings'!$E$15="POINTS",E118-VLOOKUP(B$2,C1:E218,3,FALSE),J118)</f>
        <v>-187.512150202416</v>
      </c>
      <c r="G118" s="46"/>
      <c r="H118" s="149">
        <f>RANK(I118,I3:I218)</f>
        <v>114</v>
      </c>
      <c r="I118" s="150">
        <f>VLOOKUP(A118,'Standard Deviations'!A1:C731,3,FALSE)</f>
        <v>-1.1526672583574</v>
      </c>
      <c r="J118" s="150">
        <f>I118-VLOOKUP(B$2,H1:J218,2,FALSE)</f>
        <v>-6.34013091944234</v>
      </c>
    </row>
    <row r="119" ht="21.25" customHeight="1">
      <c r="A119" t="s" s="8">
        <v>596</v>
      </c>
      <c r="B119" t="s" s="66">
        <f>VLOOKUP(A119,'The List'!B1:D730,3,FALSE)</f>
        <v>107</v>
      </c>
      <c r="C119" s="67">
        <f>IF('Settings'!$E$15="POINTS",RANK(E119,E3:E218),H119)</f>
        <v>110</v>
      </c>
      <c r="D119" t="s" s="42">
        <f>VLOOKUP(A119,'The List'!B1:F730,5,FALSE)</f>
        <v>134</v>
      </c>
      <c r="E119" s="46">
        <f>VLOOKUP(A119,'The List'!B1:I730,8,FALSE)</f>
        <v>231.519820313394</v>
      </c>
      <c r="F119" s="46">
        <f>IF('Settings'!$E$15="POINTS",E119-VLOOKUP(B$2,C1:E218,3,FALSE),J119)</f>
        <v>-164.254381322621</v>
      </c>
      <c r="G119" s="46"/>
      <c r="H119" s="149">
        <f>RANK(I119,I3:I218)</f>
        <v>101</v>
      </c>
      <c r="I119" s="150">
        <f>VLOOKUP(A119,'Standard Deviations'!A1:C731,3,FALSE)</f>
        <v>-0.559086423162667</v>
      </c>
      <c r="J119" s="150">
        <f>I119-VLOOKUP(B$2,H1:J218,2,FALSE)</f>
        <v>-5.74655008424761</v>
      </c>
    </row>
    <row r="120" ht="21.25" customHeight="1">
      <c r="A120" t="s" s="8">
        <v>604</v>
      </c>
      <c r="B120" t="s" s="66">
        <f>VLOOKUP(A120,'The List'!B1:D730,3,FALSE)</f>
        <v>107</v>
      </c>
      <c r="C120" s="67">
        <f>IF('Settings'!$E$15="POINTS",RANK(E120,E3:E218),H120)</f>
        <v>123</v>
      </c>
      <c r="D120" t="s" s="42">
        <f>VLOOKUP(A120,'The List'!B1:F730,5,FALSE)</f>
        <v>248</v>
      </c>
      <c r="E120" s="46">
        <f>VLOOKUP(A120,'The List'!B1:I730,8,FALSE)</f>
        <v>219.404022748844</v>
      </c>
      <c r="F120" s="46">
        <f>IF('Settings'!$E$15="POINTS",E120-VLOOKUP(B$2,C1:E218,3,FALSE),J120)</f>
        <v>-176.370178887171</v>
      </c>
      <c r="G120" s="46"/>
      <c r="H120" s="149">
        <f>RANK(I120,I3:I218)</f>
        <v>111</v>
      </c>
      <c r="I120" s="150">
        <f>VLOOKUP(A120,'Standard Deviations'!A1:C731,3,FALSE)</f>
        <v>-1.05095185573964</v>
      </c>
      <c r="J120" s="150">
        <f>I120-VLOOKUP(B$2,H1:J218,2,FALSE)</f>
        <v>-6.23841551682458</v>
      </c>
    </row>
    <row r="121" ht="21.25" customHeight="1">
      <c r="A121" t="s" s="8">
        <v>607</v>
      </c>
      <c r="B121" t="s" s="66">
        <f>VLOOKUP(A121,'The List'!B1:D730,3,FALSE)</f>
        <v>107</v>
      </c>
      <c r="C121" s="67">
        <f>IF('Settings'!$E$15="POINTS",RANK(E121,E3:E218),H121)</f>
        <v>118</v>
      </c>
      <c r="D121" t="s" s="42">
        <f>VLOOKUP(A121,'The List'!B1:F730,5,FALSE)</f>
        <v>225</v>
      </c>
      <c r="E121" s="46">
        <f>VLOOKUP(A121,'The List'!B1:I730,8,FALSE)</f>
        <v>226.018990069021</v>
      </c>
      <c r="F121" s="46">
        <f>IF('Settings'!$E$15="POINTS",E121-VLOOKUP(B$2,C1:E218,3,FALSE),J121)</f>
        <v>-169.755211566994</v>
      </c>
      <c r="G121" s="46"/>
      <c r="H121" s="149">
        <f>RANK(I121,I3:I218)</f>
        <v>157</v>
      </c>
      <c r="I121" s="150">
        <f>VLOOKUP(A121,'Standard Deviations'!A1:C731,3,FALSE)</f>
        <v>-2.72617131542787</v>
      </c>
      <c r="J121" s="150">
        <f>I121-VLOOKUP(B$2,H1:J218,2,FALSE)</f>
        <v>-7.91363497651281</v>
      </c>
    </row>
    <row r="122" ht="21.25" customHeight="1">
      <c r="A122" t="s" s="8">
        <v>611</v>
      </c>
      <c r="B122" t="s" s="66">
        <f>VLOOKUP(A122,'The List'!B1:D730,3,FALSE)</f>
        <v>107</v>
      </c>
      <c r="C122" s="67">
        <f>IF('Settings'!$E$15="POINTS",RANK(E122,E3:E218),H122)</f>
        <v>134</v>
      </c>
      <c r="D122" t="s" s="42">
        <f>VLOOKUP(A122,'The List'!B1:F730,5,FALSE)</f>
        <v>225</v>
      </c>
      <c r="E122" s="46">
        <f>VLOOKUP(A122,'The List'!B1:I730,8,FALSE)</f>
        <v>209.506369679912</v>
      </c>
      <c r="F122" s="46">
        <f>IF('Settings'!$E$15="POINTS",E122-VLOOKUP(B$2,C1:E218,3,FALSE),J122)</f>
        <v>-186.267831956103</v>
      </c>
      <c r="G122" s="46"/>
      <c r="H122" s="149">
        <f>RANK(I122,I3:I218)</f>
        <v>172</v>
      </c>
      <c r="I122" s="150">
        <f>VLOOKUP(A122,'Standard Deviations'!A1:C731,3,FALSE)</f>
        <v>-3.45015839049789</v>
      </c>
      <c r="J122" s="150">
        <f>I122-VLOOKUP(B$2,H1:J218,2,FALSE)</f>
        <v>-8.637622051582831</v>
      </c>
    </row>
    <row r="123" ht="21.25" customHeight="1">
      <c r="A123" t="s" s="8">
        <v>618</v>
      </c>
      <c r="B123" t="s" s="66">
        <f>VLOOKUP(A123,'The List'!B1:D730,3,FALSE)</f>
        <v>107</v>
      </c>
      <c r="C123" s="67">
        <f>IF('Settings'!$E$15="POINTS",RANK(E123,E3:E218),H123)</f>
        <v>119</v>
      </c>
      <c r="D123" t="s" s="42">
        <f>VLOOKUP(A123,'The List'!B1:F730,5,FALSE)</f>
        <v>196</v>
      </c>
      <c r="E123" s="46">
        <f>VLOOKUP(A123,'The List'!B1:I730,8,FALSE)</f>
        <v>223.691072467255</v>
      </c>
      <c r="F123" s="46">
        <f>IF('Settings'!$E$15="POINTS",E123-VLOOKUP(B$2,C1:E218,3,FALSE),J123)</f>
        <v>-172.083129168760</v>
      </c>
      <c r="G123" s="46"/>
      <c r="H123" s="149">
        <f>RANK(I123,I3:I218)</f>
        <v>128</v>
      </c>
      <c r="I123" s="150">
        <f>VLOOKUP(A123,'Standard Deviations'!A1:C731,3,FALSE)</f>
        <v>-1.90019673709787</v>
      </c>
      <c r="J123" s="150">
        <f>I123-VLOOKUP(B$2,H1:J218,2,FALSE)</f>
        <v>-7.08766039818281</v>
      </c>
    </row>
    <row r="124" ht="21.25" customHeight="1">
      <c r="A124" t="s" s="8">
        <v>609</v>
      </c>
      <c r="B124" t="s" s="66">
        <f>VLOOKUP(A124,'The List'!B1:D730,3,FALSE)</f>
        <v>111</v>
      </c>
      <c r="C124" s="67">
        <f>IF('Settings'!$E$15="POINTS",RANK(E124,E3:E218),H124)</f>
        <v>117</v>
      </c>
      <c r="D124" t="s" s="42">
        <f>VLOOKUP(A124,'The List'!B1:F730,5,FALSE)</f>
        <v>119</v>
      </c>
      <c r="E124" s="46">
        <f>VLOOKUP(A124,'The List'!B1:I730,8,FALSE)</f>
        <v>226.661258450686</v>
      </c>
      <c r="F124" s="46">
        <f>IF('Settings'!$E$15="POINTS",E124-VLOOKUP(B$2,C1:E218,3,FALSE),J124)</f>
        <v>-169.112943185329</v>
      </c>
      <c r="G124" s="46"/>
      <c r="H124" s="149">
        <f>RANK(I124,I3:I218)</f>
        <v>99</v>
      </c>
      <c r="I124" s="150">
        <f>VLOOKUP(A124,'Standard Deviations'!A1:C731,3,FALSE)</f>
        <v>-0.18780909687846</v>
      </c>
      <c r="J124" s="150">
        <f>I124-VLOOKUP(B$2,H1:J218,2,FALSE)</f>
        <v>-5.3752727579634</v>
      </c>
    </row>
    <row r="125" ht="21.25" customHeight="1">
      <c r="A125" t="s" s="8">
        <v>626</v>
      </c>
      <c r="B125" t="s" s="66">
        <f>VLOOKUP(A125,'The List'!B1:D730,3,FALSE)</f>
        <v>107</v>
      </c>
      <c r="C125" s="67">
        <f>IF('Settings'!$E$15="POINTS",RANK(E125,E3:E218),H125)</f>
        <v>121</v>
      </c>
      <c r="D125" t="s" s="42">
        <f>VLOOKUP(A125,'The List'!B1:F730,5,FALSE)</f>
        <v>225</v>
      </c>
      <c r="E125" s="46">
        <f>VLOOKUP(A125,'The List'!B1:I730,8,FALSE)</f>
        <v>221.952363639813</v>
      </c>
      <c r="F125" s="46">
        <f>IF('Settings'!$E$15="POINTS",E125-VLOOKUP(B$2,C1:E218,3,FALSE),J125)</f>
        <v>-173.821837996202</v>
      </c>
      <c r="G125" s="46"/>
      <c r="H125" s="149">
        <f>RANK(I125,I3:I218)</f>
        <v>154</v>
      </c>
      <c r="I125" s="150">
        <f>VLOOKUP(A125,'Standard Deviations'!A1:C731,3,FALSE)</f>
        <v>-2.66738486961567</v>
      </c>
      <c r="J125" s="150">
        <f>I125-VLOOKUP(B$2,H1:J218,2,FALSE)</f>
        <v>-7.85484853070061</v>
      </c>
    </row>
    <row r="126" ht="21.25" customHeight="1">
      <c r="A126" t="s" s="8">
        <v>634</v>
      </c>
      <c r="B126" t="s" s="66">
        <f>VLOOKUP(A126,'The List'!B1:D730,3,FALSE)</f>
        <v>107</v>
      </c>
      <c r="C126" s="67">
        <f>IF('Settings'!$E$15="POINTS",RANK(E126,E3:E218),H126)</f>
        <v>132</v>
      </c>
      <c r="D126" t="s" s="42">
        <f>VLOOKUP(A126,'The List'!B1:F730,5,FALSE)</f>
        <v>258</v>
      </c>
      <c r="E126" s="46">
        <f>VLOOKUP(A126,'The List'!B1:I730,8,FALSE)</f>
        <v>210.715851771968</v>
      </c>
      <c r="F126" s="46">
        <f>IF('Settings'!$E$15="POINTS",E126-VLOOKUP(B$2,C1:E218,3,FALSE),J126)</f>
        <v>-185.058349864047</v>
      </c>
      <c r="G126" s="46"/>
      <c r="H126" s="149">
        <f>RANK(I126,I3:I218)</f>
        <v>167</v>
      </c>
      <c r="I126" s="150">
        <f>VLOOKUP(A126,'Standard Deviations'!A1:C731,3,FALSE)</f>
        <v>-3.13650706934485</v>
      </c>
      <c r="J126" s="150">
        <f>I126-VLOOKUP(B$2,H1:J218,2,FALSE)</f>
        <v>-8.323970730429791</v>
      </c>
    </row>
    <row r="127" ht="21.25" customHeight="1">
      <c r="A127" t="s" s="8">
        <v>635</v>
      </c>
      <c r="B127" t="s" s="66">
        <f>VLOOKUP(A127,'The List'!B1:D730,3,FALSE)</f>
        <v>107</v>
      </c>
      <c r="C127" s="67">
        <f>IF('Settings'!$E$15="POINTS",RANK(E127,E3:E218),H127)</f>
        <v>102</v>
      </c>
      <c r="D127" t="s" s="42">
        <f>VLOOKUP(A127,'The List'!B1:F730,5,FALSE)</f>
        <v>184</v>
      </c>
      <c r="E127" s="46">
        <f>VLOOKUP(A127,'The List'!B1:I730,8,FALSE)</f>
        <v>241.978341733578</v>
      </c>
      <c r="F127" s="46">
        <f>IF('Settings'!$E$15="POINTS",E127-VLOOKUP(B$2,C1:E218,3,FALSE),J127)</f>
        <v>-153.795859902437</v>
      </c>
      <c r="G127" s="46"/>
      <c r="H127" s="149">
        <f>RANK(I127,I3:I218)</f>
        <v>131</v>
      </c>
      <c r="I127" s="150">
        <f>VLOOKUP(A127,'Standard Deviations'!A1:C731,3,FALSE)</f>
        <v>-1.93641811392411</v>
      </c>
      <c r="J127" s="150">
        <f>I127-VLOOKUP(B$2,H1:J218,2,FALSE)</f>
        <v>-7.12388177500905</v>
      </c>
    </row>
    <row r="128" ht="21.25" customHeight="1">
      <c r="A128" t="s" s="8">
        <v>638</v>
      </c>
      <c r="B128" t="s" s="66">
        <f>VLOOKUP(A128,'The List'!B1:D730,3,FALSE)</f>
        <v>107</v>
      </c>
      <c r="C128" s="67">
        <f>IF('Settings'!$E$15="POINTS",RANK(E128,E3:E218),H128)</f>
        <v>129</v>
      </c>
      <c r="D128" t="s" s="42">
        <f>VLOOKUP(A128,'The List'!B1:F730,5,FALSE)</f>
        <v>170</v>
      </c>
      <c r="E128" s="46">
        <f>VLOOKUP(A128,'The List'!B1:I730,8,FALSE)</f>
        <v>213.410613304838</v>
      </c>
      <c r="F128" s="46">
        <f>IF('Settings'!$E$15="POINTS",E128-VLOOKUP(B$2,C1:E218,3,FALSE),J128)</f>
        <v>-182.363588331177</v>
      </c>
      <c r="G128" s="46"/>
      <c r="H128" s="149">
        <f>RANK(I128,I3:I218)</f>
        <v>119</v>
      </c>
      <c r="I128" s="150">
        <f>VLOOKUP(A128,'Standard Deviations'!A1:C731,3,FALSE)</f>
        <v>-1.30478030390307</v>
      </c>
      <c r="J128" s="150">
        <f>I128-VLOOKUP(B$2,H1:J218,2,FALSE)</f>
        <v>-6.49224396498801</v>
      </c>
    </row>
    <row r="129" ht="21.25" customHeight="1">
      <c r="A129" t="s" s="8">
        <v>644</v>
      </c>
      <c r="B129" t="s" s="66">
        <f>VLOOKUP(A129,'The List'!B1:D730,3,FALSE)</f>
        <v>107</v>
      </c>
      <c r="C129" s="67">
        <f>IF('Settings'!$E$15="POINTS",RANK(E129,E3:E218),H129)</f>
        <v>115</v>
      </c>
      <c r="D129" t="s" s="42">
        <f>VLOOKUP(A129,'The List'!B1:F730,5,FALSE)</f>
        <v>141</v>
      </c>
      <c r="E129" s="46">
        <f>VLOOKUP(A129,'The List'!B1:I730,8,FALSE)</f>
        <v>227.450367277641</v>
      </c>
      <c r="F129" s="46">
        <f>IF('Settings'!$E$15="POINTS",E129-VLOOKUP(B$2,C1:E218,3,FALSE),J129)</f>
        <v>-168.323834358374</v>
      </c>
      <c r="G129" s="46"/>
      <c r="H129" s="149">
        <f>RANK(I129,I3:I218)</f>
        <v>122</v>
      </c>
      <c r="I129" s="150">
        <f>VLOOKUP(A129,'Standard Deviations'!A1:C731,3,FALSE)</f>
        <v>-1.43608362452318</v>
      </c>
      <c r="J129" s="150">
        <f>I129-VLOOKUP(B$2,H1:J218,2,FALSE)</f>
        <v>-6.62354728560812</v>
      </c>
    </row>
    <row r="130" ht="21.25" customHeight="1">
      <c r="A130" t="s" s="8">
        <v>628</v>
      </c>
      <c r="B130" t="s" s="66">
        <f>VLOOKUP(A130,'The List'!B1:D730,3,FALSE)</f>
        <v>111</v>
      </c>
      <c r="C130" s="67">
        <f>IF('Settings'!$E$15="POINTS",RANK(E130,E3:E218),H130)</f>
        <v>137</v>
      </c>
      <c r="D130" t="s" s="42">
        <f>VLOOKUP(A130,'The List'!B1:F730,5,FALSE)</f>
        <v>115</v>
      </c>
      <c r="E130" s="46">
        <f>VLOOKUP(A130,'The List'!B1:I730,8,FALSE)</f>
        <v>206.039557411184</v>
      </c>
      <c r="F130" s="46">
        <f>IF('Settings'!$E$15="POINTS",E130-VLOOKUP(B$2,C1:E218,3,FALSE),J130)</f>
        <v>-189.734644224831</v>
      </c>
      <c r="G130" s="46"/>
      <c r="H130" s="149">
        <f>RANK(I130,I3:I218)</f>
        <v>108</v>
      </c>
      <c r="I130" s="150">
        <f>VLOOKUP(A130,'Standard Deviations'!A1:C731,3,FALSE)</f>
        <v>-0.915005557798499</v>
      </c>
      <c r="J130" s="150">
        <f>I130-VLOOKUP(B$2,H1:J218,2,FALSE)</f>
        <v>-6.10246921888344</v>
      </c>
    </row>
    <row r="131" ht="21.25" customHeight="1">
      <c r="A131" t="s" s="8">
        <v>664</v>
      </c>
      <c r="B131" t="s" s="66">
        <f>VLOOKUP(A131,'The List'!B1:D730,3,FALSE)</f>
        <v>107</v>
      </c>
      <c r="C131" s="67">
        <f>IF('Settings'!$E$15="POINTS",RANK(E131,E3:E218),H131)</f>
        <v>154</v>
      </c>
      <c r="D131" t="s" s="42">
        <f>VLOOKUP(A131,'The List'!B1:F730,5,FALSE)</f>
        <v>248</v>
      </c>
      <c r="E131" s="46">
        <f>VLOOKUP(A131,'The List'!B1:I730,8,FALSE)</f>
        <v>182.867581278919</v>
      </c>
      <c r="F131" s="46">
        <f>IF('Settings'!$E$15="POINTS",E131-VLOOKUP(B$2,C1:E218,3,FALSE),J131)</f>
        <v>-212.906620357096</v>
      </c>
      <c r="G131" s="46"/>
      <c r="H131" s="149">
        <f>RANK(I131,I3:I218)</f>
        <v>132</v>
      </c>
      <c r="I131" s="150">
        <f>VLOOKUP(A131,'Standard Deviations'!A1:C731,3,FALSE)</f>
        <v>-2.00928316031769</v>
      </c>
      <c r="J131" s="150">
        <f>I131-VLOOKUP(B$2,H1:J218,2,FALSE)</f>
        <v>-7.19674682140263</v>
      </c>
    </row>
    <row r="132" ht="21.25" customHeight="1">
      <c r="A132" t="s" s="8">
        <v>665</v>
      </c>
      <c r="B132" t="s" s="66">
        <f>VLOOKUP(A132,'The List'!B1:D730,3,FALSE)</f>
        <v>107</v>
      </c>
      <c r="C132" s="67">
        <f>IF('Settings'!$E$15="POINTS",RANK(E132,E3:E218),H132)</f>
        <v>143</v>
      </c>
      <c r="D132" t="s" s="42">
        <f>VLOOKUP(A132,'The List'!B1:F730,5,FALSE)</f>
        <v>173</v>
      </c>
      <c r="E132" s="46">
        <f>VLOOKUP(A132,'The List'!B1:I730,8,FALSE)</f>
        <v>201.230997711096</v>
      </c>
      <c r="F132" s="46">
        <f>IF('Settings'!$E$15="POINTS",E132-VLOOKUP(B$2,C1:E218,3,FALSE),J132)</f>
        <v>-194.543203924919</v>
      </c>
      <c r="G132" s="46"/>
      <c r="H132" s="149">
        <f>RANK(I132,I3:I218)</f>
        <v>127</v>
      </c>
      <c r="I132" s="150">
        <f>VLOOKUP(A132,'Standard Deviations'!A1:C731,3,FALSE)</f>
        <v>-1.89322108416166</v>
      </c>
      <c r="J132" s="150">
        <f>I132-VLOOKUP(B$2,H1:J218,2,FALSE)</f>
        <v>-7.0806847452466</v>
      </c>
    </row>
    <row r="133" ht="21.25" customHeight="1">
      <c r="A133" t="s" s="8">
        <v>667</v>
      </c>
      <c r="B133" t="s" s="66">
        <f>VLOOKUP(A133,'The List'!B1:D730,3,FALSE)</f>
        <v>107</v>
      </c>
      <c r="C133" s="67">
        <f>IF('Settings'!$E$15="POINTS",RANK(E133,E3:E218),H133)</f>
        <v>114</v>
      </c>
      <c r="D133" t="s" s="42">
        <f>VLOOKUP(A133,'The List'!B1:F730,5,FALSE)</f>
        <v>202</v>
      </c>
      <c r="E133" s="46">
        <f>VLOOKUP(A133,'The List'!B1:I730,8,FALSE)</f>
        <v>227.878113430681</v>
      </c>
      <c r="F133" s="46">
        <f>IF('Settings'!$E$15="POINTS",E133-VLOOKUP(B$2,C1:E218,3,FALSE),J133)</f>
        <v>-167.896088205334</v>
      </c>
      <c r="G133" s="46"/>
      <c r="H133" s="149">
        <f>RANK(I133,I3:I218)</f>
        <v>100</v>
      </c>
      <c r="I133" s="150">
        <f>VLOOKUP(A133,'Standard Deviations'!A1:C731,3,FALSE)</f>
        <v>-0.32469495329653</v>
      </c>
      <c r="J133" s="150">
        <f>I133-VLOOKUP(B$2,H1:J218,2,FALSE)</f>
        <v>-5.51215861438147</v>
      </c>
    </row>
    <row r="134" ht="21.25" customHeight="1">
      <c r="A134" t="s" s="8">
        <v>668</v>
      </c>
      <c r="B134" t="s" s="66">
        <f>VLOOKUP(A134,'The List'!B1:D730,3,FALSE)</f>
        <v>107</v>
      </c>
      <c r="C134" s="67">
        <f>IF('Settings'!$E$15="POINTS",RANK(E134,E3:E218),H134)</f>
        <v>128</v>
      </c>
      <c r="D134" t="s" s="42">
        <f>VLOOKUP(A134,'The List'!B1:F730,5,FALSE)</f>
        <v>189</v>
      </c>
      <c r="E134" s="46">
        <f>VLOOKUP(A134,'The List'!B1:I730,8,FALSE)</f>
        <v>213.484816795985</v>
      </c>
      <c r="F134" s="46">
        <f>IF('Settings'!$E$15="POINTS",E134-VLOOKUP(B$2,C1:E218,3,FALSE),J134)</f>
        <v>-182.289384840030</v>
      </c>
      <c r="G134" s="46"/>
      <c r="H134" s="149">
        <f>RANK(I134,I3:I218)</f>
        <v>174</v>
      </c>
      <c r="I134" s="150">
        <f>VLOOKUP(A134,'Standard Deviations'!A1:C731,3,FALSE)</f>
        <v>-3.59957281293974</v>
      </c>
      <c r="J134" s="150">
        <f>I134-VLOOKUP(B$2,H1:J218,2,FALSE)</f>
        <v>-8.78703647402468</v>
      </c>
    </row>
    <row r="135" ht="21.25" customHeight="1">
      <c r="A135" t="s" s="8">
        <v>629</v>
      </c>
      <c r="B135" t="s" s="66">
        <f>VLOOKUP(A135,'The List'!B1:D730,3,FALSE)</f>
        <v>187</v>
      </c>
      <c r="C135" s="67">
        <f>IF('Settings'!$E$15="POINTS",RANK(E135,E3:E218),H135)</f>
        <v>120</v>
      </c>
      <c r="D135" t="s" s="42">
        <f>VLOOKUP(A135,'The List'!B1:F730,5,FALSE)</f>
        <v>122</v>
      </c>
      <c r="E135" s="46">
        <f>VLOOKUP(A135,'The List'!B1:I730,8,FALSE)</f>
        <v>222.444897425510</v>
      </c>
      <c r="F135" s="46">
        <f>IF('Settings'!$E$15="POINTS",E135-VLOOKUP(B$2,C1:E218,3,FALSE),J135)</f>
        <v>-173.329304210505</v>
      </c>
      <c r="G135" s="46"/>
      <c r="H135" s="149">
        <f>RANK(I135,I3:I218)</f>
        <v>104</v>
      </c>
      <c r="I135" s="150">
        <f>VLOOKUP(A135,'Standard Deviations'!A1:C731,3,FALSE)</f>
        <v>-0.666306145982336</v>
      </c>
      <c r="J135" s="150">
        <f>I135-VLOOKUP(B$2,H1:J218,2,FALSE)</f>
        <v>-5.85376980706728</v>
      </c>
    </row>
    <row r="136" ht="21.25" customHeight="1">
      <c r="A136" t="s" s="8">
        <v>675</v>
      </c>
      <c r="B136" t="s" s="66">
        <f>VLOOKUP(A136,'The List'!B1:D730,3,FALSE)</f>
        <v>107</v>
      </c>
      <c r="C136" s="67">
        <f>IF('Settings'!$E$15="POINTS",RANK(E136,E3:E218),H136)</f>
        <v>139</v>
      </c>
      <c r="D136" t="s" s="42">
        <f>VLOOKUP(A136,'The List'!B1:F730,5,FALSE)</f>
        <v>292</v>
      </c>
      <c r="E136" s="46">
        <f>VLOOKUP(A136,'The List'!B1:I730,8,FALSE)</f>
        <v>203.522412656033</v>
      </c>
      <c r="F136" s="46">
        <f>IF('Settings'!$E$15="POINTS",E136-VLOOKUP(B$2,C1:E218,3,FALSE),J136)</f>
        <v>-192.251788979982</v>
      </c>
      <c r="G136" s="46"/>
      <c r="H136" s="149">
        <f>RANK(I136,I3:I218)</f>
        <v>125</v>
      </c>
      <c r="I136" s="150">
        <f>VLOOKUP(A136,'Standard Deviations'!A1:C731,3,FALSE)</f>
        <v>-1.87209668648218</v>
      </c>
      <c r="J136" s="150">
        <f>I136-VLOOKUP(B$2,H1:J218,2,FALSE)</f>
        <v>-7.05956034756712</v>
      </c>
    </row>
    <row r="137" ht="21.25" customHeight="1">
      <c r="A137" t="s" s="8">
        <v>678</v>
      </c>
      <c r="B137" t="s" s="66">
        <f>VLOOKUP(A137,'The List'!B1:D730,3,FALSE)</f>
        <v>107</v>
      </c>
      <c r="C137" s="67">
        <f>IF('Settings'!$E$15="POINTS",RANK(E137,E3:E218),H137)</f>
        <v>107</v>
      </c>
      <c r="D137" t="s" s="42">
        <f>VLOOKUP(A137,'The List'!B1:F730,5,FALSE)</f>
        <v>164</v>
      </c>
      <c r="E137" s="46">
        <f>VLOOKUP(A137,'The List'!B1:I730,8,FALSE)</f>
        <v>234.120928077219</v>
      </c>
      <c r="F137" s="46">
        <f>IF('Settings'!$E$15="POINTS",E137-VLOOKUP(B$2,C1:E218,3,FALSE),J137)</f>
        <v>-161.653273558796</v>
      </c>
      <c r="G137" s="46"/>
      <c r="H137" s="149">
        <f>RANK(I137,I3:I218)</f>
        <v>123</v>
      </c>
      <c r="I137" s="150">
        <f>VLOOKUP(A137,'Standard Deviations'!A1:C731,3,FALSE)</f>
        <v>-1.65044761704783</v>
      </c>
      <c r="J137" s="150">
        <f>I137-VLOOKUP(B$2,H1:J218,2,FALSE)</f>
        <v>-6.83791127813277</v>
      </c>
    </row>
    <row r="138" ht="21.25" customHeight="1">
      <c r="A138" t="s" s="8">
        <v>681</v>
      </c>
      <c r="B138" t="s" s="66">
        <f>VLOOKUP(A138,'The List'!B1:D730,3,FALSE)</f>
        <v>107</v>
      </c>
      <c r="C138" s="67">
        <f>IF('Settings'!$E$15="POINTS",RANK(E138,E3:E218),H138)</f>
        <v>138</v>
      </c>
      <c r="D138" t="s" s="42">
        <f>VLOOKUP(A138,'The List'!B1:F730,5,FALSE)</f>
        <v>124</v>
      </c>
      <c r="E138" s="46">
        <f>VLOOKUP(A138,'The List'!B1:I730,8,FALSE)</f>
        <v>204.993468251160</v>
      </c>
      <c r="F138" s="46">
        <f>IF('Settings'!$E$15="POINTS",E138-VLOOKUP(B$2,C1:E218,3,FALSE),J138)</f>
        <v>-190.780733384855</v>
      </c>
      <c r="G138" s="46"/>
      <c r="H138" s="149">
        <f>RANK(I138,I3:I218)</f>
        <v>134</v>
      </c>
      <c r="I138" s="150">
        <f>VLOOKUP(A138,'Standard Deviations'!A1:C731,3,FALSE)</f>
        <v>-2.04488243502235</v>
      </c>
      <c r="J138" s="150">
        <f>I138-VLOOKUP(B$2,H1:J218,2,FALSE)</f>
        <v>-7.23234609610729</v>
      </c>
    </row>
    <row r="139" ht="21.25" customHeight="1">
      <c r="A139" t="s" s="8">
        <v>683</v>
      </c>
      <c r="B139" t="s" s="66">
        <f>VLOOKUP(A139,'The List'!B1:D730,3,FALSE)</f>
        <v>107</v>
      </c>
      <c r="C139" s="67">
        <f>IF('Settings'!$E$15="POINTS",RANK(E139,E3:E218),H139)</f>
        <v>116</v>
      </c>
      <c r="D139" t="s" s="42">
        <f>VLOOKUP(A139,'The List'!B1:F730,5,FALSE)</f>
        <v>131</v>
      </c>
      <c r="E139" s="46">
        <f>VLOOKUP(A139,'The List'!B1:I730,8,FALSE)</f>
        <v>227.367888768021</v>
      </c>
      <c r="F139" s="46">
        <f>IF('Settings'!$E$15="POINTS",E139-VLOOKUP(B$2,C1:E218,3,FALSE),J139)</f>
        <v>-168.406312867994</v>
      </c>
      <c r="G139" s="46"/>
      <c r="H139" s="149">
        <f>RANK(I139,I3:I218)</f>
        <v>152</v>
      </c>
      <c r="I139" s="150">
        <f>VLOOKUP(A139,'Standard Deviations'!A1:C731,3,FALSE)</f>
        <v>-2.60064190231881</v>
      </c>
      <c r="J139" s="150">
        <f>I139-VLOOKUP(B$2,H1:J218,2,FALSE)</f>
        <v>-7.78810556340375</v>
      </c>
    </row>
    <row r="140" ht="21.25" customHeight="1">
      <c r="A140" t="s" s="8">
        <v>689</v>
      </c>
      <c r="B140" t="s" s="66">
        <f>VLOOKUP(A140,'The List'!B1:D730,3,FALSE)</f>
        <v>107</v>
      </c>
      <c r="C140" s="67">
        <f>IF('Settings'!$E$15="POINTS",RANK(E140,E3:E218),H140)</f>
        <v>169</v>
      </c>
      <c r="D140" t="s" s="42">
        <f>VLOOKUP(A140,'The List'!B1:F730,5,FALSE)</f>
        <v>292</v>
      </c>
      <c r="E140" s="46">
        <f>VLOOKUP(A140,'The List'!B1:I730,8,FALSE)</f>
        <v>168.804374464948</v>
      </c>
      <c r="F140" s="46">
        <f>IF('Settings'!$E$15="POINTS",E140-VLOOKUP(B$2,C1:E218,3,FALSE),J140)</f>
        <v>-226.969827171067</v>
      </c>
      <c r="G140" s="46"/>
      <c r="H140" s="149">
        <f>RANK(I140,I3:I218)</f>
        <v>153</v>
      </c>
      <c r="I140" s="150">
        <f>VLOOKUP(A140,'Standard Deviations'!A1:C731,3,FALSE)</f>
        <v>-2.6468822541588</v>
      </c>
      <c r="J140" s="150">
        <f>I140-VLOOKUP(B$2,H1:J218,2,FALSE)</f>
        <v>-7.83434591524374</v>
      </c>
    </row>
    <row r="141" ht="21.25" customHeight="1">
      <c r="A141" t="s" s="8">
        <v>694</v>
      </c>
      <c r="B141" t="s" s="66">
        <f>VLOOKUP(A141,'The List'!B1:D730,3,FALSE)</f>
        <v>107</v>
      </c>
      <c r="C141" s="67">
        <f>IF('Settings'!$E$15="POINTS",RANK(E141,E3:E218),H141)</f>
        <v>149</v>
      </c>
      <c r="D141" t="s" s="42">
        <f>VLOOKUP(A141,'The List'!B1:F730,5,FALSE)</f>
        <v>108</v>
      </c>
      <c r="E141" s="46">
        <f>VLOOKUP(A141,'The List'!B1:I730,8,FALSE)</f>
        <v>191.783868630779</v>
      </c>
      <c r="F141" s="46">
        <f>IF('Settings'!$E$15="POINTS",E141-VLOOKUP(B$2,C1:E218,3,FALSE),J141)</f>
        <v>-203.990333005236</v>
      </c>
      <c r="G141" s="46"/>
      <c r="H141" s="149">
        <f>RANK(I141,I3:I218)</f>
        <v>115</v>
      </c>
      <c r="I141" s="150">
        <f>VLOOKUP(A141,'Standard Deviations'!A1:C731,3,FALSE)</f>
        <v>-1.16669120973109</v>
      </c>
      <c r="J141" s="150">
        <f>I141-VLOOKUP(B$2,H1:J218,2,FALSE)</f>
        <v>-6.35415487081603</v>
      </c>
    </row>
    <row r="142" ht="21.25" customHeight="1">
      <c r="A142" t="s" s="8">
        <v>697</v>
      </c>
      <c r="B142" t="s" s="66">
        <f>VLOOKUP(A142,'The List'!B1:D730,3,FALSE)</f>
        <v>107</v>
      </c>
      <c r="C142" s="67">
        <f>IF('Settings'!$E$15="POINTS",RANK(E142,E3:E218),H142)</f>
        <v>141</v>
      </c>
      <c r="D142" t="s" s="42">
        <f>VLOOKUP(A142,'The List'!B1:F730,5,FALSE)</f>
        <v>204</v>
      </c>
      <c r="E142" s="46">
        <f>VLOOKUP(A142,'The List'!B1:I730,8,FALSE)</f>
        <v>202.682250502736</v>
      </c>
      <c r="F142" s="46">
        <f>IF('Settings'!$E$15="POINTS",E142-VLOOKUP(B$2,C1:E218,3,FALSE),J142)</f>
        <v>-193.091951133279</v>
      </c>
      <c r="G142" s="46"/>
      <c r="H142" s="149">
        <f>RANK(I142,I3:I218)</f>
        <v>142</v>
      </c>
      <c r="I142" s="150">
        <f>VLOOKUP(A142,'Standard Deviations'!A1:C731,3,FALSE)</f>
        <v>-2.31406471754896</v>
      </c>
      <c r="J142" s="150">
        <f>I142-VLOOKUP(B$2,H1:J218,2,FALSE)</f>
        <v>-7.5015283786339</v>
      </c>
    </row>
    <row r="143" ht="21.25" customHeight="1">
      <c r="A143" t="s" s="8">
        <v>700</v>
      </c>
      <c r="B143" t="s" s="66">
        <f>VLOOKUP(A143,'The List'!B1:D730,3,FALSE)</f>
        <v>107</v>
      </c>
      <c r="C143" s="67">
        <f>IF('Settings'!$E$15="POINTS",RANK(E143,E3:E218),H143)</f>
        <v>151</v>
      </c>
      <c r="D143" t="s" s="42">
        <f>VLOOKUP(A143,'The List'!B1:F730,5,FALSE)</f>
        <v>184</v>
      </c>
      <c r="E143" s="46">
        <f>VLOOKUP(A143,'The List'!B1:I730,8,FALSE)</f>
        <v>185.517372034911</v>
      </c>
      <c r="F143" s="46">
        <f>IF('Settings'!$E$15="POINTS",E143-VLOOKUP(B$2,C1:E218,3,FALSE),J143)</f>
        <v>-210.256829601104</v>
      </c>
      <c r="G143" s="46"/>
      <c r="H143" s="149">
        <f>RANK(I143,I3:I218)</f>
        <v>158</v>
      </c>
      <c r="I143" s="150">
        <f>VLOOKUP(A143,'Standard Deviations'!A1:C731,3,FALSE)</f>
        <v>-2.7586635983798</v>
      </c>
      <c r="J143" s="150">
        <f>I143-VLOOKUP(B$2,H1:J218,2,FALSE)</f>
        <v>-7.94612725946474</v>
      </c>
    </row>
    <row r="144" ht="21.25" customHeight="1">
      <c r="A144" t="s" s="8">
        <v>703</v>
      </c>
      <c r="B144" t="s" s="66">
        <f>VLOOKUP(A144,'The List'!B1:D730,3,FALSE)</f>
        <v>107</v>
      </c>
      <c r="C144" s="67">
        <f>IF('Settings'!$E$15="POINTS",RANK(E144,E3:E218),H144)</f>
        <v>136</v>
      </c>
      <c r="D144" t="s" s="42">
        <f>VLOOKUP(A144,'The List'!B1:F730,5,FALSE)</f>
        <v>141</v>
      </c>
      <c r="E144" s="46">
        <f>VLOOKUP(A144,'The List'!B1:I730,8,FALSE)</f>
        <v>206.078890566960</v>
      </c>
      <c r="F144" s="46">
        <f>IF('Settings'!$E$15="POINTS",E144-VLOOKUP(B$2,C1:E218,3,FALSE),J144)</f>
        <v>-189.695311069055</v>
      </c>
      <c r="G144" s="46"/>
      <c r="H144" s="149">
        <f>RANK(I144,I3:I218)</f>
        <v>140</v>
      </c>
      <c r="I144" s="150">
        <f>VLOOKUP(A144,'Standard Deviations'!A1:C731,3,FALSE)</f>
        <v>-2.2675010556347</v>
      </c>
      <c r="J144" s="150">
        <f>I144-VLOOKUP(B$2,H1:J218,2,FALSE)</f>
        <v>-7.45496471671964</v>
      </c>
    </row>
    <row r="145" ht="21.25" customHeight="1">
      <c r="A145" t="s" s="8">
        <v>705</v>
      </c>
      <c r="B145" t="s" s="66">
        <f>VLOOKUP(A145,'The List'!B1:D730,3,FALSE)</f>
        <v>107</v>
      </c>
      <c r="C145" s="67">
        <f>IF('Settings'!$E$15="POINTS",RANK(E145,E3:E218),H145)</f>
        <v>130</v>
      </c>
      <c r="D145" t="s" s="42">
        <f>VLOOKUP(A145,'The List'!B1:F730,5,FALSE)</f>
        <v>225</v>
      </c>
      <c r="E145" s="46">
        <f>VLOOKUP(A145,'The List'!B1:I730,8,FALSE)</f>
        <v>212.687364259197</v>
      </c>
      <c r="F145" s="46">
        <f>IF('Settings'!$E$15="POINTS",E145-VLOOKUP(B$2,C1:E218,3,FALSE),J145)</f>
        <v>-183.086837376818</v>
      </c>
      <c r="G145" s="46"/>
      <c r="H145" s="149">
        <f>RANK(I145,I3:I218)</f>
        <v>175</v>
      </c>
      <c r="I145" s="150">
        <f>VLOOKUP(A145,'Standard Deviations'!A1:C731,3,FALSE)</f>
        <v>-3.77828396504518</v>
      </c>
      <c r="J145" s="150">
        <f>I145-VLOOKUP(B$2,H1:J218,2,FALSE)</f>
        <v>-8.965747626130121</v>
      </c>
    </row>
    <row r="146" ht="21.25" customHeight="1">
      <c r="A146" t="s" s="8">
        <v>706</v>
      </c>
      <c r="B146" t="s" s="66">
        <f>VLOOKUP(A146,'The List'!B1:D730,3,FALSE)</f>
        <v>107</v>
      </c>
      <c r="C146" s="67">
        <f>IF('Settings'!$E$15="POINTS",RANK(E146,E3:E218),H146)</f>
        <v>150</v>
      </c>
      <c r="D146" t="s" s="42">
        <f>VLOOKUP(A146,'The List'!B1:F730,5,FALSE)</f>
        <v>164</v>
      </c>
      <c r="E146" s="46">
        <f>VLOOKUP(A146,'The List'!B1:I730,8,FALSE)</f>
        <v>188.271766252177</v>
      </c>
      <c r="F146" s="46">
        <f>IF('Settings'!$E$15="POINTS",E146-VLOOKUP(B$2,C1:E218,3,FALSE),J146)</f>
        <v>-207.502435383838</v>
      </c>
      <c r="G146" s="46"/>
      <c r="H146" s="149">
        <f>RANK(I146,I3:I218)</f>
        <v>137</v>
      </c>
      <c r="I146" s="150">
        <f>VLOOKUP(A146,'Standard Deviations'!A1:C731,3,FALSE)</f>
        <v>-2.21083847696371</v>
      </c>
      <c r="J146" s="150">
        <f>I146-VLOOKUP(B$2,H1:J218,2,FALSE)</f>
        <v>-7.39830213804865</v>
      </c>
    </row>
    <row r="147" ht="21.25" customHeight="1">
      <c r="A147" t="s" s="8">
        <v>711</v>
      </c>
      <c r="B147" t="s" s="66">
        <f>VLOOKUP(A147,'The List'!B1:D730,3,FALSE)</f>
        <v>107</v>
      </c>
      <c r="C147" s="67">
        <f>IF('Settings'!$E$15="POINTS",RANK(E147,E3:E218),H147)</f>
        <v>131</v>
      </c>
      <c r="D147" t="s" s="42">
        <f>VLOOKUP(A147,'The List'!B1:F730,5,FALSE)</f>
        <v>196</v>
      </c>
      <c r="E147" s="46">
        <f>VLOOKUP(A147,'The List'!B1:I730,8,FALSE)</f>
        <v>210.871377698146</v>
      </c>
      <c r="F147" s="46">
        <f>IF('Settings'!$E$15="POINTS",E147-VLOOKUP(B$2,C1:E218,3,FALSE),J147)</f>
        <v>-184.902823937869</v>
      </c>
      <c r="G147" s="46"/>
      <c r="H147" s="149">
        <f>RANK(I147,I3:I218)</f>
        <v>159</v>
      </c>
      <c r="I147" s="150">
        <f>VLOOKUP(A147,'Standard Deviations'!A1:C731,3,FALSE)</f>
        <v>-2.76577458634584</v>
      </c>
      <c r="J147" s="150">
        <f>I147-VLOOKUP(B$2,H1:J218,2,FALSE)</f>
        <v>-7.95323824743078</v>
      </c>
    </row>
    <row r="148" ht="21.25" customHeight="1">
      <c r="A148" t="s" s="8">
        <v>712</v>
      </c>
      <c r="B148" t="s" s="66">
        <f>VLOOKUP(A148,'The List'!B1:D730,3,FALSE)</f>
        <v>107</v>
      </c>
      <c r="C148" s="67">
        <f>IF('Settings'!$E$15="POINTS",RANK(E148,E3:E218),H148)</f>
        <v>127</v>
      </c>
      <c r="D148" t="s" s="42">
        <f>VLOOKUP(A148,'The List'!B1:F730,5,FALSE)</f>
        <v>131</v>
      </c>
      <c r="E148" s="46">
        <f>VLOOKUP(A148,'The List'!B1:I730,8,FALSE)</f>
        <v>214.439463499539</v>
      </c>
      <c r="F148" s="46">
        <f>IF('Settings'!$E$15="POINTS",E148-VLOOKUP(B$2,C1:E218,3,FALSE),J148)</f>
        <v>-181.334738136476</v>
      </c>
      <c r="G148" s="46"/>
      <c r="H148" s="149">
        <f>RANK(I148,I3:I218)</f>
        <v>151</v>
      </c>
      <c r="I148" s="150">
        <f>VLOOKUP(A148,'Standard Deviations'!A1:C731,3,FALSE)</f>
        <v>-2.56726741185815</v>
      </c>
      <c r="J148" s="150">
        <f>I148-VLOOKUP(B$2,H1:J218,2,FALSE)</f>
        <v>-7.75473107294309</v>
      </c>
    </row>
    <row r="149" ht="21.25" customHeight="1">
      <c r="A149" t="s" s="8">
        <v>718</v>
      </c>
      <c r="B149" t="s" s="66">
        <f>VLOOKUP(A149,'The List'!B1:D730,3,FALSE)</f>
        <v>107</v>
      </c>
      <c r="C149" s="67">
        <f>IF('Settings'!$E$15="POINTS",RANK(E149,E3:E218),H149)</f>
        <v>146</v>
      </c>
      <c r="D149" t="s" s="42">
        <f>VLOOKUP(A149,'The List'!B1:F730,5,FALSE)</f>
        <v>292</v>
      </c>
      <c r="E149" s="46">
        <f>VLOOKUP(A149,'The List'!B1:I730,8,FALSE)</f>
        <v>197.399814710795</v>
      </c>
      <c r="F149" s="46">
        <f>IF('Settings'!$E$15="POINTS",E149-VLOOKUP(B$2,C1:E218,3,FALSE),J149)</f>
        <v>-198.374386925220</v>
      </c>
      <c r="G149" s="46"/>
      <c r="H149" s="149">
        <f>RANK(I149,I3:I218)</f>
        <v>150</v>
      </c>
      <c r="I149" s="150">
        <f>VLOOKUP(A149,'Standard Deviations'!A1:C731,3,FALSE)</f>
        <v>-2.55741449896559</v>
      </c>
      <c r="J149" s="150">
        <f>I149-VLOOKUP(B$2,H1:J218,2,FALSE)</f>
        <v>-7.74487816005053</v>
      </c>
    </row>
    <row r="150" ht="21.25" customHeight="1">
      <c r="A150" t="s" s="8">
        <v>724</v>
      </c>
      <c r="B150" t="s" s="66">
        <f>VLOOKUP(A150,'The List'!B1:D730,3,FALSE)</f>
        <v>107</v>
      </c>
      <c r="C150" s="67">
        <f>IF('Settings'!$E$15="POINTS",RANK(E150,E3:E218),H150)</f>
        <v>144</v>
      </c>
      <c r="D150" t="s" s="42">
        <f>VLOOKUP(A150,'The List'!B1:F730,5,FALSE)</f>
        <v>151</v>
      </c>
      <c r="E150" s="46">
        <f>VLOOKUP(A150,'The List'!B1:I730,8,FALSE)</f>
        <v>200.023396813174</v>
      </c>
      <c r="F150" s="46">
        <f>IF('Settings'!$E$15="POINTS",E150-VLOOKUP(B$2,C1:E218,3,FALSE),J150)</f>
        <v>-195.750804822841</v>
      </c>
      <c r="G150" s="46"/>
      <c r="H150" s="149">
        <f>RANK(I150,I3:I218)</f>
        <v>121</v>
      </c>
      <c r="I150" s="150">
        <f>VLOOKUP(A150,'Standard Deviations'!A1:C731,3,FALSE)</f>
        <v>-1.37571949271925</v>
      </c>
      <c r="J150" s="150">
        <f>I150-VLOOKUP(B$2,H1:J218,2,FALSE)</f>
        <v>-6.56318315380419</v>
      </c>
    </row>
    <row r="151" ht="21.25" customHeight="1">
      <c r="A151" t="s" s="8">
        <v>727</v>
      </c>
      <c r="B151" t="s" s="66">
        <f>VLOOKUP(A151,'The List'!B1:D730,3,FALSE)</f>
        <v>107</v>
      </c>
      <c r="C151" s="67">
        <f>IF('Settings'!$E$15="POINTS",RANK(E151,E3:E218),H151)</f>
        <v>158</v>
      </c>
      <c r="D151" t="s" s="42">
        <f>VLOOKUP(A151,'The List'!B1:F730,5,FALSE)</f>
        <v>115</v>
      </c>
      <c r="E151" s="46">
        <f>VLOOKUP(A151,'The List'!B1:I730,8,FALSE)</f>
        <v>178.500254643489</v>
      </c>
      <c r="F151" s="46">
        <f>IF('Settings'!$E$15="POINTS",E151-VLOOKUP(B$2,C1:E218,3,FALSE),J151)</f>
        <v>-217.273946992526</v>
      </c>
      <c r="G151" s="46"/>
      <c r="H151" s="149">
        <f>RANK(I151,I3:I218)</f>
        <v>135</v>
      </c>
      <c r="I151" s="150">
        <f>VLOOKUP(A151,'Standard Deviations'!A1:C731,3,FALSE)</f>
        <v>-2.1360830669771</v>
      </c>
      <c r="J151" s="150">
        <f>I151-VLOOKUP(B$2,H1:J218,2,FALSE)</f>
        <v>-7.32354672806204</v>
      </c>
    </row>
    <row r="152" ht="21.25" customHeight="1">
      <c r="A152" t="s" s="8">
        <v>733</v>
      </c>
      <c r="B152" t="s" s="66">
        <f>VLOOKUP(A152,'The List'!B1:D730,3,FALSE)</f>
        <v>107</v>
      </c>
      <c r="C152" s="67">
        <f>IF('Settings'!$E$15="POINTS",RANK(E152,E3:E218),H152)</f>
        <v>155</v>
      </c>
      <c r="D152" t="s" s="42">
        <f>VLOOKUP(A152,'The List'!B1:F730,5,FALSE)</f>
        <v>170</v>
      </c>
      <c r="E152" s="46">
        <f>VLOOKUP(A152,'The List'!B1:I730,8,FALSE)</f>
        <v>181.240560789650</v>
      </c>
      <c r="F152" s="46">
        <f>IF('Settings'!$E$15="POINTS",E152-VLOOKUP(B$2,C1:E218,3,FALSE),J152)</f>
        <v>-214.533640846365</v>
      </c>
      <c r="G152" s="46"/>
      <c r="H152" s="149">
        <f>RANK(I152,I3:I218)</f>
        <v>146</v>
      </c>
      <c r="I152" s="150">
        <f>VLOOKUP(A152,'Standard Deviations'!A1:C731,3,FALSE)</f>
        <v>-2.39763606349625</v>
      </c>
      <c r="J152" s="150">
        <f>I152-VLOOKUP(B$2,H1:J218,2,FALSE)</f>
        <v>-7.58509972458119</v>
      </c>
    </row>
    <row r="153" ht="21.25" customHeight="1">
      <c r="A153" t="s" s="8">
        <v>734</v>
      </c>
      <c r="B153" t="s" s="66">
        <f>VLOOKUP(A153,'The List'!B1:D730,3,FALSE)</f>
        <v>107</v>
      </c>
      <c r="C153" s="67">
        <f>IF('Settings'!$E$15="POINTS",RANK(E153,E3:E218),H153)</f>
        <v>166</v>
      </c>
      <c r="D153" t="s" s="42">
        <f>VLOOKUP(A153,'The List'!B1:F730,5,FALSE)</f>
        <v>108</v>
      </c>
      <c r="E153" s="46">
        <f>VLOOKUP(A153,'The List'!B1:I730,8,FALSE)</f>
        <v>170.821154700408</v>
      </c>
      <c r="F153" s="46">
        <f>IF('Settings'!$E$15="POINTS",E153-VLOOKUP(B$2,C1:E218,3,FALSE),J153)</f>
        <v>-224.953046935607</v>
      </c>
      <c r="G153" s="46"/>
      <c r="H153" s="149">
        <f>RANK(I153,I3:I218)</f>
        <v>133</v>
      </c>
      <c r="I153" s="150">
        <f>VLOOKUP(A153,'Standard Deviations'!A1:C731,3,FALSE)</f>
        <v>-2.03813580686749</v>
      </c>
      <c r="J153" s="150">
        <f>I153-VLOOKUP(B$2,H1:J218,2,FALSE)</f>
        <v>-7.22559946795243</v>
      </c>
    </row>
    <row r="154" ht="21.25" customHeight="1">
      <c r="A154" t="s" s="8">
        <v>736</v>
      </c>
      <c r="B154" t="s" s="66">
        <f>VLOOKUP(A154,'The List'!B1:D730,3,FALSE)</f>
        <v>107</v>
      </c>
      <c r="C154" s="67">
        <f>IF('Settings'!$E$15="POINTS",RANK(E154,E3:E218),H154)</f>
        <v>160</v>
      </c>
      <c r="D154" t="s" s="42">
        <f>VLOOKUP(A154,'The List'!B1:F730,5,FALSE)</f>
        <v>119</v>
      </c>
      <c r="E154" s="46">
        <f>VLOOKUP(A154,'The List'!B1:I730,8,FALSE)</f>
        <v>176.440582237669</v>
      </c>
      <c r="F154" s="46">
        <f>IF('Settings'!$E$15="POINTS",E154-VLOOKUP(B$2,C1:E218,3,FALSE),J154)</f>
        <v>-219.333619398346</v>
      </c>
      <c r="G154" s="46"/>
      <c r="H154" s="149">
        <f>RANK(I154,I3:I218)</f>
        <v>147</v>
      </c>
      <c r="I154" s="150">
        <f>VLOOKUP(A154,'Standard Deviations'!A1:C731,3,FALSE)</f>
        <v>-2.4158090755457</v>
      </c>
      <c r="J154" s="150">
        <f>I154-VLOOKUP(B$2,H1:J218,2,FALSE)</f>
        <v>-7.60327273663064</v>
      </c>
    </row>
    <row r="155" ht="21.25" customHeight="1">
      <c r="A155" t="s" s="8">
        <v>738</v>
      </c>
      <c r="B155" t="s" s="66">
        <f>VLOOKUP(A155,'The List'!B1:D730,3,FALSE)</f>
        <v>107</v>
      </c>
      <c r="C155" s="67">
        <f>IF('Settings'!$E$15="POINTS",RANK(E155,E3:E218),H155)</f>
        <v>148</v>
      </c>
      <c r="D155" t="s" s="42">
        <f>VLOOKUP(A155,'The List'!B1:F730,5,FALSE)</f>
        <v>115</v>
      </c>
      <c r="E155" s="46">
        <f>VLOOKUP(A155,'The List'!B1:I730,8,FALSE)</f>
        <v>195.433075328662</v>
      </c>
      <c r="F155" s="46">
        <f>IF('Settings'!$E$15="POINTS",E155-VLOOKUP(B$2,C1:E218,3,FALSE),J155)</f>
        <v>-200.341126307353</v>
      </c>
      <c r="G155" s="46"/>
      <c r="H155" s="149">
        <f>RANK(I155,I3:I218)</f>
        <v>148</v>
      </c>
      <c r="I155" s="150">
        <f>VLOOKUP(A155,'Standard Deviations'!A1:C731,3,FALSE)</f>
        <v>-2.42227223777488</v>
      </c>
      <c r="J155" s="150">
        <f>I155-VLOOKUP(B$2,H1:J218,2,FALSE)</f>
        <v>-7.60973589885982</v>
      </c>
    </row>
    <row r="156" ht="21.25" customHeight="1">
      <c r="A156" t="s" s="8">
        <v>739</v>
      </c>
      <c r="B156" t="s" s="66">
        <f>VLOOKUP(A156,'The List'!B1:D730,3,FALSE)</f>
        <v>107</v>
      </c>
      <c r="C156" s="67">
        <f>IF('Settings'!$E$15="POINTS",RANK(E156,E3:E218),H156)</f>
        <v>179</v>
      </c>
      <c r="D156" t="s" s="42">
        <f>VLOOKUP(A156,'The List'!B1:F730,5,FALSE)</f>
        <v>238</v>
      </c>
      <c r="E156" s="46">
        <f>VLOOKUP(A156,'The List'!B1:I730,8,FALSE)</f>
        <v>155.418355686176</v>
      </c>
      <c r="F156" s="46">
        <f>IF('Settings'!$E$15="POINTS",E156-VLOOKUP(B$2,C1:E218,3,FALSE),J156)</f>
        <v>-240.355845949839</v>
      </c>
      <c r="G156" s="46"/>
      <c r="H156" s="149">
        <f>RANK(I156,I3:I218)</f>
        <v>155</v>
      </c>
      <c r="I156" s="150">
        <f>VLOOKUP(A156,'Standard Deviations'!A1:C731,3,FALSE)</f>
        <v>-2.69063472192132</v>
      </c>
      <c r="J156" s="150">
        <f>I156-VLOOKUP(B$2,H1:J218,2,FALSE)</f>
        <v>-7.87809838300626</v>
      </c>
    </row>
    <row r="157" ht="21.25" customHeight="1">
      <c r="A157" t="s" s="8">
        <v>740</v>
      </c>
      <c r="B157" t="s" s="66">
        <f>VLOOKUP(A157,'The List'!B1:D730,3,FALSE)</f>
        <v>107</v>
      </c>
      <c r="C157" s="67">
        <f>IF('Settings'!$E$15="POINTS",RANK(E157,E3:E218),H157)</f>
        <v>164</v>
      </c>
      <c r="D157" t="s" s="42">
        <f>VLOOKUP(A157,'The List'!B1:F730,5,FALSE)</f>
        <v>218</v>
      </c>
      <c r="E157" s="46">
        <f>VLOOKUP(A157,'The List'!B1:I730,8,FALSE)</f>
        <v>172.075896153492</v>
      </c>
      <c r="F157" s="46">
        <f>IF('Settings'!$E$15="POINTS",E157-VLOOKUP(B$2,C1:E218,3,FALSE),J157)</f>
        <v>-223.698305482523</v>
      </c>
      <c r="G157" s="46"/>
      <c r="H157" s="149">
        <f>RANK(I157,I3:I218)</f>
        <v>129</v>
      </c>
      <c r="I157" s="150">
        <f>VLOOKUP(A157,'Standard Deviations'!A1:C731,3,FALSE)</f>
        <v>-1.90738824503158</v>
      </c>
      <c r="J157" s="150">
        <f>I157-VLOOKUP(B$2,H1:J218,2,FALSE)</f>
        <v>-7.09485190611652</v>
      </c>
    </row>
    <row r="158" ht="21.25" customHeight="1">
      <c r="A158" t="s" s="8">
        <v>742</v>
      </c>
      <c r="B158" t="s" s="66">
        <f>VLOOKUP(A158,'The List'!B1:D730,3,FALSE)</f>
        <v>107</v>
      </c>
      <c r="C158" s="67">
        <f>IF('Settings'!$E$15="POINTS",RANK(E158,E3:E218),H158)</f>
        <v>156</v>
      </c>
      <c r="D158" t="s" s="42">
        <f>VLOOKUP(A158,'The List'!B1:F730,5,FALSE)</f>
        <v>164</v>
      </c>
      <c r="E158" s="46">
        <f>VLOOKUP(A158,'The List'!B1:I730,8,FALSE)</f>
        <v>178.816936606785</v>
      </c>
      <c r="F158" s="46">
        <f>IF('Settings'!$E$15="POINTS",E158-VLOOKUP(B$2,C1:E218,3,FALSE),J158)</f>
        <v>-216.957265029230</v>
      </c>
      <c r="G158" s="46"/>
      <c r="H158" s="149">
        <f>RANK(I158,I3:I218)</f>
        <v>141</v>
      </c>
      <c r="I158" s="150">
        <f>VLOOKUP(A158,'Standard Deviations'!A1:C731,3,FALSE)</f>
        <v>-2.28337024697334</v>
      </c>
      <c r="J158" s="150">
        <f>I158-VLOOKUP(B$2,H1:J218,2,FALSE)</f>
        <v>-7.47083390805828</v>
      </c>
    </row>
    <row r="159" ht="21.25" customHeight="1">
      <c r="A159" t="s" s="8">
        <v>747</v>
      </c>
      <c r="B159" t="s" s="66">
        <f>VLOOKUP(A159,'The List'!B1:D730,3,FALSE)</f>
        <v>107</v>
      </c>
      <c r="C159" s="67">
        <f>IF('Settings'!$E$15="POINTS",RANK(E159,E3:E218),H159)</f>
        <v>165</v>
      </c>
      <c r="D159" t="s" s="42">
        <f>VLOOKUP(A159,'The List'!B1:F730,5,FALSE)</f>
        <v>136</v>
      </c>
      <c r="E159" s="46">
        <f>VLOOKUP(A159,'The List'!B1:I730,8,FALSE)</f>
        <v>170.855535245220</v>
      </c>
      <c r="F159" s="46">
        <f>IF('Settings'!$E$15="POINTS",E159-VLOOKUP(B$2,C1:E218,3,FALSE),J159)</f>
        <v>-224.918666390795</v>
      </c>
      <c r="G159" s="46"/>
      <c r="H159" s="149">
        <f>RANK(I159,I3:I218)</f>
        <v>126</v>
      </c>
      <c r="I159" s="150">
        <f>VLOOKUP(A159,'Standard Deviations'!A1:C731,3,FALSE)</f>
        <v>-1.87755145699116</v>
      </c>
      <c r="J159" s="150">
        <f>I159-VLOOKUP(B$2,H1:J218,2,FALSE)</f>
        <v>-7.0650151180761</v>
      </c>
    </row>
    <row r="160" ht="21.25" customHeight="1">
      <c r="A160" t="s" s="8">
        <v>750</v>
      </c>
      <c r="B160" t="s" s="66">
        <f>VLOOKUP(A160,'The List'!B1:D730,3,FALSE)</f>
        <v>107</v>
      </c>
      <c r="C160" s="67">
        <f>IF('Settings'!$E$15="POINTS",RANK(E160,E3:E218),H160)</f>
        <v>168</v>
      </c>
      <c r="D160" t="s" s="42">
        <f>VLOOKUP(A160,'The List'!B1:F730,5,FALSE)</f>
        <v>258</v>
      </c>
      <c r="E160" s="46">
        <f>VLOOKUP(A160,'The List'!B1:I730,8,FALSE)</f>
        <v>169.323815551499</v>
      </c>
      <c r="F160" s="46">
        <f>IF('Settings'!$E$15="POINTS",E160-VLOOKUP(B$2,C1:E218,3,FALSE),J160)</f>
        <v>-226.450386084516</v>
      </c>
      <c r="G160" s="46"/>
      <c r="H160" s="149">
        <f>RANK(I160,I3:I218)</f>
        <v>197</v>
      </c>
      <c r="I160" s="150">
        <f>VLOOKUP(A160,'Standard Deviations'!A1:C731,3,FALSE)</f>
        <v>-4.56372176573409</v>
      </c>
      <c r="J160" s="150">
        <f>I160-VLOOKUP(B$2,H1:J218,2,FALSE)</f>
        <v>-9.751185426819029</v>
      </c>
    </row>
    <row r="161" ht="21.25" customHeight="1">
      <c r="A161" t="s" s="8">
        <v>755</v>
      </c>
      <c r="B161" t="s" s="66">
        <f>VLOOKUP(A161,'The List'!B1:D730,3,FALSE)</f>
        <v>107</v>
      </c>
      <c r="C161" s="67">
        <f>IF('Settings'!$E$15="POINTS",RANK(E161,E3:E218),H161)</f>
        <v>162</v>
      </c>
      <c r="D161" t="s" s="42">
        <f>VLOOKUP(A161,'The List'!B1:F730,5,FALSE)</f>
        <v>156</v>
      </c>
      <c r="E161" s="46">
        <f>VLOOKUP(A161,'The List'!B1:I730,8,FALSE)</f>
        <v>174.995011760962</v>
      </c>
      <c r="F161" s="46">
        <f>IF('Settings'!$E$15="POINTS",E161-VLOOKUP(B$2,C1:E218,3,FALSE),J161)</f>
        <v>-220.779189875053</v>
      </c>
      <c r="G161" s="46"/>
      <c r="H161" s="149">
        <f>RANK(I161,I3:I218)</f>
        <v>164</v>
      </c>
      <c r="I161" s="150">
        <f>VLOOKUP(A161,'Standard Deviations'!A1:C731,3,FALSE)</f>
        <v>-3.04692009393662</v>
      </c>
      <c r="J161" s="150">
        <f>I161-VLOOKUP(B$2,H1:J218,2,FALSE)</f>
        <v>-8.234383755021559</v>
      </c>
    </row>
    <row r="162" ht="21.25" customHeight="1">
      <c r="A162" t="s" s="8">
        <v>756</v>
      </c>
      <c r="B162" t="s" s="66">
        <f>VLOOKUP(A162,'The List'!B1:D730,3,FALSE)</f>
        <v>107</v>
      </c>
      <c r="C162" s="67">
        <f>IF('Settings'!$E$15="POINTS",RANK(E162,E3:E218),H162)</f>
        <v>171</v>
      </c>
      <c r="D162" t="s" s="42">
        <f>VLOOKUP(A162,'The List'!B1:F730,5,FALSE)</f>
        <v>139</v>
      </c>
      <c r="E162" s="46">
        <f>VLOOKUP(A162,'The List'!B1:I730,8,FALSE)</f>
        <v>163.913184241338</v>
      </c>
      <c r="F162" s="46">
        <f>IF('Settings'!$E$15="POINTS",E162-VLOOKUP(B$2,C1:E218,3,FALSE),J162)</f>
        <v>-231.861017394677</v>
      </c>
      <c r="G162" s="46"/>
      <c r="H162" s="149">
        <f>RANK(I162,I3:I218)</f>
        <v>176</v>
      </c>
      <c r="I162" s="150">
        <f>VLOOKUP(A162,'Standard Deviations'!A1:C731,3,FALSE)</f>
        <v>-3.79461537964471</v>
      </c>
      <c r="J162" s="150">
        <f>I162-VLOOKUP(B$2,H1:J218,2,FALSE)</f>
        <v>-8.98207904072965</v>
      </c>
    </row>
    <row r="163" ht="21.25" customHeight="1">
      <c r="A163" t="s" s="8">
        <v>760</v>
      </c>
      <c r="B163" t="s" s="66">
        <f>VLOOKUP(A163,'The List'!B1:D730,3,FALSE)</f>
        <v>107</v>
      </c>
      <c r="C163" s="67">
        <f>IF('Settings'!$E$15="POINTS",RANK(E163,E3:E218),H163)</f>
        <v>145</v>
      </c>
      <c r="D163" t="s" s="42">
        <f>VLOOKUP(A163,'The List'!B1:F730,5,FALSE)</f>
        <v>166</v>
      </c>
      <c r="E163" s="46">
        <f>VLOOKUP(A163,'The List'!B1:I730,8,FALSE)</f>
        <v>198.873919148314</v>
      </c>
      <c r="F163" s="46">
        <f>IF('Settings'!$E$15="POINTS",E163-VLOOKUP(B$2,C1:E218,3,FALSE),J163)</f>
        <v>-196.900282487701</v>
      </c>
      <c r="G163" s="46"/>
      <c r="H163" s="149">
        <f>RANK(I163,I3:I218)</f>
        <v>165</v>
      </c>
      <c r="I163" s="150">
        <f>VLOOKUP(A163,'Standard Deviations'!A1:C731,3,FALSE)</f>
        <v>-3.09040988333295</v>
      </c>
      <c r="J163" s="150">
        <f>I163-VLOOKUP(B$2,H1:J218,2,FALSE)</f>
        <v>-8.27787354441789</v>
      </c>
    </row>
    <row r="164" ht="21.25" customHeight="1">
      <c r="A164" t="s" s="8">
        <v>761</v>
      </c>
      <c r="B164" t="s" s="66">
        <f>VLOOKUP(A164,'The List'!B1:D730,3,FALSE)</f>
        <v>107</v>
      </c>
      <c r="C164" s="67">
        <f>IF('Settings'!$E$15="POINTS",RANK(E164,E3:E218),H164)</f>
        <v>147</v>
      </c>
      <c r="D164" t="s" s="42">
        <f>VLOOKUP(A164,'The List'!B1:F730,5,FALSE)</f>
        <v>189</v>
      </c>
      <c r="E164" s="46">
        <f>VLOOKUP(A164,'The List'!B1:I730,8,FALSE)</f>
        <v>196.241880376873</v>
      </c>
      <c r="F164" s="46">
        <f>IF('Settings'!$E$15="POINTS",E164-VLOOKUP(B$2,C1:E218,3,FALSE),J164)</f>
        <v>-199.532321259142</v>
      </c>
      <c r="G164" s="46"/>
      <c r="H164" s="149">
        <f>RANK(I164,I3:I218)</f>
        <v>199</v>
      </c>
      <c r="I164" s="150">
        <f>VLOOKUP(A164,'Standard Deviations'!A1:C731,3,FALSE)</f>
        <v>-4.61807966903174</v>
      </c>
      <c r="J164" s="150">
        <f>I164-VLOOKUP(B$2,H1:J218,2,FALSE)</f>
        <v>-9.805543330116681</v>
      </c>
    </row>
    <row r="165" ht="21.25" customHeight="1">
      <c r="A165" t="s" s="8">
        <v>763</v>
      </c>
      <c r="B165" t="s" s="66">
        <f>VLOOKUP(A165,'The List'!B1:D730,3,FALSE)</f>
        <v>107</v>
      </c>
      <c r="C165" s="67">
        <f>IF('Settings'!$E$15="POINTS",RANK(E165,E3:E218),H165)</f>
        <v>159</v>
      </c>
      <c r="D165" t="s" s="42">
        <f>VLOOKUP(A165,'The List'!B1:F730,5,FALSE)</f>
        <v>136</v>
      </c>
      <c r="E165" s="46">
        <f>VLOOKUP(A165,'The List'!B1:I730,8,FALSE)</f>
        <v>176.701814438074</v>
      </c>
      <c r="F165" s="46">
        <f>IF('Settings'!$E$15="POINTS",E165-VLOOKUP(B$2,C1:E218,3,FALSE),J165)</f>
        <v>-219.072387197941</v>
      </c>
      <c r="G165" s="46"/>
      <c r="H165" s="149">
        <f>RANK(I165,I3:I218)</f>
        <v>149</v>
      </c>
      <c r="I165" s="150">
        <f>VLOOKUP(A165,'Standard Deviations'!A1:C731,3,FALSE)</f>
        <v>-2.42751127194227</v>
      </c>
      <c r="J165" s="150">
        <f>I165-VLOOKUP(B$2,H1:J218,2,FALSE)</f>
        <v>-7.61497493302721</v>
      </c>
    </row>
    <row r="166" ht="21.25" customHeight="1">
      <c r="A166" t="s" s="8">
        <v>764</v>
      </c>
      <c r="B166" t="s" s="66">
        <f>VLOOKUP(A166,'The List'!B1:D730,3,FALSE)</f>
        <v>107</v>
      </c>
      <c r="C166" s="67">
        <f>IF('Settings'!$E$15="POINTS",RANK(E166,E3:E218),H166)</f>
        <v>180</v>
      </c>
      <c r="D166" t="s" s="42">
        <f>VLOOKUP(A166,'The List'!B1:F730,5,FALSE)</f>
        <v>139</v>
      </c>
      <c r="E166" s="46">
        <f>VLOOKUP(A166,'The List'!B1:I730,8,FALSE)</f>
        <v>152.998788494761</v>
      </c>
      <c r="F166" s="46">
        <f>IF('Settings'!$E$15="POINTS",E166-VLOOKUP(B$2,C1:E218,3,FALSE),J166)</f>
        <v>-242.775413141254</v>
      </c>
      <c r="G166" s="46"/>
      <c r="H166" s="149">
        <f>RANK(I166,I3:I218)</f>
        <v>187</v>
      </c>
      <c r="I166" s="150">
        <f>VLOOKUP(A166,'Standard Deviations'!A1:C731,3,FALSE)</f>
        <v>-4.24517277488326</v>
      </c>
      <c r="J166" s="150">
        <f>I166-VLOOKUP(B$2,H1:J218,2,FALSE)</f>
        <v>-9.432636435968201</v>
      </c>
    </row>
    <row r="167" ht="21.25" customHeight="1">
      <c r="A167" t="s" s="8">
        <v>765</v>
      </c>
      <c r="B167" t="s" s="66">
        <f>VLOOKUP(A167,'The List'!B1:D730,3,FALSE)</f>
        <v>107</v>
      </c>
      <c r="C167" s="67">
        <f>IF('Settings'!$E$15="POINTS",RANK(E167,E3:E218),H167)</f>
        <v>133</v>
      </c>
      <c r="D167" t="s" s="42">
        <f>VLOOKUP(A167,'The List'!B1:F730,5,FALSE)</f>
        <v>196</v>
      </c>
      <c r="E167" s="46">
        <f>VLOOKUP(A167,'The List'!B1:I730,8,FALSE)</f>
        <v>210.125507001176</v>
      </c>
      <c r="F167" s="46">
        <f>IF('Settings'!$E$15="POINTS",E167-VLOOKUP(B$2,C1:E218,3,FALSE),J167)</f>
        <v>-185.648694634839</v>
      </c>
      <c r="G167" s="46"/>
      <c r="H167" s="149">
        <f>RANK(I167,I3:I218)</f>
        <v>184</v>
      </c>
      <c r="I167" s="150">
        <f>VLOOKUP(A167,'Standard Deviations'!A1:C731,3,FALSE)</f>
        <v>-4.19724045344968</v>
      </c>
      <c r="J167" s="150">
        <f>I167-VLOOKUP(B$2,H1:J218,2,FALSE)</f>
        <v>-9.384704114534619</v>
      </c>
    </row>
    <row r="168" ht="21.25" customHeight="1">
      <c r="A168" t="s" s="8">
        <v>768</v>
      </c>
      <c r="B168" t="s" s="66">
        <f>VLOOKUP(A168,'The List'!B1:D730,3,FALSE)</f>
        <v>107</v>
      </c>
      <c r="C168" s="67">
        <f>IF('Settings'!$E$15="POINTS",RANK(E168,E3:E218),H168)</f>
        <v>161</v>
      </c>
      <c r="D168" t="s" s="42">
        <f>VLOOKUP(A168,'The List'!B1:F730,5,FALSE)</f>
        <v>127</v>
      </c>
      <c r="E168" s="46">
        <f>VLOOKUP(A168,'The List'!B1:I730,8,FALSE)</f>
        <v>176.223810461842</v>
      </c>
      <c r="F168" s="46">
        <f>IF('Settings'!$E$15="POINTS",E168-VLOOKUP(B$2,C1:E218,3,FALSE),J168)</f>
        <v>-219.550391174173</v>
      </c>
      <c r="G168" s="46"/>
      <c r="H168" s="149">
        <f>RANK(I168,I3:I218)</f>
        <v>170</v>
      </c>
      <c r="I168" s="150">
        <f>VLOOKUP(A168,'Standard Deviations'!A1:C731,3,FALSE)</f>
        <v>-3.32969175792333</v>
      </c>
      <c r="J168" s="150">
        <f>I168-VLOOKUP(B$2,H1:J218,2,FALSE)</f>
        <v>-8.517155419008271</v>
      </c>
    </row>
    <row r="169" ht="21.25" customHeight="1">
      <c r="A169" t="s" s="8">
        <v>769</v>
      </c>
      <c r="B169" t="s" s="66">
        <f>VLOOKUP(A169,'The List'!B1:D730,3,FALSE)</f>
        <v>107</v>
      </c>
      <c r="C169" s="67">
        <f>IF('Settings'!$E$15="POINTS",RANK(E169,E3:E218),H169)</f>
        <v>172</v>
      </c>
      <c r="D169" t="s" s="42">
        <f>VLOOKUP(A169,'The List'!B1:F730,5,FALSE)</f>
        <v>234</v>
      </c>
      <c r="E169" s="46">
        <f>VLOOKUP(A169,'The List'!B1:I730,8,FALSE)</f>
        <v>161.390150298691</v>
      </c>
      <c r="F169" s="46">
        <f>IF('Settings'!$E$15="POINTS",E169-VLOOKUP(B$2,C1:E218,3,FALSE),J169)</f>
        <v>-234.384051337324</v>
      </c>
      <c r="G169" s="46"/>
      <c r="H169" s="149">
        <f>RANK(I169,I3:I218)</f>
        <v>209</v>
      </c>
      <c r="I169" s="150">
        <f>VLOOKUP(A169,'Standard Deviations'!A1:C731,3,FALSE)</f>
        <v>-5.08462244377256</v>
      </c>
      <c r="J169" s="150">
        <f>I169-VLOOKUP(B$2,H1:J218,2,FALSE)</f>
        <v>-10.2720861048575</v>
      </c>
    </row>
    <row r="170" ht="21.25" customHeight="1">
      <c r="A170" t="s" s="8">
        <v>773</v>
      </c>
      <c r="B170" t="s" s="66">
        <f>VLOOKUP(A170,'The List'!B1:D730,3,FALSE)</f>
        <v>107</v>
      </c>
      <c r="C170" s="67">
        <f>IF('Settings'!$E$15="POINTS",RANK(E170,E3:E218),H170)</f>
        <v>177</v>
      </c>
      <c r="D170" t="s" s="42">
        <f>VLOOKUP(A170,'The List'!B1:F730,5,FALSE)</f>
        <v>173</v>
      </c>
      <c r="E170" s="46">
        <f>VLOOKUP(A170,'The List'!B1:I730,8,FALSE)</f>
        <v>155.803542157650</v>
      </c>
      <c r="F170" s="46">
        <f>IF('Settings'!$E$15="POINTS",E170-VLOOKUP(B$2,C1:E218,3,FALSE),J170)</f>
        <v>-239.970659478365</v>
      </c>
      <c r="G170" s="46"/>
      <c r="H170" s="149">
        <f>RANK(I170,I3:I218)</f>
        <v>166</v>
      </c>
      <c r="I170" s="150">
        <f>VLOOKUP(A170,'Standard Deviations'!A1:C731,3,FALSE)</f>
        <v>-3.13047361297806</v>
      </c>
      <c r="J170" s="150">
        <f>I170-VLOOKUP(B$2,H1:J218,2,FALSE)</f>
        <v>-8.317937274063</v>
      </c>
    </row>
    <row r="171" ht="21.25" customHeight="1">
      <c r="A171" t="s" s="8">
        <v>774</v>
      </c>
      <c r="B171" t="s" s="66">
        <f>VLOOKUP(A171,'The List'!B1:D730,3,FALSE)</f>
        <v>107</v>
      </c>
      <c r="C171" s="67">
        <f>IF('Settings'!$E$15="POINTS",RANK(E171,E3:E218),H171)</f>
        <v>142</v>
      </c>
      <c r="D171" t="s" s="42">
        <f>VLOOKUP(A171,'The List'!B1:F730,5,FALSE)</f>
        <v>170</v>
      </c>
      <c r="E171" s="46">
        <f>VLOOKUP(A171,'The List'!B1:I730,8,FALSE)</f>
        <v>202.396132521592</v>
      </c>
      <c r="F171" s="46">
        <f>IF('Settings'!$E$15="POINTS",E171-VLOOKUP(B$2,C1:E218,3,FALSE),J171)</f>
        <v>-193.378069114423</v>
      </c>
      <c r="G171" s="46"/>
      <c r="H171" s="149">
        <f>RANK(I171,I3:I218)</f>
        <v>144</v>
      </c>
      <c r="I171" s="150">
        <f>VLOOKUP(A171,'Standard Deviations'!A1:C731,3,FALSE)</f>
        <v>-2.34075424228643</v>
      </c>
      <c r="J171" s="150">
        <f>I171-VLOOKUP(B$2,H1:J218,2,FALSE)</f>
        <v>-7.52821790337137</v>
      </c>
    </row>
    <row r="172" ht="21.25" customHeight="1">
      <c r="A172" t="s" s="8">
        <v>775</v>
      </c>
      <c r="B172" t="s" s="66">
        <f>VLOOKUP(A172,'The List'!B1:D730,3,FALSE)</f>
        <v>107</v>
      </c>
      <c r="C172" s="67">
        <f>IF('Settings'!$E$15="POINTS",RANK(E172,E3:E218),H172)</f>
        <v>167</v>
      </c>
      <c r="D172" t="s" s="42">
        <f>VLOOKUP(A172,'The List'!B1:F730,5,FALSE)</f>
        <v>164</v>
      </c>
      <c r="E172" s="46">
        <f>VLOOKUP(A172,'The List'!B1:I730,8,FALSE)</f>
        <v>170.244434283472</v>
      </c>
      <c r="F172" s="46">
        <f>IF('Settings'!$E$15="POINTS",E172-VLOOKUP(B$2,C1:E218,3,FALSE),J172)</f>
        <v>-225.529767352543</v>
      </c>
      <c r="G172" s="46"/>
      <c r="H172" s="149">
        <f>RANK(I172,I3:I218)</f>
        <v>163</v>
      </c>
      <c r="I172" s="150">
        <f>VLOOKUP(A172,'Standard Deviations'!A1:C731,3,FALSE)</f>
        <v>-3.01702741628758</v>
      </c>
      <c r="J172" s="150">
        <f>I172-VLOOKUP(B$2,H1:J218,2,FALSE)</f>
        <v>-8.20449107737252</v>
      </c>
    </row>
    <row r="173" ht="21.25" customHeight="1">
      <c r="A173" t="s" s="8">
        <v>776</v>
      </c>
      <c r="B173" t="s" s="66">
        <f>VLOOKUP(A173,'The List'!B1:D730,3,FALSE)</f>
        <v>107</v>
      </c>
      <c r="C173" s="67">
        <f>IF('Settings'!$E$15="POINTS",RANK(E173,E3:E218),H173)</f>
        <v>157</v>
      </c>
      <c r="D173" t="s" s="42">
        <f>VLOOKUP(A173,'The List'!B1:F730,5,FALSE)</f>
        <v>218</v>
      </c>
      <c r="E173" s="46">
        <f>VLOOKUP(A173,'The List'!B1:I730,8,FALSE)</f>
        <v>178.559739347921</v>
      </c>
      <c r="F173" s="46">
        <f>IF('Settings'!$E$15="POINTS",E173-VLOOKUP(B$2,C1:E218,3,FALSE),J173)</f>
        <v>-217.214462288094</v>
      </c>
      <c r="G173" s="46"/>
      <c r="H173" s="149">
        <f>RANK(I173,I3:I218)</f>
        <v>136</v>
      </c>
      <c r="I173" s="150">
        <f>VLOOKUP(A173,'Standard Deviations'!A1:C731,3,FALSE)</f>
        <v>-2.14525724563936</v>
      </c>
      <c r="J173" s="150">
        <f>I173-VLOOKUP(B$2,H1:J218,2,FALSE)</f>
        <v>-7.3327209067243</v>
      </c>
    </row>
    <row r="174" ht="21.25" customHeight="1">
      <c r="A174" t="s" s="8">
        <v>779</v>
      </c>
      <c r="B174" t="s" s="66">
        <f>VLOOKUP(A174,'The List'!B1:D730,3,FALSE)</f>
        <v>107</v>
      </c>
      <c r="C174" s="67">
        <f>IF('Settings'!$E$15="POINTS",RANK(E174,E3:E218),H174)</f>
        <v>152</v>
      </c>
      <c r="D174" t="s" s="42">
        <f>VLOOKUP(A174,'The List'!B1:F730,5,FALSE)</f>
        <v>218</v>
      </c>
      <c r="E174" s="46">
        <f>VLOOKUP(A174,'The List'!B1:I730,8,FALSE)</f>
        <v>184.924186494692</v>
      </c>
      <c r="F174" s="46">
        <f>IF('Settings'!$E$15="POINTS",E174-VLOOKUP(B$2,C1:E218,3,FALSE),J174)</f>
        <v>-210.850015141323</v>
      </c>
      <c r="G174" s="46"/>
      <c r="H174" s="149">
        <f>RANK(I174,I3:I218)</f>
        <v>161</v>
      </c>
      <c r="I174" s="150">
        <f>VLOOKUP(A174,'Standard Deviations'!A1:C731,3,FALSE)</f>
        <v>-2.95457976951409</v>
      </c>
      <c r="J174" s="150">
        <f>I174-VLOOKUP(B$2,H1:J218,2,FALSE)</f>
        <v>-8.142043430599029</v>
      </c>
    </row>
    <row r="175" ht="21.25" customHeight="1">
      <c r="A175" t="s" s="8">
        <v>781</v>
      </c>
      <c r="B175" t="s" s="66">
        <f>VLOOKUP(A175,'The List'!B1:D730,3,FALSE)</f>
        <v>107</v>
      </c>
      <c r="C175" s="67">
        <f>IF('Settings'!$E$15="POINTS",RANK(E175,E3:E218),H175)</f>
        <v>153</v>
      </c>
      <c r="D175" t="s" s="42">
        <f>VLOOKUP(A175,'The List'!B1:F730,5,FALSE)</f>
        <v>149</v>
      </c>
      <c r="E175" s="46">
        <f>VLOOKUP(A175,'The List'!B1:I730,8,FALSE)</f>
        <v>183.753111890167</v>
      </c>
      <c r="F175" s="46">
        <f>IF('Settings'!$E$15="POINTS",E175-VLOOKUP(B$2,C1:E218,3,FALSE),J175)</f>
        <v>-212.021089745848</v>
      </c>
      <c r="G175" s="46"/>
      <c r="H175" s="149">
        <f>RANK(I175,I3:I218)</f>
        <v>173</v>
      </c>
      <c r="I175" s="150">
        <f>VLOOKUP(A175,'Standard Deviations'!A1:C731,3,FALSE)</f>
        <v>-3.45756952301306</v>
      </c>
      <c r="J175" s="150">
        <f>I175-VLOOKUP(B$2,H1:J218,2,FALSE)</f>
        <v>-8.645033184098001</v>
      </c>
    </row>
    <row r="176" ht="21.25" customHeight="1">
      <c r="A176" t="s" s="8">
        <v>785</v>
      </c>
      <c r="B176" t="s" s="66">
        <f>VLOOKUP(A176,'The List'!B1:D730,3,FALSE)</f>
        <v>107</v>
      </c>
      <c r="C176" s="67">
        <f>IF('Settings'!$E$15="POINTS",RANK(E176,E3:E218),H176)</f>
        <v>182</v>
      </c>
      <c r="D176" t="s" s="42">
        <f>VLOOKUP(A176,'The List'!B1:F730,5,FALSE)</f>
        <v>196</v>
      </c>
      <c r="E176" s="46">
        <f>VLOOKUP(A176,'The List'!B1:I730,8,FALSE)</f>
        <v>148.010212247518</v>
      </c>
      <c r="F176" s="46">
        <f>IF('Settings'!$E$15="POINTS",E176-VLOOKUP(B$2,C1:E218,3,FALSE),J176)</f>
        <v>-247.763989388497</v>
      </c>
      <c r="G176" s="46"/>
      <c r="H176" s="149">
        <f>RANK(I176,I3:I218)</f>
        <v>192</v>
      </c>
      <c r="I176" s="150">
        <f>VLOOKUP(A176,'Standard Deviations'!A1:C731,3,FALSE)</f>
        <v>-4.37827966061787</v>
      </c>
      <c r="J176" s="150">
        <f>I176-VLOOKUP(B$2,H1:J218,2,FALSE)</f>
        <v>-9.56574332170281</v>
      </c>
    </row>
    <row r="177" ht="21.25" customHeight="1">
      <c r="A177" t="s" s="8">
        <v>786</v>
      </c>
      <c r="B177" t="s" s="66">
        <f>VLOOKUP(A177,'The List'!B1:D730,3,FALSE)</f>
        <v>107</v>
      </c>
      <c r="C177" s="67">
        <f>IF('Settings'!$E$15="POINTS",RANK(E177,E3:E218),H177)</f>
        <v>189</v>
      </c>
      <c r="D177" t="s" s="42">
        <f>VLOOKUP(A177,'The List'!B1:F730,5,FALSE)</f>
        <v>166</v>
      </c>
      <c r="E177" s="46">
        <f>VLOOKUP(A177,'The List'!B1:I730,8,FALSE)</f>
        <v>141.615299910438</v>
      </c>
      <c r="F177" s="46">
        <f>IF('Settings'!$E$15="POINTS",E177-VLOOKUP(B$2,C1:E218,3,FALSE),J177)</f>
        <v>-254.158901725577</v>
      </c>
      <c r="G177" s="46"/>
      <c r="H177" s="149">
        <f>RANK(I177,I3:I218)</f>
        <v>189</v>
      </c>
      <c r="I177" s="150">
        <f>VLOOKUP(A177,'Standard Deviations'!A1:C731,3,FALSE)</f>
        <v>-4.28134091820602</v>
      </c>
      <c r="J177" s="150">
        <f>I177-VLOOKUP(B$2,H1:J218,2,FALSE)</f>
        <v>-9.468804579290961</v>
      </c>
    </row>
    <row r="178" ht="21.25" customHeight="1">
      <c r="A178" t="s" s="8">
        <v>788</v>
      </c>
      <c r="B178" t="s" s="66">
        <f>VLOOKUP(A178,'The List'!B1:D730,3,FALSE)</f>
        <v>107</v>
      </c>
      <c r="C178" s="67">
        <f>IF('Settings'!$E$15="POINTS",RANK(E178,E3:E218),H178)</f>
        <v>163</v>
      </c>
      <c r="D178" t="s" s="42">
        <f>VLOOKUP(A178,'The List'!B1:F730,5,FALSE)</f>
        <v>184</v>
      </c>
      <c r="E178" s="46">
        <f>VLOOKUP(A178,'The List'!B1:I730,8,FALSE)</f>
        <v>173.882011001025</v>
      </c>
      <c r="F178" s="46">
        <f>IF('Settings'!$E$15="POINTS",E178-VLOOKUP(B$2,C1:E218,3,FALSE),J178)</f>
        <v>-221.892190634990</v>
      </c>
      <c r="G178" s="46"/>
      <c r="H178" s="149">
        <f>RANK(I178,I3:I218)</f>
        <v>183</v>
      </c>
      <c r="I178" s="150">
        <f>VLOOKUP(A178,'Standard Deviations'!A1:C731,3,FALSE)</f>
        <v>-4.17160928894494</v>
      </c>
      <c r="J178" s="150">
        <f>I178-VLOOKUP(B$2,H1:J218,2,FALSE)</f>
        <v>-9.35907295002988</v>
      </c>
    </row>
    <row r="179" ht="21.25" customHeight="1">
      <c r="A179" t="s" s="8">
        <v>791</v>
      </c>
      <c r="B179" t="s" s="66">
        <f>VLOOKUP(A179,'The List'!B1:D730,3,FALSE)</f>
        <v>107</v>
      </c>
      <c r="C179" s="67">
        <f>IF('Settings'!$E$15="POINTS",RANK(E179,E3:E218),H179)</f>
        <v>170</v>
      </c>
      <c r="D179" t="s" s="42">
        <f>VLOOKUP(A179,'The List'!B1:F730,5,FALSE)</f>
        <v>136</v>
      </c>
      <c r="E179" s="46">
        <f>VLOOKUP(A179,'The List'!B1:I730,8,FALSE)</f>
        <v>166.159956450332</v>
      </c>
      <c r="F179" s="46">
        <f>IF('Settings'!$E$15="POINTS",E179-VLOOKUP(B$2,C1:E218,3,FALSE),J179)</f>
        <v>-229.614245185683</v>
      </c>
      <c r="G179" s="46"/>
      <c r="H179" s="149">
        <f>RANK(I179,I3:I218)</f>
        <v>139</v>
      </c>
      <c r="I179" s="150">
        <f>VLOOKUP(A179,'Standard Deviations'!A1:C731,3,FALSE)</f>
        <v>-2.26670468918279</v>
      </c>
      <c r="J179" s="150">
        <f>I179-VLOOKUP(B$2,H1:J218,2,FALSE)</f>
        <v>-7.45416835026773</v>
      </c>
    </row>
    <row r="180" ht="21.25" customHeight="1">
      <c r="A180" t="s" s="8">
        <v>792</v>
      </c>
      <c r="B180" t="s" s="66">
        <f>VLOOKUP(A180,'The List'!B1:D730,3,FALSE)</f>
        <v>107</v>
      </c>
      <c r="C180" s="67">
        <f>IF('Settings'!$E$15="POINTS",RANK(E180,E3:E218),H180)</f>
        <v>187</v>
      </c>
      <c r="D180" t="s" s="42">
        <f>VLOOKUP(A180,'The List'!B1:F730,5,FALSE)</f>
        <v>136</v>
      </c>
      <c r="E180" s="46">
        <f>VLOOKUP(A180,'The List'!B1:I730,8,FALSE)</f>
        <v>142.935369668364</v>
      </c>
      <c r="F180" s="46">
        <f>IF('Settings'!$E$15="POINTS",E180-VLOOKUP(B$2,C1:E218,3,FALSE),J180)</f>
        <v>-252.838831967651</v>
      </c>
      <c r="G180" s="46"/>
      <c r="H180" s="149">
        <f>RANK(I180,I3:I218)</f>
        <v>160</v>
      </c>
      <c r="I180" s="150">
        <f>VLOOKUP(A180,'Standard Deviations'!A1:C731,3,FALSE)</f>
        <v>-2.92307389962673</v>
      </c>
      <c r="J180" s="150">
        <f>I180-VLOOKUP(B$2,H1:J218,2,FALSE)</f>
        <v>-8.11053756071167</v>
      </c>
    </row>
    <row r="181" ht="21.25" customHeight="1">
      <c r="A181" t="s" s="8">
        <v>795</v>
      </c>
      <c r="B181" t="s" s="66">
        <f>VLOOKUP(A181,'The List'!B1:D730,3,FALSE)</f>
        <v>107</v>
      </c>
      <c r="C181" s="67">
        <f>IF('Settings'!$E$15="POINTS",RANK(E181,E3:E218),H181)</f>
        <v>176</v>
      </c>
      <c r="D181" t="s" s="42">
        <f>VLOOKUP(A181,'The List'!B1:F730,5,FALSE)</f>
        <v>236</v>
      </c>
      <c r="E181" s="46">
        <f>VLOOKUP(A181,'The List'!B1:I730,8,FALSE)</f>
        <v>157.077174690351</v>
      </c>
      <c r="F181" s="46">
        <f>IF('Settings'!$E$15="POINTS",E181-VLOOKUP(B$2,C1:E218,3,FALSE),J181)</f>
        <v>-238.697026945664</v>
      </c>
      <c r="G181" s="46"/>
      <c r="H181" s="149">
        <f>RANK(I181,I3:I218)</f>
        <v>202</v>
      </c>
      <c r="I181" s="150">
        <f>VLOOKUP(A181,'Standard Deviations'!A1:C731,3,FALSE)</f>
        <v>-4.69513123650412</v>
      </c>
      <c r="J181" s="150">
        <f>I181-VLOOKUP(B$2,H1:J218,2,FALSE)</f>
        <v>-9.88259489758906</v>
      </c>
    </row>
    <row r="182" ht="21.25" customHeight="1">
      <c r="A182" t="s" s="8">
        <v>796</v>
      </c>
      <c r="B182" t="s" s="66">
        <f>VLOOKUP(A182,'The List'!B1:D730,3,FALSE)</f>
        <v>107</v>
      </c>
      <c r="C182" s="67">
        <f>IF('Settings'!$E$15="POINTS",RANK(E182,E3:E218),H182)</f>
        <v>191</v>
      </c>
      <c r="D182" t="s" s="42">
        <f>VLOOKUP(A182,'The List'!B1:F730,5,FALSE)</f>
        <v>166</v>
      </c>
      <c r="E182" s="46">
        <f>VLOOKUP(A182,'The List'!B1:I730,8,FALSE)</f>
        <v>140.476199834947</v>
      </c>
      <c r="F182" s="46">
        <f>IF('Settings'!$E$15="POINTS",E182-VLOOKUP(B$2,C1:E218,3,FALSE),J182)</f>
        <v>-255.298001801068</v>
      </c>
      <c r="G182" s="46"/>
      <c r="H182" s="149">
        <f>RANK(I182,I3:I218)</f>
        <v>185</v>
      </c>
      <c r="I182" s="150">
        <f>VLOOKUP(A182,'Standard Deviations'!A1:C731,3,FALSE)</f>
        <v>-4.22940022944955</v>
      </c>
      <c r="J182" s="150">
        <f>I182-VLOOKUP(B$2,H1:J218,2,FALSE)</f>
        <v>-9.41686389053449</v>
      </c>
    </row>
    <row r="183" ht="21.25" customHeight="1">
      <c r="A183" t="s" s="8">
        <v>797</v>
      </c>
      <c r="B183" t="s" s="66">
        <f>VLOOKUP(A183,'The List'!B1:D730,3,FALSE)</f>
        <v>107</v>
      </c>
      <c r="C183" s="67">
        <f>IF('Settings'!$E$15="POINTS",RANK(E183,E3:E218),H183)</f>
        <v>181</v>
      </c>
      <c r="D183" t="s" s="42">
        <f>VLOOKUP(A183,'The List'!B1:F730,5,FALSE)</f>
        <v>151</v>
      </c>
      <c r="E183" s="46">
        <f>VLOOKUP(A183,'The List'!B1:I730,8,FALSE)</f>
        <v>149.432847803764</v>
      </c>
      <c r="F183" s="46">
        <f>IF('Settings'!$E$15="POINTS",E183-VLOOKUP(B$2,C1:E218,3,FALSE),J183)</f>
        <v>-246.341353832251</v>
      </c>
      <c r="G183" s="46"/>
      <c r="H183" s="149">
        <f>RANK(I183,I3:I218)</f>
        <v>130</v>
      </c>
      <c r="I183" s="150">
        <f>VLOOKUP(A183,'Standard Deviations'!A1:C731,3,FALSE)</f>
        <v>-1.92395676921217</v>
      </c>
      <c r="J183" s="150">
        <f>I183-VLOOKUP(B$2,H1:J218,2,FALSE)</f>
        <v>-7.11142043029711</v>
      </c>
    </row>
    <row r="184" ht="21.25" customHeight="1">
      <c r="A184" t="s" s="8">
        <v>802</v>
      </c>
      <c r="B184" t="s" s="66">
        <f>VLOOKUP(A184,'The List'!B1:D730,3,FALSE)</f>
        <v>107</v>
      </c>
      <c r="C184" s="67">
        <f>IF('Settings'!$E$15="POINTS",RANK(E184,E3:E218),H184)</f>
        <v>178</v>
      </c>
      <c r="D184" t="s" s="42">
        <f>VLOOKUP(A184,'The List'!B1:F730,5,FALSE)</f>
        <v>119</v>
      </c>
      <c r="E184" s="46">
        <f>VLOOKUP(A184,'The List'!B1:I730,8,FALSE)</f>
        <v>155.711047551618</v>
      </c>
      <c r="F184" s="46">
        <f>IF('Settings'!$E$15="POINTS",E184-VLOOKUP(B$2,C1:E218,3,FALSE),J184)</f>
        <v>-240.063154084397</v>
      </c>
      <c r="G184" s="46"/>
      <c r="H184" s="149">
        <f>RANK(I184,I3:I218)</f>
        <v>169</v>
      </c>
      <c r="I184" s="150">
        <f>VLOOKUP(A184,'Standard Deviations'!A1:C731,3,FALSE)</f>
        <v>-3.28236022672883</v>
      </c>
      <c r="J184" s="150">
        <f>I184-VLOOKUP(B$2,H1:J218,2,FALSE)</f>
        <v>-8.469823887813771</v>
      </c>
    </row>
    <row r="185" ht="21.25" customHeight="1">
      <c r="A185" t="s" s="8">
        <v>808</v>
      </c>
      <c r="B185" t="s" s="66">
        <f>VLOOKUP(A185,'The List'!B1:D730,3,FALSE)</f>
        <v>107</v>
      </c>
      <c r="C185" s="67">
        <f>IF('Settings'!$E$15="POINTS",RANK(E185,E3:E218),H185)</f>
        <v>188</v>
      </c>
      <c r="D185" t="s" s="42">
        <f>VLOOKUP(A185,'The List'!B1:F730,5,FALSE)</f>
        <v>108</v>
      </c>
      <c r="E185" s="46">
        <f>VLOOKUP(A185,'The List'!B1:I730,8,FALSE)</f>
        <v>141.971157039743</v>
      </c>
      <c r="F185" s="46">
        <f>IF('Settings'!$E$15="POINTS",E185-VLOOKUP(B$2,C1:E218,3,FALSE),J185)</f>
        <v>-253.803044596272</v>
      </c>
      <c r="G185" s="46"/>
      <c r="H185" s="149">
        <f>RANK(I185,I3:I218)</f>
        <v>138</v>
      </c>
      <c r="I185" s="150">
        <f>VLOOKUP(A185,'Standard Deviations'!A1:C731,3,FALSE)</f>
        <v>-2.21156201354425</v>
      </c>
      <c r="J185" s="150">
        <f>I185-VLOOKUP(B$2,H1:J218,2,FALSE)</f>
        <v>-7.39902567462919</v>
      </c>
    </row>
    <row r="186" ht="21.25" customHeight="1">
      <c r="A186" t="s" s="8">
        <v>809</v>
      </c>
      <c r="B186" t="s" s="66">
        <f>VLOOKUP(A186,'The List'!B1:D730,3,FALSE)</f>
        <v>107</v>
      </c>
      <c r="C186" s="67">
        <f>IF('Settings'!$E$15="POINTS",RANK(E186,E3:E218),H186)</f>
        <v>183</v>
      </c>
      <c r="D186" t="s" s="42">
        <f>VLOOKUP(A186,'The List'!B1:F730,5,FALSE)</f>
        <v>113</v>
      </c>
      <c r="E186" s="46">
        <f>VLOOKUP(A186,'The List'!B1:I730,8,FALSE)</f>
        <v>147.439602126238</v>
      </c>
      <c r="F186" s="46">
        <f>IF('Settings'!$E$15="POINTS",E186-VLOOKUP(B$2,C1:E218,3,FALSE),J186)</f>
        <v>-248.334599509777</v>
      </c>
      <c r="G186" s="46"/>
      <c r="H186" s="149">
        <f>RANK(I186,I3:I218)</f>
        <v>162</v>
      </c>
      <c r="I186" s="150">
        <f>VLOOKUP(A186,'Standard Deviations'!A1:C731,3,FALSE)</f>
        <v>-2.97282727758492</v>
      </c>
      <c r="J186" s="150">
        <f>I186-VLOOKUP(B$2,H1:J218,2,FALSE)</f>
        <v>-8.16029093866986</v>
      </c>
    </row>
    <row r="187" ht="21.25" customHeight="1">
      <c r="A187" t="s" s="8">
        <v>811</v>
      </c>
      <c r="B187" t="s" s="66">
        <f>VLOOKUP(A187,'The List'!B1:D730,3,FALSE)</f>
        <v>107</v>
      </c>
      <c r="C187" s="67">
        <f>IF('Settings'!$E$15="POINTS",RANK(E187,E3:E218),H187)</f>
        <v>175</v>
      </c>
      <c r="D187" t="s" s="42">
        <f>VLOOKUP(A187,'The List'!B1:F730,5,FALSE)</f>
        <v>292</v>
      </c>
      <c r="E187" s="46">
        <f>VLOOKUP(A187,'The List'!B1:I730,8,FALSE)</f>
        <v>158.479808290937</v>
      </c>
      <c r="F187" s="46">
        <f>IF('Settings'!$E$15="POINTS",E187-VLOOKUP(B$2,C1:E218,3,FALSE),J187)</f>
        <v>-237.294393345078</v>
      </c>
      <c r="G187" s="46"/>
      <c r="H187" s="149">
        <f>RANK(I187,I3:I218)</f>
        <v>180</v>
      </c>
      <c r="I187" s="150">
        <f>VLOOKUP(A187,'Standard Deviations'!A1:C731,3,FALSE)</f>
        <v>-3.99922811522531</v>
      </c>
      <c r="J187" s="150">
        <f>I187-VLOOKUP(B$2,H1:J218,2,FALSE)</f>
        <v>-9.18669177631025</v>
      </c>
    </row>
    <row r="188" ht="21.25" customHeight="1">
      <c r="A188" t="s" s="8">
        <v>812</v>
      </c>
      <c r="B188" t="s" s="66">
        <f>VLOOKUP(A188,'The List'!B1:D730,3,FALSE)</f>
        <v>107</v>
      </c>
      <c r="C188" s="67">
        <f>IF('Settings'!$E$15="POINTS",RANK(E188,E3:E218),H188)</f>
        <v>185</v>
      </c>
      <c r="D188" t="s" s="42">
        <f>VLOOKUP(A188,'The List'!B1:F730,5,FALSE)</f>
        <v>184</v>
      </c>
      <c r="E188" s="46">
        <f>VLOOKUP(A188,'The List'!B1:I730,8,FALSE)</f>
        <v>143.824346818760</v>
      </c>
      <c r="F188" s="46">
        <f>IF('Settings'!$E$15="POINTS",E188-VLOOKUP(B$2,C1:E218,3,FALSE),J188)</f>
        <v>-251.949854817255</v>
      </c>
      <c r="G188" s="46"/>
      <c r="H188" s="149">
        <f>RANK(I188,I3:I218)</f>
        <v>206</v>
      </c>
      <c r="I188" s="150">
        <f>VLOOKUP(A188,'Standard Deviations'!A1:C731,3,FALSE)</f>
        <v>-4.79671633651121</v>
      </c>
      <c r="J188" s="150">
        <f>I188-VLOOKUP(B$2,H1:J218,2,FALSE)</f>
        <v>-9.984179997596151</v>
      </c>
    </row>
    <row r="189" ht="21.25" customHeight="1">
      <c r="A189" t="s" s="8">
        <v>813</v>
      </c>
      <c r="B189" t="s" s="66">
        <f>VLOOKUP(A189,'The List'!B1:D730,3,FALSE)</f>
        <v>107</v>
      </c>
      <c r="C189" s="67">
        <f>IF('Settings'!$E$15="POINTS",RANK(E189,E3:E218),H189)</f>
        <v>174</v>
      </c>
      <c r="D189" t="s" s="42">
        <f>VLOOKUP(A189,'The List'!B1:F730,5,FALSE)</f>
        <v>156</v>
      </c>
      <c r="E189" s="46">
        <f>VLOOKUP(A189,'The List'!B1:I730,8,FALSE)</f>
        <v>158.805580312748</v>
      </c>
      <c r="F189" s="46">
        <f>IF('Settings'!$E$15="POINTS",E189-VLOOKUP(B$2,C1:E218,3,FALSE),J189)</f>
        <v>-236.968621323267</v>
      </c>
      <c r="G189" s="46"/>
      <c r="H189" s="149">
        <f>RANK(I189,I3:I218)</f>
        <v>188</v>
      </c>
      <c r="I189" s="150">
        <f>VLOOKUP(A189,'Standard Deviations'!A1:C731,3,FALSE)</f>
        <v>-4.25972155647603</v>
      </c>
      <c r="J189" s="150">
        <f>I189-VLOOKUP(B$2,H1:J218,2,FALSE)</f>
        <v>-9.447185217560969</v>
      </c>
    </row>
    <row r="190" ht="21.25" customHeight="1">
      <c r="A190" t="s" s="8">
        <v>814</v>
      </c>
      <c r="B190" t="s" s="66">
        <f>VLOOKUP(A190,'The List'!B1:D730,3,FALSE)</f>
        <v>107</v>
      </c>
      <c r="C190" s="67">
        <f>IF('Settings'!$E$15="POINTS",RANK(E190,E3:E218),H190)</f>
        <v>173</v>
      </c>
      <c r="D190" t="s" s="42">
        <f>VLOOKUP(A190,'The List'!B1:F730,5,FALSE)</f>
        <v>122</v>
      </c>
      <c r="E190" s="46">
        <f>VLOOKUP(A190,'The List'!B1:I730,8,FALSE)</f>
        <v>159.894480647206</v>
      </c>
      <c r="F190" s="46">
        <f>IF('Settings'!$E$15="POINTS",E190-VLOOKUP(B$2,C1:E218,3,FALSE),J190)</f>
        <v>-235.879720988809</v>
      </c>
      <c r="G190" s="46"/>
      <c r="H190" s="149">
        <f>RANK(I190,I3:I218)</f>
        <v>171</v>
      </c>
      <c r="I190" s="150">
        <f>VLOOKUP(A190,'Standard Deviations'!A1:C731,3,FALSE)</f>
        <v>-3.41198316589757</v>
      </c>
      <c r="J190" s="150">
        <f>I190-VLOOKUP(B$2,H1:J218,2,FALSE)</f>
        <v>-8.59944682698251</v>
      </c>
    </row>
    <row r="191" ht="21.25" customHeight="1">
      <c r="A191" t="s" s="8">
        <v>815</v>
      </c>
      <c r="B191" t="s" s="66">
        <f>VLOOKUP(A191,'The List'!B1:D730,3,FALSE)</f>
        <v>107</v>
      </c>
      <c r="C191" s="67">
        <f>IF('Settings'!$E$15="POINTS",RANK(E191,E3:E218),H191)</f>
        <v>192</v>
      </c>
      <c r="D191" t="s" s="42">
        <f>VLOOKUP(A191,'The List'!B1:F730,5,FALSE)</f>
        <v>156</v>
      </c>
      <c r="E191" s="46">
        <f>VLOOKUP(A191,'The List'!B1:I730,8,FALSE)</f>
        <v>130.569675657664</v>
      </c>
      <c r="F191" s="46">
        <f>IF('Settings'!$E$15="POINTS",E191-VLOOKUP(B$2,C1:E218,3,FALSE),J191)</f>
        <v>-265.204525978351</v>
      </c>
      <c r="G191" s="46"/>
      <c r="H191" s="149">
        <f>RANK(I191,I3:I218)</f>
        <v>179</v>
      </c>
      <c r="I191" s="150">
        <f>VLOOKUP(A191,'Standard Deviations'!A1:C731,3,FALSE)</f>
        <v>-3.95567914849376</v>
      </c>
      <c r="J191" s="150">
        <f>I191-VLOOKUP(B$2,H1:J218,2,FALSE)</f>
        <v>-9.1431428095787</v>
      </c>
    </row>
    <row r="192" ht="21.25" customHeight="1">
      <c r="A192" t="s" s="8">
        <v>817</v>
      </c>
      <c r="B192" t="s" s="66">
        <f>VLOOKUP(A192,'The List'!B1:D730,3,FALSE)</f>
        <v>107</v>
      </c>
      <c r="C192" s="67">
        <f>IF('Settings'!$E$15="POINTS",RANK(E192,E3:E218),H192)</f>
        <v>186</v>
      </c>
      <c r="D192" t="s" s="42">
        <f>VLOOKUP(A192,'The List'!B1:F730,5,FALSE)</f>
        <v>134</v>
      </c>
      <c r="E192" s="46">
        <f>VLOOKUP(A192,'The List'!B1:I730,8,FALSE)</f>
        <v>143.810565511346</v>
      </c>
      <c r="F192" s="46">
        <f>IF('Settings'!$E$15="POINTS",E192-VLOOKUP(B$2,C1:E218,3,FALSE),J192)</f>
        <v>-251.963636124669</v>
      </c>
      <c r="G192" s="46"/>
      <c r="H192" s="149">
        <f>RANK(I192,I3:I218)</f>
        <v>178</v>
      </c>
      <c r="I192" s="150">
        <f>VLOOKUP(A192,'Standard Deviations'!A1:C731,3,FALSE)</f>
        <v>-3.85337731331215</v>
      </c>
      <c r="J192" s="150">
        <f>I192-VLOOKUP(B$2,H1:J218,2,FALSE)</f>
        <v>-9.04084097439709</v>
      </c>
    </row>
    <row r="193" ht="21.25" customHeight="1">
      <c r="A193" t="s" s="8">
        <v>819</v>
      </c>
      <c r="B193" t="s" s="66">
        <f>VLOOKUP(A193,'The List'!B1:D730,3,FALSE)</f>
        <v>107</v>
      </c>
      <c r="C193" s="67">
        <f>IF('Settings'!$E$15="POINTS",RANK(E193,E3:E218),H193)</f>
        <v>198</v>
      </c>
      <c r="D193" t="s" s="42">
        <f>VLOOKUP(A193,'The List'!B1:F730,5,FALSE)</f>
        <v>173</v>
      </c>
      <c r="E193" s="46">
        <f>VLOOKUP(A193,'The List'!B1:I730,8,FALSE)</f>
        <v>120.078020743633</v>
      </c>
      <c r="F193" s="46">
        <f>IF('Settings'!$E$15="POINTS",E193-VLOOKUP(B$2,C1:E218,3,FALSE),J193)</f>
        <v>-275.696180892382</v>
      </c>
      <c r="G193" s="46"/>
      <c r="H193" s="149">
        <f>RANK(I193,I3:I218)</f>
        <v>181</v>
      </c>
      <c r="I193" s="150">
        <f>VLOOKUP(A193,'Standard Deviations'!A1:C731,3,FALSE)</f>
        <v>-4.05330785930687</v>
      </c>
      <c r="J193" s="150">
        <f>I193-VLOOKUP(B$2,H1:J218,2,FALSE)</f>
        <v>-9.24077152039181</v>
      </c>
    </row>
    <row r="194" ht="21.25" customHeight="1">
      <c r="A194" t="s" s="8">
        <v>821</v>
      </c>
      <c r="B194" t="s" s="66">
        <f>VLOOKUP(A194,'The List'!B1:D730,3,FALSE)</f>
        <v>107</v>
      </c>
      <c r="C194" s="67">
        <f>IF('Settings'!$E$15="POINTS",RANK(E194,E3:E218),H194)</f>
        <v>190</v>
      </c>
      <c r="D194" t="s" s="42">
        <f>VLOOKUP(A194,'The List'!B1:F730,5,FALSE)</f>
        <v>122</v>
      </c>
      <c r="E194" s="46">
        <f>VLOOKUP(A194,'The List'!B1:I730,8,FALSE)</f>
        <v>140.986533359531</v>
      </c>
      <c r="F194" s="46">
        <f>IF('Settings'!$E$15="POINTS",E194-VLOOKUP(B$2,C1:E218,3,FALSE),J194)</f>
        <v>-254.787668276484</v>
      </c>
      <c r="G194" s="46"/>
      <c r="H194" s="149">
        <f>RANK(I194,I3:I218)</f>
        <v>177</v>
      </c>
      <c r="I194" s="150">
        <f>VLOOKUP(A194,'Standard Deviations'!A1:C731,3,FALSE)</f>
        <v>-3.79912243454551</v>
      </c>
      <c r="J194" s="150">
        <f>I194-VLOOKUP(B$2,H1:J218,2,FALSE)</f>
        <v>-8.98658609563045</v>
      </c>
    </row>
    <row r="195" ht="21.25" customHeight="1">
      <c r="A195" t="s" s="8">
        <v>823</v>
      </c>
      <c r="B195" t="s" s="66">
        <f>VLOOKUP(A195,'The List'!B1:D730,3,FALSE)</f>
        <v>107</v>
      </c>
      <c r="C195" s="67">
        <f>IF('Settings'!$E$15="POINTS",RANK(E195,E3:E218),H195)</f>
        <v>203</v>
      </c>
      <c r="D195" t="s" s="42">
        <f>VLOOKUP(A195,'The List'!B1:F730,5,FALSE)</f>
        <v>202</v>
      </c>
      <c r="E195" s="46">
        <f>VLOOKUP(A195,'The List'!B1:I730,8,FALSE)</f>
        <v>113.425558840106</v>
      </c>
      <c r="F195" s="46">
        <f>IF('Settings'!$E$15="POINTS",E195-VLOOKUP(B$2,C1:E218,3,FALSE),J195)</f>
        <v>-282.348642795909</v>
      </c>
      <c r="G195" s="46"/>
      <c r="H195" s="149">
        <f>RANK(I195,I3:I218)</f>
        <v>168</v>
      </c>
      <c r="I195" s="150">
        <f>VLOOKUP(A195,'Standard Deviations'!A1:C731,3,FALSE)</f>
        <v>-3.17873674930907</v>
      </c>
      <c r="J195" s="150">
        <f>I195-VLOOKUP(B$2,H1:J218,2,FALSE)</f>
        <v>-8.36620041039401</v>
      </c>
    </row>
    <row r="196" ht="21.25" customHeight="1">
      <c r="A196" t="s" s="8">
        <v>830</v>
      </c>
      <c r="B196" t="s" s="66">
        <f>VLOOKUP(A196,'The List'!B1:D730,3,FALSE)</f>
        <v>107</v>
      </c>
      <c r="C196" s="67">
        <f>IF('Settings'!$E$15="POINTS",RANK(E196,E3:E218),H196)</f>
        <v>184</v>
      </c>
      <c r="D196" t="s" s="42">
        <f>VLOOKUP(A196,'The List'!B1:F730,5,FALSE)</f>
        <v>173</v>
      </c>
      <c r="E196" s="46">
        <f>VLOOKUP(A196,'The List'!B1:I730,8,FALSE)</f>
        <v>146.140673368827</v>
      </c>
      <c r="F196" s="46">
        <f>IF('Settings'!$E$15="POINTS",E196-VLOOKUP(B$2,C1:E218,3,FALSE),J196)</f>
        <v>-249.633528267188</v>
      </c>
      <c r="G196" s="46"/>
      <c r="H196" s="149">
        <f>RANK(I196,I3:I218)</f>
        <v>186</v>
      </c>
      <c r="I196" s="150">
        <f>VLOOKUP(A196,'Standard Deviations'!A1:C731,3,FALSE)</f>
        <v>-4.24041100123769</v>
      </c>
      <c r="J196" s="150">
        <f>I196-VLOOKUP(B$2,H1:J218,2,FALSE)</f>
        <v>-9.42787466232263</v>
      </c>
    </row>
    <row r="197" ht="21.25" customHeight="1">
      <c r="A197" t="s" s="8">
        <v>831</v>
      </c>
      <c r="B197" t="s" s="66">
        <f>VLOOKUP(A197,'The List'!B1:D730,3,FALSE)</f>
        <v>107</v>
      </c>
      <c r="C197" s="67">
        <f>IF('Settings'!$E$15="POINTS",RANK(E197,E3:E218),H197)</f>
        <v>205</v>
      </c>
      <c r="D197" t="s" s="42">
        <f>VLOOKUP(A197,'The List'!B1:F730,5,FALSE)</f>
        <v>170</v>
      </c>
      <c r="E197" s="46">
        <f>VLOOKUP(A197,'The List'!B1:I730,8,FALSE)</f>
        <v>108.551089449378</v>
      </c>
      <c r="F197" s="46">
        <f>IF('Settings'!$E$15="POINTS",E197-VLOOKUP(B$2,C1:E218,3,FALSE),J197)</f>
        <v>-287.223112186637</v>
      </c>
      <c r="G197" s="46"/>
      <c r="H197" s="149">
        <f>RANK(I197,I3:I218)</f>
        <v>196</v>
      </c>
      <c r="I197" s="150">
        <f>VLOOKUP(A197,'Standard Deviations'!A1:C731,3,FALSE)</f>
        <v>-4.55442920728083</v>
      </c>
      <c r="J197" s="150">
        <f>I197-VLOOKUP(B$2,H1:J218,2,FALSE)</f>
        <v>-9.74189286836577</v>
      </c>
    </row>
    <row r="198" ht="21.25" customHeight="1">
      <c r="A198" t="s" s="8">
        <v>832</v>
      </c>
      <c r="B198" t="s" s="66">
        <f>VLOOKUP(A198,'The List'!B1:D730,3,FALSE)</f>
        <v>107</v>
      </c>
      <c r="C198" s="67">
        <f>IF('Settings'!$E$15="POINTS",RANK(E198,E3:E218),H198)</f>
        <v>194</v>
      </c>
      <c r="D198" t="s" s="42">
        <f>VLOOKUP(A198,'The List'!B1:F730,5,FALSE)</f>
        <v>204</v>
      </c>
      <c r="E198" s="46">
        <f>VLOOKUP(A198,'The List'!B1:I730,8,FALSE)</f>
        <v>129.508507985598</v>
      </c>
      <c r="F198" s="46">
        <f>IF('Settings'!$E$15="POINTS",E198-VLOOKUP(B$2,C1:E218,3,FALSE),J198)</f>
        <v>-266.265693650417</v>
      </c>
      <c r="G198" s="46"/>
      <c r="H198" s="149">
        <f>RANK(I198,I3:I218)</f>
        <v>190</v>
      </c>
      <c r="I198" s="150">
        <f>VLOOKUP(A198,'Standard Deviations'!A1:C731,3,FALSE)</f>
        <v>-4.36052995461832</v>
      </c>
      <c r="J198" s="150">
        <f>I198-VLOOKUP(B$2,H1:J218,2,FALSE)</f>
        <v>-9.547993615703261</v>
      </c>
    </row>
    <row r="199" ht="21.25" customHeight="1">
      <c r="A199" t="s" s="8">
        <v>835</v>
      </c>
      <c r="B199" t="s" s="66">
        <f>VLOOKUP(A199,'The List'!B1:D730,3,FALSE)</f>
        <v>107</v>
      </c>
      <c r="C199" s="67">
        <f>IF('Settings'!$E$15="POINTS",RANK(E199,E3:E218),H199)</f>
        <v>201</v>
      </c>
      <c r="D199" t="s" s="42">
        <f>VLOOKUP(A199,'The List'!B1:F730,5,FALSE)</f>
        <v>156</v>
      </c>
      <c r="E199" s="46">
        <f>VLOOKUP(A199,'The List'!B1:I730,8,FALSE)</f>
        <v>114.569578799826</v>
      </c>
      <c r="F199" s="46">
        <f>IF('Settings'!$E$15="POINTS",E199-VLOOKUP(B$2,C1:E218,3,FALSE),J199)</f>
        <v>-281.204622836189</v>
      </c>
      <c r="G199" s="46"/>
      <c r="H199" s="149">
        <f>RANK(I199,I3:I218)</f>
        <v>204</v>
      </c>
      <c r="I199" s="150">
        <f>VLOOKUP(A199,'Standard Deviations'!A1:C731,3,FALSE)</f>
        <v>-4.75985727958863</v>
      </c>
      <c r="J199" s="150">
        <f>I199-VLOOKUP(B$2,H1:J218,2,FALSE)</f>
        <v>-9.947320940673571</v>
      </c>
    </row>
    <row r="200" ht="21.25" customHeight="1">
      <c r="A200" t="s" s="8">
        <v>840</v>
      </c>
      <c r="B200" t="s" s="66">
        <f>VLOOKUP(A200,'The List'!B1:D730,3,FALSE)</f>
        <v>107</v>
      </c>
      <c r="C200" s="67">
        <f>IF('Settings'!$E$15="POINTS",RANK(E200,E3:E218),H200)</f>
        <v>196</v>
      </c>
      <c r="D200" t="s" s="42">
        <f>VLOOKUP(A200,'The List'!B1:F730,5,FALSE)</f>
        <v>204</v>
      </c>
      <c r="E200" s="46">
        <f>VLOOKUP(A200,'The List'!B1:I730,8,FALSE)</f>
        <v>123.429680384993</v>
      </c>
      <c r="F200" s="46">
        <f>IF('Settings'!$E$15="POINTS",E200-VLOOKUP(B$2,C1:E218,3,FALSE),J200)</f>
        <v>-272.344521251022</v>
      </c>
      <c r="G200" s="46"/>
      <c r="H200" s="149">
        <f>RANK(I200,I3:I218)</f>
        <v>201</v>
      </c>
      <c r="I200" s="150">
        <f>VLOOKUP(A200,'Standard Deviations'!A1:C731,3,FALSE)</f>
        <v>-4.69361316543525</v>
      </c>
      <c r="J200" s="150">
        <f>I200-VLOOKUP(B$2,H1:J218,2,FALSE)</f>
        <v>-9.881076826520189</v>
      </c>
    </row>
    <row r="201" ht="21.25" customHeight="1">
      <c r="A201" t="s" s="8">
        <v>844</v>
      </c>
      <c r="B201" t="s" s="66">
        <f>VLOOKUP(A201,'The List'!B1:D730,3,FALSE)</f>
        <v>107</v>
      </c>
      <c r="C201" s="67">
        <f>IF('Settings'!$E$15="POINTS",RANK(E201,E3:E218),H201)</f>
        <v>199</v>
      </c>
      <c r="D201" t="s" s="42">
        <f>VLOOKUP(A201,'The List'!B1:F730,5,FALSE)</f>
        <v>164</v>
      </c>
      <c r="E201" s="46">
        <f>VLOOKUP(A201,'The List'!B1:I730,8,FALSE)</f>
        <v>118.729593485320</v>
      </c>
      <c r="F201" s="46">
        <f>IF('Settings'!$E$15="POINTS",E201-VLOOKUP(B$2,C1:E218,3,FALSE),J201)</f>
        <v>-277.044608150695</v>
      </c>
      <c r="G201" s="46"/>
      <c r="H201" s="149">
        <f>RANK(I201,I3:I218)</f>
        <v>194</v>
      </c>
      <c r="I201" s="150">
        <f>VLOOKUP(A201,'Standard Deviations'!A1:C731,3,FALSE)</f>
        <v>-4.46271476600624</v>
      </c>
      <c r="J201" s="150">
        <f>I201-VLOOKUP(B$2,H1:J218,2,FALSE)</f>
        <v>-9.650178427091181</v>
      </c>
    </row>
    <row r="202" ht="21.25" customHeight="1">
      <c r="A202" t="s" s="8">
        <v>846</v>
      </c>
      <c r="B202" t="s" s="66">
        <f>VLOOKUP(A202,'The List'!B1:D730,3,FALSE)</f>
        <v>107</v>
      </c>
      <c r="C202" s="67">
        <f>IF('Settings'!$E$15="POINTS",RANK(E202,E3:E218),H202)</f>
        <v>207</v>
      </c>
      <c r="D202" t="s" s="42">
        <f>VLOOKUP(A202,'The List'!B1:F730,5,FALSE)</f>
        <v>119</v>
      </c>
      <c r="E202" s="46">
        <f>VLOOKUP(A202,'The List'!B1:I730,8,FALSE)</f>
        <v>101.601723836421</v>
      </c>
      <c r="F202" s="46">
        <f>IF('Settings'!$E$15="POINTS",E202-VLOOKUP(B$2,C1:E218,3,FALSE),J202)</f>
        <v>-294.172477799594</v>
      </c>
      <c r="G202" s="46"/>
      <c r="H202" s="149">
        <f>RANK(I202,I3:I218)</f>
        <v>195</v>
      </c>
      <c r="I202" s="150">
        <f>VLOOKUP(A202,'Standard Deviations'!A1:C731,3,FALSE)</f>
        <v>-4.53126288614689</v>
      </c>
      <c r="J202" s="150">
        <f>I202-VLOOKUP(B$2,H1:J218,2,FALSE)</f>
        <v>-9.71872654723183</v>
      </c>
    </row>
    <row r="203" ht="21.25" customHeight="1">
      <c r="A203" t="s" s="8">
        <v>847</v>
      </c>
      <c r="B203" t="s" s="66">
        <f>VLOOKUP(A203,'The List'!B1:D730,3,FALSE)</f>
        <v>107</v>
      </c>
      <c r="C203" s="67">
        <f>IF('Settings'!$E$15="POINTS",RANK(E203,E3:E218),H203)</f>
        <v>204</v>
      </c>
      <c r="D203" t="s" s="42">
        <f>VLOOKUP(A203,'The List'!B1:F730,5,FALSE)</f>
        <v>194</v>
      </c>
      <c r="E203" s="46">
        <f>VLOOKUP(A203,'The List'!B1:I730,8,FALSE)</f>
        <v>113.347859382442</v>
      </c>
      <c r="F203" s="46">
        <f>IF('Settings'!$E$15="POINTS",E203-VLOOKUP(B$2,C1:E218,3,FALSE),J203)</f>
        <v>-282.426342253573</v>
      </c>
      <c r="G203" s="46"/>
      <c r="H203" s="149">
        <f>RANK(I203,I3:I218)</f>
        <v>214</v>
      </c>
      <c r="I203" s="150">
        <f>VLOOKUP(A203,'Standard Deviations'!A1:C731,3,FALSE)</f>
        <v>-5.29258333862174</v>
      </c>
      <c r="J203" s="150">
        <f>I203-VLOOKUP(B$2,H1:J218,2,FALSE)</f>
        <v>-10.4800469997067</v>
      </c>
    </row>
    <row r="204" ht="21.25" customHeight="1">
      <c r="A204" t="s" s="8">
        <v>848</v>
      </c>
      <c r="B204" t="s" s="66">
        <f>VLOOKUP(A204,'The List'!B1:D730,3,FALSE)</f>
        <v>107</v>
      </c>
      <c r="C204" s="67">
        <f>IF('Settings'!$E$15="POINTS",RANK(E204,E3:E218),H204)</f>
        <v>197</v>
      </c>
      <c r="D204" t="s" s="42">
        <f>VLOOKUP(A204,'The List'!B1:F730,5,FALSE)</f>
        <v>234</v>
      </c>
      <c r="E204" s="46">
        <f>VLOOKUP(A204,'The List'!B1:I730,8,FALSE)</f>
        <v>122.466041388118</v>
      </c>
      <c r="F204" s="46">
        <f>IF('Settings'!$E$15="POINTS",E204-VLOOKUP(B$2,C1:E218,3,FALSE),J204)</f>
        <v>-273.308160247897</v>
      </c>
      <c r="G204" s="46"/>
      <c r="H204" s="149">
        <f>RANK(I204,I3:I218)</f>
        <v>215</v>
      </c>
      <c r="I204" s="150">
        <f>VLOOKUP(A204,'Standard Deviations'!A1:C731,3,FALSE)</f>
        <v>-6.41862343386397</v>
      </c>
      <c r="J204" s="150">
        <f>I204-VLOOKUP(B$2,H1:J218,2,FALSE)</f>
        <v>-11.6060870949489</v>
      </c>
    </row>
    <row r="205" ht="21.25" customHeight="1">
      <c r="A205" t="s" s="8">
        <v>849</v>
      </c>
      <c r="B205" t="s" s="66">
        <f>VLOOKUP(A205,'The List'!B1:D730,3,FALSE)</f>
        <v>107</v>
      </c>
      <c r="C205" s="67">
        <f>IF('Settings'!$E$15="POINTS",RANK(E205,E3:E218),H205)</f>
        <v>208</v>
      </c>
      <c r="D205" t="s" s="42">
        <f>VLOOKUP(A205,'The List'!B1:F730,5,FALSE)</f>
        <v>134</v>
      </c>
      <c r="E205" s="46">
        <f>VLOOKUP(A205,'The List'!B1:I730,8,FALSE)</f>
        <v>99.89542539844329</v>
      </c>
      <c r="F205" s="46">
        <f>IF('Settings'!$E$15="POINTS",E205-VLOOKUP(B$2,C1:E218,3,FALSE),J205)</f>
        <v>-295.878776237572</v>
      </c>
      <c r="G205" s="46"/>
      <c r="H205" s="149">
        <f>RANK(I205,I3:I218)</f>
        <v>200</v>
      </c>
      <c r="I205" s="150">
        <f>VLOOKUP(A205,'Standard Deviations'!A1:C731,3,FALSE)</f>
        <v>-4.64023238899804</v>
      </c>
      <c r="J205" s="150">
        <f>I205-VLOOKUP(B$2,H1:J218,2,FALSE)</f>
        <v>-9.827696050082981</v>
      </c>
    </row>
    <row r="206" ht="21.25" customHeight="1">
      <c r="A206" t="s" s="8">
        <v>850</v>
      </c>
      <c r="B206" t="s" s="66">
        <f>VLOOKUP(A206,'The List'!B1:D730,3,FALSE)</f>
        <v>107</v>
      </c>
      <c r="C206" s="67">
        <f>IF('Settings'!$E$15="POINTS",RANK(E206,E3:E218),H206)</f>
        <v>193</v>
      </c>
      <c r="D206" t="s" s="42">
        <f>VLOOKUP(A206,'The List'!B1:F730,5,FALSE)</f>
        <v>173</v>
      </c>
      <c r="E206" s="46">
        <f>VLOOKUP(A206,'The List'!B1:I730,8,FALSE)</f>
        <v>129.510367729315</v>
      </c>
      <c r="F206" s="46">
        <f>IF('Settings'!$E$15="POINTS",E206-VLOOKUP(B$2,C1:E218,3,FALSE),J206)</f>
        <v>-266.2638339067</v>
      </c>
      <c r="G206" s="46"/>
      <c r="H206" s="149">
        <f>RANK(I206,I3:I218)</f>
        <v>191</v>
      </c>
      <c r="I206" s="150">
        <f>VLOOKUP(A206,'Standard Deviations'!A1:C731,3,FALSE)</f>
        <v>-4.36530360649493</v>
      </c>
      <c r="J206" s="150">
        <f>I206-VLOOKUP(B$2,H1:J218,2,FALSE)</f>
        <v>-9.55276726757987</v>
      </c>
    </row>
    <row r="207" ht="21.25" customHeight="1">
      <c r="A207" t="s" s="8">
        <v>856</v>
      </c>
      <c r="B207" t="s" s="66">
        <f>VLOOKUP(A207,'The List'!B1:D730,3,FALSE)</f>
        <v>107</v>
      </c>
      <c r="C207" s="67">
        <f>IF('Settings'!$E$15="POINTS",RANK(E207,E3:E218),H207)</f>
        <v>202</v>
      </c>
      <c r="D207" t="s" s="42">
        <f>VLOOKUP(A207,'The List'!B1:F730,5,FALSE)</f>
        <v>151</v>
      </c>
      <c r="E207" s="46">
        <f>VLOOKUP(A207,'The List'!B1:I730,8,FALSE)</f>
        <v>114.007896823164</v>
      </c>
      <c r="F207" s="46">
        <f>IF('Settings'!$E$15="POINTS",E207-VLOOKUP(B$2,C1:E218,3,FALSE),J207)</f>
        <v>-281.766304812851</v>
      </c>
      <c r="G207" s="46"/>
      <c r="H207" s="149">
        <f>RANK(I207,I3:I218)</f>
        <v>182</v>
      </c>
      <c r="I207" s="150">
        <f>VLOOKUP(A207,'Standard Deviations'!A1:C731,3,FALSE)</f>
        <v>-4.09755788584806</v>
      </c>
      <c r="J207" s="150">
        <f>I207-VLOOKUP(B$2,H1:J218,2,FALSE)</f>
        <v>-9.285021546933001</v>
      </c>
    </row>
    <row r="208" ht="21.25" customHeight="1">
      <c r="A208" t="s" s="8">
        <v>857</v>
      </c>
      <c r="B208" t="s" s="66">
        <f>VLOOKUP(A208,'The List'!B1:D730,3,FALSE)</f>
        <v>107</v>
      </c>
      <c r="C208" s="67">
        <f>IF('Settings'!$E$15="POINTS",RANK(E208,E3:E218),H208)</f>
        <v>195</v>
      </c>
      <c r="D208" t="s" s="42">
        <f>VLOOKUP(A208,'The List'!B1:F730,5,FALSE)</f>
        <v>124</v>
      </c>
      <c r="E208" s="46">
        <f>VLOOKUP(A208,'The List'!B1:I730,8,FALSE)</f>
        <v>124.158423729645</v>
      </c>
      <c r="F208" s="46">
        <f>IF('Settings'!$E$15="POINTS",E208-VLOOKUP(B$2,C1:E218,3,FALSE),J208)</f>
        <v>-271.615777906370</v>
      </c>
      <c r="G208" s="46"/>
      <c r="H208" s="149">
        <f>RANK(I208,I3:I218)</f>
        <v>198</v>
      </c>
      <c r="I208" s="150">
        <f>VLOOKUP(A208,'Standard Deviations'!A1:C731,3,FALSE)</f>
        <v>-4.58605876013904</v>
      </c>
      <c r="J208" s="150">
        <f>I208-VLOOKUP(B$2,H1:J218,2,FALSE)</f>
        <v>-9.77352242122398</v>
      </c>
    </row>
    <row r="209" ht="21.25" customHeight="1">
      <c r="A209" t="s" s="8">
        <v>861</v>
      </c>
      <c r="B209" t="s" s="66">
        <f>VLOOKUP(A209,'The List'!B1:D730,3,FALSE)</f>
        <v>107</v>
      </c>
      <c r="C209" s="67">
        <f>IF('Settings'!$E$15="POINTS",RANK(E209,E3:E218),H209)</f>
        <v>211</v>
      </c>
      <c r="D209" t="s" s="42">
        <f>VLOOKUP(A209,'The List'!B1:F730,5,FALSE)</f>
        <v>124</v>
      </c>
      <c r="E209" s="46">
        <f>VLOOKUP(A209,'The List'!B1:I730,8,FALSE)</f>
        <v>94.3934944940781</v>
      </c>
      <c r="F209" s="46">
        <f>IF('Settings'!$E$15="POINTS",E209-VLOOKUP(B$2,C1:E218,3,FALSE),J209)</f>
        <v>-301.380707141937</v>
      </c>
      <c r="G209" s="46"/>
      <c r="H209" s="149">
        <f>RANK(I209,I3:I218)</f>
        <v>212</v>
      </c>
      <c r="I209" s="150">
        <f>VLOOKUP(A209,'Standard Deviations'!A1:C731,3,FALSE)</f>
        <v>-5.2224401871683</v>
      </c>
      <c r="J209" s="150">
        <f>I209-VLOOKUP(B$2,H1:J218,2,FALSE)</f>
        <v>-10.4099038482532</v>
      </c>
    </row>
    <row r="210" ht="21.25" customHeight="1">
      <c r="A210" t="s" s="8">
        <v>863</v>
      </c>
      <c r="B210" t="s" s="66">
        <f>VLOOKUP(A210,'The List'!B1:D730,3,FALSE)</f>
        <v>107</v>
      </c>
      <c r="C210" s="67">
        <f>IF('Settings'!$E$15="POINTS",RANK(E210,E3:E218),H210)</f>
        <v>212</v>
      </c>
      <c r="D210" t="s" s="42">
        <f>VLOOKUP(A210,'The List'!B1:F730,5,FALSE)</f>
        <v>134</v>
      </c>
      <c r="E210" s="46">
        <f>VLOOKUP(A210,'The List'!B1:I730,8,FALSE)</f>
        <v>93.0602826490606</v>
      </c>
      <c r="F210" s="46">
        <f>IF('Settings'!$E$15="POINTS",E210-VLOOKUP(B$2,C1:E218,3,FALSE),J210)</f>
        <v>-302.713918986954</v>
      </c>
      <c r="G210" s="46"/>
      <c r="H210" s="149">
        <f>RANK(I210,I3:I218)</f>
        <v>208</v>
      </c>
      <c r="I210" s="150">
        <f>VLOOKUP(A210,'Standard Deviations'!A1:C731,3,FALSE)</f>
        <v>-4.85385624421549</v>
      </c>
      <c r="J210" s="150">
        <f>I210-VLOOKUP(B$2,H1:J218,2,FALSE)</f>
        <v>-10.0413199053004</v>
      </c>
    </row>
    <row r="211" ht="21.25" customHeight="1">
      <c r="A211" t="s" s="8">
        <v>864</v>
      </c>
      <c r="B211" t="s" s="66">
        <f>VLOOKUP(A211,'The List'!B1:D730,3,FALSE)</f>
        <v>107</v>
      </c>
      <c r="C211" s="67">
        <f>IF('Settings'!$E$15="POINTS",RANK(E211,E3:E218),H211)</f>
        <v>200</v>
      </c>
      <c r="D211" t="s" s="42">
        <f>VLOOKUP(A211,'The List'!B1:F730,5,FALSE)</f>
        <v>127</v>
      </c>
      <c r="E211" s="46">
        <f>VLOOKUP(A211,'The List'!B1:I730,8,FALSE)</f>
        <v>118.428794914196</v>
      </c>
      <c r="F211" s="46">
        <f>IF('Settings'!$E$15="POINTS",E211-VLOOKUP(B$2,C1:E218,3,FALSE),J211)</f>
        <v>-277.345406721819</v>
      </c>
      <c r="G211" s="46"/>
      <c r="H211" s="149">
        <f>RANK(I211,I3:I218)</f>
        <v>203</v>
      </c>
      <c r="I211" s="150">
        <f>VLOOKUP(A211,'Standard Deviations'!A1:C731,3,FALSE)</f>
        <v>-4.69800383870838</v>
      </c>
      <c r="J211" s="150">
        <f>I211-VLOOKUP(B$2,H1:J218,2,FALSE)</f>
        <v>-9.88546749979332</v>
      </c>
    </row>
    <row r="212" ht="21.25" customHeight="1">
      <c r="A212" t="s" s="8">
        <v>859</v>
      </c>
      <c r="B212" t="s" s="66">
        <f>VLOOKUP(A212,'The List'!B1:D730,3,FALSE)</f>
        <v>111</v>
      </c>
      <c r="C212" s="67">
        <f>IF('Settings'!$E$15="POINTS",RANK(E212,E3:E218),H212)</f>
        <v>209</v>
      </c>
      <c r="D212" t="s" s="42">
        <f>VLOOKUP(A212,'The List'!B1:F730,5,FALSE)</f>
        <v>238</v>
      </c>
      <c r="E212" s="46">
        <f>VLOOKUP(A212,'The List'!B1:I730,8,FALSE)</f>
        <v>99.2453956107273</v>
      </c>
      <c r="F212" s="46">
        <f>IF('Settings'!$E$15="POINTS",E212-VLOOKUP(B$2,C1:E218,3,FALSE),J212)</f>
        <v>-296.528806025288</v>
      </c>
      <c r="G212" s="46"/>
      <c r="H212" s="149">
        <f>RANK(I212,I3:I218)</f>
        <v>207</v>
      </c>
      <c r="I212" s="150">
        <f>VLOOKUP(A212,'Standard Deviations'!A1:C731,3,FALSE)</f>
        <v>-4.84128254230979</v>
      </c>
      <c r="J212" s="150">
        <f>I212-VLOOKUP(B$2,H1:J218,2,FALSE)</f>
        <v>-10.0287462033947</v>
      </c>
    </row>
    <row r="213" ht="21.25" customHeight="1">
      <c r="A213" t="s" s="8">
        <v>869</v>
      </c>
      <c r="B213" t="s" s="66">
        <f>VLOOKUP(A213,'The List'!B1:D730,3,FALSE)</f>
        <v>107</v>
      </c>
      <c r="C213" s="67">
        <f>IF('Settings'!$E$15="POINTS",RANK(E213,E3:E218),H213)</f>
        <v>206</v>
      </c>
      <c r="D213" t="s" s="42">
        <f>VLOOKUP(A213,'The List'!B1:F730,5,FALSE)</f>
        <v>108</v>
      </c>
      <c r="E213" s="46">
        <f>VLOOKUP(A213,'The List'!B1:I730,8,FALSE)</f>
        <v>101.673029668278</v>
      </c>
      <c r="F213" s="46">
        <f>IF('Settings'!$E$15="POINTS",E213-VLOOKUP(B$2,C1:E218,3,FALSE),J213)</f>
        <v>-294.101171967737</v>
      </c>
      <c r="G213" s="46"/>
      <c r="H213" s="149">
        <f>RANK(I213,I3:I218)</f>
        <v>193</v>
      </c>
      <c r="I213" s="150">
        <f>VLOOKUP(A213,'Standard Deviations'!A1:C731,3,FALSE)</f>
        <v>-4.43281782317922</v>
      </c>
      <c r="J213" s="150">
        <f>I213-VLOOKUP(B$2,H1:J218,2,FALSE)</f>
        <v>-9.62028148426416</v>
      </c>
    </row>
    <row r="214" ht="21.25" customHeight="1">
      <c r="A214" t="s" s="8">
        <v>870</v>
      </c>
      <c r="B214" t="s" s="66">
        <f>VLOOKUP(A214,'The List'!B1:D730,3,FALSE)</f>
        <v>107</v>
      </c>
      <c r="C214" s="67">
        <f>IF('Settings'!$E$15="POINTS",RANK(E214,E3:E218),H214)</f>
        <v>215</v>
      </c>
      <c r="D214" t="s" s="42">
        <f>VLOOKUP(A214,'The List'!B1:F730,5,FALSE)</f>
        <v>164</v>
      </c>
      <c r="E214" s="46">
        <f>VLOOKUP(A214,'The List'!B1:I730,8,FALSE)</f>
        <v>84.0798642632196</v>
      </c>
      <c r="F214" s="46">
        <f>IF('Settings'!$E$15="POINTS",E214-VLOOKUP(B$2,C1:E218,3,FALSE),J214)</f>
        <v>-311.694337372795</v>
      </c>
      <c r="G214" s="46"/>
      <c r="H214" s="149">
        <f>RANK(I214,I3:I218)</f>
        <v>211</v>
      </c>
      <c r="I214" s="150">
        <f>VLOOKUP(A214,'Standard Deviations'!A1:C731,3,FALSE)</f>
        <v>-5.10418275166862</v>
      </c>
      <c r="J214" s="150">
        <f>I214-VLOOKUP(B$2,H1:J218,2,FALSE)</f>
        <v>-10.2916464127536</v>
      </c>
    </row>
    <row r="215" ht="21.25" customHeight="1">
      <c r="A215" t="s" s="8">
        <v>871</v>
      </c>
      <c r="B215" t="s" s="66">
        <f>VLOOKUP(A215,'The List'!B1:D730,3,FALSE)</f>
        <v>107</v>
      </c>
      <c r="C215" s="67">
        <f>IF('Settings'!$E$15="POINTS",RANK(E215,E3:E218),H215)</f>
        <v>210</v>
      </c>
      <c r="D215" t="s" s="42">
        <f>VLOOKUP(A215,'The List'!B1:F730,5,FALSE)</f>
        <v>141</v>
      </c>
      <c r="E215" s="46">
        <f>VLOOKUP(A215,'The List'!B1:I730,8,FALSE)</f>
        <v>97.4685326120683</v>
      </c>
      <c r="F215" s="46">
        <f>IF('Settings'!$E$15="POINTS",E215-VLOOKUP(B$2,C1:E218,3,FALSE),J215)</f>
        <v>-298.305669023947</v>
      </c>
      <c r="G215" s="46"/>
      <c r="H215" s="149">
        <f>RANK(I215,I3:I218)</f>
        <v>213</v>
      </c>
      <c r="I215" s="150">
        <f>VLOOKUP(A215,'Standard Deviations'!A1:C731,3,FALSE)</f>
        <v>-5.266635017848</v>
      </c>
      <c r="J215" s="150">
        <f>I215-VLOOKUP(B$2,H1:J218,2,FALSE)</f>
        <v>-10.4540986789329</v>
      </c>
    </row>
    <row r="216" ht="21.25" customHeight="1">
      <c r="A216" t="s" s="8">
        <v>872</v>
      </c>
      <c r="B216" t="s" s="66">
        <f>VLOOKUP(A216,'The List'!B1:D730,3,FALSE)</f>
        <v>107</v>
      </c>
      <c r="C216" s="67">
        <f>IF('Settings'!$E$15="POINTS",RANK(E216,E3:E218),H216)</f>
        <v>213</v>
      </c>
      <c r="D216" t="s" s="42">
        <f>VLOOKUP(A216,'The List'!B1:F730,5,FALSE)</f>
        <v>122</v>
      </c>
      <c r="E216" s="46">
        <f>VLOOKUP(A216,'The List'!B1:I730,8,FALSE)</f>
        <v>86.7827716662041</v>
      </c>
      <c r="F216" s="46">
        <f>IF('Settings'!$E$15="POINTS",E216-VLOOKUP(B$2,C1:E218,3,FALSE),J216)</f>
        <v>-308.991429969811</v>
      </c>
      <c r="G216" s="46"/>
      <c r="H216" s="149">
        <f>RANK(I216,I3:I218)</f>
        <v>210</v>
      </c>
      <c r="I216" s="150">
        <f>VLOOKUP(A216,'Standard Deviations'!A1:C731,3,FALSE)</f>
        <v>-5.09629595551862</v>
      </c>
      <c r="J216" s="150">
        <f>I216-VLOOKUP(B$2,H1:J218,2,FALSE)</f>
        <v>-10.2837596166036</v>
      </c>
    </row>
    <row r="217" ht="21.25" customHeight="1">
      <c r="A217" t="s" s="8">
        <v>873</v>
      </c>
      <c r="B217" t="s" s="66">
        <f>VLOOKUP(A217,'The List'!B1:D730,3,FALSE)</f>
        <v>107</v>
      </c>
      <c r="C217" s="67">
        <f>IF('Settings'!$E$15="POINTS",RANK(E217,E3:E218),H217)</f>
        <v>214</v>
      </c>
      <c r="D217" t="s" s="42">
        <f>VLOOKUP(A217,'The List'!B1:F730,5,FALSE)</f>
        <v>113</v>
      </c>
      <c r="E217" s="46">
        <f>VLOOKUP(A217,'The List'!B1:I730,8,FALSE)</f>
        <v>84.3135069181856</v>
      </c>
      <c r="F217" s="46">
        <f>IF('Settings'!$E$15="POINTS",E217-VLOOKUP(B$2,C1:E218,3,FALSE),J217)</f>
        <v>-311.460694717829</v>
      </c>
      <c r="G217" s="46"/>
      <c r="H217" s="149">
        <f>RANK(I217,I3:I218)</f>
        <v>205</v>
      </c>
      <c r="I217" s="150">
        <f>VLOOKUP(A217,'Standard Deviations'!A1:C731,3,FALSE)</f>
        <v>-4.7711294145642</v>
      </c>
      <c r="J217" s="150">
        <f>I217-VLOOKUP(B$2,H1:J218,2,FALSE)</f>
        <v>-9.958593075649141</v>
      </c>
    </row>
    <row r="218" ht="21.25" customHeight="1">
      <c r="A218" t="s" s="8">
        <v>874</v>
      </c>
      <c r="B218" t="s" s="66">
        <f>VLOOKUP(A218,'The List'!B1:D730,3,FALSE)</f>
        <v>107</v>
      </c>
      <c r="C218" s="67">
        <f>IF('Settings'!$E$15="POINTS",RANK(E218,E3:E218),H218)</f>
        <v>216</v>
      </c>
      <c r="D218" t="s" s="42">
        <f>VLOOKUP(A218,'The List'!B1:F730,5,FALSE)</f>
        <v>236</v>
      </c>
      <c r="E218" s="46">
        <f>VLOOKUP(A218,'The List'!B1:I730,8,FALSE)</f>
        <v>81.7889663432105</v>
      </c>
      <c r="F218" s="46">
        <f>IF('Settings'!$E$15="POINTS",E218-VLOOKUP(B$2,C1:E218,3,FALSE),J218)</f>
        <v>-313.985235292805</v>
      </c>
      <c r="G218" s="46"/>
      <c r="H218" s="149">
        <f>RANK(I218,I3:I218)</f>
        <v>216</v>
      </c>
      <c r="I218" s="150">
        <f>VLOOKUP(A218,'Standard Deviations'!A1:C731,3,FALSE)</f>
        <v>-6.51375491759583</v>
      </c>
      <c r="J218" s="150">
        <f>I218-VLOOKUP(B$2,H1:J218,2,FALSE)</f>
        <v>-11.7012185786808</v>
      </c>
    </row>
  </sheetData>
  <conditionalFormatting sqref="C3:C218 H3:H218">
    <cfRule type="containsText" dxfId="29" priority="1" stopIfTrue="1" text="/">
      <formula>NOT(ISERROR(FIND(UPPER("/"),UPPER(C3))))</formula>
      <formula>"/"</formula>
    </cfRule>
    <cfRule type="containsText" dxfId="30" priority="2" stopIfTrue="1" text="C">
      <formula>NOT(ISERROR(FIND(UPPER("C"),UPPER(C3))))</formula>
      <formula>"C"</formula>
    </cfRule>
    <cfRule type="containsText" dxfId="31" priority="3" stopIfTrue="1" text="D">
      <formula>NOT(ISERROR(FIND(UPPER("D"),UPPER(C3))))</formula>
      <formula>"D"</formula>
    </cfRule>
    <cfRule type="containsText" dxfId="32" priority="4" stopIfTrue="1" text="LW">
      <formula>NOT(ISERROR(FIND(UPPER("LW"),UPPER(C3))))</formula>
      <formula>"LW"</formula>
    </cfRule>
    <cfRule type="containsText" dxfId="33" priority="5" stopIfTrue="1" text="RW">
      <formula>NOT(ISERROR(FIND(UPPER("RW"),UPPER(C3))))</formula>
      <formula>"RW"</formula>
    </cfRule>
    <cfRule type="containsText" dxfId="34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56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6" customWidth="1"/>
    <col min="2" max="2" width="7.10938" style="156" customWidth="1"/>
    <col min="3" max="3" width="5.92969" style="156" customWidth="1"/>
    <col min="4" max="6" width="8.28125" style="156" customWidth="1"/>
    <col min="7" max="10" width="1.35156" style="156" customWidth="1"/>
    <col min="11" max="16384" width="8" style="156" customWidth="1"/>
  </cols>
  <sheetData>
    <row r="1" ht="28.3" customHeight="1">
      <c r="A1" t="s" s="133">
        <v>919</v>
      </c>
      <c r="B1" t="s" s="134">
        <v>925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'Settings'!F3</f>
        <v>34</v>
      </c>
      <c r="C2" s="143"/>
      <c r="D2" s="144"/>
      <c r="E2" s="145"/>
      <c r="F2" s="145"/>
      <c r="G2" s="145"/>
      <c r="H2" s="152"/>
      <c r="I2" s="147"/>
      <c r="J2" s="153"/>
    </row>
    <row r="3" ht="21.25" customHeight="1">
      <c r="A3" t="s" s="8">
        <v>110</v>
      </c>
      <c r="B3" t="s" s="71">
        <f>VLOOKUP(A3,'The List'!B1:D730,3,FALSE)</f>
        <v>111</v>
      </c>
      <c r="C3" s="72">
        <f>IF('Settings'!$E$15="POINTS",RANK(E3,E3:E156),H3)</f>
        <v>1</v>
      </c>
      <c r="D3" t="s" s="42">
        <f>VLOOKUP(A3,'The List'!B1:F730,5,FALSE)</f>
        <v>108</v>
      </c>
      <c r="E3" s="46">
        <f>VLOOKUP(A3,'The List'!B1:I730,8,FALSE)</f>
        <v>601.765307633416</v>
      </c>
      <c r="F3" s="46">
        <f>IF('Settings'!$E$15="POINTS",E3-VLOOKUP(B$2,C1:E156,3,FALSE),J3)</f>
        <v>220.136743927060</v>
      </c>
      <c r="G3" s="46"/>
      <c r="H3" s="154">
        <f>RANK(I3,I3:I156)</f>
        <v>1</v>
      </c>
      <c r="I3" s="150">
        <f>VLOOKUP(A3,'Standard Deviations'!A1:C731,3,FALSE)</f>
        <v>14.836899308559</v>
      </c>
      <c r="J3" s="155">
        <f>I3-VLOOKUP(B$2,H1:J156,2,FALSE)</f>
        <v>9.93284768083168</v>
      </c>
    </row>
    <row r="4" ht="21.25" customHeight="1">
      <c r="A4" t="s" s="8">
        <v>117</v>
      </c>
      <c r="B4" t="s" s="71">
        <f>VLOOKUP(A4,'The List'!B1:D730,3,FALSE)</f>
        <v>118</v>
      </c>
      <c r="C4" s="72">
        <f>IF('Settings'!$E$15="POINTS",RANK(E4,E3:E156),H4)</f>
        <v>2</v>
      </c>
      <c r="D4" t="s" s="42">
        <f>VLOOKUP(A4,'The List'!B1:F730,5,FALSE)</f>
        <v>119</v>
      </c>
      <c r="E4" s="46">
        <f>VLOOKUP(A4,'The List'!B1:I730,8,FALSE)</f>
        <v>574.238329765201</v>
      </c>
      <c r="F4" s="46">
        <f>IF('Settings'!$E$15="POINTS",E4-VLOOKUP(B$2,C1:E156,3,FALSE),J4)</f>
        <v>192.609766058845</v>
      </c>
      <c r="G4" s="46"/>
      <c r="H4" s="149">
        <f>RANK(I4,I3:I156)</f>
        <v>2</v>
      </c>
      <c r="I4" s="150">
        <f>VLOOKUP(A4,'Standard Deviations'!A1:C731,3,FALSE)</f>
        <v>13.5656220887624</v>
      </c>
      <c r="J4" s="150">
        <f>I4-VLOOKUP(B$2,H1:J156,2,FALSE)</f>
        <v>8.66157046103508</v>
      </c>
    </row>
    <row r="5" ht="21.25" customHeight="1">
      <c r="A5" t="s" s="8">
        <v>126</v>
      </c>
      <c r="B5" t="s" s="71">
        <f>VLOOKUP(A5,'The List'!B1:D730,3,FALSE)</f>
        <v>111</v>
      </c>
      <c r="C5" s="72">
        <f>IF('Settings'!$E$15="POINTS",RANK(E5,E3:E156),H5)</f>
        <v>4</v>
      </c>
      <c r="D5" t="s" s="42">
        <f>VLOOKUP(A5,'The List'!B1:F730,5,FALSE)</f>
        <v>127</v>
      </c>
      <c r="E5" s="46">
        <f>VLOOKUP(A5,'The List'!B1:I730,8,FALSE)</f>
        <v>549.712369600232</v>
      </c>
      <c r="F5" s="46">
        <f>IF('Settings'!$E$15="POINTS",E5-VLOOKUP(B$2,C1:E156,3,FALSE),J5)</f>
        <v>168.083805893876</v>
      </c>
      <c r="G5" s="46"/>
      <c r="H5" s="149">
        <f>RANK(I5,I3:I156)</f>
        <v>5</v>
      </c>
      <c r="I5" s="150">
        <f>VLOOKUP(A5,'Standard Deviations'!A1:C731,3,FALSE)</f>
        <v>10.6013146790712</v>
      </c>
      <c r="J5" s="150">
        <f>I5-VLOOKUP(B$2,H1:J156,2,FALSE)</f>
        <v>5.69726305134388</v>
      </c>
    </row>
    <row r="6" ht="21.25" customHeight="1">
      <c r="A6" t="s" s="8">
        <v>132</v>
      </c>
      <c r="B6" t="s" s="71">
        <f>VLOOKUP(A6,'The List'!B1:D730,3,FALSE)</f>
        <v>133</v>
      </c>
      <c r="C6" s="72">
        <f>IF('Settings'!$E$15="POINTS",RANK(E6,E3:E156),H6)</f>
        <v>3</v>
      </c>
      <c r="D6" t="s" s="42">
        <f>VLOOKUP(A6,'The List'!B1:F730,5,FALSE)</f>
        <v>134</v>
      </c>
      <c r="E6" s="46">
        <f>VLOOKUP(A6,'The List'!B1:I730,8,FALSE)</f>
        <v>549.7520817707421</v>
      </c>
      <c r="F6" s="46">
        <f>IF('Settings'!$E$15="POINTS",E6-VLOOKUP(B$2,C1:E156,3,FALSE),J6)</f>
        <v>168.123518064386</v>
      </c>
      <c r="G6" s="46"/>
      <c r="H6" s="149">
        <f>RANK(I6,I3:I156)</f>
        <v>4</v>
      </c>
      <c r="I6" s="150">
        <f>VLOOKUP(A6,'Standard Deviations'!A1:C731,3,FALSE)</f>
        <v>11.0864676589073</v>
      </c>
      <c r="J6" s="150">
        <f>I6-VLOOKUP(B$2,H1:J156,2,FALSE)</f>
        <v>6.18241603117998</v>
      </c>
    </row>
    <row r="7" ht="21.25" customHeight="1">
      <c r="A7" t="s" s="8">
        <v>135</v>
      </c>
      <c r="B7" t="s" s="71">
        <f>VLOOKUP(A7,'The List'!B1:D730,3,FALSE)</f>
        <v>133</v>
      </c>
      <c r="C7" s="72">
        <f>IF('Settings'!$E$15="POINTS",RANK(E7,E3:E156),H7)</f>
        <v>5</v>
      </c>
      <c r="D7" t="s" s="42">
        <f>VLOOKUP(A7,'The List'!B1:F730,5,FALSE)</f>
        <v>136</v>
      </c>
      <c r="E7" s="46">
        <f>VLOOKUP(A7,'The List'!B1:I730,8,FALSE)</f>
        <v>528.358407614709</v>
      </c>
      <c r="F7" s="46">
        <f>IF('Settings'!$E$15="POINTS",E7-VLOOKUP(B$2,C1:E156,3,FALSE),J7)</f>
        <v>146.729843908353</v>
      </c>
      <c r="G7" s="46"/>
      <c r="H7" s="149">
        <f>RANK(I7,I3:I156)</f>
        <v>3</v>
      </c>
      <c r="I7" s="150">
        <f>VLOOKUP(A7,'Standard Deviations'!A1:C731,3,FALSE)</f>
        <v>12.2438382709695</v>
      </c>
      <c r="J7" s="150">
        <f>I7-VLOOKUP(B$2,H1:J156,2,FALSE)</f>
        <v>7.33978664324218</v>
      </c>
    </row>
    <row r="8" ht="21.25" customHeight="1">
      <c r="A8" t="s" s="8">
        <v>163</v>
      </c>
      <c r="B8" t="s" s="71">
        <f>VLOOKUP(A8,'The List'!B1:D730,3,FALSE)</f>
        <v>133</v>
      </c>
      <c r="C8" s="72">
        <f>IF('Settings'!$E$15="POINTS",RANK(E8,E3:E156),H8)</f>
        <v>10</v>
      </c>
      <c r="D8" t="s" s="42">
        <f>VLOOKUP(A8,'The List'!B1:F730,5,FALSE)</f>
        <v>164</v>
      </c>
      <c r="E8" s="46">
        <f>VLOOKUP(A8,'The List'!B1:I730,8,FALSE)</f>
        <v>470.301445210573</v>
      </c>
      <c r="F8" s="46">
        <f>IF('Settings'!$E$15="POINTS",E8-VLOOKUP(B$2,C1:E156,3,FALSE),J8)</f>
        <v>88.672881504217</v>
      </c>
      <c r="G8" s="46"/>
      <c r="H8" s="149">
        <f>RANK(I8,I3:I156)</f>
        <v>14</v>
      </c>
      <c r="I8" s="150">
        <f>VLOOKUP(A8,'Standard Deviations'!A1:C731,3,FALSE)</f>
        <v>7.69991012941532</v>
      </c>
      <c r="J8" s="150">
        <f>I8-VLOOKUP(B$2,H1:J156,2,FALSE)</f>
        <v>2.795858501688</v>
      </c>
    </row>
    <row r="9" ht="21.25" customHeight="1">
      <c r="A9" t="s" s="8">
        <v>165</v>
      </c>
      <c r="B9" t="s" s="71">
        <f>VLOOKUP(A9,'The List'!B1:D730,3,FALSE)</f>
        <v>133</v>
      </c>
      <c r="C9" s="72">
        <f>IF('Settings'!$E$15="POINTS",RANK(E9,E3:E156),H9)</f>
        <v>6</v>
      </c>
      <c r="D9" t="s" s="42">
        <f>VLOOKUP(A9,'The List'!B1:F730,5,FALSE)</f>
        <v>166</v>
      </c>
      <c r="E9" s="46">
        <f>VLOOKUP(A9,'The List'!B1:I730,8,FALSE)</f>
        <v>511.774973121382</v>
      </c>
      <c r="F9" s="46">
        <f>IF('Settings'!$E$15="POINTS",E9-VLOOKUP(B$2,C1:E156,3,FALSE),J9)</f>
        <v>130.146409415026</v>
      </c>
      <c r="G9" s="46"/>
      <c r="H9" s="149">
        <f>RANK(I9,I3:I156)</f>
        <v>18</v>
      </c>
      <c r="I9" s="150">
        <f>VLOOKUP(A9,'Standard Deviations'!A1:C731,3,FALSE)</f>
        <v>7.17379043498783</v>
      </c>
      <c r="J9" s="150">
        <f>I9-VLOOKUP(B$2,H1:J156,2,FALSE)</f>
        <v>2.26973880726051</v>
      </c>
    </row>
    <row r="10" ht="21.25" customHeight="1">
      <c r="A10" t="s" s="8">
        <v>168</v>
      </c>
      <c r="B10" t="s" s="71">
        <f>VLOOKUP(A10,'The List'!B1:D730,3,FALSE)</f>
        <v>133</v>
      </c>
      <c r="C10" s="72">
        <f>IF('Settings'!$E$15="POINTS",RANK(E10,E3:E156),H10)</f>
        <v>18</v>
      </c>
      <c r="D10" t="s" s="42">
        <f>VLOOKUP(A10,'The List'!B1:F730,5,FALSE)</f>
        <v>151</v>
      </c>
      <c r="E10" s="46">
        <f>VLOOKUP(A10,'The List'!B1:I730,8,FALSE)</f>
        <v>428.644826895263</v>
      </c>
      <c r="F10" s="46">
        <f>IF('Settings'!$E$15="POINTS",E10-VLOOKUP(B$2,C1:E156,3,FALSE),J10)</f>
        <v>47.016263188907</v>
      </c>
      <c r="G10" s="46"/>
      <c r="H10" s="149">
        <f>RANK(I10,I3:I156)</f>
        <v>7</v>
      </c>
      <c r="I10" s="150">
        <f>VLOOKUP(A10,'Standard Deviations'!A1:C731,3,FALSE)</f>
        <v>8.336268884633309</v>
      </c>
      <c r="J10" s="150">
        <f>I10-VLOOKUP(B$2,H1:J156,2,FALSE)</f>
        <v>3.43221725690599</v>
      </c>
    </row>
    <row r="11" ht="21.25" customHeight="1">
      <c r="A11" t="s" s="8">
        <v>172</v>
      </c>
      <c r="B11" t="s" s="71">
        <f>VLOOKUP(A11,'The List'!B1:D730,3,FALSE)</f>
        <v>111</v>
      </c>
      <c r="C11" s="72">
        <f>IF('Settings'!$E$15="POINTS",RANK(E11,E3:E156),H11)</f>
        <v>8</v>
      </c>
      <c r="D11" t="s" s="42">
        <f>VLOOKUP(A11,'The List'!B1:F730,5,FALSE)</f>
        <v>173</v>
      </c>
      <c r="E11" s="46">
        <f>VLOOKUP(A11,'The List'!B1:I730,8,FALSE)</f>
        <v>490.670853892633</v>
      </c>
      <c r="F11" s="46">
        <f>IF('Settings'!$E$15="POINTS",E11-VLOOKUP(B$2,C1:E156,3,FALSE),J11)</f>
        <v>109.042290186277</v>
      </c>
      <c r="G11" s="46"/>
      <c r="H11" s="149">
        <f>RANK(I11,I3:I156)</f>
        <v>8</v>
      </c>
      <c r="I11" s="150">
        <f>VLOOKUP(A11,'Standard Deviations'!A1:C731,3,FALSE)</f>
        <v>8.11364838981782</v>
      </c>
      <c r="J11" s="150">
        <f>I11-VLOOKUP(B$2,H1:J156,2,FALSE)</f>
        <v>3.2095967620905</v>
      </c>
    </row>
    <row r="12" ht="21.25" customHeight="1">
      <c r="A12" t="s" s="8">
        <v>176</v>
      </c>
      <c r="B12" t="s" s="71">
        <f>VLOOKUP(A12,'The List'!B1:D730,3,FALSE)</f>
        <v>118</v>
      </c>
      <c r="C12" s="72">
        <f>IF('Settings'!$E$15="POINTS",RANK(E12,E3:E156),H12)</f>
        <v>9</v>
      </c>
      <c r="D12" t="s" s="42">
        <f>VLOOKUP(A12,'The List'!B1:F730,5,FALSE)</f>
        <v>127</v>
      </c>
      <c r="E12" s="46">
        <f>VLOOKUP(A12,'The List'!B1:I730,8,FALSE)</f>
        <v>486.315232579732</v>
      </c>
      <c r="F12" s="46">
        <f>IF('Settings'!$E$15="POINTS",E12-VLOOKUP(B$2,C1:E156,3,FALSE),J12)</f>
        <v>104.686668873376</v>
      </c>
      <c r="G12" s="46"/>
      <c r="H12" s="149">
        <f>RANK(I12,I3:I156)</f>
        <v>9</v>
      </c>
      <c r="I12" s="150">
        <f>VLOOKUP(A12,'Standard Deviations'!A1:C731,3,FALSE)</f>
        <v>8.04425479570744</v>
      </c>
      <c r="J12" s="150">
        <f>I12-VLOOKUP(B$2,H1:J156,2,FALSE)</f>
        <v>3.14020316798012</v>
      </c>
    </row>
    <row r="13" ht="21.25" customHeight="1">
      <c r="A13" t="s" s="8">
        <v>178</v>
      </c>
      <c r="B13" t="s" s="71">
        <f>VLOOKUP(A13,'The List'!B1:D730,3,FALSE)</f>
        <v>111</v>
      </c>
      <c r="C13" s="72">
        <f>IF('Settings'!$E$15="POINTS",RANK(E13,E3:E156),H13)</f>
        <v>12</v>
      </c>
      <c r="D13" t="s" s="42">
        <f>VLOOKUP(A13,'The List'!B1:F730,5,FALSE)</f>
        <v>124</v>
      </c>
      <c r="E13" s="46">
        <f>VLOOKUP(A13,'The List'!B1:I730,8,FALSE)</f>
        <v>452.923928827016</v>
      </c>
      <c r="F13" s="46">
        <f>IF('Settings'!$E$15="POINTS",E13-VLOOKUP(B$2,C1:E156,3,FALSE),J13)</f>
        <v>71.29536512065999</v>
      </c>
      <c r="G13" s="46"/>
      <c r="H13" s="149">
        <f>RANK(I13,I3:I156)</f>
        <v>15</v>
      </c>
      <c r="I13" s="150">
        <f>VLOOKUP(A13,'Standard Deviations'!A1:C731,3,FALSE)</f>
        <v>7.59672120324704</v>
      </c>
      <c r="J13" s="150">
        <f>I13-VLOOKUP(B$2,H1:J156,2,FALSE)</f>
        <v>2.69266957551972</v>
      </c>
    </row>
    <row r="14" ht="21.25" customHeight="1">
      <c r="A14" t="s" s="8">
        <v>179</v>
      </c>
      <c r="B14" t="s" s="71">
        <f>VLOOKUP(A14,'The List'!B1:D730,3,FALSE)</f>
        <v>133</v>
      </c>
      <c r="C14" s="72">
        <f>IF('Settings'!$E$15="POINTS",RANK(E14,E3:E156),H14)</f>
        <v>7</v>
      </c>
      <c r="D14" t="s" s="42">
        <f>VLOOKUP(A14,'The List'!B1:F730,5,FALSE)</f>
        <v>173</v>
      </c>
      <c r="E14" s="46">
        <f>VLOOKUP(A14,'The List'!B1:I730,8,FALSE)</f>
        <v>494.699551842002</v>
      </c>
      <c r="F14" s="46">
        <f>IF('Settings'!$E$15="POINTS",E14-VLOOKUP(B$2,C1:E156,3,FALSE),J14)</f>
        <v>113.070988135646</v>
      </c>
      <c r="G14" s="46"/>
      <c r="H14" s="149">
        <f>RANK(I14,I3:I156)</f>
        <v>16</v>
      </c>
      <c r="I14" s="150">
        <f>VLOOKUP(A14,'Standard Deviations'!A1:C731,3,FALSE)</f>
        <v>7.30968689676203</v>
      </c>
      <c r="J14" s="150">
        <f>I14-VLOOKUP(B$2,H1:J156,2,FALSE)</f>
        <v>2.40563526903471</v>
      </c>
    </row>
    <row r="15" ht="21.25" customHeight="1">
      <c r="A15" t="s" s="8">
        <v>182</v>
      </c>
      <c r="B15" t="s" s="71">
        <f>VLOOKUP(A15,'The List'!B1:D730,3,FALSE)</f>
        <v>133</v>
      </c>
      <c r="C15" s="72">
        <f>IF('Settings'!$E$15="POINTS",RANK(E15,E3:E156),H15)</f>
        <v>11</v>
      </c>
      <c r="D15" t="s" s="42">
        <f>VLOOKUP(A15,'The List'!B1:F730,5,FALSE)</f>
        <v>170</v>
      </c>
      <c r="E15" s="46">
        <f>VLOOKUP(A15,'The List'!B1:I730,8,FALSE)</f>
        <v>463.518644352683</v>
      </c>
      <c r="F15" s="46">
        <f>IF('Settings'!$E$15="POINTS",E15-VLOOKUP(B$2,C1:E156,3,FALSE),J15)</f>
        <v>81.89008064632699</v>
      </c>
      <c r="G15" s="46"/>
      <c r="H15" s="149">
        <f>RANK(I15,I3:I156)</f>
        <v>12</v>
      </c>
      <c r="I15" s="150">
        <f>VLOOKUP(A15,'Standard Deviations'!A1:C731,3,FALSE)</f>
        <v>7.93666401781686</v>
      </c>
      <c r="J15" s="150">
        <f>I15-VLOOKUP(B$2,H1:J156,2,FALSE)</f>
        <v>3.03261239008954</v>
      </c>
    </row>
    <row r="16" ht="21.25" customHeight="1">
      <c r="A16" t="s" s="8">
        <v>180</v>
      </c>
      <c r="B16" t="s" s="71">
        <f>VLOOKUP(A16,'The List'!B1:D730,3,FALSE)</f>
        <v>118</v>
      </c>
      <c r="C16" s="72">
        <f>IF('Settings'!$E$15="POINTS",RANK(E16,E3:E156),H16)</f>
        <v>14</v>
      </c>
      <c r="D16" t="s" s="42">
        <f>VLOOKUP(A16,'The List'!B1:F730,5,FALSE)</f>
        <v>134</v>
      </c>
      <c r="E16" s="46">
        <f>VLOOKUP(A16,'The List'!B1:I730,8,FALSE)</f>
        <v>442.531869414092</v>
      </c>
      <c r="F16" s="46">
        <f>IF('Settings'!$E$15="POINTS",E16-VLOOKUP(B$2,C1:E156,3,FALSE),J16)</f>
        <v>60.903305707736</v>
      </c>
      <c r="G16" s="46"/>
      <c r="H16" s="149">
        <f>RANK(I16,I3:I156)</f>
        <v>11</v>
      </c>
      <c r="I16" s="150">
        <f>VLOOKUP(A16,'Standard Deviations'!A1:C731,3,FALSE)</f>
        <v>7.96005453380587</v>
      </c>
      <c r="J16" s="150">
        <f>I16-VLOOKUP(B$2,H1:J156,2,FALSE)</f>
        <v>3.05600290607855</v>
      </c>
    </row>
    <row r="17" ht="21.25" customHeight="1">
      <c r="A17" t="s" s="8">
        <v>185</v>
      </c>
      <c r="B17" t="s" s="71">
        <f>VLOOKUP(A17,'The List'!B1:D730,3,FALSE)</f>
        <v>111</v>
      </c>
      <c r="C17" s="72">
        <f>IF('Settings'!$E$15="POINTS",RANK(E17,E3:E156),H17)</f>
        <v>24</v>
      </c>
      <c r="D17" t="s" s="42">
        <f>VLOOKUP(A17,'The List'!B1:F730,5,FALSE)</f>
        <v>108</v>
      </c>
      <c r="E17" s="46">
        <f>VLOOKUP(A17,'The List'!B1:I730,8,FALSE)</f>
        <v>409.977300222820</v>
      </c>
      <c r="F17" s="46">
        <f>IF('Settings'!$E$15="POINTS",E17-VLOOKUP(B$2,C1:E156,3,FALSE),J17)</f>
        <v>28.348736516464</v>
      </c>
      <c r="G17" s="46"/>
      <c r="H17" s="149">
        <f>RANK(I17,I3:I156)</f>
        <v>6</v>
      </c>
      <c r="I17" s="150">
        <f>VLOOKUP(A17,'Standard Deviations'!A1:C731,3,FALSE)</f>
        <v>8.447075415815309</v>
      </c>
      <c r="J17" s="150">
        <f>I17-VLOOKUP(B$2,H1:J156,2,FALSE)</f>
        <v>3.54302378808799</v>
      </c>
    </row>
    <row r="18" ht="21.25" customHeight="1">
      <c r="A18" t="s" s="8">
        <v>188</v>
      </c>
      <c r="B18" t="s" s="71">
        <f>VLOOKUP(A18,'The List'!B1:D730,3,FALSE)</f>
        <v>133</v>
      </c>
      <c r="C18" s="72">
        <f>IF('Settings'!$E$15="POINTS",RANK(E18,E3:E156),H18)</f>
        <v>21</v>
      </c>
      <c r="D18" t="s" s="42">
        <f>VLOOKUP(A18,'The List'!B1:F730,5,FALSE)</f>
        <v>189</v>
      </c>
      <c r="E18" s="46">
        <f>VLOOKUP(A18,'The List'!B1:I730,8,FALSE)</f>
        <v>419.154061876327</v>
      </c>
      <c r="F18" s="46">
        <f>IF('Settings'!$E$15="POINTS",E18-VLOOKUP(B$2,C1:E156,3,FALSE),J18)</f>
        <v>37.525498169971</v>
      </c>
      <c r="G18" s="46"/>
      <c r="H18" s="149">
        <f>RANK(I18,I3:I156)</f>
        <v>25</v>
      </c>
      <c r="I18" s="150">
        <f>VLOOKUP(A18,'Standard Deviations'!A1:C731,3,FALSE)</f>
        <v>5.32901082125136</v>
      </c>
      <c r="J18" s="150">
        <f>I18-VLOOKUP(B$2,H1:J156,2,FALSE)</f>
        <v>0.42495919352404</v>
      </c>
    </row>
    <row r="19" ht="21.25" customHeight="1">
      <c r="A19" t="s" s="8">
        <v>195</v>
      </c>
      <c r="B19" t="s" s="71">
        <f>VLOOKUP(A19,'The List'!B1:D730,3,FALSE)</f>
        <v>118</v>
      </c>
      <c r="C19" s="72">
        <f>IF('Settings'!$E$15="POINTS",RANK(E19,E3:E156),H19)</f>
        <v>15</v>
      </c>
      <c r="D19" t="s" s="42">
        <f>VLOOKUP(A19,'The List'!B1:F730,5,FALSE)</f>
        <v>196</v>
      </c>
      <c r="E19" s="46">
        <f>VLOOKUP(A19,'The List'!B1:I730,8,FALSE)</f>
        <v>436.923136684366</v>
      </c>
      <c r="F19" s="46">
        <f>IF('Settings'!$E$15="POINTS",E19-VLOOKUP(B$2,C1:E156,3,FALSE),J19)</f>
        <v>55.294572978010</v>
      </c>
      <c r="G19" s="46"/>
      <c r="H19" s="149">
        <f>RANK(I19,I3:I156)</f>
        <v>26</v>
      </c>
      <c r="I19" s="150">
        <f>VLOOKUP(A19,'Standard Deviations'!A1:C731,3,FALSE)</f>
        <v>5.32240911100815</v>
      </c>
      <c r="J19" s="150">
        <f>I19-VLOOKUP(B$2,H1:J156,2,FALSE)</f>
        <v>0.41835748328083</v>
      </c>
    </row>
    <row r="20" ht="21.25" customHeight="1">
      <c r="A20" t="s" s="8">
        <v>203</v>
      </c>
      <c r="B20" t="s" s="71">
        <f>VLOOKUP(A20,'The List'!B1:D730,3,FALSE)</f>
        <v>133</v>
      </c>
      <c r="C20" s="72">
        <f>IF('Settings'!$E$15="POINTS",RANK(E20,E3:E156),H20)</f>
        <v>20</v>
      </c>
      <c r="D20" t="s" s="42">
        <f>VLOOKUP(A20,'The List'!B1:F730,5,FALSE)</f>
        <v>204</v>
      </c>
      <c r="E20" s="46">
        <f>VLOOKUP(A20,'The List'!B1:I730,8,FALSE)</f>
        <v>423.508691485408</v>
      </c>
      <c r="F20" s="46">
        <f>IF('Settings'!$E$15="POINTS",E20-VLOOKUP(B$2,C1:E156,3,FALSE),J20)</f>
        <v>41.880127779052</v>
      </c>
      <c r="G20" s="46"/>
      <c r="H20" s="149">
        <f>RANK(I20,I3:I156)</f>
        <v>22</v>
      </c>
      <c r="I20" s="150">
        <f>VLOOKUP(A20,'Standard Deviations'!A1:C731,3,FALSE)</f>
        <v>6.04159723217599</v>
      </c>
      <c r="J20" s="150">
        <f>I20-VLOOKUP(B$2,H1:J156,2,FALSE)</f>
        <v>1.13754560444867</v>
      </c>
    </row>
    <row r="21" ht="21.25" customHeight="1">
      <c r="A21" t="s" s="8">
        <v>198</v>
      </c>
      <c r="B21" t="s" s="71">
        <f>VLOOKUP(A21,'The List'!B1:D730,3,FALSE)</f>
        <v>118</v>
      </c>
      <c r="C21" s="72">
        <f>IF('Settings'!$E$15="POINTS",RANK(E21,E3:E156),H21)</f>
        <v>16</v>
      </c>
      <c r="D21" t="s" s="42">
        <f>VLOOKUP(A21,'The List'!B1:F730,5,FALSE)</f>
        <v>108</v>
      </c>
      <c r="E21" s="46">
        <f>VLOOKUP(A21,'The List'!B1:I730,8,FALSE)</f>
        <v>434.537076182727</v>
      </c>
      <c r="F21" s="46">
        <f>IF('Settings'!$E$15="POINTS",E21-VLOOKUP(B$2,C1:E156,3,FALSE),J21)</f>
        <v>52.908512476371</v>
      </c>
      <c r="G21" s="46"/>
      <c r="H21" s="149">
        <f>RANK(I21,I3:I156)</f>
        <v>13</v>
      </c>
      <c r="I21" s="150">
        <f>VLOOKUP(A21,'Standard Deviations'!A1:C731,3,FALSE)</f>
        <v>7.90186134607692</v>
      </c>
      <c r="J21" s="150">
        <f>I21-VLOOKUP(B$2,H1:J156,2,FALSE)</f>
        <v>2.9978097183496</v>
      </c>
    </row>
    <row r="22" ht="21.25" customHeight="1">
      <c r="A22" t="s" s="8">
        <v>199</v>
      </c>
      <c r="B22" t="s" s="71">
        <f>VLOOKUP(A22,'The List'!B1:D730,3,FALSE)</f>
        <v>118</v>
      </c>
      <c r="C22" s="72">
        <f>IF('Settings'!$E$15="POINTS",RANK(E22,E3:E156),H22)</f>
        <v>17</v>
      </c>
      <c r="D22" t="s" s="42">
        <f>VLOOKUP(A22,'The List'!B1:F730,5,FALSE)</f>
        <v>184</v>
      </c>
      <c r="E22" s="46">
        <f>VLOOKUP(A22,'The List'!B1:I730,8,FALSE)</f>
        <v>432.441434397072</v>
      </c>
      <c r="F22" s="46">
        <f>IF('Settings'!$E$15="POINTS",E22-VLOOKUP(B$2,C1:E156,3,FALSE),J22)</f>
        <v>50.812870690716</v>
      </c>
      <c r="G22" s="46"/>
      <c r="H22" s="149">
        <f>RANK(I22,I3:I156)</f>
        <v>23</v>
      </c>
      <c r="I22" s="150">
        <f>VLOOKUP(A22,'Standard Deviations'!A1:C731,3,FALSE)</f>
        <v>5.73198421064116</v>
      </c>
      <c r="J22" s="150">
        <f>I22-VLOOKUP(B$2,H1:J156,2,FALSE)</f>
        <v>0.82793258291384</v>
      </c>
    </row>
    <row r="23" ht="21.25" customHeight="1">
      <c r="A23" t="s" s="8">
        <v>201</v>
      </c>
      <c r="B23" t="s" s="71">
        <f>VLOOKUP(A23,'The List'!B1:D730,3,FALSE)</f>
        <v>118</v>
      </c>
      <c r="C23" s="72">
        <f>IF('Settings'!$E$15="POINTS",RANK(E23,E3:E156),H23)</f>
        <v>13</v>
      </c>
      <c r="D23" t="s" s="42">
        <f>VLOOKUP(A23,'The List'!B1:F730,5,FALSE)</f>
        <v>202</v>
      </c>
      <c r="E23" s="46">
        <f>VLOOKUP(A23,'The List'!B1:I730,8,FALSE)</f>
        <v>447.158630910392</v>
      </c>
      <c r="F23" s="46">
        <f>IF('Settings'!$E$15="POINTS",E23-VLOOKUP(B$2,C1:E156,3,FALSE),J23)</f>
        <v>65.530067204036</v>
      </c>
      <c r="G23" s="46"/>
      <c r="H23" s="149">
        <f>RANK(I23,I3:I156)</f>
        <v>10</v>
      </c>
      <c r="I23" s="150">
        <f>VLOOKUP(A23,'Standard Deviations'!A1:C731,3,FALSE)</f>
        <v>7.99051447788819</v>
      </c>
      <c r="J23" s="150">
        <f>I23-VLOOKUP(B$2,H1:J156,2,FALSE)</f>
        <v>3.08646285016087</v>
      </c>
    </row>
    <row r="24" ht="21.25" customHeight="1">
      <c r="A24" t="s" s="8">
        <v>216</v>
      </c>
      <c r="B24" t="s" s="71">
        <f>VLOOKUP(A24,'The List'!B1:D730,3,FALSE)</f>
        <v>111</v>
      </c>
      <c r="C24" s="72">
        <f>IF('Settings'!$E$15="POINTS",RANK(E24,E3:E156),H24)</f>
        <v>22</v>
      </c>
      <c r="D24" t="s" s="42">
        <f>VLOOKUP(A24,'The List'!B1:F730,5,FALSE)</f>
        <v>194</v>
      </c>
      <c r="E24" s="46">
        <f>VLOOKUP(A24,'The List'!B1:I730,8,FALSE)</f>
        <v>417.887478326887</v>
      </c>
      <c r="F24" s="46">
        <f>IF('Settings'!$E$15="POINTS",E24-VLOOKUP(B$2,C1:E156,3,FALSE),J24)</f>
        <v>36.258914620531</v>
      </c>
      <c r="G24" s="46"/>
      <c r="H24" s="149">
        <f>RANK(I24,I3:I156)</f>
        <v>28</v>
      </c>
      <c r="I24" s="150">
        <f>VLOOKUP(A24,'Standard Deviations'!A1:C731,3,FALSE)</f>
        <v>5.29247492065536</v>
      </c>
      <c r="J24" s="150">
        <f>I24-VLOOKUP(B$2,H1:J156,2,FALSE)</f>
        <v>0.38842329292804</v>
      </c>
    </row>
    <row r="25" ht="21.25" customHeight="1">
      <c r="A25" t="s" s="8">
        <v>223</v>
      </c>
      <c r="B25" t="s" s="71">
        <f>VLOOKUP(A25,'The List'!B1:D730,3,FALSE)</f>
        <v>133</v>
      </c>
      <c r="C25" s="72">
        <f>IF('Settings'!$E$15="POINTS",RANK(E25,E3:E156),H25)</f>
        <v>27</v>
      </c>
      <c r="D25" t="s" s="42">
        <f>VLOOKUP(A25,'The List'!B1:F730,5,FALSE)</f>
        <v>122</v>
      </c>
      <c r="E25" s="46">
        <f>VLOOKUP(A25,'The List'!B1:I730,8,FALSE)</f>
        <v>404.216115972245</v>
      </c>
      <c r="F25" s="46">
        <f>IF('Settings'!$E$15="POINTS",E25-VLOOKUP(B$2,C1:E156,3,FALSE),J25)</f>
        <v>22.587552265889</v>
      </c>
      <c r="G25" s="46"/>
      <c r="H25" s="149">
        <f>RANK(I25,I3:I156)</f>
        <v>17</v>
      </c>
      <c r="I25" s="150">
        <f>VLOOKUP(A25,'Standard Deviations'!A1:C731,3,FALSE)</f>
        <v>7.19169678900462</v>
      </c>
      <c r="J25" s="150">
        <f>I25-VLOOKUP(B$2,H1:J156,2,FALSE)</f>
        <v>2.2876451612773</v>
      </c>
    </row>
    <row r="26" ht="21.25" customHeight="1">
      <c r="A26" t="s" s="8">
        <v>226</v>
      </c>
      <c r="B26" t="s" s="71">
        <f>VLOOKUP(A26,'The List'!B1:D730,3,FALSE)</f>
        <v>111</v>
      </c>
      <c r="C26" s="72">
        <f>IF('Settings'!$E$15="POINTS",RANK(E26,E3:E156),H26)</f>
        <v>19</v>
      </c>
      <c r="D26" t="s" s="42">
        <f>VLOOKUP(A26,'The List'!B1:F730,5,FALSE)</f>
        <v>119</v>
      </c>
      <c r="E26" s="46">
        <f>VLOOKUP(A26,'The List'!B1:I730,8,FALSE)</f>
        <v>426.295752779934</v>
      </c>
      <c r="F26" s="46">
        <f>IF('Settings'!$E$15="POINTS",E26-VLOOKUP(B$2,C1:E156,3,FALSE),J26)</f>
        <v>44.667189073578</v>
      </c>
      <c r="G26" s="46"/>
      <c r="H26" s="149">
        <f>RANK(I26,I3:I156)</f>
        <v>19</v>
      </c>
      <c r="I26" s="150">
        <f>VLOOKUP(A26,'Standard Deviations'!A1:C731,3,FALSE)</f>
        <v>7.10854151458907</v>
      </c>
      <c r="J26" s="150">
        <f>I26-VLOOKUP(B$2,H1:J156,2,FALSE)</f>
        <v>2.20448988686175</v>
      </c>
    </row>
    <row r="27" ht="21.25" customHeight="1">
      <c r="A27" t="s" s="8">
        <v>231</v>
      </c>
      <c r="B27" t="s" s="71">
        <f>VLOOKUP(A27,'The List'!B1:D730,3,FALSE)</f>
        <v>133</v>
      </c>
      <c r="C27" s="72">
        <f>IF('Settings'!$E$15="POINTS",RANK(E27,E3:E156),H27)</f>
        <v>28</v>
      </c>
      <c r="D27" t="s" s="42">
        <f>VLOOKUP(A27,'The List'!B1:F730,5,FALSE)</f>
        <v>139</v>
      </c>
      <c r="E27" s="46">
        <f>VLOOKUP(A27,'The List'!B1:I730,8,FALSE)</f>
        <v>401.654553591353</v>
      </c>
      <c r="F27" s="46">
        <f>IF('Settings'!$E$15="POINTS",E27-VLOOKUP(B$2,C1:E156,3,FALSE),J27)</f>
        <v>20.025989884997</v>
      </c>
      <c r="G27" s="46"/>
      <c r="H27" s="149">
        <f>RANK(I27,I3:I156)</f>
        <v>29</v>
      </c>
      <c r="I27" s="150">
        <f>VLOOKUP(A27,'Standard Deviations'!A1:C731,3,FALSE)</f>
        <v>5.22647385310589</v>
      </c>
      <c r="J27" s="150">
        <f>I27-VLOOKUP(B$2,H1:J156,2,FALSE)</f>
        <v>0.32242222537857</v>
      </c>
    </row>
    <row r="28" ht="21.25" customHeight="1">
      <c r="A28" t="s" s="8">
        <v>215</v>
      </c>
      <c r="B28" t="s" s="71">
        <f>VLOOKUP(A28,'The List'!B1:D730,3,FALSE)</f>
        <v>118</v>
      </c>
      <c r="C28" s="72">
        <f>IF('Settings'!$E$15="POINTS",RANK(E28,E3:E156),H28)</f>
        <v>30</v>
      </c>
      <c r="D28" t="s" s="42">
        <f>VLOOKUP(A28,'The List'!B1:F730,5,FALSE)</f>
        <v>127</v>
      </c>
      <c r="E28" s="46">
        <f>VLOOKUP(A28,'The List'!B1:I730,8,FALSE)</f>
        <v>393.266774983083</v>
      </c>
      <c r="F28" s="46">
        <f>IF('Settings'!$E$15="POINTS",E28-VLOOKUP(B$2,C1:E156,3,FALSE),J28)</f>
        <v>11.638211276727</v>
      </c>
      <c r="G28" s="46"/>
      <c r="H28" s="149">
        <f>RANK(I28,I3:I156)</f>
        <v>24</v>
      </c>
      <c r="I28" s="150">
        <f>VLOOKUP(A28,'Standard Deviations'!A1:C731,3,FALSE)</f>
        <v>5.60164737026356</v>
      </c>
      <c r="J28" s="150">
        <f>I28-VLOOKUP(B$2,H1:J156,2,FALSE)</f>
        <v>0.69759574253624</v>
      </c>
    </row>
    <row r="29" ht="21.25" customHeight="1">
      <c r="A29" t="s" s="8">
        <v>221</v>
      </c>
      <c r="B29" t="s" s="71">
        <f>VLOOKUP(A29,'The List'!B1:D730,3,FALSE)</f>
        <v>118</v>
      </c>
      <c r="C29" s="72">
        <f>IF('Settings'!$E$15="POINTS",RANK(E29,E3:E156),H29)</f>
        <v>26</v>
      </c>
      <c r="D29" t="s" s="42">
        <f>VLOOKUP(A29,'The List'!B1:F730,5,FALSE)</f>
        <v>189</v>
      </c>
      <c r="E29" s="46">
        <f>VLOOKUP(A29,'The List'!B1:I730,8,FALSE)</f>
        <v>404.837501140412</v>
      </c>
      <c r="F29" s="46">
        <f>IF('Settings'!$E$15="POINTS",E29-VLOOKUP(B$2,C1:E156,3,FALSE),J29)</f>
        <v>23.208937434056</v>
      </c>
      <c r="G29" s="46"/>
      <c r="H29" s="149">
        <f>RANK(I29,I3:I156)</f>
        <v>38</v>
      </c>
      <c r="I29" s="150">
        <f>VLOOKUP(A29,'Standard Deviations'!A1:C731,3,FALSE)</f>
        <v>4.21121454432261</v>
      </c>
      <c r="J29" s="150">
        <f>I29-VLOOKUP(B$2,H1:J156,2,FALSE)</f>
        <v>-0.69283708340471</v>
      </c>
    </row>
    <row r="30" ht="21.25" customHeight="1">
      <c r="A30" t="s" s="8">
        <v>250</v>
      </c>
      <c r="B30" t="s" s="71">
        <f>VLOOKUP(A30,'The List'!B1:D730,3,FALSE)</f>
        <v>133</v>
      </c>
      <c r="C30" s="72">
        <f>IF('Settings'!$E$15="POINTS",RANK(E30,E3:E156),H30)</f>
        <v>23</v>
      </c>
      <c r="D30" t="s" s="42">
        <f>VLOOKUP(A30,'The List'!B1:F730,5,FALSE)</f>
        <v>131</v>
      </c>
      <c r="E30" s="46">
        <f>VLOOKUP(A30,'The List'!B1:I730,8,FALSE)</f>
        <v>411.621822454147</v>
      </c>
      <c r="F30" s="46">
        <f>IF('Settings'!$E$15="POINTS",E30-VLOOKUP(B$2,C1:E156,3,FALSE),J30)</f>
        <v>29.993258747791</v>
      </c>
      <c r="G30" s="46"/>
      <c r="H30" s="149">
        <f>RANK(I30,I3:I156)</f>
        <v>32</v>
      </c>
      <c r="I30" s="150">
        <f>VLOOKUP(A30,'Standard Deviations'!A1:C731,3,FALSE)</f>
        <v>5.05410760709115</v>
      </c>
      <c r="J30" s="150">
        <f>I30-VLOOKUP(B$2,H1:J156,2,FALSE)</f>
        <v>0.15005597936383</v>
      </c>
    </row>
    <row r="31" ht="21.25" customHeight="1">
      <c r="A31" t="s" s="8">
        <v>253</v>
      </c>
      <c r="B31" t="s" s="71">
        <f>VLOOKUP(A31,'The List'!B1:D730,3,FALSE)</f>
        <v>133</v>
      </c>
      <c r="C31" s="72">
        <f>IF('Settings'!$E$15="POINTS",RANK(E31,E3:E156),H31)</f>
        <v>35</v>
      </c>
      <c r="D31" t="s" s="42">
        <f>VLOOKUP(A31,'The List'!B1:F730,5,FALSE)</f>
        <v>238</v>
      </c>
      <c r="E31" s="46">
        <f>VLOOKUP(A31,'The List'!B1:I730,8,FALSE)</f>
        <v>377.869432920536</v>
      </c>
      <c r="F31" s="46">
        <f>IF('Settings'!$E$15="POINTS",E31-VLOOKUP(B$2,C1:E156,3,FALSE),J31)</f>
        <v>-3.759130785820</v>
      </c>
      <c r="G31" s="46"/>
      <c r="H31" s="149">
        <f>RANK(I31,I3:I156)</f>
        <v>27</v>
      </c>
      <c r="I31" s="150">
        <f>VLOOKUP(A31,'Standard Deviations'!A1:C731,3,FALSE)</f>
        <v>5.30764858263421</v>
      </c>
      <c r="J31" s="150">
        <f>I31-VLOOKUP(B$2,H1:J156,2,FALSE)</f>
        <v>0.40359695490689</v>
      </c>
    </row>
    <row r="32" ht="21.25" customHeight="1">
      <c r="A32" t="s" s="8">
        <v>252</v>
      </c>
      <c r="B32" t="s" s="71">
        <f>VLOOKUP(A32,'The List'!B1:D730,3,FALSE)</f>
        <v>118</v>
      </c>
      <c r="C32" s="72">
        <f>IF('Settings'!$E$15="POINTS",RANK(E32,E3:E156),H32)</f>
        <v>29</v>
      </c>
      <c r="D32" t="s" s="42">
        <f>VLOOKUP(A32,'The List'!B1:F730,5,FALSE)</f>
        <v>113</v>
      </c>
      <c r="E32" s="46">
        <f>VLOOKUP(A32,'The List'!B1:I730,8,FALSE)</f>
        <v>397.404159517415</v>
      </c>
      <c r="F32" s="46">
        <f>IF('Settings'!$E$15="POINTS",E32-VLOOKUP(B$2,C1:E156,3,FALSE),J32)</f>
        <v>15.775595811059</v>
      </c>
      <c r="G32" s="46"/>
      <c r="H32" s="149">
        <f>RANK(I32,I3:I156)</f>
        <v>21</v>
      </c>
      <c r="I32" s="150">
        <f>VLOOKUP(A32,'Standard Deviations'!A1:C731,3,FALSE)</f>
        <v>6.37758556902017</v>
      </c>
      <c r="J32" s="150">
        <f>I32-VLOOKUP(B$2,H1:J156,2,FALSE)</f>
        <v>1.47353394129285</v>
      </c>
    </row>
    <row r="33" ht="21.25" customHeight="1">
      <c r="A33" t="s" s="8">
        <v>266</v>
      </c>
      <c r="B33" t="s" s="71">
        <f>VLOOKUP(A33,'The List'!B1:D730,3,FALSE)</f>
        <v>111</v>
      </c>
      <c r="C33" s="72">
        <f>IF('Settings'!$E$15="POINTS",RANK(E33,E3:E156),H33)</f>
        <v>33</v>
      </c>
      <c r="D33" t="s" s="42">
        <f>VLOOKUP(A33,'The List'!B1:F730,5,FALSE)</f>
        <v>204</v>
      </c>
      <c r="E33" s="46">
        <f>VLOOKUP(A33,'The List'!B1:I730,8,FALSE)</f>
        <v>388.528267213397</v>
      </c>
      <c r="F33" s="46">
        <f>IF('Settings'!$E$15="POINTS",E33-VLOOKUP(B$2,C1:E156,3,FALSE),J33)</f>
        <v>6.899703507041</v>
      </c>
      <c r="G33" s="46"/>
      <c r="H33" s="149">
        <f>RANK(I33,I3:I156)</f>
        <v>33</v>
      </c>
      <c r="I33" s="150">
        <f>VLOOKUP(A33,'Standard Deviations'!A1:C731,3,FALSE)</f>
        <v>5.02695051357294</v>
      </c>
      <c r="J33" s="150">
        <f>I33-VLOOKUP(B$2,H1:J156,2,FALSE)</f>
        <v>0.12289888584562</v>
      </c>
    </row>
    <row r="34" ht="21.25" customHeight="1">
      <c r="A34" t="s" s="8">
        <v>257</v>
      </c>
      <c r="B34" t="s" s="71">
        <f>VLOOKUP(A34,'The List'!B1:D730,3,FALSE)</f>
        <v>118</v>
      </c>
      <c r="C34" s="72">
        <f>IF('Settings'!$E$15="POINTS",RANK(E34,E3:E156),H34)</f>
        <v>34</v>
      </c>
      <c r="D34" t="s" s="42">
        <f>VLOOKUP(A34,'The List'!B1:F730,5,FALSE)</f>
        <v>258</v>
      </c>
      <c r="E34" s="46">
        <f>VLOOKUP(A34,'The List'!B1:I730,8,FALSE)</f>
        <v>381.628563706356</v>
      </c>
      <c r="F34" s="46">
        <f>IF('Settings'!$E$15="POINTS",E34-VLOOKUP(B$2,C1:E156,3,FALSE),J34)</f>
        <v>0</v>
      </c>
      <c r="G34" s="46"/>
      <c r="H34" s="149">
        <f>RANK(I34,I3:I156)</f>
        <v>47</v>
      </c>
      <c r="I34" s="150">
        <f>VLOOKUP(A34,'Standard Deviations'!A1:C731,3,FALSE)</f>
        <v>2.57954691677968</v>
      </c>
      <c r="J34" s="150">
        <f>I34-VLOOKUP(B$2,H1:J156,2,FALSE)</f>
        <v>-2.32450471094764</v>
      </c>
    </row>
    <row r="35" ht="21.25" customHeight="1">
      <c r="A35" t="s" s="8">
        <v>272</v>
      </c>
      <c r="B35" t="s" s="71">
        <f>VLOOKUP(A35,'The List'!B1:D730,3,FALSE)</f>
        <v>133</v>
      </c>
      <c r="C35" s="72">
        <f>IF('Settings'!$E$15="POINTS",RANK(E35,E3:E156),H35)</f>
        <v>25</v>
      </c>
      <c r="D35" t="s" s="42">
        <f>VLOOKUP(A35,'The List'!B1:F730,5,FALSE)</f>
        <v>151</v>
      </c>
      <c r="E35" s="46">
        <f>VLOOKUP(A35,'The List'!B1:I730,8,FALSE)</f>
        <v>407.034072335718</v>
      </c>
      <c r="F35" s="46">
        <f>IF('Settings'!$E$15="POINTS",E35-VLOOKUP(B$2,C1:E156,3,FALSE),J35)</f>
        <v>25.405508629362</v>
      </c>
      <c r="G35" s="46"/>
      <c r="H35" s="149">
        <f>RANK(I35,I3:I156)</f>
        <v>20</v>
      </c>
      <c r="I35" s="150">
        <f>VLOOKUP(A35,'Standard Deviations'!A1:C731,3,FALSE)</f>
        <v>6.41151333761591</v>
      </c>
      <c r="J35" s="150">
        <f>I35-VLOOKUP(B$2,H1:J156,2,FALSE)</f>
        <v>1.50746170988859</v>
      </c>
    </row>
    <row r="36" ht="21.25" customHeight="1">
      <c r="A36" t="s" s="8">
        <v>273</v>
      </c>
      <c r="B36" t="s" s="71">
        <f>VLOOKUP(A36,'The List'!B1:D730,3,FALSE)</f>
        <v>133</v>
      </c>
      <c r="C36" s="72">
        <f>IF('Settings'!$E$15="POINTS",RANK(E36,E3:E156),H36)</f>
        <v>36</v>
      </c>
      <c r="D36" t="s" s="42">
        <f>VLOOKUP(A36,'The List'!B1:F730,5,FALSE)</f>
        <v>164</v>
      </c>
      <c r="E36" s="46">
        <f>VLOOKUP(A36,'The List'!B1:I730,8,FALSE)</f>
        <v>366.991176402012</v>
      </c>
      <c r="F36" s="46">
        <f>IF('Settings'!$E$15="POINTS",E36-VLOOKUP(B$2,C1:E156,3,FALSE),J36)</f>
        <v>-14.637387304344</v>
      </c>
      <c r="G36" s="46"/>
      <c r="H36" s="149">
        <f>RANK(I36,I3:I156)</f>
        <v>31</v>
      </c>
      <c r="I36" s="150">
        <f>VLOOKUP(A36,'Standard Deviations'!A1:C731,3,FALSE)</f>
        <v>5.08469635369281</v>
      </c>
      <c r="J36" s="150">
        <f>I36-VLOOKUP(B$2,H1:J156,2,FALSE)</f>
        <v>0.18064472596549</v>
      </c>
    </row>
    <row r="37" ht="21.25" customHeight="1">
      <c r="A37" t="s" s="8">
        <v>278</v>
      </c>
      <c r="B37" t="s" s="71">
        <f>VLOOKUP(A37,'The List'!B1:D730,3,FALSE)</f>
        <v>133</v>
      </c>
      <c r="C37" s="72">
        <f>IF('Settings'!$E$15="POINTS",RANK(E37,E3:E156),H37)</f>
        <v>32</v>
      </c>
      <c r="D37" t="s" s="42">
        <f>VLOOKUP(A37,'The List'!B1:F730,5,FALSE)</f>
        <v>248</v>
      </c>
      <c r="E37" s="46">
        <f>VLOOKUP(A37,'The List'!B1:I730,8,FALSE)</f>
        <v>388.748545245847</v>
      </c>
      <c r="F37" s="46">
        <f>IF('Settings'!$E$15="POINTS",E37-VLOOKUP(B$2,C1:E156,3,FALSE),J37)</f>
        <v>7.119981539491</v>
      </c>
      <c r="G37" s="46"/>
      <c r="H37" s="149">
        <f>RANK(I37,I3:I156)</f>
        <v>36</v>
      </c>
      <c r="I37" s="150">
        <f>VLOOKUP(A37,'Standard Deviations'!A1:C731,3,FALSE)</f>
        <v>4.75429115398183</v>
      </c>
      <c r="J37" s="150">
        <f>I37-VLOOKUP(B$2,H1:J156,2,FALSE)</f>
        <v>-0.14976047374549</v>
      </c>
    </row>
    <row r="38" ht="21.25" customHeight="1">
      <c r="A38" t="s" s="8">
        <v>288</v>
      </c>
      <c r="B38" t="s" s="71">
        <f>VLOOKUP(A38,'The List'!B1:D730,3,FALSE)</f>
        <v>133</v>
      </c>
      <c r="C38" s="72">
        <f>IF('Settings'!$E$15="POINTS",RANK(E38,E3:E156),H38)</f>
        <v>31</v>
      </c>
      <c r="D38" t="s" s="42">
        <f>VLOOKUP(A38,'The List'!B1:F730,5,FALSE)</f>
        <v>124</v>
      </c>
      <c r="E38" s="46">
        <f>VLOOKUP(A38,'The List'!B1:I730,8,FALSE)</f>
        <v>391.009231973882</v>
      </c>
      <c r="F38" s="46">
        <f>IF('Settings'!$E$15="POINTS",E38-VLOOKUP(B$2,C1:E156,3,FALSE),J38)</f>
        <v>9.380668267526</v>
      </c>
      <c r="G38" s="46"/>
      <c r="H38" s="149">
        <f>RANK(I38,I3:I156)</f>
        <v>37</v>
      </c>
      <c r="I38" s="150">
        <f>VLOOKUP(A38,'Standard Deviations'!A1:C731,3,FALSE)</f>
        <v>4.40064250250331</v>
      </c>
      <c r="J38" s="150">
        <f>I38-VLOOKUP(B$2,H1:J156,2,FALSE)</f>
        <v>-0.50340912522401</v>
      </c>
    </row>
    <row r="39" ht="21.25" customHeight="1">
      <c r="A39" t="s" s="8">
        <v>290</v>
      </c>
      <c r="B39" t="s" s="71">
        <f>VLOOKUP(A39,'The List'!B1:D730,3,FALSE)</f>
        <v>133</v>
      </c>
      <c r="C39" s="72">
        <f>IF('Settings'!$E$15="POINTS",RANK(E39,E3:E156),H39)</f>
        <v>39</v>
      </c>
      <c r="D39" t="s" s="42">
        <f>VLOOKUP(A39,'The List'!B1:F730,5,FALSE)</f>
        <v>225</v>
      </c>
      <c r="E39" s="46">
        <f>VLOOKUP(A39,'The List'!B1:I730,8,FALSE)</f>
        <v>360.319622607085</v>
      </c>
      <c r="F39" s="46">
        <f>IF('Settings'!$E$15="POINTS",E39-VLOOKUP(B$2,C1:E156,3,FALSE),J39)</f>
        <v>-21.308941099271</v>
      </c>
      <c r="G39" s="46"/>
      <c r="H39" s="149">
        <f>RANK(I39,I3:I156)</f>
        <v>44</v>
      </c>
      <c r="I39" s="150">
        <f>VLOOKUP(A39,'Standard Deviations'!A1:C731,3,FALSE)</f>
        <v>2.76328697664863</v>
      </c>
      <c r="J39" s="150">
        <f>I39-VLOOKUP(B$2,H1:J156,2,FALSE)</f>
        <v>-2.14076465107869</v>
      </c>
    </row>
    <row r="40" ht="21.25" customHeight="1">
      <c r="A40" t="s" s="8">
        <v>300</v>
      </c>
      <c r="B40" t="s" s="71">
        <f>VLOOKUP(A40,'The List'!B1:D730,3,FALSE)</f>
        <v>133</v>
      </c>
      <c r="C40" s="72">
        <f>IF('Settings'!$E$15="POINTS",RANK(E40,E3:E156),H40)</f>
        <v>37</v>
      </c>
      <c r="D40" t="s" s="42">
        <f>VLOOKUP(A40,'The List'!B1:F730,5,FALSE)</f>
        <v>113</v>
      </c>
      <c r="E40" s="46">
        <f>VLOOKUP(A40,'The List'!B1:I730,8,FALSE)</f>
        <v>363.943015492360</v>
      </c>
      <c r="F40" s="46">
        <f>IF('Settings'!$E$15="POINTS",E40-VLOOKUP(B$2,C1:E156,3,FALSE),J40)</f>
        <v>-17.685548213996</v>
      </c>
      <c r="G40" s="46"/>
      <c r="H40" s="149">
        <f>RANK(I40,I3:I156)</f>
        <v>30</v>
      </c>
      <c r="I40" s="150">
        <f>VLOOKUP(A40,'Standard Deviations'!A1:C731,3,FALSE)</f>
        <v>5.12322940850465</v>
      </c>
      <c r="J40" s="150">
        <f>I40-VLOOKUP(B$2,H1:J156,2,FALSE)</f>
        <v>0.21917778077733</v>
      </c>
    </row>
    <row r="41" ht="21.25" customHeight="1">
      <c r="A41" t="s" s="8">
        <v>295</v>
      </c>
      <c r="B41" t="s" s="71">
        <f>VLOOKUP(A41,'The List'!B1:D730,3,FALSE)</f>
        <v>118</v>
      </c>
      <c r="C41" s="72">
        <f>IF('Settings'!$E$15="POINTS",RANK(E41,E3:E156),H41)</f>
        <v>45</v>
      </c>
      <c r="D41" t="s" s="42">
        <f>VLOOKUP(A41,'The List'!B1:F730,5,FALSE)</f>
        <v>184</v>
      </c>
      <c r="E41" s="46">
        <f>VLOOKUP(A41,'The List'!B1:I730,8,FALSE)</f>
        <v>334.221458455621</v>
      </c>
      <c r="F41" s="46">
        <f>IF('Settings'!$E$15="POINTS",E41-VLOOKUP(B$2,C1:E156,3,FALSE),J41)</f>
        <v>-47.407105250735</v>
      </c>
      <c r="G41" s="46"/>
      <c r="H41" s="149">
        <f>RANK(I41,I3:I156)</f>
        <v>49</v>
      </c>
      <c r="I41" s="150">
        <f>VLOOKUP(A41,'Standard Deviations'!A1:C731,3,FALSE)</f>
        <v>2.17108279548464</v>
      </c>
      <c r="J41" s="150">
        <f>I41-VLOOKUP(B$2,H1:J156,2,FALSE)</f>
        <v>-2.73296883224268</v>
      </c>
    </row>
    <row r="42" ht="21.25" customHeight="1">
      <c r="A42" t="s" s="8">
        <v>297</v>
      </c>
      <c r="B42" t="s" s="71">
        <f>VLOOKUP(A42,'The List'!B1:D730,3,FALSE)</f>
        <v>118</v>
      </c>
      <c r="C42" s="72">
        <f>IF('Settings'!$E$15="POINTS",RANK(E42,E3:E156),H42)</f>
        <v>38</v>
      </c>
      <c r="D42" t="s" s="42">
        <f>VLOOKUP(A42,'The List'!B1:F730,5,FALSE)</f>
        <v>122</v>
      </c>
      <c r="E42" s="46">
        <f>VLOOKUP(A42,'The List'!B1:I730,8,FALSE)</f>
        <v>362.697105030608</v>
      </c>
      <c r="F42" s="46">
        <f>IF('Settings'!$E$15="POINTS",E42-VLOOKUP(B$2,C1:E156,3,FALSE),J42)</f>
        <v>-18.931458675748</v>
      </c>
      <c r="G42" s="46"/>
      <c r="H42" s="149">
        <f>RANK(I42,I3:I156)</f>
        <v>35</v>
      </c>
      <c r="I42" s="150">
        <f>VLOOKUP(A42,'Standard Deviations'!A1:C731,3,FALSE)</f>
        <v>4.87272303246251</v>
      </c>
      <c r="J42" s="150">
        <f>I42-VLOOKUP(B$2,H1:J156,2,FALSE)</f>
        <v>-0.03132859526481</v>
      </c>
    </row>
    <row r="43" ht="21.25" customHeight="1">
      <c r="A43" t="s" s="8">
        <v>305</v>
      </c>
      <c r="B43" t="s" s="71">
        <f>VLOOKUP(A43,'The List'!B1:D730,3,FALSE)</f>
        <v>133</v>
      </c>
      <c r="C43" s="72">
        <f>IF('Settings'!$E$15="POINTS",RANK(E43,E3:E156),H43)</f>
        <v>41</v>
      </c>
      <c r="D43" t="s" s="42">
        <f>VLOOKUP(A43,'The List'!B1:F730,5,FALSE)</f>
        <v>156</v>
      </c>
      <c r="E43" s="46">
        <f>VLOOKUP(A43,'The List'!B1:I730,8,FALSE)</f>
        <v>348.758348390877</v>
      </c>
      <c r="F43" s="46">
        <f>IF('Settings'!$E$15="POINTS",E43-VLOOKUP(B$2,C1:E156,3,FALSE),J43)</f>
        <v>-32.870215315479</v>
      </c>
      <c r="G43" s="46"/>
      <c r="H43" s="149">
        <f>RANK(I43,I3:I156)</f>
        <v>39</v>
      </c>
      <c r="I43" s="150">
        <f>VLOOKUP(A43,'Standard Deviations'!A1:C731,3,FALSE)</f>
        <v>3.77306136760975</v>
      </c>
      <c r="J43" s="150">
        <f>I43-VLOOKUP(B$2,H1:J156,2,FALSE)</f>
        <v>-1.13099026011757</v>
      </c>
    </row>
    <row r="44" ht="21.25" customHeight="1">
      <c r="A44" t="s" s="8">
        <v>302</v>
      </c>
      <c r="B44" t="s" s="71">
        <f>VLOOKUP(A44,'The List'!B1:D730,3,FALSE)</f>
        <v>118</v>
      </c>
      <c r="C44" s="72">
        <f>IF('Settings'!$E$15="POINTS",RANK(E44,E3:E156),H44)</f>
        <v>44</v>
      </c>
      <c r="D44" t="s" s="42">
        <f>VLOOKUP(A44,'The List'!B1:F730,5,FALSE)</f>
        <v>184</v>
      </c>
      <c r="E44" s="46">
        <f>VLOOKUP(A44,'The List'!B1:I730,8,FALSE)</f>
        <v>334.313298958391</v>
      </c>
      <c r="F44" s="46">
        <f>IF('Settings'!$E$15="POINTS",E44-VLOOKUP(B$2,C1:E156,3,FALSE),J44)</f>
        <v>-47.315264747965</v>
      </c>
      <c r="G44" s="46"/>
      <c r="H44" s="149">
        <f>RANK(I44,I3:I156)</f>
        <v>43</v>
      </c>
      <c r="I44" s="150">
        <f>VLOOKUP(A44,'Standard Deviations'!A1:C731,3,FALSE)</f>
        <v>2.86895832586876</v>
      </c>
      <c r="J44" s="150">
        <f>I44-VLOOKUP(B$2,H1:J156,2,FALSE)</f>
        <v>-2.03509330185856</v>
      </c>
    </row>
    <row r="45" ht="21.25" customHeight="1">
      <c r="A45" t="s" s="8">
        <v>311</v>
      </c>
      <c r="B45" t="s" s="71">
        <f>VLOOKUP(A45,'The List'!B1:D730,3,FALSE)</f>
        <v>133</v>
      </c>
      <c r="C45" s="72">
        <f>IF('Settings'!$E$15="POINTS",RANK(E45,E3:E156),H45)</f>
        <v>40</v>
      </c>
      <c r="D45" t="s" s="42">
        <f>VLOOKUP(A45,'The List'!B1:F730,5,FALSE)</f>
        <v>136</v>
      </c>
      <c r="E45" s="46">
        <f>VLOOKUP(A45,'The List'!B1:I730,8,FALSE)</f>
        <v>351.916505214164</v>
      </c>
      <c r="F45" s="46">
        <f>IF('Settings'!$E$15="POINTS",E45-VLOOKUP(B$2,C1:E156,3,FALSE),J45)</f>
        <v>-29.712058492192</v>
      </c>
      <c r="G45" s="46"/>
      <c r="H45" s="149">
        <f>RANK(I45,I3:I156)</f>
        <v>34</v>
      </c>
      <c r="I45" s="150">
        <f>VLOOKUP(A45,'Standard Deviations'!A1:C731,3,FALSE)</f>
        <v>4.90405162772732</v>
      </c>
      <c r="J45" s="150">
        <f>I45-VLOOKUP(B$2,H1:J156,2,FALSE)</f>
        <v>0</v>
      </c>
    </row>
    <row r="46" ht="21.25" customHeight="1">
      <c r="A46" t="s" s="8">
        <v>315</v>
      </c>
      <c r="B46" t="s" s="71">
        <f>VLOOKUP(A46,'The List'!B1:D730,3,FALSE)</f>
        <v>111</v>
      </c>
      <c r="C46" s="72">
        <f>IF('Settings'!$E$15="POINTS",RANK(E46,E3:E156),H46)</f>
        <v>43</v>
      </c>
      <c r="D46" t="s" s="42">
        <f>VLOOKUP(A46,'The List'!B1:F730,5,FALSE)</f>
        <v>234</v>
      </c>
      <c r="E46" s="46">
        <f>VLOOKUP(A46,'The List'!B1:I730,8,FALSE)</f>
        <v>334.766313629119</v>
      </c>
      <c r="F46" s="46">
        <f>IF('Settings'!$E$15="POINTS",E46-VLOOKUP(B$2,C1:E156,3,FALSE),J46)</f>
        <v>-46.862250077237</v>
      </c>
      <c r="G46" s="46"/>
      <c r="H46" s="149">
        <f>RANK(I46,I3:I156)</f>
        <v>56</v>
      </c>
      <c r="I46" s="150">
        <f>VLOOKUP(A46,'Standard Deviations'!A1:C731,3,FALSE)</f>
        <v>1.02723151378167</v>
      </c>
      <c r="J46" s="150">
        <f>I46-VLOOKUP(B$2,H1:J156,2,FALSE)</f>
        <v>-3.87682011394565</v>
      </c>
    </row>
    <row r="47" ht="21.25" customHeight="1">
      <c r="A47" t="s" s="8">
        <v>307</v>
      </c>
      <c r="B47" t="s" s="71">
        <f>VLOOKUP(A47,'The List'!B1:D730,3,FALSE)</f>
        <v>118</v>
      </c>
      <c r="C47" s="72">
        <f>IF('Settings'!$E$15="POINTS",RANK(E47,E3:E156),H47)</f>
        <v>47</v>
      </c>
      <c r="D47" t="s" s="42">
        <f>VLOOKUP(A47,'The List'!B1:F730,5,FALSE)</f>
        <v>204</v>
      </c>
      <c r="E47" s="46">
        <f>VLOOKUP(A47,'The List'!B1:I730,8,FALSE)</f>
        <v>331.115612179120</v>
      </c>
      <c r="F47" s="46">
        <f>IF('Settings'!$E$15="POINTS",E47-VLOOKUP(B$2,C1:E156,3,FALSE),J47)</f>
        <v>-50.512951527236</v>
      </c>
      <c r="G47" s="46"/>
      <c r="H47" s="149">
        <f>RANK(I47,I3:I156)</f>
        <v>40</v>
      </c>
      <c r="I47" s="150">
        <f>VLOOKUP(A47,'Standard Deviations'!A1:C731,3,FALSE)</f>
        <v>3.51883082056837</v>
      </c>
      <c r="J47" s="150">
        <f>I47-VLOOKUP(B$2,H1:J156,2,FALSE)</f>
        <v>-1.38522080715895</v>
      </c>
    </row>
    <row r="48" ht="21.25" customHeight="1">
      <c r="A48" t="s" s="8">
        <v>310</v>
      </c>
      <c r="B48" t="s" s="71">
        <f>VLOOKUP(A48,'The List'!B1:D730,3,FALSE)</f>
        <v>118</v>
      </c>
      <c r="C48" s="72">
        <f>IF('Settings'!$E$15="POINTS",RANK(E48,E3:E156),H48)</f>
        <v>51</v>
      </c>
      <c r="D48" t="s" s="42">
        <f>VLOOKUP(A48,'The List'!B1:F730,5,FALSE)</f>
        <v>248</v>
      </c>
      <c r="E48" s="46">
        <f>VLOOKUP(A48,'The List'!B1:I730,8,FALSE)</f>
        <v>319.989471759405</v>
      </c>
      <c r="F48" s="46">
        <f>IF('Settings'!$E$15="POINTS",E48-VLOOKUP(B$2,C1:E156,3,FALSE),J48)</f>
        <v>-61.639091946951</v>
      </c>
      <c r="G48" s="46"/>
      <c r="H48" s="149">
        <f>RANK(I48,I3:I156)</f>
        <v>46</v>
      </c>
      <c r="I48" s="150">
        <f>VLOOKUP(A48,'Standard Deviations'!A1:C731,3,FALSE)</f>
        <v>2.5994598297547</v>
      </c>
      <c r="J48" s="150">
        <f>I48-VLOOKUP(B$2,H1:J156,2,FALSE)</f>
        <v>-2.30459179797262</v>
      </c>
    </row>
    <row r="49" ht="21.25" customHeight="1">
      <c r="A49" t="s" s="8">
        <v>333</v>
      </c>
      <c r="B49" t="s" s="71">
        <f>VLOOKUP(A49,'The List'!B1:D730,3,FALSE)</f>
        <v>111</v>
      </c>
      <c r="C49" s="72">
        <f>IF('Settings'!$E$15="POINTS",RANK(E49,E3:E156),H49)</f>
        <v>42</v>
      </c>
      <c r="D49" t="s" s="42">
        <f>VLOOKUP(A49,'The List'!B1:F730,5,FALSE)</f>
        <v>194</v>
      </c>
      <c r="E49" s="46">
        <f>VLOOKUP(A49,'The List'!B1:I730,8,FALSE)</f>
        <v>335.707827981214</v>
      </c>
      <c r="F49" s="46">
        <f>IF('Settings'!$E$15="POINTS",E49-VLOOKUP(B$2,C1:E156,3,FALSE),J49)</f>
        <v>-45.920735725142</v>
      </c>
      <c r="G49" s="46"/>
      <c r="H49" s="149">
        <f>RANK(I49,I3:I156)</f>
        <v>55</v>
      </c>
      <c r="I49" s="150">
        <f>VLOOKUP(A49,'Standard Deviations'!A1:C731,3,FALSE)</f>
        <v>1.02928773954211</v>
      </c>
      <c r="J49" s="150">
        <f>I49-VLOOKUP(B$2,H1:J156,2,FALSE)</f>
        <v>-3.87476388818521</v>
      </c>
    </row>
    <row r="50" ht="21.25" customHeight="1">
      <c r="A50" t="s" s="8">
        <v>332</v>
      </c>
      <c r="B50" t="s" s="71">
        <f>VLOOKUP(A50,'The List'!B1:D730,3,FALSE)</f>
        <v>118</v>
      </c>
      <c r="C50" s="72">
        <f>IF('Settings'!$E$15="POINTS",RANK(E50,E3:E156),H50)</f>
        <v>48</v>
      </c>
      <c r="D50" t="s" s="42">
        <f>VLOOKUP(A50,'The List'!B1:F730,5,FALSE)</f>
        <v>234</v>
      </c>
      <c r="E50" s="46">
        <f>VLOOKUP(A50,'The List'!B1:I730,8,FALSE)</f>
        <v>329.809327600855</v>
      </c>
      <c r="F50" s="46">
        <f>IF('Settings'!$E$15="POINTS",E50-VLOOKUP(B$2,C1:E156,3,FALSE),J50)</f>
        <v>-51.819236105501</v>
      </c>
      <c r="G50" s="46"/>
      <c r="H50" s="149">
        <f>RANK(I50,I3:I156)</f>
        <v>67</v>
      </c>
      <c r="I50" s="150">
        <f>VLOOKUP(A50,'Standard Deviations'!A1:C731,3,FALSE)</f>
        <v>0.454656114280023</v>
      </c>
      <c r="J50" s="150">
        <f>I50-VLOOKUP(B$2,H1:J156,2,FALSE)</f>
        <v>-4.4493955134473</v>
      </c>
    </row>
    <row r="51" ht="21.25" customHeight="1">
      <c r="A51" t="s" s="8">
        <v>335</v>
      </c>
      <c r="B51" t="s" s="71">
        <f>VLOOKUP(A51,'The List'!B1:D730,3,FALSE)</f>
        <v>118</v>
      </c>
      <c r="C51" s="72">
        <f>IF('Settings'!$E$15="POINTS",RANK(E51,E3:E156),H51)</f>
        <v>46</v>
      </c>
      <c r="D51" t="s" s="42">
        <f>VLOOKUP(A51,'The List'!B1:F730,5,FALSE)</f>
        <v>238</v>
      </c>
      <c r="E51" s="46">
        <f>VLOOKUP(A51,'The List'!B1:I730,8,FALSE)</f>
        <v>332.933865412420</v>
      </c>
      <c r="F51" s="46">
        <f>IF('Settings'!$E$15="POINTS",E51-VLOOKUP(B$2,C1:E156,3,FALSE),J51)</f>
        <v>-48.694698293936</v>
      </c>
      <c r="G51" s="46"/>
      <c r="H51" s="149">
        <f>RANK(I51,I3:I156)</f>
        <v>41</v>
      </c>
      <c r="I51" s="150">
        <f>VLOOKUP(A51,'Standard Deviations'!A1:C731,3,FALSE)</f>
        <v>3.36574852969841</v>
      </c>
      <c r="J51" s="150">
        <f>I51-VLOOKUP(B$2,H1:J156,2,FALSE)</f>
        <v>-1.53830309802891</v>
      </c>
    </row>
    <row r="52" ht="21.25" customHeight="1">
      <c r="A52" t="s" s="8">
        <v>352</v>
      </c>
      <c r="B52" t="s" s="71">
        <f>VLOOKUP(A52,'The List'!B1:D730,3,FALSE)</f>
        <v>133</v>
      </c>
      <c r="C52" s="72">
        <f>IF('Settings'!$E$15="POINTS",RANK(E52,E3:E156),H52)</f>
        <v>50</v>
      </c>
      <c r="D52" t="s" s="42">
        <f>VLOOKUP(A52,'The List'!B1:F730,5,FALSE)</f>
        <v>149</v>
      </c>
      <c r="E52" s="46">
        <f>VLOOKUP(A52,'The List'!B1:I730,8,FALSE)</f>
        <v>327.684105009120</v>
      </c>
      <c r="F52" s="46">
        <f>IF('Settings'!$E$15="POINTS",E52-VLOOKUP(B$2,C1:E156,3,FALSE),J52)</f>
        <v>-53.944458697236</v>
      </c>
      <c r="G52" s="46"/>
      <c r="H52" s="149">
        <f>RANK(I52,I3:I156)</f>
        <v>42</v>
      </c>
      <c r="I52" s="150">
        <f>VLOOKUP(A52,'Standard Deviations'!A1:C731,3,FALSE)</f>
        <v>3.04579299906192</v>
      </c>
      <c r="J52" s="150">
        <f>I52-VLOOKUP(B$2,H1:J156,2,FALSE)</f>
        <v>-1.8582586286654</v>
      </c>
    </row>
    <row r="53" ht="21.25" customHeight="1">
      <c r="A53" t="s" s="8">
        <v>362</v>
      </c>
      <c r="B53" t="s" s="71">
        <f>VLOOKUP(A53,'The List'!B1:D730,3,FALSE)</f>
        <v>133</v>
      </c>
      <c r="C53" s="72">
        <f>IF('Settings'!$E$15="POINTS",RANK(E53,E3:E156),H53)</f>
        <v>60</v>
      </c>
      <c r="D53" t="s" s="42">
        <f>VLOOKUP(A53,'The List'!B1:F730,5,FALSE)</f>
        <v>225</v>
      </c>
      <c r="E53" s="46">
        <f>VLOOKUP(A53,'The List'!B1:I730,8,FALSE)</f>
        <v>292.917159483350</v>
      </c>
      <c r="F53" s="46">
        <f>IF('Settings'!$E$15="POINTS",E53-VLOOKUP(B$2,C1:E156,3,FALSE),J53)</f>
        <v>-88.711404223006</v>
      </c>
      <c r="G53" s="46"/>
      <c r="H53" s="149">
        <f>RANK(I53,I3:I156)</f>
        <v>71</v>
      </c>
      <c r="I53" s="150">
        <f>VLOOKUP(A53,'Standard Deviations'!A1:C731,3,FALSE)</f>
        <v>0.315024793407894</v>
      </c>
      <c r="J53" s="150">
        <f>I53-VLOOKUP(B$2,H1:J156,2,FALSE)</f>
        <v>-4.58902683431943</v>
      </c>
    </row>
    <row r="54" ht="21.25" customHeight="1">
      <c r="A54" t="s" s="8">
        <v>371</v>
      </c>
      <c r="B54" t="s" s="71">
        <f>VLOOKUP(A54,'The List'!B1:D730,3,FALSE)</f>
        <v>111</v>
      </c>
      <c r="C54" s="72">
        <f>IF('Settings'!$E$15="POINTS",RANK(E54,E3:E156),H54)</f>
        <v>49</v>
      </c>
      <c r="D54" t="s" s="42">
        <f>VLOOKUP(A54,'The List'!B1:F730,5,FALSE)</f>
        <v>189</v>
      </c>
      <c r="E54" s="46">
        <f>VLOOKUP(A54,'The List'!B1:I730,8,FALSE)</f>
        <v>329.658701122838</v>
      </c>
      <c r="F54" s="46">
        <f>IF('Settings'!$E$15="POINTS",E54-VLOOKUP(B$2,C1:E156,3,FALSE),J54)</f>
        <v>-51.969862583518</v>
      </c>
      <c r="G54" s="46"/>
      <c r="H54" s="149">
        <f>RANK(I54,I3:I156)</f>
        <v>63</v>
      </c>
      <c r="I54" s="150">
        <f>VLOOKUP(A54,'Standard Deviations'!A1:C731,3,FALSE)</f>
        <v>0.691379764942408</v>
      </c>
      <c r="J54" s="150">
        <f>I54-VLOOKUP(B$2,H1:J156,2,FALSE)</f>
        <v>-4.21267186278491</v>
      </c>
    </row>
    <row r="55" ht="21.25" customHeight="1">
      <c r="A55" t="s" s="8">
        <v>378</v>
      </c>
      <c r="B55" t="s" s="71">
        <f>VLOOKUP(A55,'The List'!B1:D730,3,FALSE)</f>
        <v>111</v>
      </c>
      <c r="C55" s="72">
        <f>IF('Settings'!$E$15="POINTS",RANK(E55,E3:E156),H55)</f>
        <v>68</v>
      </c>
      <c r="D55" t="s" s="42">
        <f>VLOOKUP(A55,'The List'!B1:F730,5,FALSE)</f>
        <v>189</v>
      </c>
      <c r="E55" s="46">
        <f>VLOOKUP(A55,'The List'!B1:I730,8,FALSE)</f>
        <v>278.8344223246</v>
      </c>
      <c r="F55" s="46">
        <f>IF('Settings'!$E$15="POINTS",E55-VLOOKUP(B$2,C1:E156,3,FALSE),J55)</f>
        <v>-102.794141381756</v>
      </c>
      <c r="G55" s="46"/>
      <c r="H55" s="149">
        <f>RANK(I55,I3:I156)</f>
        <v>75</v>
      </c>
      <c r="I55" s="150">
        <f>VLOOKUP(A55,'Standard Deviations'!A1:C731,3,FALSE)</f>
        <v>-0.076165716071106</v>
      </c>
      <c r="J55" s="150">
        <f>I55-VLOOKUP(B$2,H1:J156,2,FALSE)</f>
        <v>-4.98021734379843</v>
      </c>
    </row>
    <row r="56" ht="21.25" customHeight="1">
      <c r="A56" t="s" s="8">
        <v>370</v>
      </c>
      <c r="B56" t="s" s="71">
        <f>VLOOKUP(A56,'The List'!B1:D730,3,FALSE)</f>
        <v>118</v>
      </c>
      <c r="C56" s="72">
        <f>IF('Settings'!$E$15="POINTS",RANK(E56,E3:E156),H56)</f>
        <v>63</v>
      </c>
      <c r="D56" t="s" s="42">
        <f>VLOOKUP(A56,'The List'!B1:F730,5,FALSE)</f>
        <v>156</v>
      </c>
      <c r="E56" s="46">
        <f>VLOOKUP(A56,'The List'!B1:I730,8,FALSE)</f>
        <v>287.099241610952</v>
      </c>
      <c r="F56" s="46">
        <f>IF('Settings'!$E$15="POINTS",E56-VLOOKUP(B$2,C1:E156,3,FALSE),J56)</f>
        <v>-94.529322095404</v>
      </c>
      <c r="G56" s="46"/>
      <c r="H56" s="149">
        <f>RANK(I56,I3:I156)</f>
        <v>54</v>
      </c>
      <c r="I56" s="150">
        <f>VLOOKUP(A56,'Standard Deviations'!A1:C731,3,FALSE)</f>
        <v>1.0959759835712</v>
      </c>
      <c r="J56" s="150">
        <f>I56-VLOOKUP(B$2,H1:J156,2,FALSE)</f>
        <v>-3.80807564415612</v>
      </c>
    </row>
    <row r="57" ht="21.25" customHeight="1">
      <c r="A57" t="s" s="8">
        <v>372</v>
      </c>
      <c r="B57" t="s" s="71">
        <f>VLOOKUP(A57,'The List'!B1:D730,3,FALSE)</f>
        <v>118</v>
      </c>
      <c r="C57" s="72">
        <f>IF('Settings'!$E$15="POINTS",RANK(E57,E3:E156),H57)</f>
        <v>54</v>
      </c>
      <c r="D57" t="s" s="42">
        <f>VLOOKUP(A57,'The List'!B1:F730,5,FALSE)</f>
        <v>170</v>
      </c>
      <c r="E57" s="46">
        <f>VLOOKUP(A57,'The List'!B1:I730,8,FALSE)</f>
        <v>310.577739354740</v>
      </c>
      <c r="F57" s="46">
        <f>IF('Settings'!$E$15="POINTS",E57-VLOOKUP(B$2,C1:E156,3,FALSE),J57)</f>
        <v>-71.050824351616</v>
      </c>
      <c r="G57" s="46"/>
      <c r="H57" s="149">
        <f>RANK(I57,I3:I156)</f>
        <v>52</v>
      </c>
      <c r="I57" s="150">
        <f>VLOOKUP(A57,'Standard Deviations'!A1:C731,3,FALSE)</f>
        <v>1.59320485613993</v>
      </c>
      <c r="J57" s="150">
        <f>I57-VLOOKUP(B$2,H1:J156,2,FALSE)</f>
        <v>-3.31084677158739</v>
      </c>
    </row>
    <row r="58" ht="21.25" customHeight="1">
      <c r="A58" t="s" s="8">
        <v>390</v>
      </c>
      <c r="B58" t="s" s="71">
        <f>VLOOKUP(A58,'The List'!B1:D730,3,FALSE)</f>
        <v>111</v>
      </c>
      <c r="C58" s="72">
        <f>IF('Settings'!$E$15="POINTS",RANK(E58,E3:E156),H58)</f>
        <v>57</v>
      </c>
      <c r="D58" t="s" s="42">
        <f>VLOOKUP(A58,'The List'!B1:F730,5,FALSE)</f>
        <v>234</v>
      </c>
      <c r="E58" s="46">
        <f>VLOOKUP(A58,'The List'!B1:I730,8,FALSE)</f>
        <v>294.557117842121</v>
      </c>
      <c r="F58" s="46">
        <f>IF('Settings'!$E$15="POINTS",E58-VLOOKUP(B$2,C1:E156,3,FALSE),J58)</f>
        <v>-87.071445864235</v>
      </c>
      <c r="G58" s="46"/>
      <c r="H58" s="149">
        <f>RANK(I58,I3:I156)</f>
        <v>72</v>
      </c>
      <c r="I58" s="150">
        <f>VLOOKUP(A58,'Standard Deviations'!A1:C731,3,FALSE)</f>
        <v>0.301284683960606</v>
      </c>
      <c r="J58" s="150">
        <f>I58-VLOOKUP(B$2,H1:J156,2,FALSE)</f>
        <v>-4.60276694376671</v>
      </c>
    </row>
    <row r="59" ht="21.25" customHeight="1">
      <c r="A59" t="s" s="8">
        <v>393</v>
      </c>
      <c r="B59" t="s" s="71">
        <f>VLOOKUP(A59,'The List'!B1:D730,3,FALSE)</f>
        <v>133</v>
      </c>
      <c r="C59" s="72">
        <f>IF('Settings'!$E$15="POINTS",RANK(E59,E3:E156),H59)</f>
        <v>74</v>
      </c>
      <c r="D59" t="s" s="42">
        <f>VLOOKUP(A59,'The List'!B1:F730,5,FALSE)</f>
        <v>196</v>
      </c>
      <c r="E59" s="46">
        <f>VLOOKUP(A59,'The List'!B1:I730,8,FALSE)</f>
        <v>258.589276325382</v>
      </c>
      <c r="F59" s="46">
        <f>IF('Settings'!$E$15="POINTS",E59-VLOOKUP(B$2,C1:E156,3,FALSE),J59)</f>
        <v>-123.039287380974</v>
      </c>
      <c r="G59" s="46"/>
      <c r="H59" s="149">
        <f>RANK(I59,I3:I156)</f>
        <v>73</v>
      </c>
      <c r="I59" s="150">
        <f>VLOOKUP(A59,'Standard Deviations'!A1:C731,3,FALSE)</f>
        <v>0.25862819669197</v>
      </c>
      <c r="J59" s="150">
        <f>I59-VLOOKUP(B$2,H1:J156,2,FALSE)</f>
        <v>-4.64542343103535</v>
      </c>
    </row>
    <row r="60" ht="21.25" customHeight="1">
      <c r="A60" t="s" s="8">
        <v>394</v>
      </c>
      <c r="B60" t="s" s="71">
        <f>VLOOKUP(A60,'The List'!B1:D730,3,FALSE)</f>
        <v>133</v>
      </c>
      <c r="C60" s="72">
        <f>IF('Settings'!$E$15="POINTS",RANK(E60,E3:E156),H60)</f>
        <v>62</v>
      </c>
      <c r="D60" t="s" s="42">
        <f>VLOOKUP(A60,'The List'!B1:F730,5,FALSE)</f>
        <v>194</v>
      </c>
      <c r="E60" s="46">
        <f>VLOOKUP(A60,'The List'!B1:I730,8,FALSE)</f>
        <v>290.441231991163</v>
      </c>
      <c r="F60" s="46">
        <f>IF('Settings'!$E$15="POINTS",E60-VLOOKUP(B$2,C1:E156,3,FALSE),J60)</f>
        <v>-91.187331715193</v>
      </c>
      <c r="G60" s="46"/>
      <c r="H60" s="149">
        <f>RANK(I60,I3:I156)</f>
        <v>66</v>
      </c>
      <c r="I60" s="150">
        <f>VLOOKUP(A60,'Standard Deviations'!A1:C731,3,FALSE)</f>
        <v>0.483635214073299</v>
      </c>
      <c r="J60" s="150">
        <f>I60-VLOOKUP(B$2,H1:J156,2,FALSE)</f>
        <v>-4.42041641365402</v>
      </c>
    </row>
    <row r="61" ht="21.25" customHeight="1">
      <c r="A61" t="s" s="8">
        <v>397</v>
      </c>
      <c r="B61" t="s" s="71">
        <f>VLOOKUP(A61,'The List'!B1:D730,3,FALSE)</f>
        <v>133</v>
      </c>
      <c r="C61" s="72">
        <f>IF('Settings'!$E$15="POINTS",RANK(E61,E3:E156),H61)</f>
        <v>59</v>
      </c>
      <c r="D61" t="s" s="42">
        <f>VLOOKUP(A61,'The List'!B1:F730,5,FALSE)</f>
        <v>202</v>
      </c>
      <c r="E61" s="46">
        <f>VLOOKUP(A61,'The List'!B1:I730,8,FALSE)</f>
        <v>293.202872407773</v>
      </c>
      <c r="F61" s="46">
        <f>IF('Settings'!$E$15="POINTS",E61-VLOOKUP(B$2,C1:E156,3,FALSE),J61)</f>
        <v>-88.425691298583</v>
      </c>
      <c r="G61" s="46"/>
      <c r="H61" s="149">
        <f>RANK(I61,I3:I156)</f>
        <v>45</v>
      </c>
      <c r="I61" s="150">
        <f>VLOOKUP(A61,'Standard Deviations'!A1:C731,3,FALSE)</f>
        <v>2.70580528820694</v>
      </c>
      <c r="J61" s="150">
        <f>I61-VLOOKUP(B$2,H1:J156,2,FALSE)</f>
        <v>-2.19824633952038</v>
      </c>
    </row>
    <row r="62" ht="21.25" customHeight="1">
      <c r="A62" t="s" s="8">
        <v>400</v>
      </c>
      <c r="B62" t="s" s="71">
        <f>VLOOKUP(A62,'The List'!B1:D730,3,FALSE)</f>
        <v>133</v>
      </c>
      <c r="C62" s="72">
        <f>IF('Settings'!$E$15="POINTS",RANK(E62,E3:E156),H62)</f>
        <v>64</v>
      </c>
      <c r="D62" t="s" s="42">
        <f>VLOOKUP(A62,'The List'!B1:F730,5,FALSE)</f>
        <v>115</v>
      </c>
      <c r="E62" s="46">
        <f>VLOOKUP(A62,'The List'!B1:I730,8,FALSE)</f>
        <v>285.414926529710</v>
      </c>
      <c r="F62" s="46">
        <f>IF('Settings'!$E$15="POINTS",E62-VLOOKUP(B$2,C1:E156,3,FALSE),J62)</f>
        <v>-96.213637176646</v>
      </c>
      <c r="G62" s="46"/>
      <c r="H62" s="149">
        <f>RANK(I62,I3:I156)</f>
        <v>50</v>
      </c>
      <c r="I62" s="150">
        <f>VLOOKUP(A62,'Standard Deviations'!A1:C731,3,FALSE)</f>
        <v>2.15239393726693</v>
      </c>
      <c r="J62" s="150">
        <f>I62-VLOOKUP(B$2,H1:J156,2,FALSE)</f>
        <v>-2.75165769046039</v>
      </c>
    </row>
    <row r="63" ht="21.25" customHeight="1">
      <c r="A63" t="s" s="8">
        <v>412</v>
      </c>
      <c r="B63" t="s" s="71">
        <f>VLOOKUP(A63,'The List'!B1:D730,3,FALSE)</f>
        <v>111</v>
      </c>
      <c r="C63" s="72">
        <f>IF('Settings'!$E$15="POINTS",RANK(E63,E3:E156),H63)</f>
        <v>53</v>
      </c>
      <c r="D63" t="s" s="42">
        <f>VLOOKUP(A63,'The List'!B1:F730,5,FALSE)</f>
        <v>218</v>
      </c>
      <c r="E63" s="46">
        <f>VLOOKUP(A63,'The List'!B1:I730,8,FALSE)</f>
        <v>313.249482395520</v>
      </c>
      <c r="F63" s="46">
        <f>IF('Settings'!$E$15="POINTS",E63-VLOOKUP(B$2,C1:E156,3,FALSE),J63)</f>
        <v>-68.379081310836</v>
      </c>
      <c r="G63" s="46"/>
      <c r="H63" s="149">
        <f>RANK(I63,I3:I156)</f>
        <v>51</v>
      </c>
      <c r="I63" s="150">
        <f>VLOOKUP(A63,'Standard Deviations'!A1:C731,3,FALSE)</f>
        <v>1.69664406746513</v>
      </c>
      <c r="J63" s="150">
        <f>I63-VLOOKUP(B$2,H1:J156,2,FALSE)</f>
        <v>-3.20740756026219</v>
      </c>
    </row>
    <row r="64" ht="21.25" customHeight="1">
      <c r="A64" t="s" s="8">
        <v>395</v>
      </c>
      <c r="B64" t="s" s="71">
        <f>VLOOKUP(A64,'The List'!B1:D730,3,FALSE)</f>
        <v>118</v>
      </c>
      <c r="C64" s="72">
        <f>IF('Settings'!$E$15="POINTS",RANK(E64,E3:E156),H64)</f>
        <v>77</v>
      </c>
      <c r="D64" t="s" s="42">
        <f>VLOOKUP(A64,'The List'!B1:F730,5,FALSE)</f>
        <v>202</v>
      </c>
      <c r="E64" s="46">
        <f>VLOOKUP(A64,'The List'!B1:I730,8,FALSE)</f>
        <v>257.799917332099</v>
      </c>
      <c r="F64" s="46">
        <f>IF('Settings'!$E$15="POINTS",E64-VLOOKUP(B$2,C1:E156,3,FALSE),J64)</f>
        <v>-123.828646374257</v>
      </c>
      <c r="G64" s="46"/>
      <c r="H64" s="149">
        <f>RANK(I64,I3:I156)</f>
        <v>48</v>
      </c>
      <c r="I64" s="150">
        <f>VLOOKUP(A64,'Standard Deviations'!A1:C731,3,FALSE)</f>
        <v>2.23840315309114</v>
      </c>
      <c r="J64" s="150">
        <f>I64-VLOOKUP(B$2,H1:J156,2,FALSE)</f>
        <v>-2.66564847463618</v>
      </c>
    </row>
    <row r="65" ht="21.25" customHeight="1">
      <c r="A65" t="s" s="8">
        <v>414</v>
      </c>
      <c r="B65" t="s" s="71">
        <f>VLOOKUP(A65,'The List'!B1:D730,3,FALSE)</f>
        <v>133</v>
      </c>
      <c r="C65" s="72">
        <f>IF('Settings'!$E$15="POINTS",RANK(E65,E3:E156),H65)</f>
        <v>65</v>
      </c>
      <c r="D65" t="s" s="42">
        <f>VLOOKUP(A65,'The List'!B1:F730,5,FALSE)</f>
        <v>204</v>
      </c>
      <c r="E65" s="46">
        <f>VLOOKUP(A65,'The List'!B1:I730,8,FALSE)</f>
        <v>284.619558529833</v>
      </c>
      <c r="F65" s="46">
        <f>IF('Settings'!$E$15="POINTS",E65-VLOOKUP(B$2,C1:E156,3,FALSE),J65)</f>
        <v>-97.009005176523</v>
      </c>
      <c r="G65" s="46"/>
      <c r="H65" s="149">
        <f>RANK(I65,I3:I156)</f>
        <v>61</v>
      </c>
      <c r="I65" s="150">
        <f>VLOOKUP(A65,'Standard Deviations'!A1:C731,3,FALSE)</f>
        <v>0.7244161223109929</v>
      </c>
      <c r="J65" s="150">
        <f>I65-VLOOKUP(B$2,H1:J156,2,FALSE)</f>
        <v>-4.17963550541633</v>
      </c>
    </row>
    <row r="66" ht="21.25" customHeight="1">
      <c r="A66" t="s" s="8">
        <v>406</v>
      </c>
      <c r="B66" t="s" s="71">
        <f>VLOOKUP(A66,'The List'!B1:D730,3,FALSE)</f>
        <v>118</v>
      </c>
      <c r="C66" s="72">
        <f>IF('Settings'!$E$15="POINTS",RANK(E66,E3:E156),H66)</f>
        <v>73</v>
      </c>
      <c r="D66" t="s" s="42">
        <f>VLOOKUP(A66,'The List'!B1:F730,5,FALSE)</f>
        <v>141</v>
      </c>
      <c r="E66" s="46">
        <f>VLOOKUP(A66,'The List'!B1:I730,8,FALSE)</f>
        <v>258.792705981474</v>
      </c>
      <c r="F66" s="46">
        <f>IF('Settings'!$E$15="POINTS",E66-VLOOKUP(B$2,C1:E156,3,FALSE),J66)</f>
        <v>-122.835857724882</v>
      </c>
      <c r="G66" s="46"/>
      <c r="H66" s="149">
        <f>RANK(I66,I3:I156)</f>
        <v>59</v>
      </c>
      <c r="I66" s="150">
        <f>VLOOKUP(A66,'Standard Deviations'!A1:C731,3,FALSE)</f>
        <v>0.833859196639005</v>
      </c>
      <c r="J66" s="150">
        <f>I66-VLOOKUP(B$2,H1:J156,2,FALSE)</f>
        <v>-4.07019243108832</v>
      </c>
    </row>
    <row r="67" ht="21.25" customHeight="1">
      <c r="A67" t="s" s="8">
        <v>419</v>
      </c>
      <c r="B67" t="s" s="71">
        <f>VLOOKUP(A67,'The List'!B1:D730,3,FALSE)</f>
        <v>133</v>
      </c>
      <c r="C67" s="72">
        <f>IF('Settings'!$E$15="POINTS",RANK(E67,E3:E156),H67)</f>
        <v>52</v>
      </c>
      <c r="D67" t="s" s="42">
        <f>VLOOKUP(A67,'The List'!B1:F730,5,FALSE)</f>
        <v>108</v>
      </c>
      <c r="E67" s="46">
        <f>VLOOKUP(A67,'The List'!B1:I730,8,FALSE)</f>
        <v>315.137869123312</v>
      </c>
      <c r="F67" s="46">
        <f>IF('Settings'!$E$15="POINTS",E67-VLOOKUP(B$2,C1:E156,3,FALSE),J67)</f>
        <v>-66.490694583044</v>
      </c>
      <c r="G67" s="46"/>
      <c r="H67" s="149">
        <f>RANK(I67,I3:I156)</f>
        <v>53</v>
      </c>
      <c r="I67" s="150">
        <f>VLOOKUP(A67,'Standard Deviations'!A1:C731,3,FALSE)</f>
        <v>1.45897885116431</v>
      </c>
      <c r="J67" s="150">
        <f>I67-VLOOKUP(B$2,H1:J156,2,FALSE)</f>
        <v>-3.44507277656301</v>
      </c>
    </row>
    <row r="68" ht="21.25" customHeight="1">
      <c r="A68" t="s" s="8">
        <v>425</v>
      </c>
      <c r="B68" t="s" s="71">
        <f>VLOOKUP(A68,'The List'!B1:D730,3,FALSE)</f>
        <v>111</v>
      </c>
      <c r="C68" s="72">
        <f>IF('Settings'!$E$15="POINTS",RANK(E68,E3:E156),H68)</f>
        <v>58</v>
      </c>
      <c r="D68" t="s" s="42">
        <f>VLOOKUP(A68,'The List'!B1:F730,5,FALSE)</f>
        <v>234</v>
      </c>
      <c r="E68" s="46">
        <f>VLOOKUP(A68,'The List'!B1:I730,8,FALSE)</f>
        <v>293.302708085821</v>
      </c>
      <c r="F68" s="46">
        <f>IF('Settings'!$E$15="POINTS",E68-VLOOKUP(B$2,C1:E156,3,FALSE),J68)</f>
        <v>-88.32585562053499</v>
      </c>
      <c r="G68" s="46"/>
      <c r="H68" s="149">
        <f>RANK(I68,I3:I156)</f>
        <v>105</v>
      </c>
      <c r="I68" s="150">
        <f>VLOOKUP(A68,'Standard Deviations'!A1:C731,3,FALSE)</f>
        <v>-1.30578251692731</v>
      </c>
      <c r="J68" s="150">
        <f>I68-VLOOKUP(B$2,H1:J156,2,FALSE)</f>
        <v>-6.20983414465463</v>
      </c>
    </row>
    <row r="69" ht="21.25" customHeight="1">
      <c r="A69" t="s" s="8">
        <v>440</v>
      </c>
      <c r="B69" t="s" s="71">
        <f>VLOOKUP(A69,'The List'!B1:D730,3,FALSE)</f>
        <v>133</v>
      </c>
      <c r="C69" s="72">
        <f>IF('Settings'!$E$15="POINTS",RANK(E69,E3:E156),H69)</f>
        <v>66</v>
      </c>
      <c r="D69" t="s" s="42">
        <f>VLOOKUP(A69,'The List'!B1:F730,5,FALSE)</f>
        <v>236</v>
      </c>
      <c r="E69" s="46">
        <f>VLOOKUP(A69,'The List'!B1:I730,8,FALSE)</f>
        <v>283.449122667786</v>
      </c>
      <c r="F69" s="46">
        <f>IF('Settings'!$E$15="POINTS",E69-VLOOKUP(B$2,C1:E156,3,FALSE),J69)</f>
        <v>-98.179441038570</v>
      </c>
      <c r="G69" s="46"/>
      <c r="H69" s="149">
        <f>RANK(I69,I3:I156)</f>
        <v>92</v>
      </c>
      <c r="I69" s="150">
        <f>VLOOKUP(A69,'Standard Deviations'!A1:C731,3,FALSE)</f>
        <v>-0.861623010412331</v>
      </c>
      <c r="J69" s="150">
        <f>I69-VLOOKUP(B$2,H1:J156,2,FALSE)</f>
        <v>-5.76567463813965</v>
      </c>
    </row>
    <row r="70" ht="21.25" customHeight="1">
      <c r="A70" t="s" s="8">
        <v>441</v>
      </c>
      <c r="B70" t="s" s="71">
        <f>VLOOKUP(A70,'The List'!B1:D730,3,FALSE)</f>
        <v>133</v>
      </c>
      <c r="C70" s="72">
        <f>IF('Settings'!$E$15="POINTS",RANK(E70,E3:E156),H70)</f>
        <v>71</v>
      </c>
      <c r="D70" t="s" s="42">
        <f>VLOOKUP(A70,'The List'!B1:F730,5,FALSE)</f>
        <v>173</v>
      </c>
      <c r="E70" s="46">
        <f>VLOOKUP(A70,'The List'!B1:I730,8,FALSE)</f>
        <v>264.590731636597</v>
      </c>
      <c r="F70" s="46">
        <f>IF('Settings'!$E$15="POINTS",E70-VLOOKUP(B$2,C1:E156,3,FALSE),J70)</f>
        <v>-117.037832069759</v>
      </c>
      <c r="G70" s="46"/>
      <c r="H70" s="149">
        <f>RANK(I70,I3:I156)</f>
        <v>62</v>
      </c>
      <c r="I70" s="150">
        <f>VLOOKUP(A70,'Standard Deviations'!A1:C731,3,FALSE)</f>
        <v>0.697717633868482</v>
      </c>
      <c r="J70" s="150">
        <f>I70-VLOOKUP(B$2,H1:J156,2,FALSE)</f>
        <v>-4.20633399385884</v>
      </c>
    </row>
    <row r="71" ht="21.25" customHeight="1">
      <c r="A71" t="s" s="8">
        <v>460</v>
      </c>
      <c r="B71" t="s" s="71">
        <f>VLOOKUP(A71,'The List'!B1:D730,3,FALSE)</f>
        <v>133</v>
      </c>
      <c r="C71" s="72">
        <f>IF('Settings'!$E$15="POINTS",RANK(E71,E3:E156),H71)</f>
        <v>76</v>
      </c>
      <c r="D71" t="s" s="42">
        <f>VLOOKUP(A71,'The List'!B1:F730,5,FALSE)</f>
        <v>141</v>
      </c>
      <c r="E71" s="46">
        <f>VLOOKUP(A71,'The List'!B1:I730,8,FALSE)</f>
        <v>258.467249411365</v>
      </c>
      <c r="F71" s="46">
        <f>IF('Settings'!$E$15="POINTS",E71-VLOOKUP(B$2,C1:E156,3,FALSE),J71)</f>
        <v>-123.161314294991</v>
      </c>
      <c r="G71" s="46"/>
      <c r="H71" s="149">
        <f>RANK(I71,I3:I156)</f>
        <v>74</v>
      </c>
      <c r="I71" s="150">
        <f>VLOOKUP(A71,'Standard Deviations'!A1:C731,3,FALSE)</f>
        <v>0.173941463438455</v>
      </c>
      <c r="J71" s="150">
        <f>I71-VLOOKUP(B$2,H1:J156,2,FALSE)</f>
        <v>-4.73011016428887</v>
      </c>
    </row>
    <row r="72" ht="21.25" customHeight="1">
      <c r="A72" t="s" s="8">
        <v>461</v>
      </c>
      <c r="B72" t="s" s="71">
        <f>VLOOKUP(A72,'The List'!B1:D730,3,FALSE)</f>
        <v>111</v>
      </c>
      <c r="C72" s="72">
        <f>IF('Settings'!$E$15="POINTS",RANK(E72,E3:E156),H72)</f>
        <v>79</v>
      </c>
      <c r="D72" t="s" s="42">
        <f>VLOOKUP(A72,'The List'!B1:F730,5,FALSE)</f>
        <v>119</v>
      </c>
      <c r="E72" s="46">
        <f>VLOOKUP(A72,'The List'!B1:I730,8,FALSE)</f>
        <v>253.583202145797</v>
      </c>
      <c r="F72" s="46">
        <f>IF('Settings'!$E$15="POINTS",E72-VLOOKUP(B$2,C1:E156,3,FALSE),J72)</f>
        <v>-128.045361560559</v>
      </c>
      <c r="G72" s="46"/>
      <c r="H72" s="149">
        <f>RANK(I72,I3:I156)</f>
        <v>57</v>
      </c>
      <c r="I72" s="150">
        <f>VLOOKUP(A72,'Standard Deviations'!A1:C731,3,FALSE)</f>
        <v>1.00623857567292</v>
      </c>
      <c r="J72" s="150">
        <f>I72-VLOOKUP(B$2,H1:J156,2,FALSE)</f>
        <v>-3.8978130520544</v>
      </c>
    </row>
    <row r="73" ht="21.25" customHeight="1">
      <c r="A73" t="s" s="8">
        <v>445</v>
      </c>
      <c r="B73" t="s" s="71">
        <f>VLOOKUP(A73,'The List'!B1:D730,3,FALSE)</f>
        <v>118</v>
      </c>
      <c r="C73" s="72">
        <f>IF('Settings'!$E$15="POINTS",RANK(E73,E3:E156),H73)</f>
        <v>70</v>
      </c>
      <c r="D73" t="s" s="42">
        <f>VLOOKUP(A73,'The List'!B1:F730,5,FALSE)</f>
        <v>184</v>
      </c>
      <c r="E73" s="46">
        <f>VLOOKUP(A73,'The List'!B1:I730,8,FALSE)</f>
        <v>265.708064485022</v>
      </c>
      <c r="F73" s="46">
        <f>IF('Settings'!$E$15="POINTS",E73-VLOOKUP(B$2,C1:E156,3,FALSE),J73)</f>
        <v>-115.920499221334</v>
      </c>
      <c r="G73" s="46"/>
      <c r="H73" s="149">
        <f>RANK(I73,I3:I156)</f>
        <v>65</v>
      </c>
      <c r="I73" s="150">
        <f>VLOOKUP(A73,'Standard Deviations'!A1:C731,3,FALSE)</f>
        <v>0.567124638483451</v>
      </c>
      <c r="J73" s="150">
        <f>I73-VLOOKUP(B$2,H1:J156,2,FALSE)</f>
        <v>-4.33692698924387</v>
      </c>
    </row>
    <row r="74" ht="21.25" customHeight="1">
      <c r="A74" t="s" s="8">
        <v>465</v>
      </c>
      <c r="B74" t="s" s="71">
        <f>VLOOKUP(A74,'The List'!B1:D730,3,FALSE)</f>
        <v>133</v>
      </c>
      <c r="C74" s="72">
        <f>IF('Settings'!$E$15="POINTS",RANK(E74,E3:E156),H74)</f>
        <v>72</v>
      </c>
      <c r="D74" t="s" s="42">
        <f>VLOOKUP(A74,'The List'!B1:F730,5,FALSE)</f>
        <v>194</v>
      </c>
      <c r="E74" s="46">
        <f>VLOOKUP(A74,'The List'!B1:I730,8,FALSE)</f>
        <v>260.065979286325</v>
      </c>
      <c r="F74" s="46">
        <f>IF('Settings'!$E$15="POINTS",E74-VLOOKUP(B$2,C1:E156,3,FALSE),J74)</f>
        <v>-121.562584420031</v>
      </c>
      <c r="G74" s="46"/>
      <c r="H74" s="149">
        <f>RANK(I74,I3:I156)</f>
        <v>94</v>
      </c>
      <c r="I74" s="150">
        <f>VLOOKUP(A74,'Standard Deviations'!A1:C731,3,FALSE)</f>
        <v>-0.88044534764462</v>
      </c>
      <c r="J74" s="150">
        <f>I74-VLOOKUP(B$2,H1:J156,2,FALSE)</f>
        <v>-5.78449697537194</v>
      </c>
    </row>
    <row r="75" ht="21.25" customHeight="1">
      <c r="A75" t="s" s="8">
        <v>466</v>
      </c>
      <c r="B75" t="s" s="71">
        <f>VLOOKUP(A75,'The List'!B1:D730,3,FALSE)</f>
        <v>111</v>
      </c>
      <c r="C75" s="72">
        <f>IF('Settings'!$E$15="POINTS",RANK(E75,E3:E156),H75)</f>
        <v>87</v>
      </c>
      <c r="D75" t="s" s="42">
        <f>VLOOKUP(A75,'The List'!B1:F730,5,FALSE)</f>
        <v>115</v>
      </c>
      <c r="E75" s="46">
        <f>VLOOKUP(A75,'The List'!B1:I730,8,FALSE)</f>
        <v>240.325171107494</v>
      </c>
      <c r="F75" s="46">
        <f>IF('Settings'!$E$15="POINTS",E75-VLOOKUP(B$2,C1:E156,3,FALSE),J75)</f>
        <v>-141.303392598862</v>
      </c>
      <c r="G75" s="46"/>
      <c r="H75" s="149">
        <f>RANK(I75,I3:I156)</f>
        <v>64</v>
      </c>
      <c r="I75" s="150">
        <f>VLOOKUP(A75,'Standard Deviations'!A1:C731,3,FALSE)</f>
        <v>0.581697901946639</v>
      </c>
      <c r="J75" s="150">
        <f>I75-VLOOKUP(B$2,H1:J156,2,FALSE)</f>
        <v>-4.32235372578068</v>
      </c>
    </row>
    <row r="76" ht="21.25" customHeight="1">
      <c r="A76" t="s" s="8">
        <v>473</v>
      </c>
      <c r="B76" t="s" s="71">
        <f>VLOOKUP(A76,'The List'!B1:D730,3,FALSE)</f>
        <v>111</v>
      </c>
      <c r="C76" s="72">
        <f>IF('Settings'!$E$15="POINTS",RANK(E76,E3:E156),H76)</f>
        <v>61</v>
      </c>
      <c r="D76" t="s" s="42">
        <f>VLOOKUP(A76,'The List'!B1:F730,5,FALSE)</f>
        <v>113</v>
      </c>
      <c r="E76" s="46">
        <f>VLOOKUP(A76,'The List'!B1:I730,8,FALSE)</f>
        <v>290.505394635124</v>
      </c>
      <c r="F76" s="46">
        <f>IF('Settings'!$E$15="POINTS",E76-VLOOKUP(B$2,C1:E156,3,FALSE),J76)</f>
        <v>-91.123169071232</v>
      </c>
      <c r="G76" s="46"/>
      <c r="H76" s="149">
        <f>RANK(I76,I3:I156)</f>
        <v>58</v>
      </c>
      <c r="I76" s="150">
        <f>VLOOKUP(A76,'Standard Deviations'!A1:C731,3,FALSE)</f>
        <v>0.88902117963031</v>
      </c>
      <c r="J76" s="150">
        <f>I76-VLOOKUP(B$2,H1:J156,2,FALSE)</f>
        <v>-4.01503044809701</v>
      </c>
    </row>
    <row r="77" ht="21.25" customHeight="1">
      <c r="A77" t="s" s="8">
        <v>474</v>
      </c>
      <c r="B77" t="s" s="71">
        <f>VLOOKUP(A77,'The List'!B1:D730,3,FALSE)</f>
        <v>133</v>
      </c>
      <c r="C77" s="72">
        <f>IF('Settings'!$E$15="POINTS",RANK(E77,E3:E156),H77)</f>
        <v>67</v>
      </c>
      <c r="D77" t="s" s="42">
        <f>VLOOKUP(A77,'The List'!B1:F730,5,FALSE)</f>
        <v>151</v>
      </c>
      <c r="E77" s="46">
        <f>VLOOKUP(A77,'The List'!B1:I730,8,FALSE)</f>
        <v>279.653570757277</v>
      </c>
      <c r="F77" s="46">
        <f>IF('Settings'!$E$15="POINTS",E77-VLOOKUP(B$2,C1:E156,3,FALSE),J77)</f>
        <v>-101.974992949079</v>
      </c>
      <c r="G77" s="46"/>
      <c r="H77" s="149">
        <f>RANK(I77,I3:I156)</f>
        <v>60</v>
      </c>
      <c r="I77" s="150">
        <f>VLOOKUP(A77,'Standard Deviations'!A1:C731,3,FALSE)</f>
        <v>0.829602612481418</v>
      </c>
      <c r="J77" s="150">
        <f>I77-VLOOKUP(B$2,H1:J156,2,FALSE)</f>
        <v>-4.0744490152459</v>
      </c>
    </row>
    <row r="78" ht="21.25" customHeight="1">
      <c r="A78" t="s" s="8">
        <v>458</v>
      </c>
      <c r="B78" t="s" s="71">
        <f>VLOOKUP(A78,'The List'!B1:D730,3,FALSE)</f>
        <v>118</v>
      </c>
      <c r="C78" s="72">
        <f>IF('Settings'!$E$15="POINTS",RANK(E78,E3:E156),H78)</f>
        <v>86</v>
      </c>
      <c r="D78" t="s" s="42">
        <f>VLOOKUP(A78,'The List'!B1:F730,5,FALSE)</f>
        <v>139</v>
      </c>
      <c r="E78" s="46">
        <f>VLOOKUP(A78,'The List'!B1:I730,8,FALSE)</f>
        <v>240.466834156187</v>
      </c>
      <c r="F78" s="46">
        <f>IF('Settings'!$E$15="POINTS",E78-VLOOKUP(B$2,C1:E156,3,FALSE),J78)</f>
        <v>-141.161729550169</v>
      </c>
      <c r="G78" s="46"/>
      <c r="H78" s="149">
        <f>RANK(I78,I3:I156)</f>
        <v>102</v>
      </c>
      <c r="I78" s="150">
        <f>VLOOKUP(A78,'Standard Deviations'!A1:C731,3,FALSE)</f>
        <v>-1.14350682122007</v>
      </c>
      <c r="J78" s="150">
        <f>I78-VLOOKUP(B$2,H1:J156,2,FALSE)</f>
        <v>-6.04755844894739</v>
      </c>
    </row>
    <row r="79" ht="21.25" customHeight="1">
      <c r="A79" t="s" s="8">
        <v>463</v>
      </c>
      <c r="B79" t="s" s="71">
        <f>VLOOKUP(A79,'The List'!B1:D730,3,FALSE)</f>
        <v>118</v>
      </c>
      <c r="C79" s="72">
        <f>IF('Settings'!$E$15="POINTS",RANK(E79,E3:E156),H79)</f>
        <v>56</v>
      </c>
      <c r="D79" t="s" s="42">
        <f>VLOOKUP(A79,'The List'!B1:F730,5,FALSE)</f>
        <v>196</v>
      </c>
      <c r="E79" s="46">
        <f>VLOOKUP(A79,'The List'!B1:I730,8,FALSE)</f>
        <v>295.322499522635</v>
      </c>
      <c r="F79" s="46">
        <f>IF('Settings'!$E$15="POINTS",E79-VLOOKUP(B$2,C1:E156,3,FALSE),J79)</f>
        <v>-86.30606418372101</v>
      </c>
      <c r="G79" s="46"/>
      <c r="H79" s="149">
        <f>RANK(I79,I3:I156)</f>
        <v>81</v>
      </c>
      <c r="I79" s="150">
        <f>VLOOKUP(A79,'Standard Deviations'!A1:C731,3,FALSE)</f>
        <v>-0.416433541903233</v>
      </c>
      <c r="J79" s="150">
        <f>I79-VLOOKUP(B$2,H1:J156,2,FALSE)</f>
        <v>-5.32048516963055</v>
      </c>
    </row>
    <row r="80" ht="21.25" customHeight="1">
      <c r="A80" t="s" s="8">
        <v>488</v>
      </c>
      <c r="B80" t="s" s="71">
        <f>VLOOKUP(A80,'The List'!B1:D730,3,FALSE)</f>
        <v>133</v>
      </c>
      <c r="C80" s="72">
        <f>IF('Settings'!$E$15="POINTS",RANK(E80,E3:E156),H80)</f>
        <v>83</v>
      </c>
      <c r="D80" t="s" s="42">
        <f>VLOOKUP(A80,'The List'!B1:F730,5,FALSE)</f>
        <v>164</v>
      </c>
      <c r="E80" s="46">
        <f>VLOOKUP(A80,'The List'!B1:I730,8,FALSE)</f>
        <v>247.792054070069</v>
      </c>
      <c r="F80" s="46">
        <f>IF('Settings'!$E$15="POINTS",E80-VLOOKUP(B$2,C1:E156,3,FALSE),J80)</f>
        <v>-133.836509636287</v>
      </c>
      <c r="G80" s="46"/>
      <c r="H80" s="149">
        <f>RANK(I80,I3:I156)</f>
        <v>70</v>
      </c>
      <c r="I80" s="150">
        <f>VLOOKUP(A80,'Standard Deviations'!A1:C731,3,FALSE)</f>
        <v>0.332041177670186</v>
      </c>
      <c r="J80" s="150">
        <f>I80-VLOOKUP(B$2,H1:J156,2,FALSE)</f>
        <v>-4.57201045005713</v>
      </c>
    </row>
    <row r="81" ht="21.25" customHeight="1">
      <c r="A81" t="s" s="8">
        <v>494</v>
      </c>
      <c r="B81" t="s" s="71">
        <f>VLOOKUP(A81,'The List'!B1:D730,3,FALSE)</f>
        <v>133</v>
      </c>
      <c r="C81" s="72">
        <f>IF('Settings'!$E$15="POINTS",RANK(E81,E3:E156),H81)</f>
        <v>81</v>
      </c>
      <c r="D81" t="s" s="42">
        <f>VLOOKUP(A81,'The List'!B1:F730,5,FALSE)</f>
        <v>124</v>
      </c>
      <c r="E81" s="46">
        <f>VLOOKUP(A81,'The List'!B1:I730,8,FALSE)</f>
        <v>249.765667058566</v>
      </c>
      <c r="F81" s="46">
        <f>IF('Settings'!$E$15="POINTS",E81-VLOOKUP(B$2,C1:E156,3,FALSE),J81)</f>
        <v>-131.862896647790</v>
      </c>
      <c r="G81" s="46"/>
      <c r="H81" s="149">
        <f>RANK(I81,I3:I156)</f>
        <v>76</v>
      </c>
      <c r="I81" s="150">
        <f>VLOOKUP(A81,'Standard Deviations'!A1:C731,3,FALSE)</f>
        <v>-0.167928025190536</v>
      </c>
      <c r="J81" s="150">
        <f>I81-VLOOKUP(B$2,H1:J156,2,FALSE)</f>
        <v>-5.07197965291786</v>
      </c>
    </row>
    <row r="82" ht="21.25" customHeight="1">
      <c r="A82" t="s" s="8">
        <v>477</v>
      </c>
      <c r="B82" t="s" s="71">
        <f>VLOOKUP(A82,'The List'!B1:D730,3,FALSE)</f>
        <v>118</v>
      </c>
      <c r="C82" s="72">
        <f>IF('Settings'!$E$15="POINTS",RANK(E82,E3:E156),H82)</f>
        <v>95</v>
      </c>
      <c r="D82" t="s" s="42">
        <f>VLOOKUP(A82,'The List'!B1:F730,5,FALSE)</f>
        <v>234</v>
      </c>
      <c r="E82" s="46">
        <f>VLOOKUP(A82,'The List'!B1:I730,8,FALSE)</f>
        <v>230.828011753959</v>
      </c>
      <c r="F82" s="46">
        <f>IF('Settings'!$E$15="POINTS",E82-VLOOKUP(B$2,C1:E156,3,FALSE),J82)</f>
        <v>-150.800551952397</v>
      </c>
      <c r="G82" s="46"/>
      <c r="H82" s="149">
        <f>RANK(I82,I3:I156)</f>
        <v>119</v>
      </c>
      <c r="I82" s="150">
        <f>VLOOKUP(A82,'Standard Deviations'!A1:C731,3,FALSE)</f>
        <v>-3.024115818745</v>
      </c>
      <c r="J82" s="150">
        <f>I82-VLOOKUP(B$2,H1:J156,2,FALSE)</f>
        <v>-7.92816744647232</v>
      </c>
    </row>
    <row r="83" ht="21.25" customHeight="1">
      <c r="A83" t="s" s="8">
        <v>503</v>
      </c>
      <c r="B83" t="s" s="71">
        <f>VLOOKUP(A83,'The List'!B1:D730,3,FALSE)</f>
        <v>111</v>
      </c>
      <c r="C83" s="72">
        <f>IF('Settings'!$E$15="POINTS",RANK(E83,E3:E156),H83)</f>
        <v>80</v>
      </c>
      <c r="D83" t="s" s="42">
        <f>VLOOKUP(A83,'The List'!B1:F730,5,FALSE)</f>
        <v>236</v>
      </c>
      <c r="E83" s="46">
        <f>VLOOKUP(A83,'The List'!B1:I730,8,FALSE)</f>
        <v>252.698927595027</v>
      </c>
      <c r="F83" s="46">
        <f>IF('Settings'!$E$15="POINTS",E83-VLOOKUP(B$2,C1:E156,3,FALSE),J83)</f>
        <v>-128.929636111329</v>
      </c>
      <c r="G83" s="46"/>
      <c r="H83" s="149">
        <f>RANK(I83,I3:I156)</f>
        <v>98</v>
      </c>
      <c r="I83" s="150">
        <f>VLOOKUP(A83,'Standard Deviations'!A1:C731,3,FALSE)</f>
        <v>-1.01240671783756</v>
      </c>
      <c r="J83" s="150">
        <f>I83-VLOOKUP(B$2,H1:J156,2,FALSE)</f>
        <v>-5.91645834556488</v>
      </c>
    </row>
    <row r="84" ht="21.25" customHeight="1">
      <c r="A84" t="s" s="8">
        <v>513</v>
      </c>
      <c r="B84" t="s" s="71">
        <f>VLOOKUP(A84,'The List'!B1:D730,3,FALSE)</f>
        <v>133</v>
      </c>
      <c r="C84" s="72">
        <f>IF('Settings'!$E$15="POINTS",RANK(E84,E3:E156),H84)</f>
        <v>84</v>
      </c>
      <c r="D84" t="s" s="42">
        <f>VLOOKUP(A84,'The List'!B1:F730,5,FALSE)</f>
        <v>131</v>
      </c>
      <c r="E84" s="46">
        <f>VLOOKUP(A84,'The List'!B1:I730,8,FALSE)</f>
        <v>242.896203004053</v>
      </c>
      <c r="F84" s="46">
        <f>IF('Settings'!$E$15="POINTS",E84-VLOOKUP(B$2,C1:E156,3,FALSE),J84)</f>
        <v>-138.732360702303</v>
      </c>
      <c r="G84" s="46"/>
      <c r="H84" s="149">
        <f>RANK(I84,I3:I156)</f>
        <v>96</v>
      </c>
      <c r="I84" s="150">
        <f>VLOOKUP(A84,'Standard Deviations'!A1:C731,3,FALSE)</f>
        <v>-0.937154148569837</v>
      </c>
      <c r="J84" s="150">
        <f>I84-VLOOKUP(B$2,H1:J156,2,FALSE)</f>
        <v>-5.84120577629716</v>
      </c>
    </row>
    <row r="85" ht="21.25" customHeight="1">
      <c r="A85" t="s" s="8">
        <v>514</v>
      </c>
      <c r="B85" t="s" s="71">
        <f>VLOOKUP(A85,'The List'!B1:D730,3,FALSE)</f>
        <v>133</v>
      </c>
      <c r="C85" s="72">
        <f>IF('Settings'!$E$15="POINTS",RANK(E85,E3:E156),H85)</f>
        <v>92</v>
      </c>
      <c r="D85" t="s" s="42">
        <f>VLOOKUP(A85,'The List'!B1:F730,5,FALSE)</f>
        <v>122</v>
      </c>
      <c r="E85" s="46">
        <f>VLOOKUP(A85,'The List'!B1:I730,8,FALSE)</f>
        <v>231.502187232761</v>
      </c>
      <c r="F85" s="46">
        <f>IF('Settings'!$E$15="POINTS",E85-VLOOKUP(B$2,C1:E156,3,FALSE),J85)</f>
        <v>-150.126376473595</v>
      </c>
      <c r="G85" s="46"/>
      <c r="H85" s="149">
        <f>RANK(I85,I3:I156)</f>
        <v>68</v>
      </c>
      <c r="I85" s="150">
        <f>VLOOKUP(A85,'Standard Deviations'!A1:C731,3,FALSE)</f>
        <v>0.406229109824415</v>
      </c>
      <c r="J85" s="150">
        <f>I85-VLOOKUP(B$2,H1:J156,2,FALSE)</f>
        <v>-4.49782251790291</v>
      </c>
    </row>
    <row r="86" ht="21.25" customHeight="1">
      <c r="A86" t="s" s="8">
        <v>519</v>
      </c>
      <c r="B86" t="s" s="71">
        <f>VLOOKUP(A86,'The List'!B1:D730,3,FALSE)</f>
        <v>133</v>
      </c>
      <c r="C86" s="72">
        <f>IF('Settings'!$E$15="POINTS",RANK(E86,E3:E156),H86)</f>
        <v>69</v>
      </c>
      <c r="D86" t="s" s="42">
        <f>VLOOKUP(A86,'The List'!B1:F730,5,FALSE)</f>
        <v>196</v>
      </c>
      <c r="E86" s="46">
        <f>VLOOKUP(A86,'The List'!B1:I730,8,FALSE)</f>
        <v>268.051591808470</v>
      </c>
      <c r="F86" s="46">
        <f>IF('Settings'!$E$15="POINTS",E86-VLOOKUP(B$2,C1:E156,3,FALSE),J86)</f>
        <v>-113.576971897886</v>
      </c>
      <c r="G86" s="46"/>
      <c r="H86" s="149">
        <f>RANK(I86,I3:I156)</f>
        <v>100</v>
      </c>
      <c r="I86" s="150">
        <f>VLOOKUP(A86,'Standard Deviations'!A1:C731,3,FALSE)</f>
        <v>-1.05113465273266</v>
      </c>
      <c r="J86" s="150">
        <f>I86-VLOOKUP(B$2,H1:J156,2,FALSE)</f>
        <v>-5.95518628045998</v>
      </c>
    </row>
    <row r="87" ht="21.25" customHeight="1">
      <c r="A87" t="s" s="8">
        <v>521</v>
      </c>
      <c r="B87" t="s" s="71">
        <f>VLOOKUP(A87,'The List'!B1:D730,3,FALSE)</f>
        <v>111</v>
      </c>
      <c r="C87" s="72">
        <f>IF('Settings'!$E$15="POINTS",RANK(E87,E3:E156),H87)</f>
        <v>90</v>
      </c>
      <c r="D87" t="s" s="42">
        <f>VLOOKUP(A87,'The List'!B1:F730,5,FALSE)</f>
        <v>248</v>
      </c>
      <c r="E87" s="46">
        <f>VLOOKUP(A87,'The List'!B1:I730,8,FALSE)</f>
        <v>233.596085694548</v>
      </c>
      <c r="F87" s="46">
        <f>IF('Settings'!$E$15="POINTS",E87-VLOOKUP(B$2,C1:E156,3,FALSE),J87)</f>
        <v>-148.032478011808</v>
      </c>
      <c r="G87" s="46"/>
      <c r="H87" s="149">
        <f>RANK(I87,I3:I156)</f>
        <v>99</v>
      </c>
      <c r="I87" s="150">
        <f>VLOOKUP(A87,'Standard Deviations'!A1:C731,3,FALSE)</f>
        <v>-1.03464643508656</v>
      </c>
      <c r="J87" s="150">
        <f>I87-VLOOKUP(B$2,H1:J156,2,FALSE)</f>
        <v>-5.93869806281388</v>
      </c>
    </row>
    <row r="88" ht="21.25" customHeight="1">
      <c r="A88" t="s" s="8">
        <v>501</v>
      </c>
      <c r="B88" t="s" s="71">
        <f>VLOOKUP(A88,'The List'!B1:D730,3,FALSE)</f>
        <v>118</v>
      </c>
      <c r="C88" s="72">
        <f>IF('Settings'!$E$15="POINTS",RANK(E88,E3:E156),H88)</f>
        <v>88</v>
      </c>
      <c r="D88" t="s" s="42">
        <f>VLOOKUP(A88,'The List'!B1:F730,5,FALSE)</f>
        <v>292</v>
      </c>
      <c r="E88" s="46">
        <f>VLOOKUP(A88,'The List'!B1:I730,8,FALSE)</f>
        <v>239.718642623044</v>
      </c>
      <c r="F88" s="46">
        <f>IF('Settings'!$E$15="POINTS",E88-VLOOKUP(B$2,C1:E156,3,FALSE),J88)</f>
        <v>-141.909921083312</v>
      </c>
      <c r="G88" s="46"/>
      <c r="H88" s="149">
        <f>RANK(I88,I3:I156)</f>
        <v>78</v>
      </c>
      <c r="I88" s="150">
        <f>VLOOKUP(A88,'Standard Deviations'!A1:C731,3,FALSE)</f>
        <v>-0.328578358352923</v>
      </c>
      <c r="J88" s="150">
        <f>I88-VLOOKUP(B$2,H1:J156,2,FALSE)</f>
        <v>-5.23262998608024</v>
      </c>
    </row>
    <row r="89" ht="21.25" customHeight="1">
      <c r="A89" t="s" s="8">
        <v>531</v>
      </c>
      <c r="B89" t="s" s="71">
        <f>VLOOKUP(A89,'The List'!B1:D730,3,FALSE)</f>
        <v>133</v>
      </c>
      <c r="C89" s="72">
        <f>IF('Settings'!$E$15="POINTS",RANK(E89,E3:E156),H89)</f>
        <v>96</v>
      </c>
      <c r="D89" t="s" s="42">
        <f>VLOOKUP(A89,'The List'!B1:F730,5,FALSE)</f>
        <v>166</v>
      </c>
      <c r="E89" s="46">
        <f>VLOOKUP(A89,'The List'!B1:I730,8,FALSE)</f>
        <v>228.787920238661</v>
      </c>
      <c r="F89" s="46">
        <f>IF('Settings'!$E$15="POINTS",E89-VLOOKUP(B$2,C1:E156,3,FALSE),J89)</f>
        <v>-152.840643467695</v>
      </c>
      <c r="G89" s="46"/>
      <c r="H89" s="149">
        <f>RANK(I89,I3:I156)</f>
        <v>93</v>
      </c>
      <c r="I89" s="150">
        <f>VLOOKUP(A89,'Standard Deviations'!A1:C731,3,FALSE)</f>
        <v>-0.869258279205243</v>
      </c>
      <c r="J89" s="150">
        <f>I89-VLOOKUP(B$2,H1:J156,2,FALSE)</f>
        <v>-5.77330990693256</v>
      </c>
    </row>
    <row r="90" ht="21.25" customHeight="1">
      <c r="A90" t="s" s="8">
        <v>539</v>
      </c>
      <c r="B90" t="s" s="71">
        <f>VLOOKUP(A90,'The List'!B1:D730,3,FALSE)</f>
        <v>133</v>
      </c>
      <c r="C90" s="72">
        <f>IF('Settings'!$E$15="POINTS",RANK(E90,E3:E156),H90)</f>
        <v>78</v>
      </c>
      <c r="D90" t="s" s="42">
        <f>VLOOKUP(A90,'The List'!B1:F730,5,FALSE)</f>
        <v>124</v>
      </c>
      <c r="E90" s="46">
        <f>VLOOKUP(A90,'The List'!B1:I730,8,FALSE)</f>
        <v>253.9507025778</v>
      </c>
      <c r="F90" s="46">
        <f>IF('Settings'!$E$15="POINTS",E90-VLOOKUP(B$2,C1:E156,3,FALSE),J90)</f>
        <v>-127.677861128556</v>
      </c>
      <c r="G90" s="46"/>
      <c r="H90" s="149">
        <f>RANK(I90,I3:I156)</f>
        <v>84</v>
      </c>
      <c r="I90" s="150">
        <f>VLOOKUP(A90,'Standard Deviations'!A1:C731,3,FALSE)</f>
        <v>-0.45336248536257</v>
      </c>
      <c r="J90" s="150">
        <f>I90-VLOOKUP(B$2,H1:J156,2,FALSE)</f>
        <v>-5.35741411308989</v>
      </c>
    </row>
    <row r="91" ht="21.25" customHeight="1">
      <c r="A91" t="s" s="8">
        <v>543</v>
      </c>
      <c r="B91" t="s" s="71">
        <f>VLOOKUP(A91,'The List'!B1:D730,3,FALSE)</f>
        <v>133</v>
      </c>
      <c r="C91" s="72">
        <f>IF('Settings'!$E$15="POINTS",RANK(E91,E3:E156),H91)</f>
        <v>89</v>
      </c>
      <c r="D91" t="s" s="42">
        <f>VLOOKUP(A91,'The List'!B1:F730,5,FALSE)</f>
        <v>115</v>
      </c>
      <c r="E91" s="46">
        <f>VLOOKUP(A91,'The List'!B1:I730,8,FALSE)</f>
        <v>236.551825694502</v>
      </c>
      <c r="F91" s="46">
        <f>IF('Settings'!$E$15="POINTS",E91-VLOOKUP(B$2,C1:E156,3,FALSE),J91)</f>
        <v>-145.076738011854</v>
      </c>
      <c r="G91" s="46"/>
      <c r="H91" s="149">
        <f>RANK(I91,I3:I156)</f>
        <v>90</v>
      </c>
      <c r="I91" s="150">
        <f>VLOOKUP(A91,'Standard Deviations'!A1:C731,3,FALSE)</f>
        <v>-0.754073012549666</v>
      </c>
      <c r="J91" s="150">
        <f>I91-VLOOKUP(B$2,H1:J156,2,FALSE)</f>
        <v>-5.65812464027699</v>
      </c>
    </row>
    <row r="92" ht="21.25" customHeight="1">
      <c r="A92" t="s" s="8">
        <v>552</v>
      </c>
      <c r="B92" t="s" s="71">
        <f>VLOOKUP(A92,'The List'!B1:D730,3,FALSE)</f>
        <v>133</v>
      </c>
      <c r="C92" s="72">
        <f>IF('Settings'!$E$15="POINTS",RANK(E92,E3:E156),H92)</f>
        <v>85</v>
      </c>
      <c r="D92" t="s" s="42">
        <f>VLOOKUP(A92,'The List'!B1:F730,5,FALSE)</f>
        <v>127</v>
      </c>
      <c r="E92" s="46">
        <f>VLOOKUP(A92,'The List'!B1:I730,8,FALSE)</f>
        <v>241.295194309832</v>
      </c>
      <c r="F92" s="46">
        <f>IF('Settings'!$E$15="POINTS",E92-VLOOKUP(B$2,C1:E156,3,FALSE),J92)</f>
        <v>-140.333369396524</v>
      </c>
      <c r="G92" s="46"/>
      <c r="H92" s="149">
        <f>RANK(I92,I3:I156)</f>
        <v>83</v>
      </c>
      <c r="I92" s="150">
        <f>VLOOKUP(A92,'Standard Deviations'!A1:C731,3,FALSE)</f>
        <v>-0.45204604935326</v>
      </c>
      <c r="J92" s="150">
        <f>I92-VLOOKUP(B$2,H1:J156,2,FALSE)</f>
        <v>-5.35609767708058</v>
      </c>
    </row>
    <row r="93" ht="21.25" customHeight="1">
      <c r="A93" t="s" s="8">
        <v>554</v>
      </c>
      <c r="B93" t="s" s="71">
        <f>VLOOKUP(A93,'The List'!B1:D730,3,FALSE)</f>
        <v>133</v>
      </c>
      <c r="C93" s="72">
        <f>IF('Settings'!$E$15="POINTS",RANK(E93,E3:E156),H93)</f>
        <v>55</v>
      </c>
      <c r="D93" t="s" s="42">
        <f>VLOOKUP(A93,'The List'!B1:F730,5,FALSE)</f>
        <v>124</v>
      </c>
      <c r="E93" s="46">
        <f>VLOOKUP(A93,'The List'!B1:I730,8,FALSE)</f>
        <v>300.121802475646</v>
      </c>
      <c r="F93" s="46">
        <f>IF('Settings'!$E$15="POINTS",E93-VLOOKUP(B$2,C1:E156,3,FALSE),J93)</f>
        <v>-81.506761230710</v>
      </c>
      <c r="G93" s="46"/>
      <c r="H93" s="149">
        <f>RANK(I93,I3:I156)</f>
        <v>80</v>
      </c>
      <c r="I93" s="150">
        <f>VLOOKUP(A93,'Standard Deviations'!A1:C731,3,FALSE)</f>
        <v>-0.351334225439644</v>
      </c>
      <c r="J93" s="150">
        <f>I93-VLOOKUP(B$2,H1:J156,2,FALSE)</f>
        <v>-5.25538585316696</v>
      </c>
    </row>
    <row r="94" ht="21.25" customHeight="1">
      <c r="A94" t="s" s="8">
        <v>557</v>
      </c>
      <c r="B94" t="s" s="71">
        <f>VLOOKUP(A94,'The List'!B1:D730,3,FALSE)</f>
        <v>133</v>
      </c>
      <c r="C94" s="72">
        <f>IF('Settings'!$E$15="POINTS",RANK(E94,E3:E156),H94)</f>
        <v>82</v>
      </c>
      <c r="D94" t="s" s="42">
        <f>VLOOKUP(A94,'The List'!B1:F730,5,FALSE)</f>
        <v>127</v>
      </c>
      <c r="E94" s="46">
        <f>VLOOKUP(A94,'The List'!B1:I730,8,FALSE)</f>
        <v>248.685113100450</v>
      </c>
      <c r="F94" s="46">
        <f>IF('Settings'!$E$15="POINTS",E94-VLOOKUP(B$2,C1:E156,3,FALSE),J94)</f>
        <v>-132.943450605906</v>
      </c>
      <c r="G94" s="46"/>
      <c r="H94" s="149">
        <f>RANK(I94,I3:I156)</f>
        <v>85</v>
      </c>
      <c r="I94" s="150">
        <f>VLOOKUP(A94,'Standard Deviations'!A1:C731,3,FALSE)</f>
        <v>-0.58071747126378</v>
      </c>
      <c r="J94" s="150">
        <f>I94-VLOOKUP(B$2,H1:J156,2,FALSE)</f>
        <v>-5.4847690989911</v>
      </c>
    </row>
    <row r="95" ht="21.25" customHeight="1">
      <c r="A95" t="s" s="8">
        <v>561</v>
      </c>
      <c r="B95" t="s" s="71">
        <f>VLOOKUP(A95,'The List'!B1:D730,3,FALSE)</f>
        <v>133</v>
      </c>
      <c r="C95" s="72">
        <f>IF('Settings'!$E$15="POINTS",RANK(E95,E3:E156),H95)</f>
        <v>91</v>
      </c>
      <c r="D95" t="s" s="42">
        <f>VLOOKUP(A95,'The List'!B1:F730,5,FALSE)</f>
        <v>149</v>
      </c>
      <c r="E95" s="46">
        <f>VLOOKUP(A95,'The List'!B1:I730,8,FALSE)</f>
        <v>231.573307794388</v>
      </c>
      <c r="F95" s="46">
        <f>IF('Settings'!$E$15="POINTS",E95-VLOOKUP(B$2,C1:E156,3,FALSE),J95)</f>
        <v>-150.055255911968</v>
      </c>
      <c r="G95" s="46"/>
      <c r="H95" s="149">
        <f>RANK(I95,I3:I156)</f>
        <v>97</v>
      </c>
      <c r="I95" s="150">
        <f>VLOOKUP(A95,'Standard Deviations'!A1:C731,3,FALSE)</f>
        <v>-0.961035073128666</v>
      </c>
      <c r="J95" s="150">
        <f>I95-VLOOKUP(B$2,H1:J156,2,FALSE)</f>
        <v>-5.86508670085599</v>
      </c>
    </row>
    <row r="96" ht="21.25" customHeight="1">
      <c r="A96" t="s" s="8">
        <v>568</v>
      </c>
      <c r="B96" t="s" s="71">
        <f>VLOOKUP(A96,'The List'!B1:D730,3,FALSE)</f>
        <v>133</v>
      </c>
      <c r="C96" s="72">
        <f>IF('Settings'!$E$15="POINTS",RANK(E96,E3:E156),H96)</f>
        <v>102</v>
      </c>
      <c r="D96" t="s" s="42">
        <f>VLOOKUP(A96,'The List'!B1:F730,5,FALSE)</f>
        <v>258</v>
      </c>
      <c r="E96" s="46">
        <f>VLOOKUP(A96,'The List'!B1:I730,8,FALSE)</f>
        <v>210.684613348414</v>
      </c>
      <c r="F96" s="46">
        <f>IF('Settings'!$E$15="POINTS",E96-VLOOKUP(B$2,C1:E156,3,FALSE),J96)</f>
        <v>-170.943950357942</v>
      </c>
      <c r="G96" s="46"/>
      <c r="H96" s="149">
        <f>RANK(I96,I3:I156)</f>
        <v>103</v>
      </c>
      <c r="I96" s="150">
        <f>VLOOKUP(A96,'Standard Deviations'!A1:C731,3,FALSE)</f>
        <v>-1.17028322398794</v>
      </c>
      <c r="J96" s="150">
        <f>I96-VLOOKUP(B$2,H1:J156,2,FALSE)</f>
        <v>-6.07433485171526</v>
      </c>
    </row>
    <row r="97" ht="21.25" customHeight="1">
      <c r="A97" t="s" s="8">
        <v>573</v>
      </c>
      <c r="B97" t="s" s="71">
        <f>VLOOKUP(A97,'The List'!B1:D730,3,FALSE)</f>
        <v>133</v>
      </c>
      <c r="C97" s="72">
        <f>IF('Settings'!$E$15="POINTS",RANK(E97,E3:E156),H97)</f>
        <v>75</v>
      </c>
      <c r="D97" t="s" s="42">
        <f>VLOOKUP(A97,'The List'!B1:F730,5,FALSE)</f>
        <v>258</v>
      </c>
      <c r="E97" s="46">
        <f>VLOOKUP(A97,'The List'!B1:I730,8,FALSE)</f>
        <v>258.489579300993</v>
      </c>
      <c r="F97" s="46">
        <f>IF('Settings'!$E$15="POINTS",E97-VLOOKUP(B$2,C1:E156,3,FALSE),J97)</f>
        <v>-123.138984405363</v>
      </c>
      <c r="G97" s="46"/>
      <c r="H97" s="149">
        <f>RANK(I97,I3:I156)</f>
        <v>104</v>
      </c>
      <c r="I97" s="150">
        <f>VLOOKUP(A97,'Standard Deviations'!A1:C731,3,FALSE)</f>
        <v>-1.20424129309636</v>
      </c>
      <c r="J97" s="150">
        <f>I97-VLOOKUP(B$2,H1:J156,2,FALSE)</f>
        <v>-6.10829292082368</v>
      </c>
    </row>
    <row r="98" ht="21.25" customHeight="1">
      <c r="A98" t="s" s="8">
        <v>579</v>
      </c>
      <c r="B98" t="s" s="71">
        <f>VLOOKUP(A98,'The List'!B1:D730,3,FALSE)</f>
        <v>133</v>
      </c>
      <c r="C98" s="72">
        <f>IF('Settings'!$E$15="POINTS",RANK(E98,E3:E156),H98)</f>
        <v>104</v>
      </c>
      <c r="D98" t="s" s="42">
        <f>VLOOKUP(A98,'The List'!B1:F730,5,FALSE)</f>
        <v>134</v>
      </c>
      <c r="E98" s="46">
        <f>VLOOKUP(A98,'The List'!B1:I730,8,FALSE)</f>
        <v>207.319144047813</v>
      </c>
      <c r="F98" s="46">
        <f>IF('Settings'!$E$15="POINTS",E98-VLOOKUP(B$2,C1:E156,3,FALSE),J98)</f>
        <v>-174.309419658543</v>
      </c>
      <c r="G98" s="46"/>
      <c r="H98" s="149">
        <f>RANK(I98,I3:I156)</f>
        <v>86</v>
      </c>
      <c r="I98" s="150">
        <f>VLOOKUP(A98,'Standard Deviations'!A1:C731,3,FALSE)</f>
        <v>-0.610456711208615</v>
      </c>
      <c r="J98" s="150">
        <f>I98-VLOOKUP(B$2,H1:J156,2,FALSE)</f>
        <v>-5.51450833893594</v>
      </c>
    </row>
    <row r="99" ht="21.25" customHeight="1">
      <c r="A99" t="s" s="8">
        <v>588</v>
      </c>
      <c r="B99" t="s" s="71">
        <f>VLOOKUP(A99,'The List'!B1:D730,3,FALSE)</f>
        <v>133</v>
      </c>
      <c r="C99" s="72">
        <f>IF('Settings'!$E$15="POINTS",RANK(E99,E3:E156),H99)</f>
        <v>94</v>
      </c>
      <c r="D99" t="s" s="42">
        <f>VLOOKUP(A99,'The List'!B1:F730,5,FALSE)</f>
        <v>136</v>
      </c>
      <c r="E99" s="46">
        <f>VLOOKUP(A99,'The List'!B1:I730,8,FALSE)</f>
        <v>231.026965132655</v>
      </c>
      <c r="F99" s="46">
        <f>IF('Settings'!$E$15="POINTS",E99-VLOOKUP(B$2,C1:E156,3,FALSE),J99)</f>
        <v>-150.601598573701</v>
      </c>
      <c r="G99" s="46"/>
      <c r="H99" s="149">
        <f>RANK(I99,I3:I156)</f>
        <v>79</v>
      </c>
      <c r="I99" s="150">
        <f>VLOOKUP(A99,'Standard Deviations'!A1:C731,3,FALSE)</f>
        <v>-0.33801615654606</v>
      </c>
      <c r="J99" s="150">
        <f>I99-VLOOKUP(B$2,H1:J156,2,FALSE)</f>
        <v>-5.24206778427338</v>
      </c>
    </row>
    <row r="100" ht="21.25" customHeight="1">
      <c r="A100" t="s" s="8">
        <v>574</v>
      </c>
      <c r="B100" t="s" s="71">
        <f>VLOOKUP(A100,'The List'!B1:D730,3,FALSE)</f>
        <v>118</v>
      </c>
      <c r="C100" s="72">
        <f>IF('Settings'!$E$15="POINTS",RANK(E100,E3:E156),H100)</f>
        <v>110</v>
      </c>
      <c r="D100" t="s" s="42">
        <f>VLOOKUP(A100,'The List'!B1:F730,5,FALSE)</f>
        <v>202</v>
      </c>
      <c r="E100" s="46">
        <f>VLOOKUP(A100,'The List'!B1:I730,8,FALSE)</f>
        <v>198.802426282726</v>
      </c>
      <c r="F100" s="46">
        <f>IF('Settings'!$E$15="POINTS",E100-VLOOKUP(B$2,C1:E156,3,FALSE),J100)</f>
        <v>-182.826137423630</v>
      </c>
      <c r="G100" s="46"/>
      <c r="H100" s="149">
        <f>RANK(I100,I3:I156)</f>
        <v>69</v>
      </c>
      <c r="I100" s="150">
        <f>VLOOKUP(A100,'Standard Deviations'!A1:C731,3,FALSE)</f>
        <v>0.364484398385617</v>
      </c>
      <c r="J100" s="150">
        <f>I100-VLOOKUP(B$2,H1:J156,2,FALSE)</f>
        <v>-4.5395672293417</v>
      </c>
    </row>
    <row r="101" ht="21.25" customHeight="1">
      <c r="A101" t="s" s="8">
        <v>605</v>
      </c>
      <c r="B101" t="s" s="71">
        <f>VLOOKUP(A101,'The List'!B1:D730,3,FALSE)</f>
        <v>133</v>
      </c>
      <c r="C101" s="72">
        <f>IF('Settings'!$E$15="POINTS",RANK(E101,E3:E156),H101)</f>
        <v>99</v>
      </c>
      <c r="D101" t="s" s="42">
        <f>VLOOKUP(A101,'The List'!B1:F730,5,FALSE)</f>
        <v>292</v>
      </c>
      <c r="E101" s="46">
        <f>VLOOKUP(A101,'The List'!B1:I730,8,FALSE)</f>
        <v>226.288782712106</v>
      </c>
      <c r="F101" s="46">
        <f>IF('Settings'!$E$15="POINTS",E101-VLOOKUP(B$2,C1:E156,3,FALSE),J101)</f>
        <v>-155.339780994250</v>
      </c>
      <c r="G101" s="46"/>
      <c r="H101" s="149">
        <f>RANK(I101,I3:I156)</f>
        <v>89</v>
      </c>
      <c r="I101" s="150">
        <f>VLOOKUP(A101,'Standard Deviations'!A1:C731,3,FALSE)</f>
        <v>-0.729387241100569</v>
      </c>
      <c r="J101" s="150">
        <f>I101-VLOOKUP(B$2,H1:J156,2,FALSE)</f>
        <v>-5.63343886882789</v>
      </c>
    </row>
    <row r="102" ht="21.25" customHeight="1">
      <c r="A102" t="s" s="8">
        <v>609</v>
      </c>
      <c r="B102" t="s" s="71">
        <f>VLOOKUP(A102,'The List'!B1:D730,3,FALSE)</f>
        <v>111</v>
      </c>
      <c r="C102" s="72">
        <f>IF('Settings'!$E$15="POINTS",RANK(E102,E3:E156),H102)</f>
        <v>98</v>
      </c>
      <c r="D102" t="s" s="42">
        <f>VLOOKUP(A102,'The List'!B1:F730,5,FALSE)</f>
        <v>119</v>
      </c>
      <c r="E102" s="46">
        <f>VLOOKUP(A102,'The List'!B1:I730,8,FALSE)</f>
        <v>226.661258450686</v>
      </c>
      <c r="F102" s="46">
        <f>IF('Settings'!$E$15="POINTS",E102-VLOOKUP(B$2,C1:E156,3,FALSE),J102)</f>
        <v>-154.967305255670</v>
      </c>
      <c r="G102" s="46"/>
      <c r="H102" s="149">
        <f>RANK(I102,I3:I156)</f>
        <v>77</v>
      </c>
      <c r="I102" s="150">
        <f>VLOOKUP(A102,'Standard Deviations'!A1:C731,3,FALSE)</f>
        <v>-0.18780909687846</v>
      </c>
      <c r="J102" s="150">
        <f>I102-VLOOKUP(B$2,H1:J156,2,FALSE)</f>
        <v>-5.09186072460578</v>
      </c>
    </row>
    <row r="103" ht="21.25" customHeight="1">
      <c r="A103" t="s" s="8">
        <v>622</v>
      </c>
      <c r="B103" t="s" s="71">
        <f>VLOOKUP(A103,'The List'!B1:D730,3,FALSE)</f>
        <v>133</v>
      </c>
      <c r="C103" s="72">
        <f>IF('Settings'!$E$15="POINTS",RANK(E103,E3:E156),H103)</f>
        <v>112</v>
      </c>
      <c r="D103" t="s" s="42">
        <f>VLOOKUP(A103,'The List'!B1:F730,5,FALSE)</f>
        <v>238</v>
      </c>
      <c r="E103" s="46">
        <f>VLOOKUP(A103,'The List'!B1:I730,8,FALSE)</f>
        <v>191.474429689718</v>
      </c>
      <c r="F103" s="46">
        <f>IF('Settings'!$E$15="POINTS",E103-VLOOKUP(B$2,C1:E156,3,FALSE),J103)</f>
        <v>-190.154134016638</v>
      </c>
      <c r="G103" s="46"/>
      <c r="H103" s="149">
        <f>RANK(I103,I3:I156)</f>
        <v>101</v>
      </c>
      <c r="I103" s="150">
        <f>VLOOKUP(A103,'Standard Deviations'!A1:C731,3,FALSE)</f>
        <v>-1.11660419712669</v>
      </c>
      <c r="J103" s="150">
        <f>I103-VLOOKUP(B$2,H1:J156,2,FALSE)</f>
        <v>-6.02065582485401</v>
      </c>
    </row>
    <row r="104" ht="21.25" customHeight="1">
      <c r="A104" t="s" s="8">
        <v>628</v>
      </c>
      <c r="B104" t="s" s="71">
        <f>VLOOKUP(A104,'The List'!B1:D730,3,FALSE)</f>
        <v>111</v>
      </c>
      <c r="C104" s="72">
        <f>IF('Settings'!$E$15="POINTS",RANK(E104,E3:E156),H104)</f>
        <v>105</v>
      </c>
      <c r="D104" t="s" s="42">
        <f>VLOOKUP(A104,'The List'!B1:F730,5,FALSE)</f>
        <v>115</v>
      </c>
      <c r="E104" s="46">
        <f>VLOOKUP(A104,'The List'!B1:I730,8,FALSE)</f>
        <v>206.039557411184</v>
      </c>
      <c r="F104" s="46">
        <f>IF('Settings'!$E$15="POINTS",E104-VLOOKUP(B$2,C1:E156,3,FALSE),J104)</f>
        <v>-175.589006295172</v>
      </c>
      <c r="G104" s="46"/>
      <c r="H104" s="149">
        <f>RANK(I104,I3:I156)</f>
        <v>95</v>
      </c>
      <c r="I104" s="150">
        <f>VLOOKUP(A104,'Standard Deviations'!A1:C731,3,FALSE)</f>
        <v>-0.915005557798499</v>
      </c>
      <c r="J104" s="150">
        <f>I104-VLOOKUP(B$2,H1:J156,2,FALSE)</f>
        <v>-5.81905718552582</v>
      </c>
    </row>
    <row r="105" ht="21.25" customHeight="1">
      <c r="A105" t="s" s="8">
        <v>630</v>
      </c>
      <c r="B105" t="s" s="71">
        <f>VLOOKUP(A105,'The List'!B1:D730,3,FALSE)</f>
        <v>133</v>
      </c>
      <c r="C105" s="72">
        <f>IF('Settings'!$E$15="POINTS",RANK(E105,E3:E156),H105)</f>
        <v>108</v>
      </c>
      <c r="D105" t="s" s="42">
        <f>VLOOKUP(A105,'The List'!B1:F730,5,FALSE)</f>
        <v>218</v>
      </c>
      <c r="E105" s="46">
        <f>VLOOKUP(A105,'The List'!B1:I730,8,FALSE)</f>
        <v>200.996578477696</v>
      </c>
      <c r="F105" s="46">
        <f>IF('Settings'!$E$15="POINTS",E105-VLOOKUP(B$2,C1:E156,3,FALSE),J105)</f>
        <v>-180.631985228660</v>
      </c>
      <c r="G105" s="46"/>
      <c r="H105" s="149">
        <f>RANK(I105,I3:I156)</f>
        <v>87</v>
      </c>
      <c r="I105" s="150">
        <f>VLOOKUP(A105,'Standard Deviations'!A1:C731,3,FALSE)</f>
        <v>-0.622127815092801</v>
      </c>
      <c r="J105" s="150">
        <f>I105-VLOOKUP(B$2,H1:J156,2,FALSE)</f>
        <v>-5.52617944282012</v>
      </c>
    </row>
    <row r="106" ht="21.25" customHeight="1">
      <c r="A106" t="s" s="8">
        <v>632</v>
      </c>
      <c r="B106" t="s" s="71">
        <f>VLOOKUP(A106,'The List'!B1:D730,3,FALSE)</f>
        <v>133</v>
      </c>
      <c r="C106" s="72">
        <f>IF('Settings'!$E$15="POINTS",RANK(E106,E3:E156),H106)</f>
        <v>113</v>
      </c>
      <c r="D106" t="s" s="42">
        <f>VLOOKUP(A106,'The List'!B1:F730,5,FALSE)</f>
        <v>196</v>
      </c>
      <c r="E106" s="46">
        <f>VLOOKUP(A106,'The List'!B1:I730,8,FALSE)</f>
        <v>183.163777031410</v>
      </c>
      <c r="F106" s="46">
        <f>IF('Settings'!$E$15="POINTS",E106-VLOOKUP(B$2,C1:E156,3,FALSE),J106)</f>
        <v>-198.464786674946</v>
      </c>
      <c r="G106" s="46"/>
      <c r="H106" s="149">
        <f>RANK(I106,I3:I156)</f>
        <v>111</v>
      </c>
      <c r="I106" s="150">
        <f>VLOOKUP(A106,'Standard Deviations'!A1:C731,3,FALSE)</f>
        <v>-2.60538692490054</v>
      </c>
      <c r="J106" s="150">
        <f>I106-VLOOKUP(B$2,H1:J156,2,FALSE)</f>
        <v>-7.50943855262786</v>
      </c>
    </row>
    <row r="107" ht="21.25" customHeight="1">
      <c r="A107" t="s" s="8">
        <v>641</v>
      </c>
      <c r="B107" t="s" s="71">
        <f>VLOOKUP(A107,'The List'!B1:D730,3,FALSE)</f>
        <v>133</v>
      </c>
      <c r="C107" s="72">
        <f>IF('Settings'!$E$15="POINTS",RANK(E107,E3:E156),H107)</f>
        <v>93</v>
      </c>
      <c r="D107" t="s" s="42">
        <f>VLOOKUP(A107,'The List'!B1:F730,5,FALSE)</f>
        <v>218</v>
      </c>
      <c r="E107" s="46">
        <f>VLOOKUP(A107,'The List'!B1:I730,8,FALSE)</f>
        <v>231.242431482956</v>
      </c>
      <c r="F107" s="46">
        <f>IF('Settings'!$E$15="POINTS",E107-VLOOKUP(B$2,C1:E156,3,FALSE),J107)</f>
        <v>-150.3861322234</v>
      </c>
      <c r="G107" s="46"/>
      <c r="H107" s="149">
        <f>RANK(I107,I3:I156)</f>
        <v>82</v>
      </c>
      <c r="I107" s="150">
        <f>VLOOKUP(A107,'Standard Deviations'!A1:C731,3,FALSE)</f>
        <v>-0.422002382379191</v>
      </c>
      <c r="J107" s="150">
        <f>I107-VLOOKUP(B$2,H1:J156,2,FALSE)</f>
        <v>-5.32605401010651</v>
      </c>
    </row>
    <row r="108" ht="21.25" customHeight="1">
      <c r="A108" t="s" s="8">
        <v>648</v>
      </c>
      <c r="B108" t="s" s="71">
        <f>VLOOKUP(A108,'The List'!B1:D730,3,FALSE)</f>
        <v>133</v>
      </c>
      <c r="C108" s="72">
        <f>IF('Settings'!$E$15="POINTS",RANK(E108,E3:E156),H108)</f>
        <v>101</v>
      </c>
      <c r="D108" t="s" s="42">
        <f>VLOOKUP(A108,'The List'!B1:F730,5,FALSE)</f>
        <v>108</v>
      </c>
      <c r="E108" s="46">
        <f>VLOOKUP(A108,'The List'!B1:I730,8,FALSE)</f>
        <v>210.984463883682</v>
      </c>
      <c r="F108" s="46">
        <f>IF('Settings'!$E$15="POINTS",E108-VLOOKUP(B$2,C1:E156,3,FALSE),J108)</f>
        <v>-170.644099822674</v>
      </c>
      <c r="G108" s="46"/>
      <c r="H108" s="149">
        <f>RANK(I108,I3:I156)</f>
        <v>91</v>
      </c>
      <c r="I108" s="150">
        <f>VLOOKUP(A108,'Standard Deviations'!A1:C731,3,FALSE)</f>
        <v>-0.766060042477942</v>
      </c>
      <c r="J108" s="150">
        <f>I108-VLOOKUP(B$2,H1:J156,2,FALSE)</f>
        <v>-5.67011167020526</v>
      </c>
    </row>
    <row r="109" ht="21.25" customHeight="1">
      <c r="A109" t="s" s="8">
        <v>649</v>
      </c>
      <c r="B109" t="s" s="71">
        <f>VLOOKUP(A109,'The List'!B1:D730,3,FALSE)</f>
        <v>133</v>
      </c>
      <c r="C109" s="72">
        <f>IF('Settings'!$E$15="POINTS",RANK(E109,E3:E156),H109)</f>
        <v>107</v>
      </c>
      <c r="D109" t="s" s="42">
        <f>VLOOKUP(A109,'The List'!B1:F730,5,FALSE)</f>
        <v>202</v>
      </c>
      <c r="E109" s="46">
        <f>VLOOKUP(A109,'The List'!B1:I730,8,FALSE)</f>
        <v>205.318996374199</v>
      </c>
      <c r="F109" s="46">
        <f>IF('Settings'!$E$15="POINTS",E109-VLOOKUP(B$2,C1:E156,3,FALSE),J109)</f>
        <v>-176.309567332157</v>
      </c>
      <c r="G109" s="46"/>
      <c r="H109" s="149">
        <f>RANK(I109,I3:I156)</f>
        <v>88</v>
      </c>
      <c r="I109" s="150">
        <f>VLOOKUP(A109,'Standard Deviations'!A1:C731,3,FALSE)</f>
        <v>-0.677072447803314</v>
      </c>
      <c r="J109" s="150">
        <f>I109-VLOOKUP(B$2,H1:J156,2,FALSE)</f>
        <v>-5.58112407553063</v>
      </c>
    </row>
    <row r="110" ht="21.25" customHeight="1">
      <c r="A110" t="s" s="8">
        <v>653</v>
      </c>
      <c r="B110" t="s" s="71">
        <f>VLOOKUP(A110,'The List'!B1:D730,3,FALSE)</f>
        <v>133</v>
      </c>
      <c r="C110" s="72">
        <f>IF('Settings'!$E$15="POINTS",RANK(E110,E3:E156),H110)</f>
        <v>106</v>
      </c>
      <c r="D110" t="s" s="42">
        <f>VLOOKUP(A110,'The List'!B1:F730,5,FALSE)</f>
        <v>113</v>
      </c>
      <c r="E110" s="46">
        <f>VLOOKUP(A110,'The List'!B1:I730,8,FALSE)</f>
        <v>205.401397898170</v>
      </c>
      <c r="F110" s="46">
        <f>IF('Settings'!$E$15="POINTS",E110-VLOOKUP(B$2,C1:E156,3,FALSE),J110)</f>
        <v>-176.227165808186</v>
      </c>
      <c r="G110" s="46"/>
      <c r="H110" s="149">
        <f>RANK(I110,I3:I156)</f>
        <v>106</v>
      </c>
      <c r="I110" s="150">
        <f>VLOOKUP(A110,'Standard Deviations'!A1:C731,3,FALSE)</f>
        <v>-1.61490133461425</v>
      </c>
      <c r="J110" s="150">
        <f>I110-VLOOKUP(B$2,H1:J156,2,FALSE)</f>
        <v>-6.51895296234157</v>
      </c>
    </row>
    <row r="111" ht="21.25" customHeight="1">
      <c r="A111" t="s" s="8">
        <v>660</v>
      </c>
      <c r="B111" t="s" s="71">
        <f>VLOOKUP(A111,'The List'!B1:D730,3,FALSE)</f>
        <v>133</v>
      </c>
      <c r="C111" s="72">
        <f>IF('Settings'!$E$15="POINTS",RANK(E111,E3:E156),H111)</f>
        <v>120</v>
      </c>
      <c r="D111" t="s" s="42">
        <f>VLOOKUP(A111,'The List'!B1:F730,5,FALSE)</f>
        <v>113</v>
      </c>
      <c r="E111" s="46">
        <f>VLOOKUP(A111,'The List'!B1:I730,8,FALSE)</f>
        <v>172.996117502267</v>
      </c>
      <c r="F111" s="46">
        <f>IF('Settings'!$E$15="POINTS",E111-VLOOKUP(B$2,C1:E156,3,FALSE),J111)</f>
        <v>-208.632446204089</v>
      </c>
      <c r="G111" s="46"/>
      <c r="H111" s="149">
        <f>RANK(I111,I3:I156)</f>
        <v>107</v>
      </c>
      <c r="I111" s="150">
        <f>VLOOKUP(A111,'Standard Deviations'!A1:C731,3,FALSE)</f>
        <v>-1.70410361763426</v>
      </c>
      <c r="J111" s="150">
        <f>I111-VLOOKUP(B$2,H1:J156,2,FALSE)</f>
        <v>-6.60815524536158</v>
      </c>
    </row>
    <row r="112" ht="21.25" customHeight="1">
      <c r="A112" t="s" s="8">
        <v>676</v>
      </c>
      <c r="B112" t="s" s="71">
        <f>VLOOKUP(A112,'The List'!B1:D730,3,FALSE)</f>
        <v>133</v>
      </c>
      <c r="C112" s="72">
        <f>IF('Settings'!$E$15="POINTS",RANK(E112,E3:E156),H112)</f>
        <v>114</v>
      </c>
      <c r="D112" t="s" s="42">
        <f>VLOOKUP(A112,'The List'!B1:F730,5,FALSE)</f>
        <v>184</v>
      </c>
      <c r="E112" s="46">
        <f>VLOOKUP(A112,'The List'!B1:I730,8,FALSE)</f>
        <v>181.005986997970</v>
      </c>
      <c r="F112" s="46">
        <f>IF('Settings'!$E$15="POINTS",E112-VLOOKUP(B$2,C1:E156,3,FALSE),J112)</f>
        <v>-200.622576708386</v>
      </c>
      <c r="G112" s="46"/>
      <c r="H112" s="149">
        <f>RANK(I112,I3:I156)</f>
        <v>113</v>
      </c>
      <c r="I112" s="150">
        <f>VLOOKUP(A112,'Standard Deviations'!A1:C731,3,FALSE)</f>
        <v>-2.83339393801447</v>
      </c>
      <c r="J112" s="150">
        <f>I112-VLOOKUP(B$2,H1:J156,2,FALSE)</f>
        <v>-7.73744556574179</v>
      </c>
    </row>
    <row r="113" ht="21.25" customHeight="1">
      <c r="A113" t="s" s="8">
        <v>696</v>
      </c>
      <c r="B113" t="s" s="71">
        <f>VLOOKUP(A113,'The List'!B1:D730,3,FALSE)</f>
        <v>133</v>
      </c>
      <c r="C113" s="72">
        <f>IF('Settings'!$E$15="POINTS",RANK(E113,E3:E156),H113)</f>
        <v>100</v>
      </c>
      <c r="D113" t="s" s="42">
        <f>VLOOKUP(A113,'The List'!B1:F730,5,FALSE)</f>
        <v>248</v>
      </c>
      <c r="E113" s="46">
        <f>VLOOKUP(A113,'The List'!B1:I730,8,FALSE)</f>
        <v>224.084080488336</v>
      </c>
      <c r="F113" s="46">
        <f>IF('Settings'!$E$15="POINTS",E113-VLOOKUP(B$2,C1:E156,3,FALSE),J113)</f>
        <v>-157.544483218020</v>
      </c>
      <c r="G113" s="46"/>
      <c r="H113" s="149">
        <f>RANK(I113,I3:I156)</f>
        <v>109</v>
      </c>
      <c r="I113" s="150">
        <f>VLOOKUP(A113,'Standard Deviations'!A1:C731,3,FALSE)</f>
        <v>-1.87415620262812</v>
      </c>
      <c r="J113" s="150">
        <f>I113-VLOOKUP(B$2,H1:J156,2,FALSE)</f>
        <v>-6.77820783035544</v>
      </c>
    </row>
    <row r="114" ht="21.25" customHeight="1">
      <c r="A114" t="s" s="8">
        <v>698</v>
      </c>
      <c r="B114" t="s" s="71">
        <f>VLOOKUP(A114,'The List'!B1:D730,3,FALSE)</f>
        <v>133</v>
      </c>
      <c r="C114" s="72">
        <f>IF('Settings'!$E$15="POINTS",RANK(E114,E3:E156),H114)</f>
        <v>97</v>
      </c>
      <c r="D114" t="s" s="42">
        <f>VLOOKUP(A114,'The List'!B1:F730,5,FALSE)</f>
        <v>134</v>
      </c>
      <c r="E114" s="46">
        <f>VLOOKUP(A114,'The List'!B1:I730,8,FALSE)</f>
        <v>226.786908708804</v>
      </c>
      <c r="F114" s="46">
        <f>IF('Settings'!$E$15="POINTS",E114-VLOOKUP(B$2,C1:E156,3,FALSE),J114)</f>
        <v>-154.841654997552</v>
      </c>
      <c r="G114" s="46"/>
      <c r="H114" s="149">
        <f>RANK(I114,I3:I156)</f>
        <v>108</v>
      </c>
      <c r="I114" s="150">
        <f>VLOOKUP(A114,'Standard Deviations'!A1:C731,3,FALSE)</f>
        <v>-1.71597076686788</v>
      </c>
      <c r="J114" s="150">
        <f>I114-VLOOKUP(B$2,H1:J156,2,FALSE)</f>
        <v>-6.6200223945952</v>
      </c>
    </row>
    <row r="115" ht="21.25" customHeight="1">
      <c r="A115" t="s" s="8">
        <v>707</v>
      </c>
      <c r="B115" t="s" s="71">
        <f>VLOOKUP(A115,'The List'!B1:D730,3,FALSE)</f>
        <v>133</v>
      </c>
      <c r="C115" s="72">
        <f>IF('Settings'!$E$15="POINTS",RANK(E115,E3:E156),H115)</f>
        <v>123</v>
      </c>
      <c r="D115" t="s" s="42">
        <f>VLOOKUP(A115,'The List'!B1:F730,5,FALSE)</f>
        <v>166</v>
      </c>
      <c r="E115" s="46">
        <f>VLOOKUP(A115,'The List'!B1:I730,8,FALSE)</f>
        <v>171.140424332148</v>
      </c>
      <c r="F115" s="46">
        <f>IF('Settings'!$E$15="POINTS",E115-VLOOKUP(B$2,C1:E156,3,FALSE),J115)</f>
        <v>-210.488139374208</v>
      </c>
      <c r="G115" s="46"/>
      <c r="H115" s="149">
        <f>RANK(I115,I3:I156)</f>
        <v>126</v>
      </c>
      <c r="I115" s="150">
        <f>VLOOKUP(A115,'Standard Deviations'!A1:C731,3,FALSE)</f>
        <v>-3.60971581756208</v>
      </c>
      <c r="J115" s="150">
        <f>I115-VLOOKUP(B$2,H1:J156,2,FALSE)</f>
        <v>-8.5137674452894</v>
      </c>
    </row>
    <row r="116" ht="21.25" customHeight="1">
      <c r="A116" t="s" s="8">
        <v>710</v>
      </c>
      <c r="B116" t="s" s="71">
        <f>VLOOKUP(A116,'The List'!B1:D730,3,FALSE)</f>
        <v>133</v>
      </c>
      <c r="C116" s="72">
        <f>IF('Settings'!$E$15="POINTS",RANK(E116,E3:E156),H116)</f>
        <v>103</v>
      </c>
      <c r="D116" t="s" s="42">
        <f>VLOOKUP(A116,'The List'!B1:F730,5,FALSE)</f>
        <v>292</v>
      </c>
      <c r="E116" s="46">
        <f>VLOOKUP(A116,'The List'!B1:I730,8,FALSE)</f>
        <v>209.279882669391</v>
      </c>
      <c r="F116" s="46">
        <f>IF('Settings'!$E$15="POINTS",E116-VLOOKUP(B$2,C1:E156,3,FALSE),J116)</f>
        <v>-172.348681036965</v>
      </c>
      <c r="G116" s="46"/>
      <c r="H116" s="149">
        <f>RANK(I116,I3:I156)</f>
        <v>112</v>
      </c>
      <c r="I116" s="150">
        <f>VLOOKUP(A116,'Standard Deviations'!A1:C731,3,FALSE)</f>
        <v>-2.81038208121215</v>
      </c>
      <c r="J116" s="150">
        <f>I116-VLOOKUP(B$2,H1:J156,2,FALSE)</f>
        <v>-7.71443370893947</v>
      </c>
    </row>
    <row r="117" ht="21.25" customHeight="1">
      <c r="A117" t="s" s="8">
        <v>713</v>
      </c>
      <c r="B117" t="s" s="71">
        <f>VLOOKUP(A117,'The List'!B1:D730,3,FALSE)</f>
        <v>133</v>
      </c>
      <c r="C117" s="72">
        <f>IF('Settings'!$E$15="POINTS",RANK(E117,E3:E156),H117)</f>
        <v>125</v>
      </c>
      <c r="D117" t="s" s="42">
        <f>VLOOKUP(A117,'The List'!B1:F730,5,FALSE)</f>
        <v>141</v>
      </c>
      <c r="E117" s="46">
        <f>VLOOKUP(A117,'The List'!B1:I730,8,FALSE)</f>
        <v>168.924710068123</v>
      </c>
      <c r="F117" s="46">
        <f>IF('Settings'!$E$15="POINTS",E117-VLOOKUP(B$2,C1:E156,3,FALSE),J117)</f>
        <v>-212.703853638233</v>
      </c>
      <c r="G117" s="46"/>
      <c r="H117" s="149">
        <f>RANK(I117,I3:I156)</f>
        <v>118</v>
      </c>
      <c r="I117" s="150">
        <f>VLOOKUP(A117,'Standard Deviations'!A1:C731,3,FALSE)</f>
        <v>-3.00698879815855</v>
      </c>
      <c r="J117" s="150">
        <f>I117-VLOOKUP(B$2,H1:J156,2,FALSE)</f>
        <v>-7.91104042588587</v>
      </c>
    </row>
    <row r="118" ht="21.25" customHeight="1">
      <c r="A118" t="s" s="8">
        <v>714</v>
      </c>
      <c r="B118" t="s" s="71">
        <f>VLOOKUP(A118,'The List'!B1:D730,3,FALSE)</f>
        <v>133</v>
      </c>
      <c r="C118" s="72">
        <f>IF('Settings'!$E$15="POINTS",RANK(E118,E3:E156),H118)</f>
        <v>111</v>
      </c>
      <c r="D118" t="s" s="42">
        <f>VLOOKUP(A118,'The List'!B1:F730,5,FALSE)</f>
        <v>189</v>
      </c>
      <c r="E118" s="46">
        <f>VLOOKUP(A118,'The List'!B1:I730,8,FALSE)</f>
        <v>198.697798060107</v>
      </c>
      <c r="F118" s="46">
        <f>IF('Settings'!$E$15="POINTS",E118-VLOOKUP(B$2,C1:E156,3,FALSE),J118)</f>
        <v>-182.930765646249</v>
      </c>
      <c r="G118" s="46"/>
      <c r="H118" s="149">
        <f>RANK(I118,I3:I156)</f>
        <v>136</v>
      </c>
      <c r="I118" s="150">
        <f>VLOOKUP(A118,'Standard Deviations'!A1:C731,3,FALSE)</f>
        <v>-4.25975743700651</v>
      </c>
      <c r="J118" s="150">
        <f>I118-VLOOKUP(B$2,H1:J156,2,FALSE)</f>
        <v>-9.16380906473383</v>
      </c>
    </row>
    <row r="119" ht="21.25" customHeight="1">
      <c r="A119" t="s" s="8">
        <v>717</v>
      </c>
      <c r="B119" t="s" s="71">
        <f>VLOOKUP(A119,'The List'!B1:D730,3,FALSE)</f>
        <v>133</v>
      </c>
      <c r="C119" s="72">
        <f>IF('Settings'!$E$15="POINTS",RANK(E119,E3:E156),H119)</f>
        <v>118</v>
      </c>
      <c r="D119" t="s" s="42">
        <f>VLOOKUP(A119,'The List'!B1:F730,5,FALSE)</f>
        <v>258</v>
      </c>
      <c r="E119" s="46">
        <f>VLOOKUP(A119,'The List'!B1:I730,8,FALSE)</f>
        <v>175.409744043037</v>
      </c>
      <c r="F119" s="46">
        <f>IF('Settings'!$E$15="POINTS",E119-VLOOKUP(B$2,C1:E156,3,FALSE),J119)</f>
        <v>-206.218819663319</v>
      </c>
      <c r="G119" s="46"/>
      <c r="H119" s="149">
        <f>RANK(I119,I3:I156)</f>
        <v>133</v>
      </c>
      <c r="I119" s="150">
        <f>VLOOKUP(A119,'Standard Deviations'!A1:C731,3,FALSE)</f>
        <v>-4.09325363854253</v>
      </c>
      <c r="J119" s="150">
        <f>I119-VLOOKUP(B$2,H1:J156,2,FALSE)</f>
        <v>-8.99730526626985</v>
      </c>
    </row>
    <row r="120" ht="21.25" customHeight="1">
      <c r="A120" t="s" s="8">
        <v>722</v>
      </c>
      <c r="B120" t="s" s="71">
        <f>VLOOKUP(A120,'The List'!B1:D730,3,FALSE)</f>
        <v>133</v>
      </c>
      <c r="C120" s="72">
        <f>IF('Settings'!$E$15="POINTS",RANK(E120,E3:E156),H120)</f>
        <v>116</v>
      </c>
      <c r="D120" t="s" s="42">
        <f>VLOOKUP(A120,'The List'!B1:F730,5,FALSE)</f>
        <v>156</v>
      </c>
      <c r="E120" s="46">
        <f>VLOOKUP(A120,'The List'!B1:I730,8,FALSE)</f>
        <v>180.221042963510</v>
      </c>
      <c r="F120" s="46">
        <f>IF('Settings'!$E$15="POINTS",E120-VLOOKUP(B$2,C1:E156,3,FALSE),J120)</f>
        <v>-201.407520742846</v>
      </c>
      <c r="G120" s="46"/>
      <c r="H120" s="149">
        <f>RANK(I120,I3:I156)</f>
        <v>115</v>
      </c>
      <c r="I120" s="150">
        <f>VLOOKUP(A120,'Standard Deviations'!A1:C731,3,FALSE)</f>
        <v>-2.86984292001982</v>
      </c>
      <c r="J120" s="150">
        <f>I120-VLOOKUP(B$2,H1:J156,2,FALSE)</f>
        <v>-7.77389454774714</v>
      </c>
    </row>
    <row r="121" ht="21.25" customHeight="1">
      <c r="A121" t="s" s="8">
        <v>704</v>
      </c>
      <c r="B121" t="s" s="71">
        <f>VLOOKUP(A121,'The List'!B1:D730,3,FALSE)</f>
        <v>118</v>
      </c>
      <c r="C121" s="72">
        <f>IF('Settings'!$E$15="POINTS",RANK(E121,E3:E156),H121)</f>
        <v>121</v>
      </c>
      <c r="D121" t="s" s="42">
        <f>VLOOKUP(A121,'The List'!B1:F730,5,FALSE)</f>
        <v>189</v>
      </c>
      <c r="E121" s="46">
        <f>VLOOKUP(A121,'The List'!B1:I730,8,FALSE)</f>
        <v>172.852951068026</v>
      </c>
      <c r="F121" s="46">
        <f>IF('Settings'!$E$15="POINTS",E121-VLOOKUP(B$2,C1:E156,3,FALSE),J121)</f>
        <v>-208.775612638330</v>
      </c>
      <c r="G121" s="46"/>
      <c r="H121" s="149">
        <f>RANK(I121,I3:I156)</f>
        <v>132</v>
      </c>
      <c r="I121" s="150">
        <f>VLOOKUP(A121,'Standard Deviations'!A1:C731,3,FALSE)</f>
        <v>-4.08911533290388</v>
      </c>
      <c r="J121" s="150">
        <f>I121-VLOOKUP(B$2,H1:J156,2,FALSE)</f>
        <v>-8.9931669606312</v>
      </c>
    </row>
    <row r="122" ht="21.25" customHeight="1">
      <c r="A122" t="s" s="8">
        <v>735</v>
      </c>
      <c r="B122" t="s" s="71">
        <f>VLOOKUP(A122,'The List'!B1:D730,3,FALSE)</f>
        <v>133</v>
      </c>
      <c r="C122" s="72">
        <f>IF('Settings'!$E$15="POINTS",RANK(E122,E3:E156),H122)</f>
        <v>126</v>
      </c>
      <c r="D122" t="s" s="42">
        <f>VLOOKUP(A122,'The List'!B1:F730,5,FALSE)</f>
        <v>292</v>
      </c>
      <c r="E122" s="46">
        <f>VLOOKUP(A122,'The List'!B1:I730,8,FALSE)</f>
        <v>168.882071379367</v>
      </c>
      <c r="F122" s="46">
        <f>IF('Settings'!$E$15="POINTS",E122-VLOOKUP(B$2,C1:E156,3,FALSE),J122)</f>
        <v>-212.746492326989</v>
      </c>
      <c r="G122" s="46"/>
      <c r="H122" s="149">
        <f>RANK(I122,I3:I156)</f>
        <v>117</v>
      </c>
      <c r="I122" s="150">
        <f>VLOOKUP(A122,'Standard Deviations'!A1:C731,3,FALSE)</f>
        <v>-2.98899330112868</v>
      </c>
      <c r="J122" s="150">
        <f>I122-VLOOKUP(B$2,H1:J156,2,FALSE)</f>
        <v>-7.893044928856</v>
      </c>
    </row>
    <row r="123" ht="21.25" customHeight="1">
      <c r="A123" t="s" s="8">
        <v>743</v>
      </c>
      <c r="B123" t="s" s="71">
        <f>VLOOKUP(A123,'The List'!B1:D730,3,FALSE)</f>
        <v>133</v>
      </c>
      <c r="C123" s="72">
        <f>IF('Settings'!$E$15="POINTS",RANK(E123,E3:E156),H123)</f>
        <v>117</v>
      </c>
      <c r="D123" t="s" s="42">
        <f>VLOOKUP(A123,'The List'!B1:F730,5,FALSE)</f>
        <v>139</v>
      </c>
      <c r="E123" s="46">
        <f>VLOOKUP(A123,'The List'!B1:I730,8,FALSE)</f>
        <v>179.072733785086</v>
      </c>
      <c r="F123" s="46">
        <f>IF('Settings'!$E$15="POINTS",E123-VLOOKUP(B$2,C1:E156,3,FALSE),J123)</f>
        <v>-202.555829921270</v>
      </c>
      <c r="G123" s="46"/>
      <c r="H123" s="149">
        <f>RANK(I123,I3:I156)</f>
        <v>124</v>
      </c>
      <c r="I123" s="150">
        <f>VLOOKUP(A123,'Standard Deviations'!A1:C731,3,FALSE)</f>
        <v>-3.34341268443929</v>
      </c>
      <c r="J123" s="150">
        <f>I123-VLOOKUP(B$2,H1:J156,2,FALSE)</f>
        <v>-8.24746431216661</v>
      </c>
    </row>
    <row r="124" ht="21.25" customHeight="1">
      <c r="A124" t="s" s="8">
        <v>746</v>
      </c>
      <c r="B124" t="s" s="71">
        <f>VLOOKUP(A124,'The List'!B1:D730,3,FALSE)</f>
        <v>133</v>
      </c>
      <c r="C124" s="72">
        <f>IF('Settings'!$E$15="POINTS",RANK(E124,E3:E156),H124)</f>
        <v>109</v>
      </c>
      <c r="D124" t="s" s="42">
        <f>VLOOKUP(A124,'The List'!B1:F730,5,FALSE)</f>
        <v>194</v>
      </c>
      <c r="E124" s="46">
        <f>VLOOKUP(A124,'The List'!B1:I730,8,FALSE)</f>
        <v>199.266010038760</v>
      </c>
      <c r="F124" s="46">
        <f>IF('Settings'!$E$15="POINTS",E124-VLOOKUP(B$2,C1:E156,3,FALSE),J124)</f>
        <v>-182.362553667596</v>
      </c>
      <c r="G124" s="46"/>
      <c r="H124" s="149">
        <f>RANK(I124,I3:I156)</f>
        <v>129</v>
      </c>
      <c r="I124" s="150">
        <f>VLOOKUP(A124,'Standard Deviations'!A1:C731,3,FALSE)</f>
        <v>-3.88223289008194</v>
      </c>
      <c r="J124" s="150">
        <f>I124-VLOOKUP(B$2,H1:J156,2,FALSE)</f>
        <v>-8.786284517809261</v>
      </c>
    </row>
    <row r="125" ht="21.25" customHeight="1">
      <c r="A125" t="s" s="8">
        <v>752</v>
      </c>
      <c r="B125" t="s" s="71">
        <f>VLOOKUP(A125,'The List'!B1:D730,3,FALSE)</f>
        <v>133</v>
      </c>
      <c r="C125" s="72">
        <f>IF('Settings'!$E$15="POINTS",RANK(E125,E3:E156),H125)</f>
        <v>115</v>
      </c>
      <c r="D125" t="s" s="42">
        <f>VLOOKUP(A125,'The List'!B1:F730,5,FALSE)</f>
        <v>292</v>
      </c>
      <c r="E125" s="46">
        <f>VLOOKUP(A125,'The List'!B1:I730,8,FALSE)</f>
        <v>180.529235211060</v>
      </c>
      <c r="F125" s="46">
        <f>IF('Settings'!$E$15="POINTS",E125-VLOOKUP(B$2,C1:E156,3,FALSE),J125)</f>
        <v>-201.099328495296</v>
      </c>
      <c r="G125" s="46"/>
      <c r="H125" s="149">
        <f>RANK(I125,I3:I156)</f>
        <v>114</v>
      </c>
      <c r="I125" s="150">
        <f>VLOOKUP(A125,'Standard Deviations'!A1:C731,3,FALSE)</f>
        <v>-2.86819051250692</v>
      </c>
      <c r="J125" s="150">
        <f>I125-VLOOKUP(B$2,H1:J156,2,FALSE)</f>
        <v>-7.77224214023424</v>
      </c>
    </row>
    <row r="126" ht="21.25" customHeight="1">
      <c r="A126" t="s" s="8">
        <v>753</v>
      </c>
      <c r="B126" t="s" s="71">
        <f>VLOOKUP(A126,'The List'!B1:D730,3,FALSE)</f>
        <v>133</v>
      </c>
      <c r="C126" s="72">
        <f>IF('Settings'!$E$15="POINTS",RANK(E126,E3:E156),H126)</f>
        <v>127</v>
      </c>
      <c r="D126" t="s" s="42">
        <f>VLOOKUP(A126,'The List'!B1:F730,5,FALSE)</f>
        <v>194</v>
      </c>
      <c r="E126" s="46">
        <f>VLOOKUP(A126,'The List'!B1:I730,8,FALSE)</f>
        <v>165.4507235523</v>
      </c>
      <c r="F126" s="46">
        <f>IF('Settings'!$E$15="POINTS",E126-VLOOKUP(B$2,C1:E156,3,FALSE),J126)</f>
        <v>-216.177840154056</v>
      </c>
      <c r="G126" s="46"/>
      <c r="H126" s="149">
        <f>RANK(I126,I3:I156)</f>
        <v>139</v>
      </c>
      <c r="I126" s="150">
        <f>VLOOKUP(A126,'Standard Deviations'!A1:C731,3,FALSE)</f>
        <v>-4.47497832473681</v>
      </c>
      <c r="J126" s="150">
        <f>I126-VLOOKUP(B$2,H1:J156,2,FALSE)</f>
        <v>-9.37902995246413</v>
      </c>
    </row>
    <row r="127" ht="21.25" customHeight="1">
      <c r="A127" t="s" s="8">
        <v>766</v>
      </c>
      <c r="B127" t="s" s="71">
        <f>VLOOKUP(A127,'The List'!B1:D730,3,FALSE)</f>
        <v>133</v>
      </c>
      <c r="C127" s="72">
        <f>IF('Settings'!$E$15="POINTS",RANK(E127,E3:E156),H127)</f>
        <v>124</v>
      </c>
      <c r="D127" t="s" s="42">
        <f>VLOOKUP(A127,'The List'!B1:F730,5,FALSE)</f>
        <v>119</v>
      </c>
      <c r="E127" s="46">
        <f>VLOOKUP(A127,'The List'!B1:I730,8,FALSE)</f>
        <v>169.808358066948</v>
      </c>
      <c r="F127" s="46">
        <f>IF('Settings'!$E$15="POINTS",E127-VLOOKUP(B$2,C1:E156,3,FALSE),J127)</f>
        <v>-211.820205639408</v>
      </c>
      <c r="G127" s="46"/>
      <c r="H127" s="149">
        <f>RANK(I127,I3:I156)</f>
        <v>116</v>
      </c>
      <c r="I127" s="150">
        <f>VLOOKUP(A127,'Standard Deviations'!A1:C731,3,FALSE)</f>
        <v>-2.92497459857567</v>
      </c>
      <c r="J127" s="150">
        <f>I127-VLOOKUP(B$2,H1:J156,2,FALSE)</f>
        <v>-7.82902622630299</v>
      </c>
    </row>
    <row r="128" ht="21.25" customHeight="1">
      <c r="A128" t="s" s="8">
        <v>767</v>
      </c>
      <c r="B128" t="s" s="71">
        <f>VLOOKUP(A128,'The List'!B1:D730,3,FALSE)</f>
        <v>133</v>
      </c>
      <c r="C128" s="72">
        <f>IF('Settings'!$E$15="POINTS",RANK(E128,E3:E156),H128)</f>
        <v>122</v>
      </c>
      <c r="D128" t="s" s="42">
        <f>VLOOKUP(A128,'The List'!B1:F730,5,FALSE)</f>
        <v>234</v>
      </c>
      <c r="E128" s="46">
        <f>VLOOKUP(A128,'The List'!B1:I730,8,FALSE)</f>
        <v>171.285241159840</v>
      </c>
      <c r="F128" s="46">
        <f>IF('Settings'!$E$15="POINTS",E128-VLOOKUP(B$2,C1:E156,3,FALSE),J128)</f>
        <v>-210.343322546516</v>
      </c>
      <c r="G128" s="46"/>
      <c r="H128" s="149">
        <f>RANK(I128,I3:I156)</f>
        <v>148</v>
      </c>
      <c r="I128" s="150">
        <f>VLOOKUP(A128,'Standard Deviations'!A1:C731,3,FALSE)</f>
        <v>-4.99367423456838</v>
      </c>
      <c r="J128" s="150">
        <f>I128-VLOOKUP(B$2,H1:J156,2,FALSE)</f>
        <v>-9.897725862295699</v>
      </c>
    </row>
    <row r="129" ht="21.25" customHeight="1">
      <c r="A129" t="s" s="8">
        <v>770</v>
      </c>
      <c r="B129" t="s" s="71">
        <f>VLOOKUP(A129,'The List'!B1:D730,3,FALSE)</f>
        <v>133</v>
      </c>
      <c r="C129" s="72">
        <f>IF('Settings'!$E$15="POINTS",RANK(E129,E3:E156),H129)</f>
        <v>129</v>
      </c>
      <c r="D129" t="s" s="42">
        <f>VLOOKUP(A129,'The List'!B1:F730,5,FALSE)</f>
        <v>151</v>
      </c>
      <c r="E129" s="46">
        <f>VLOOKUP(A129,'The List'!B1:I730,8,FALSE)</f>
        <v>161.621686010426</v>
      </c>
      <c r="F129" s="46">
        <f>IF('Settings'!$E$15="POINTS",E129-VLOOKUP(B$2,C1:E156,3,FALSE),J129)</f>
        <v>-220.006877695930</v>
      </c>
      <c r="G129" s="46"/>
      <c r="H129" s="149">
        <f>RANK(I129,I3:I156)</f>
        <v>110</v>
      </c>
      <c r="I129" s="150">
        <f>VLOOKUP(A129,'Standard Deviations'!A1:C731,3,FALSE)</f>
        <v>-2.40807900966274</v>
      </c>
      <c r="J129" s="150">
        <f>I129-VLOOKUP(B$2,H1:J156,2,FALSE)</f>
        <v>-7.31213063739006</v>
      </c>
    </row>
    <row r="130" ht="21.25" customHeight="1">
      <c r="A130" t="s" s="8">
        <v>771</v>
      </c>
      <c r="B130" t="s" s="71">
        <f>VLOOKUP(A130,'The List'!B1:D730,3,FALSE)</f>
        <v>133</v>
      </c>
      <c r="C130" s="72">
        <f>IF('Settings'!$E$15="POINTS",RANK(E130,E3:E156),H130)</f>
        <v>136</v>
      </c>
      <c r="D130" t="s" s="42">
        <f>VLOOKUP(A130,'The List'!B1:F730,5,FALSE)</f>
        <v>170</v>
      </c>
      <c r="E130" s="46">
        <f>VLOOKUP(A130,'The List'!B1:I730,8,FALSE)</f>
        <v>151.122018816606</v>
      </c>
      <c r="F130" s="46">
        <f>IF('Settings'!$E$15="POINTS",E130-VLOOKUP(B$2,C1:E156,3,FALSE),J130)</f>
        <v>-230.506544889750</v>
      </c>
      <c r="G130" s="46"/>
      <c r="H130" s="149">
        <f>RANK(I130,I3:I156)</f>
        <v>121</v>
      </c>
      <c r="I130" s="150">
        <f>VLOOKUP(A130,'Standard Deviations'!A1:C731,3,FALSE)</f>
        <v>-3.17007332356928</v>
      </c>
      <c r="J130" s="150">
        <f>I130-VLOOKUP(B$2,H1:J156,2,FALSE)</f>
        <v>-8.0741249512966</v>
      </c>
    </row>
    <row r="131" ht="21.25" customHeight="1">
      <c r="A131" t="s" s="8">
        <v>778</v>
      </c>
      <c r="B131" t="s" s="71">
        <f>VLOOKUP(A131,'The List'!B1:D730,3,FALSE)</f>
        <v>133</v>
      </c>
      <c r="C131" s="72">
        <f>IF('Settings'!$E$15="POINTS",RANK(E131,E3:E156),H131)</f>
        <v>133</v>
      </c>
      <c r="D131" t="s" s="42">
        <f>VLOOKUP(A131,'The List'!B1:F730,5,FALSE)</f>
        <v>141</v>
      </c>
      <c r="E131" s="46">
        <f>VLOOKUP(A131,'The List'!B1:I730,8,FALSE)</f>
        <v>155.134869559410</v>
      </c>
      <c r="F131" s="46">
        <f>IF('Settings'!$E$15="POINTS",E131-VLOOKUP(B$2,C1:E156,3,FALSE),J131)</f>
        <v>-226.493694146946</v>
      </c>
      <c r="G131" s="46"/>
      <c r="H131" s="149">
        <f>RANK(I131,I3:I156)</f>
        <v>127</v>
      </c>
      <c r="I131" s="150">
        <f>VLOOKUP(A131,'Standard Deviations'!A1:C731,3,FALSE)</f>
        <v>-3.71858211625931</v>
      </c>
      <c r="J131" s="150">
        <f>I131-VLOOKUP(B$2,H1:J156,2,FALSE)</f>
        <v>-8.622633743986629</v>
      </c>
    </row>
    <row r="132" ht="21.25" customHeight="1">
      <c r="A132" t="s" s="8">
        <v>780</v>
      </c>
      <c r="B132" t="s" s="71">
        <f>VLOOKUP(A132,'The List'!B1:D730,3,FALSE)</f>
        <v>133</v>
      </c>
      <c r="C132" s="72">
        <f>IF('Settings'!$E$15="POINTS",RANK(E132,E3:E156),H132)</f>
        <v>130</v>
      </c>
      <c r="D132" t="s" s="42">
        <f>VLOOKUP(A132,'The List'!B1:F730,5,FALSE)</f>
        <v>196</v>
      </c>
      <c r="E132" s="46">
        <f>VLOOKUP(A132,'The List'!B1:I730,8,FALSE)</f>
        <v>157.886315642549</v>
      </c>
      <c r="F132" s="46">
        <f>IF('Settings'!$E$15="POINTS",E132-VLOOKUP(B$2,C1:E156,3,FALSE),J132)</f>
        <v>-223.742248063807</v>
      </c>
      <c r="G132" s="46"/>
      <c r="H132" s="149">
        <f>RANK(I132,I3:I156)</f>
        <v>120</v>
      </c>
      <c r="I132" s="150">
        <f>VLOOKUP(A132,'Standard Deviations'!A1:C731,3,FALSE)</f>
        <v>-3.12126034058748</v>
      </c>
      <c r="J132" s="150">
        <f>I132-VLOOKUP(B$2,H1:J156,2,FALSE)</f>
        <v>-8.025311968314799</v>
      </c>
    </row>
    <row r="133" ht="21.25" customHeight="1">
      <c r="A133" t="s" s="8">
        <v>782</v>
      </c>
      <c r="B133" t="s" s="71">
        <f>VLOOKUP(A133,'The List'!B1:D730,3,FALSE)</f>
        <v>133</v>
      </c>
      <c r="C133" s="72">
        <f>IF('Settings'!$E$15="POINTS",RANK(E133,E3:E156),H133)</f>
        <v>137</v>
      </c>
      <c r="D133" t="s" s="42">
        <f>VLOOKUP(A133,'The List'!B1:F730,5,FALSE)</f>
        <v>196</v>
      </c>
      <c r="E133" s="46">
        <f>VLOOKUP(A133,'The List'!B1:I730,8,FALSE)</f>
        <v>150.489837114887</v>
      </c>
      <c r="F133" s="46">
        <f>IF('Settings'!$E$15="POINTS",E133-VLOOKUP(B$2,C1:E156,3,FALSE),J133)</f>
        <v>-231.138726591469</v>
      </c>
      <c r="G133" s="46"/>
      <c r="H133" s="149">
        <f>RANK(I133,I3:I156)</f>
        <v>135</v>
      </c>
      <c r="I133" s="150">
        <f>VLOOKUP(A133,'Standard Deviations'!A1:C731,3,FALSE)</f>
        <v>-4.21081796276633</v>
      </c>
      <c r="J133" s="150">
        <f>I133-VLOOKUP(B$2,H1:J156,2,FALSE)</f>
        <v>-9.114869590493649</v>
      </c>
    </row>
    <row r="134" ht="21.25" customHeight="1">
      <c r="A134" t="s" s="8">
        <v>783</v>
      </c>
      <c r="B134" t="s" s="71">
        <f>VLOOKUP(A134,'The List'!B1:D730,3,FALSE)</f>
        <v>133</v>
      </c>
      <c r="C134" s="72">
        <f>IF('Settings'!$E$15="POINTS",RANK(E134,E3:E156),H134)</f>
        <v>119</v>
      </c>
      <c r="D134" t="s" s="42">
        <f>VLOOKUP(A134,'The List'!B1:F730,5,FALSE)</f>
        <v>225</v>
      </c>
      <c r="E134" s="46">
        <f>VLOOKUP(A134,'The List'!B1:I730,8,FALSE)</f>
        <v>173.271739474823</v>
      </c>
      <c r="F134" s="46">
        <f>IF('Settings'!$E$15="POINTS",E134-VLOOKUP(B$2,C1:E156,3,FALSE),J134)</f>
        <v>-208.356824231533</v>
      </c>
      <c r="G134" s="46"/>
      <c r="H134" s="149">
        <f>RANK(I134,I3:I156)</f>
        <v>144</v>
      </c>
      <c r="I134" s="150">
        <f>VLOOKUP(A134,'Standard Deviations'!A1:C731,3,FALSE)</f>
        <v>-4.80939632432863</v>
      </c>
      <c r="J134" s="150">
        <f>I134-VLOOKUP(B$2,H1:J156,2,FALSE)</f>
        <v>-9.713447952055949</v>
      </c>
    </row>
    <row r="135" ht="21.25" customHeight="1">
      <c r="A135" t="s" s="8">
        <v>784</v>
      </c>
      <c r="B135" t="s" s="71">
        <f>VLOOKUP(A135,'The List'!B1:D730,3,FALSE)</f>
        <v>133</v>
      </c>
      <c r="C135" s="72">
        <f>IF('Settings'!$E$15="POINTS",RANK(E135,E3:E156),H135)</f>
        <v>131</v>
      </c>
      <c r="D135" t="s" s="42">
        <f>VLOOKUP(A135,'The List'!B1:F730,5,FALSE)</f>
        <v>139</v>
      </c>
      <c r="E135" s="46">
        <f>VLOOKUP(A135,'The List'!B1:I730,8,FALSE)</f>
        <v>157.491896008970</v>
      </c>
      <c r="F135" s="46">
        <f>IF('Settings'!$E$15="POINTS",E135-VLOOKUP(B$2,C1:E156,3,FALSE),J135)</f>
        <v>-224.136667697386</v>
      </c>
      <c r="G135" s="46"/>
      <c r="H135" s="149">
        <f>RANK(I135,I3:I156)</f>
        <v>128</v>
      </c>
      <c r="I135" s="150">
        <f>VLOOKUP(A135,'Standard Deviations'!A1:C731,3,FALSE)</f>
        <v>-3.8571442286634</v>
      </c>
      <c r="J135" s="150">
        <f>I135-VLOOKUP(B$2,H1:J156,2,FALSE)</f>
        <v>-8.761195856390721</v>
      </c>
    </row>
    <row r="136" ht="21.25" customHeight="1">
      <c r="A136" t="s" s="8">
        <v>789</v>
      </c>
      <c r="B136" t="s" s="71">
        <f>VLOOKUP(A136,'The List'!B1:D730,3,FALSE)</f>
        <v>133</v>
      </c>
      <c r="C136" s="72">
        <f>IF('Settings'!$E$15="POINTS",RANK(E136,E3:E156),H136)</f>
        <v>141</v>
      </c>
      <c r="D136" t="s" s="42">
        <f>VLOOKUP(A136,'The List'!B1:F730,5,FALSE)</f>
        <v>234</v>
      </c>
      <c r="E136" s="46">
        <f>VLOOKUP(A136,'The List'!B1:I730,8,FALSE)</f>
        <v>143.724551856926</v>
      </c>
      <c r="F136" s="46">
        <f>IF('Settings'!$E$15="POINTS",E136-VLOOKUP(B$2,C1:E156,3,FALSE),J136)</f>
        <v>-237.904011849430</v>
      </c>
      <c r="G136" s="46"/>
      <c r="H136" s="149">
        <f>RANK(I136,I3:I156)</f>
        <v>152</v>
      </c>
      <c r="I136" s="150">
        <f>VLOOKUP(A136,'Standard Deviations'!A1:C731,3,FALSE)</f>
        <v>-5.87294002167788</v>
      </c>
      <c r="J136" s="150">
        <f>I136-VLOOKUP(B$2,H1:J156,2,FALSE)</f>
        <v>-10.7769916494052</v>
      </c>
    </row>
    <row r="137" ht="21.25" customHeight="1">
      <c r="A137" t="s" s="8">
        <v>790</v>
      </c>
      <c r="B137" t="s" s="71">
        <f>VLOOKUP(A137,'The List'!B1:D730,3,FALSE)</f>
        <v>133</v>
      </c>
      <c r="C137" s="72">
        <f>IF('Settings'!$E$15="POINTS",RANK(E137,E3:E156),H137)</f>
        <v>142</v>
      </c>
      <c r="D137" t="s" s="42">
        <f>VLOOKUP(A137,'The List'!B1:F730,5,FALSE)</f>
        <v>115</v>
      </c>
      <c r="E137" s="46">
        <f>VLOOKUP(A137,'The List'!B1:I730,8,FALSE)</f>
        <v>138.326955435991</v>
      </c>
      <c r="F137" s="46">
        <f>IF('Settings'!$E$15="POINTS",E137-VLOOKUP(B$2,C1:E156,3,FALSE),J137)</f>
        <v>-243.301608270365</v>
      </c>
      <c r="G137" s="46"/>
      <c r="H137" s="149">
        <f>RANK(I137,I3:I156)</f>
        <v>123</v>
      </c>
      <c r="I137" s="150">
        <f>VLOOKUP(A137,'Standard Deviations'!A1:C731,3,FALSE)</f>
        <v>-3.26714543996057</v>
      </c>
      <c r="J137" s="150">
        <f>I137-VLOOKUP(B$2,H1:J156,2,FALSE)</f>
        <v>-8.17119706768789</v>
      </c>
    </row>
    <row r="138" ht="21.25" customHeight="1">
      <c r="A138" t="s" s="8">
        <v>793</v>
      </c>
      <c r="B138" t="s" s="71">
        <f>VLOOKUP(A138,'The List'!B1:D730,3,FALSE)</f>
        <v>133</v>
      </c>
      <c r="C138" s="72">
        <f>IF('Settings'!$E$15="POINTS",RANK(E138,E3:E156),H138)</f>
        <v>145</v>
      </c>
      <c r="D138" t="s" s="42">
        <f>VLOOKUP(A138,'The List'!B1:F730,5,FALSE)</f>
        <v>156</v>
      </c>
      <c r="E138" s="46">
        <f>VLOOKUP(A138,'The List'!B1:I730,8,FALSE)</f>
        <v>131.256856376053</v>
      </c>
      <c r="F138" s="46">
        <f>IF('Settings'!$E$15="POINTS",E138-VLOOKUP(B$2,C1:E156,3,FALSE),J138)</f>
        <v>-250.371707330303</v>
      </c>
      <c r="G138" s="46"/>
      <c r="H138" s="149">
        <f>RANK(I138,I3:I156)</f>
        <v>131</v>
      </c>
      <c r="I138" s="150">
        <f>VLOOKUP(A138,'Standard Deviations'!A1:C731,3,FALSE)</f>
        <v>-4.07924816716453</v>
      </c>
      <c r="J138" s="150">
        <f>I138-VLOOKUP(B$2,H1:J156,2,FALSE)</f>
        <v>-8.983299794891851</v>
      </c>
    </row>
    <row r="139" ht="21.25" customHeight="1">
      <c r="A139" t="s" s="8">
        <v>799</v>
      </c>
      <c r="B139" t="s" s="71">
        <f>VLOOKUP(A139,'The List'!B1:D730,3,FALSE)</f>
        <v>133</v>
      </c>
      <c r="C139" s="72">
        <f>IF('Settings'!$E$15="POINTS",RANK(E139,E3:E156),H139)</f>
        <v>135</v>
      </c>
      <c r="D139" t="s" s="42">
        <f>VLOOKUP(A139,'The List'!B1:F730,5,FALSE)</f>
        <v>225</v>
      </c>
      <c r="E139" s="46">
        <f>VLOOKUP(A139,'The List'!B1:I730,8,FALSE)</f>
        <v>152.208857602084</v>
      </c>
      <c r="F139" s="46">
        <f>IF('Settings'!$E$15="POINTS",E139-VLOOKUP(B$2,C1:E156,3,FALSE),J139)</f>
        <v>-229.419706104272</v>
      </c>
      <c r="G139" s="46"/>
      <c r="H139" s="149">
        <f>RANK(I139,I3:I156)</f>
        <v>151</v>
      </c>
      <c r="I139" s="150">
        <f>VLOOKUP(A139,'Standard Deviations'!A1:C731,3,FALSE)</f>
        <v>-5.60422188622601</v>
      </c>
      <c r="J139" s="150">
        <f>I139-VLOOKUP(B$2,H1:J156,2,FALSE)</f>
        <v>-10.5082735139533</v>
      </c>
    </row>
    <row r="140" ht="21.25" customHeight="1">
      <c r="A140" t="s" s="8">
        <v>803</v>
      </c>
      <c r="B140" t="s" s="71">
        <f>VLOOKUP(A140,'The List'!B1:D730,3,FALSE)</f>
        <v>133</v>
      </c>
      <c r="C140" s="72">
        <f>IF('Settings'!$E$15="POINTS",RANK(E140,E3:E156),H140)</f>
        <v>139</v>
      </c>
      <c r="D140" t="s" s="42">
        <f>VLOOKUP(A140,'The List'!B1:F730,5,FALSE)</f>
        <v>122</v>
      </c>
      <c r="E140" s="46">
        <f>VLOOKUP(A140,'The List'!B1:I730,8,FALSE)</f>
        <v>147.255521561528</v>
      </c>
      <c r="F140" s="46">
        <f>IF('Settings'!$E$15="POINTS",E140-VLOOKUP(B$2,C1:E156,3,FALSE),J140)</f>
        <v>-234.373042144828</v>
      </c>
      <c r="G140" s="46"/>
      <c r="H140" s="149">
        <f>RANK(I140,I3:I156)</f>
        <v>122</v>
      </c>
      <c r="I140" s="150">
        <f>VLOOKUP(A140,'Standard Deviations'!A1:C731,3,FALSE)</f>
        <v>-3.19533699507031</v>
      </c>
      <c r="J140" s="150">
        <f>I140-VLOOKUP(B$2,H1:J156,2,FALSE)</f>
        <v>-8.09938862279763</v>
      </c>
    </row>
    <row r="141" ht="21.25" customHeight="1">
      <c r="A141" t="s" s="8">
        <v>805</v>
      </c>
      <c r="B141" t="s" s="71">
        <f>VLOOKUP(A141,'The List'!B1:D730,3,FALSE)</f>
        <v>133</v>
      </c>
      <c r="C141" s="72">
        <f>IF('Settings'!$E$15="POINTS",RANK(E141,E3:E156),H141)</f>
        <v>134</v>
      </c>
      <c r="D141" t="s" s="42">
        <f>VLOOKUP(A141,'The List'!B1:F730,5,FALSE)</f>
        <v>122</v>
      </c>
      <c r="E141" s="46">
        <f>VLOOKUP(A141,'The List'!B1:I730,8,FALSE)</f>
        <v>153.461016414342</v>
      </c>
      <c r="F141" s="46">
        <f>IF('Settings'!$E$15="POINTS",E141-VLOOKUP(B$2,C1:E156,3,FALSE),J141)</f>
        <v>-228.167547292014</v>
      </c>
      <c r="G141" s="46"/>
      <c r="H141" s="149">
        <f>RANK(I141,I3:I156)</f>
        <v>134</v>
      </c>
      <c r="I141" s="150">
        <f>VLOOKUP(A141,'Standard Deviations'!A1:C731,3,FALSE)</f>
        <v>-4.1433613707542</v>
      </c>
      <c r="J141" s="150">
        <f>I141-VLOOKUP(B$2,H1:J156,2,FALSE)</f>
        <v>-9.047412998481519</v>
      </c>
    </row>
    <row r="142" ht="21.25" customHeight="1">
      <c r="A142" t="s" s="8">
        <v>807</v>
      </c>
      <c r="B142" t="s" s="71">
        <f>VLOOKUP(A142,'The List'!B1:D730,3,FALSE)</f>
        <v>133</v>
      </c>
      <c r="C142" s="72">
        <f>IF('Settings'!$E$15="POINTS",RANK(E142,E3:E156),H142)</f>
        <v>143</v>
      </c>
      <c r="D142" t="s" s="42">
        <f>VLOOKUP(A142,'The List'!B1:F730,5,FALSE)</f>
        <v>127</v>
      </c>
      <c r="E142" s="46">
        <f>VLOOKUP(A142,'The List'!B1:I730,8,FALSE)</f>
        <v>136.227957220220</v>
      </c>
      <c r="F142" s="46">
        <f>IF('Settings'!$E$15="POINTS",E142-VLOOKUP(B$2,C1:E156,3,FALSE),J142)</f>
        <v>-245.400606486136</v>
      </c>
      <c r="G142" s="46"/>
      <c r="H142" s="149">
        <f>RANK(I142,I3:I156)</f>
        <v>130</v>
      </c>
      <c r="I142" s="150">
        <f>VLOOKUP(A142,'Standard Deviations'!A1:C731,3,FALSE)</f>
        <v>-4.07147223915417</v>
      </c>
      <c r="J142" s="150">
        <f>I142-VLOOKUP(B$2,H1:J156,2,FALSE)</f>
        <v>-8.97552386688149</v>
      </c>
    </row>
    <row r="143" ht="21.25" customHeight="1">
      <c r="A143" t="s" s="8">
        <v>816</v>
      </c>
      <c r="B143" t="s" s="71">
        <f>VLOOKUP(A143,'The List'!B1:D730,3,FALSE)</f>
        <v>133</v>
      </c>
      <c r="C143" s="72">
        <f>IF('Settings'!$E$15="POINTS",RANK(E143,E3:E156),H143)</f>
        <v>138</v>
      </c>
      <c r="D143" t="s" s="42">
        <f>VLOOKUP(A143,'The List'!B1:F730,5,FALSE)</f>
        <v>131</v>
      </c>
      <c r="E143" s="46">
        <f>VLOOKUP(A143,'The List'!B1:I730,8,FALSE)</f>
        <v>149.798905986313</v>
      </c>
      <c r="F143" s="46">
        <f>IF('Settings'!$E$15="POINTS",E143-VLOOKUP(B$2,C1:E156,3,FALSE),J143)</f>
        <v>-231.829657720043</v>
      </c>
      <c r="G143" s="46"/>
      <c r="H143" s="149">
        <f>RANK(I143,I3:I156)</f>
        <v>146</v>
      </c>
      <c r="I143" s="150">
        <f>VLOOKUP(A143,'Standard Deviations'!A1:C731,3,FALSE)</f>
        <v>-4.9415542254457</v>
      </c>
      <c r="J143" s="150">
        <f>I143-VLOOKUP(B$2,H1:J156,2,FALSE)</f>
        <v>-9.845605853173019</v>
      </c>
    </row>
    <row r="144" ht="21.25" customHeight="1">
      <c r="A144" t="s" s="8">
        <v>820</v>
      </c>
      <c r="B144" t="s" s="71">
        <f>VLOOKUP(A144,'The List'!B1:D730,3,FALSE)</f>
        <v>133</v>
      </c>
      <c r="C144" s="72">
        <f>IF('Settings'!$E$15="POINTS",RANK(E144,E3:E156),H144)</f>
        <v>128</v>
      </c>
      <c r="D144" t="s" s="42">
        <f>VLOOKUP(A144,'The List'!B1:F730,5,FALSE)</f>
        <v>149</v>
      </c>
      <c r="E144" s="46">
        <f>VLOOKUP(A144,'The List'!B1:I730,8,FALSE)</f>
        <v>164.470223951087</v>
      </c>
      <c r="F144" s="46">
        <f>IF('Settings'!$E$15="POINTS",E144-VLOOKUP(B$2,C1:E156,3,FALSE),J144)</f>
        <v>-217.158339755269</v>
      </c>
      <c r="G144" s="46"/>
      <c r="H144" s="149">
        <f>RANK(I144,I3:I156)</f>
        <v>140</v>
      </c>
      <c r="I144" s="150">
        <f>VLOOKUP(A144,'Standard Deviations'!A1:C731,3,FALSE)</f>
        <v>-4.49809365165263</v>
      </c>
      <c r="J144" s="150">
        <f>I144-VLOOKUP(B$2,H1:J156,2,FALSE)</f>
        <v>-9.402145279379949</v>
      </c>
    </row>
    <row r="145" ht="21.25" customHeight="1">
      <c r="A145" t="s" s="8">
        <v>825</v>
      </c>
      <c r="B145" t="s" s="71">
        <f>VLOOKUP(A145,'The List'!B1:D730,3,FALSE)</f>
        <v>133</v>
      </c>
      <c r="C145" s="72">
        <f>IF('Settings'!$E$15="POINTS",RANK(E145,E3:E156),H145)</f>
        <v>149</v>
      </c>
      <c r="D145" t="s" s="42">
        <f>VLOOKUP(A145,'The List'!B1:F730,5,FALSE)</f>
        <v>170</v>
      </c>
      <c r="E145" s="46">
        <f>VLOOKUP(A145,'The List'!B1:I730,8,FALSE)</f>
        <v>104.935772017106</v>
      </c>
      <c r="F145" s="46">
        <f>IF('Settings'!$E$15="POINTS",E145-VLOOKUP(B$2,C1:E156,3,FALSE),J145)</f>
        <v>-276.692791689250</v>
      </c>
      <c r="G145" s="46"/>
      <c r="H145" s="149">
        <f>RANK(I145,I3:I156)</f>
        <v>137</v>
      </c>
      <c r="I145" s="150">
        <f>VLOOKUP(A145,'Standard Deviations'!A1:C731,3,FALSE)</f>
        <v>-4.37088978441304</v>
      </c>
      <c r="J145" s="150">
        <f>I145-VLOOKUP(B$2,H1:J156,2,FALSE)</f>
        <v>-9.274941412140359</v>
      </c>
    </row>
    <row r="146" ht="21.25" customHeight="1">
      <c r="A146" t="s" s="8">
        <v>827</v>
      </c>
      <c r="B146" t="s" s="71">
        <f>VLOOKUP(A146,'The List'!B1:D730,3,FALSE)</f>
        <v>133</v>
      </c>
      <c r="C146" s="72">
        <f>IF('Settings'!$E$15="POINTS",RANK(E146,E3:E156),H146)</f>
        <v>146</v>
      </c>
      <c r="D146" t="s" s="42">
        <f>VLOOKUP(A146,'The List'!B1:F730,5,FALSE)</f>
        <v>108</v>
      </c>
      <c r="E146" s="46">
        <f>VLOOKUP(A146,'The List'!B1:I730,8,FALSE)</f>
        <v>122.466145931906</v>
      </c>
      <c r="F146" s="46">
        <f>IF('Settings'!$E$15="POINTS",E146-VLOOKUP(B$2,C1:E156,3,FALSE),J146)</f>
        <v>-259.162417774450</v>
      </c>
      <c r="G146" s="46"/>
      <c r="H146" s="149">
        <f>RANK(I146,I3:I156)</f>
        <v>125</v>
      </c>
      <c r="I146" s="150">
        <f>VLOOKUP(A146,'Standard Deviations'!A1:C731,3,FALSE)</f>
        <v>-3.5480491756528</v>
      </c>
      <c r="J146" s="150">
        <f>I146-VLOOKUP(B$2,H1:J156,2,FALSE)</f>
        <v>-8.452100803380119</v>
      </c>
    </row>
    <row r="147" ht="21.25" customHeight="1">
      <c r="A147" t="s" s="8">
        <v>829</v>
      </c>
      <c r="B147" t="s" s="71">
        <f>VLOOKUP(A147,'The List'!B1:D730,3,FALSE)</f>
        <v>133</v>
      </c>
      <c r="C147" s="72">
        <f>IF('Settings'!$E$15="POINTS",RANK(E147,E3:E156),H147)</f>
        <v>144</v>
      </c>
      <c r="D147" t="s" s="42">
        <f>VLOOKUP(A147,'The List'!B1:F730,5,FALSE)</f>
        <v>134</v>
      </c>
      <c r="E147" s="46">
        <f>VLOOKUP(A147,'The List'!B1:I730,8,FALSE)</f>
        <v>132.562939715836</v>
      </c>
      <c r="F147" s="46">
        <f>IF('Settings'!$E$15="POINTS",E147-VLOOKUP(B$2,C1:E156,3,FALSE),J147)</f>
        <v>-249.065623990520</v>
      </c>
      <c r="G147" s="46"/>
      <c r="H147" s="149">
        <f>RANK(I147,I3:I156)</f>
        <v>138</v>
      </c>
      <c r="I147" s="150">
        <f>VLOOKUP(A147,'Standard Deviations'!A1:C731,3,FALSE)</f>
        <v>-4.42881548679631</v>
      </c>
      <c r="J147" s="150">
        <f>I147-VLOOKUP(B$2,H1:J156,2,FALSE)</f>
        <v>-9.33286711452363</v>
      </c>
    </row>
    <row r="148" ht="21.25" customHeight="1">
      <c r="A148" t="s" s="8">
        <v>833</v>
      </c>
      <c r="B148" t="s" s="71">
        <f>VLOOKUP(A148,'The List'!B1:D730,3,FALSE)</f>
        <v>133</v>
      </c>
      <c r="C148" s="72">
        <f>IF('Settings'!$E$15="POINTS",RANK(E148,E3:E156),H148)</f>
        <v>140</v>
      </c>
      <c r="D148" t="s" s="42">
        <f>VLOOKUP(A148,'The List'!B1:F730,5,FALSE)</f>
        <v>173</v>
      </c>
      <c r="E148" s="46">
        <f>VLOOKUP(A148,'The List'!B1:I730,8,FALSE)</f>
        <v>143.922123350180</v>
      </c>
      <c r="F148" s="46">
        <f>IF('Settings'!$E$15="POINTS",E148-VLOOKUP(B$2,C1:E156,3,FALSE),J148)</f>
        <v>-237.706440356176</v>
      </c>
      <c r="G148" s="46"/>
      <c r="H148" s="149">
        <f>RANK(I148,I3:I156)</f>
        <v>141</v>
      </c>
      <c r="I148" s="150">
        <f>VLOOKUP(A148,'Standard Deviations'!A1:C731,3,FALSE)</f>
        <v>-4.50697716582169</v>
      </c>
      <c r="J148" s="150">
        <f>I148-VLOOKUP(B$2,H1:J156,2,FALSE)</f>
        <v>-9.41102879354901</v>
      </c>
    </row>
    <row r="149" ht="21.25" customHeight="1">
      <c r="A149" t="s" s="8">
        <v>837</v>
      </c>
      <c r="B149" t="s" s="71">
        <f>VLOOKUP(A149,'The List'!B1:D730,3,FALSE)</f>
        <v>133</v>
      </c>
      <c r="C149" s="72">
        <f>IF('Settings'!$E$15="POINTS",RANK(E149,E3:E156),H149)</f>
        <v>132</v>
      </c>
      <c r="D149" t="s" s="42">
        <f>VLOOKUP(A149,'The List'!B1:F730,5,FALSE)</f>
        <v>236</v>
      </c>
      <c r="E149" s="46">
        <f>VLOOKUP(A149,'The List'!B1:I730,8,FALSE)</f>
        <v>156.356709311373</v>
      </c>
      <c r="F149" s="46">
        <f>IF('Settings'!$E$15="POINTS",E149-VLOOKUP(B$2,C1:E156,3,FALSE),J149)</f>
        <v>-225.271854394983</v>
      </c>
      <c r="G149" s="46"/>
      <c r="H149" s="149">
        <f>RANK(I149,I3:I156)</f>
        <v>154</v>
      </c>
      <c r="I149" s="150">
        <f>VLOOKUP(A149,'Standard Deviations'!A1:C731,3,FALSE)</f>
        <v>-6.33414716400225</v>
      </c>
      <c r="J149" s="150">
        <f>I149-VLOOKUP(B$2,H1:J156,2,FALSE)</f>
        <v>-11.2381987917296</v>
      </c>
    </row>
    <row r="150" ht="21.25" customHeight="1">
      <c r="A150" t="s" s="8">
        <v>843</v>
      </c>
      <c r="B150" t="s" s="71">
        <f>VLOOKUP(A150,'The List'!B1:D730,3,FALSE)</f>
        <v>133</v>
      </c>
      <c r="C150" s="72">
        <f>IF('Settings'!$E$15="POINTS",RANK(E150,E3:E156),H150)</f>
        <v>147</v>
      </c>
      <c r="D150" t="s" s="42">
        <f>VLOOKUP(A150,'The List'!B1:F730,5,FALSE)</f>
        <v>194</v>
      </c>
      <c r="E150" s="46">
        <f>VLOOKUP(A150,'The List'!B1:I730,8,FALSE)</f>
        <v>118.415479238049</v>
      </c>
      <c r="F150" s="46">
        <f>IF('Settings'!$E$15="POINTS",E150-VLOOKUP(B$2,C1:E156,3,FALSE),J150)</f>
        <v>-263.213084468307</v>
      </c>
      <c r="G150" s="46"/>
      <c r="H150" s="149">
        <f>RANK(I150,I3:I156)</f>
        <v>150</v>
      </c>
      <c r="I150" s="150">
        <f>VLOOKUP(A150,'Standard Deviations'!A1:C731,3,FALSE)</f>
        <v>-5.29747799010626</v>
      </c>
      <c r="J150" s="150">
        <f>I150-VLOOKUP(B$2,H1:J156,2,FALSE)</f>
        <v>-10.2015296178336</v>
      </c>
    </row>
    <row r="151" ht="21.25" customHeight="1">
      <c r="A151" t="s" s="8">
        <v>853</v>
      </c>
      <c r="B151" t="s" s="71">
        <f>VLOOKUP(A151,'The List'!B1:D730,3,FALSE)</f>
        <v>133</v>
      </c>
      <c r="C151" s="72">
        <f>IF('Settings'!$E$15="POINTS",RANK(E151,E3:E156),H151)</f>
        <v>148</v>
      </c>
      <c r="D151" t="s" s="42">
        <f>VLOOKUP(A151,'The List'!B1:F730,5,FALSE)</f>
        <v>248</v>
      </c>
      <c r="E151" s="46">
        <f>VLOOKUP(A151,'The List'!B1:I730,8,FALSE)</f>
        <v>105.559444800325</v>
      </c>
      <c r="F151" s="46">
        <f>IF('Settings'!$E$15="POINTS",E151-VLOOKUP(B$2,C1:E156,3,FALSE),J151)</f>
        <v>-276.069118906031</v>
      </c>
      <c r="G151" s="46"/>
      <c r="H151" s="149">
        <f>RANK(I151,I3:I156)</f>
        <v>143</v>
      </c>
      <c r="I151" s="150">
        <f>VLOOKUP(A151,'Standard Deviations'!A1:C731,3,FALSE)</f>
        <v>-4.74653809985724</v>
      </c>
      <c r="J151" s="150">
        <f>I151-VLOOKUP(B$2,H1:J156,2,FALSE)</f>
        <v>-9.65058972758456</v>
      </c>
    </row>
    <row r="152" ht="21.25" customHeight="1">
      <c r="A152" t="s" s="8">
        <v>858</v>
      </c>
      <c r="B152" t="s" s="71">
        <f>VLOOKUP(A152,'The List'!B1:D730,3,FALSE)</f>
        <v>133</v>
      </c>
      <c r="C152" s="72">
        <f>IF('Settings'!$E$15="POINTS",RANK(E152,E3:E156),H152)</f>
        <v>151</v>
      </c>
      <c r="D152" t="s" s="42">
        <f>VLOOKUP(A152,'The List'!B1:F730,5,FALSE)</f>
        <v>113</v>
      </c>
      <c r="E152" s="46">
        <f>VLOOKUP(A152,'The List'!B1:I730,8,FALSE)</f>
        <v>91.9132654943847</v>
      </c>
      <c r="F152" s="46">
        <f>IF('Settings'!$E$15="POINTS",E152-VLOOKUP(B$2,C1:E156,3,FALSE),J152)</f>
        <v>-289.715298211971</v>
      </c>
      <c r="G152" s="46"/>
      <c r="H152" s="149">
        <f>RANK(I152,I3:I156)</f>
        <v>142</v>
      </c>
      <c r="I152" s="150">
        <f>VLOOKUP(A152,'Standard Deviations'!A1:C731,3,FALSE)</f>
        <v>-4.59248480183795</v>
      </c>
      <c r="J152" s="150">
        <f>I152-VLOOKUP(B$2,H1:J156,2,FALSE)</f>
        <v>-9.496536429565269</v>
      </c>
    </row>
    <row r="153" ht="21.25" customHeight="1">
      <c r="A153" t="s" s="8">
        <v>859</v>
      </c>
      <c r="B153" t="s" s="71">
        <f>VLOOKUP(A153,'The List'!B1:D730,3,FALSE)</f>
        <v>111</v>
      </c>
      <c r="C153" s="72">
        <f>IF('Settings'!$E$15="POINTS",RANK(E153,E3:E156),H153)</f>
        <v>150</v>
      </c>
      <c r="D153" t="s" s="42">
        <f>VLOOKUP(A153,'The List'!B1:F730,5,FALSE)</f>
        <v>238</v>
      </c>
      <c r="E153" s="46">
        <f>VLOOKUP(A153,'The List'!B1:I730,8,FALSE)</f>
        <v>99.2453956107273</v>
      </c>
      <c r="F153" s="46">
        <f>IF('Settings'!$E$15="POINTS",E153-VLOOKUP(B$2,C1:E156,3,FALSE),J153)</f>
        <v>-282.383168095629</v>
      </c>
      <c r="G153" s="46"/>
      <c r="H153" s="149">
        <f>RANK(I153,I3:I156)</f>
        <v>145</v>
      </c>
      <c r="I153" s="150">
        <f>VLOOKUP(A153,'Standard Deviations'!A1:C731,3,FALSE)</f>
        <v>-4.84128254230979</v>
      </c>
      <c r="J153" s="150">
        <f>I153-VLOOKUP(B$2,H1:J156,2,FALSE)</f>
        <v>-9.745334170037109</v>
      </c>
    </row>
    <row r="154" ht="21.25" customHeight="1">
      <c r="A154" t="s" s="8">
        <v>860</v>
      </c>
      <c r="B154" t="s" s="71">
        <f>VLOOKUP(A154,'The List'!B1:D730,3,FALSE)</f>
        <v>133</v>
      </c>
      <c r="C154" s="72">
        <f>IF('Settings'!$E$15="POINTS",RANK(E154,E3:E156),H154)</f>
        <v>152</v>
      </c>
      <c r="D154" t="s" s="42">
        <f>VLOOKUP(A154,'The List'!B1:F730,5,FALSE)</f>
        <v>119</v>
      </c>
      <c r="E154" s="46">
        <f>VLOOKUP(A154,'The List'!B1:I730,8,FALSE)</f>
        <v>91.171869739024</v>
      </c>
      <c r="F154" s="46">
        <f>IF('Settings'!$E$15="POINTS",E154-VLOOKUP(B$2,C1:E156,3,FALSE),J154)</f>
        <v>-290.456693967332</v>
      </c>
      <c r="G154" s="46"/>
      <c r="H154" s="149">
        <f>RANK(I154,I3:I156)</f>
        <v>147</v>
      </c>
      <c r="I154" s="150">
        <f>VLOOKUP(A154,'Standard Deviations'!A1:C731,3,FALSE)</f>
        <v>-4.9719457275656</v>
      </c>
      <c r="J154" s="150">
        <f>I154-VLOOKUP(B$2,H1:J156,2,FALSE)</f>
        <v>-9.87599735529292</v>
      </c>
    </row>
    <row r="155" ht="21.25" customHeight="1">
      <c r="A155" t="s" s="8">
        <v>865</v>
      </c>
      <c r="B155" t="s" s="71">
        <f>VLOOKUP(A155,'The List'!B1:D730,3,FALSE)</f>
        <v>133</v>
      </c>
      <c r="C155" s="72">
        <f>IF('Settings'!$E$15="POINTS",RANK(E155,E3:E156),H155)</f>
        <v>153</v>
      </c>
      <c r="D155" t="s" s="42">
        <f>VLOOKUP(A155,'The List'!B1:F730,5,FALSE)</f>
        <v>127</v>
      </c>
      <c r="E155" s="46">
        <f>VLOOKUP(A155,'The List'!B1:I730,8,FALSE)</f>
        <v>90.80716324407329</v>
      </c>
      <c r="F155" s="46">
        <f>IF('Settings'!$E$15="POINTS",E155-VLOOKUP(B$2,C1:E156,3,FALSE),J155)</f>
        <v>-290.821400462283</v>
      </c>
      <c r="G155" s="46"/>
      <c r="H155" s="149">
        <f>RANK(I155,I3:I156)</f>
        <v>149</v>
      </c>
      <c r="I155" s="150">
        <f>VLOOKUP(A155,'Standard Deviations'!A1:C731,3,FALSE)</f>
        <v>-5.24709286113394</v>
      </c>
      <c r="J155" s="150">
        <f>I155-VLOOKUP(B$2,H1:J156,2,FALSE)</f>
        <v>-10.1511444888613</v>
      </c>
    </row>
    <row r="156" ht="21.25" customHeight="1">
      <c r="A156" t="s" s="8">
        <v>876</v>
      </c>
      <c r="B156" t="s" s="71">
        <f>VLOOKUP(A156,'The List'!B1:D730,3,FALSE)</f>
        <v>133</v>
      </c>
      <c r="C156" s="72">
        <f>IF('Settings'!$E$15="POINTS",RANK(E156,E3:E156),H156)</f>
        <v>154</v>
      </c>
      <c r="D156" t="s" s="42">
        <f>VLOOKUP(A156,'The List'!B1:F730,5,FALSE)</f>
        <v>149</v>
      </c>
      <c r="E156" s="46">
        <f>VLOOKUP(A156,'The List'!B1:I730,8,FALSE)</f>
        <v>75.5628573166704</v>
      </c>
      <c r="F156" s="46">
        <f>IF('Settings'!$E$15="POINTS",E156-VLOOKUP(B$2,C1:E156,3,FALSE),J156)</f>
        <v>-306.065706389686</v>
      </c>
      <c r="G156" s="46"/>
      <c r="H156" s="149">
        <f>RANK(I156,I3:I156)</f>
        <v>153</v>
      </c>
      <c r="I156" s="150">
        <f>VLOOKUP(A156,'Standard Deviations'!A1:C731,3,FALSE)</f>
        <v>-6.04687529093529</v>
      </c>
      <c r="J156" s="150">
        <f>I156-VLOOKUP(B$2,H1:J156,2,FALSE)</f>
        <v>-10.9509269186626</v>
      </c>
    </row>
  </sheetData>
  <conditionalFormatting sqref="C3:C156 H3:H156">
    <cfRule type="containsText" dxfId="35" priority="1" stopIfTrue="1" text="/">
      <formula>NOT(ISERROR(FIND(UPPER("/"),UPPER(C3))))</formula>
      <formula>"/"</formula>
    </cfRule>
    <cfRule type="containsText" dxfId="36" priority="2" stopIfTrue="1" text="C">
      <formula>NOT(ISERROR(FIND(UPPER("C"),UPPER(C3))))</formula>
      <formula>"C"</formula>
    </cfRule>
    <cfRule type="containsText" dxfId="37" priority="3" stopIfTrue="1" text="D">
      <formula>NOT(ISERROR(FIND(UPPER("D"),UPPER(C3))))</formula>
      <formula>"D"</formula>
    </cfRule>
    <cfRule type="containsText" dxfId="38" priority="4" stopIfTrue="1" text="LW">
      <formula>NOT(ISERROR(FIND(UPPER("LW"),UPPER(C3))))</formula>
      <formula>"LW"</formula>
    </cfRule>
    <cfRule type="containsText" dxfId="39" priority="5" stopIfTrue="1" text="RW">
      <formula>NOT(ISERROR(FIND(UPPER("RW"),UPPER(C3))))</formula>
      <formula>"RW"</formula>
    </cfRule>
    <cfRule type="containsText" dxfId="40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2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7" customWidth="1"/>
    <col min="2" max="2" width="7.10938" style="157" customWidth="1"/>
    <col min="3" max="3" width="5.92969" style="157" customWidth="1"/>
    <col min="4" max="6" width="8.28125" style="157" customWidth="1"/>
    <col min="7" max="10" width="1.35156" style="157" customWidth="1"/>
    <col min="11" max="16384" width="8" style="157" customWidth="1"/>
  </cols>
  <sheetData>
    <row r="1" ht="28.3" customHeight="1">
      <c r="A1" t="s" s="133">
        <v>919</v>
      </c>
      <c r="B1" t="s" s="134">
        <v>926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'Settings'!F4</f>
        <v>26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117</v>
      </c>
      <c r="B3" t="s" s="74">
        <f>VLOOKUP(A3,'The List'!B1:D730,3,FALSE)</f>
        <v>118</v>
      </c>
      <c r="C3" s="75">
        <f>IF('Settings'!$E$15="POINTS",RANK(E3,E3:E132),H3)</f>
        <v>2</v>
      </c>
      <c r="D3" t="s" s="42">
        <f>VLOOKUP(A3,'The List'!B1:F730,5,FALSE)</f>
        <v>119</v>
      </c>
      <c r="E3" s="46">
        <f>VLOOKUP(A3,'The List'!B1:I730,8,FALSE)</f>
        <v>574.238329765201</v>
      </c>
      <c r="F3" s="46">
        <f>IF('Settings'!$E$15="POINTS",E3-VLOOKUP(B$2,C1:E132,3,FALSE),J3)</f>
        <v>192.609766058845</v>
      </c>
      <c r="G3" s="46"/>
      <c r="H3" s="154">
        <f>RANK(I3,I3:I132)</f>
        <v>1</v>
      </c>
      <c r="I3" s="155">
        <f>VLOOKUP(A3,'Standard Deviations'!A1:C731,3,FALSE)</f>
        <v>13.5656220887624</v>
      </c>
      <c r="J3" s="155">
        <f>I3-VLOOKUP(B$2,H1:J132,2,FALSE)</f>
        <v>8.831675914633321</v>
      </c>
    </row>
    <row r="4" ht="21.25" customHeight="1">
      <c r="A4" t="s" s="8">
        <v>120</v>
      </c>
      <c r="B4" t="s" s="74">
        <f>VLOOKUP(A4,'The List'!B1:D730,3,FALSE)</f>
        <v>121</v>
      </c>
      <c r="C4" s="75">
        <f>IF('Settings'!$E$15="POINTS",RANK(E4,E3:E132),H4)</f>
        <v>1</v>
      </c>
      <c r="D4" t="s" s="42">
        <f>VLOOKUP(A4,'The List'!B1:F730,5,FALSE)</f>
        <v>122</v>
      </c>
      <c r="E4" s="46">
        <f>VLOOKUP(A4,'The List'!B1:I730,8,FALSE)</f>
        <v>582.797881387140</v>
      </c>
      <c r="F4" s="46">
        <f>IF('Settings'!$E$15="POINTS",E4-VLOOKUP(B$2,C1:E132,3,FALSE),J4)</f>
        <v>201.169317680784</v>
      </c>
      <c r="G4" s="46"/>
      <c r="H4" s="149">
        <f>RANK(I4,I3:I132)</f>
        <v>3</v>
      </c>
      <c r="I4" s="150">
        <f>VLOOKUP(A4,'Standard Deviations'!A1:C731,3,FALSE)</f>
        <v>12.5037375337248</v>
      </c>
      <c r="J4" s="150">
        <f>I4-VLOOKUP(B$2,H1:J132,2,FALSE)</f>
        <v>7.76979135959572</v>
      </c>
    </row>
    <row r="5" ht="21.25" customHeight="1">
      <c r="A5" t="s" s="8">
        <v>123</v>
      </c>
      <c r="B5" t="s" s="74">
        <f>VLOOKUP(A5,'The List'!B1:D730,3,FALSE)</f>
        <v>121</v>
      </c>
      <c r="C5" s="75">
        <f>IF('Settings'!$E$15="POINTS",RANK(E5,E3:E132),H5)</f>
        <v>4</v>
      </c>
      <c r="D5" t="s" s="42">
        <f>VLOOKUP(A5,'The List'!B1:F730,5,FALSE)</f>
        <v>124</v>
      </c>
      <c r="E5" s="46">
        <f>VLOOKUP(A5,'The List'!B1:I730,8,FALSE)</f>
        <v>523.300589385885</v>
      </c>
      <c r="F5" s="46">
        <f>IF('Settings'!$E$15="POINTS",E5-VLOOKUP(B$2,C1:E132,3,FALSE),J5)</f>
        <v>141.672025679529</v>
      </c>
      <c r="G5" s="46"/>
      <c r="H5" s="149">
        <f>RANK(I5,I3:I132)</f>
        <v>5</v>
      </c>
      <c r="I5" s="150">
        <f>VLOOKUP(A5,'Standard Deviations'!A1:C731,3,FALSE)</f>
        <v>10.8233943339678</v>
      </c>
      <c r="J5" s="150">
        <f>I5-VLOOKUP(B$2,H1:J132,2,FALSE)</f>
        <v>6.08944815983872</v>
      </c>
    </row>
    <row r="6" ht="21.25" customHeight="1">
      <c r="A6" t="s" s="8">
        <v>125</v>
      </c>
      <c r="B6" t="s" s="74">
        <f>VLOOKUP(A6,'The List'!B1:D730,3,FALSE)</f>
        <v>121</v>
      </c>
      <c r="C6" s="75">
        <f>IF('Settings'!$E$15="POINTS",RANK(E6,E3:E132),H6)</f>
        <v>3</v>
      </c>
      <c r="D6" t="s" s="42">
        <f>VLOOKUP(A6,'The List'!B1:F730,5,FALSE)</f>
        <v>113</v>
      </c>
      <c r="E6" s="46">
        <f>VLOOKUP(A6,'The List'!B1:I730,8,FALSE)</f>
        <v>569.046791687203</v>
      </c>
      <c r="F6" s="46">
        <f>IF('Settings'!$E$15="POINTS",E6-VLOOKUP(B$2,C1:E132,3,FALSE),J6)</f>
        <v>187.418227980847</v>
      </c>
      <c r="G6" s="46"/>
      <c r="H6" s="149">
        <f>RANK(I6,I3:I132)</f>
        <v>2</v>
      </c>
      <c r="I6" s="150">
        <f>VLOOKUP(A6,'Standard Deviations'!A1:C731,3,FALSE)</f>
        <v>12.998086716641</v>
      </c>
      <c r="J6" s="150">
        <f>I6-VLOOKUP(B$2,H1:J132,2,FALSE)</f>
        <v>8.264140542511919</v>
      </c>
    </row>
    <row r="7" ht="21.25" customHeight="1">
      <c r="A7" t="s" s="8">
        <v>137</v>
      </c>
      <c r="B7" t="s" s="74">
        <f>VLOOKUP(A7,'The List'!B1:D730,3,FALSE)</f>
        <v>121</v>
      </c>
      <c r="C7" s="75">
        <f>IF('Settings'!$E$15="POINTS",RANK(E7,E3:E132),H7)</f>
        <v>5</v>
      </c>
      <c r="D7" t="s" s="42">
        <f>VLOOKUP(A7,'The List'!B1:F730,5,FALSE)</f>
        <v>115</v>
      </c>
      <c r="E7" s="46">
        <f>VLOOKUP(A7,'The List'!B1:I730,8,FALSE)</f>
        <v>504.879890978459</v>
      </c>
      <c r="F7" s="46">
        <f>IF('Settings'!$E$15="POINTS",E7-VLOOKUP(B$2,C1:E132,3,FALSE),J7)</f>
        <v>123.251327272103</v>
      </c>
      <c r="G7" s="46"/>
      <c r="H7" s="149">
        <f>RANK(I7,I3:I132)</f>
        <v>4</v>
      </c>
      <c r="I7" s="150">
        <f>VLOOKUP(A7,'Standard Deviations'!A1:C731,3,FALSE)</f>
        <v>11.021143621193</v>
      </c>
      <c r="J7" s="150">
        <f>I7-VLOOKUP(B$2,H1:J132,2,FALSE)</f>
        <v>6.28719744706392</v>
      </c>
    </row>
    <row r="8" ht="21.25" customHeight="1">
      <c r="A8" t="s" s="8">
        <v>144</v>
      </c>
      <c r="B8" t="s" s="74">
        <f>VLOOKUP(A8,'The List'!B1:D730,3,FALSE)</f>
        <v>121</v>
      </c>
      <c r="C8" s="75">
        <f>IF('Settings'!$E$15="POINTS",RANK(E8,E3:E132),H8)</f>
        <v>7</v>
      </c>
      <c r="D8" t="s" s="42">
        <f>VLOOKUP(A8,'The List'!B1:F730,5,FALSE)</f>
        <v>115</v>
      </c>
      <c r="E8" s="46">
        <f>VLOOKUP(A8,'The List'!B1:I730,8,FALSE)</f>
        <v>481.260414040655</v>
      </c>
      <c r="F8" s="46">
        <f>IF('Settings'!$E$15="POINTS",E8-VLOOKUP(B$2,C1:E132,3,FALSE),J8)</f>
        <v>99.631850334299</v>
      </c>
      <c r="G8" s="46"/>
      <c r="H8" s="149">
        <f>RANK(I8,I3:I132)</f>
        <v>6</v>
      </c>
      <c r="I8" s="150">
        <f>VLOOKUP(A8,'Standard Deviations'!A1:C731,3,FALSE)</f>
        <v>10.1078611649642</v>
      </c>
      <c r="J8" s="150">
        <f>I8-VLOOKUP(B$2,H1:J132,2,FALSE)</f>
        <v>5.37391499083512</v>
      </c>
    </row>
    <row r="9" ht="21.25" customHeight="1">
      <c r="A9" t="s" s="8">
        <v>176</v>
      </c>
      <c r="B9" t="s" s="74">
        <f>VLOOKUP(A9,'The List'!B1:D730,3,FALSE)</f>
        <v>118</v>
      </c>
      <c r="C9" s="75">
        <f>IF('Settings'!$E$15="POINTS",RANK(E9,E3:E132),H9)</f>
        <v>6</v>
      </c>
      <c r="D9" t="s" s="42">
        <f>VLOOKUP(A9,'The List'!B1:F730,5,FALSE)</f>
        <v>127</v>
      </c>
      <c r="E9" s="46">
        <f>VLOOKUP(A9,'The List'!B1:I730,8,FALSE)</f>
        <v>486.315232579732</v>
      </c>
      <c r="F9" s="46">
        <f>IF('Settings'!$E$15="POINTS",E9-VLOOKUP(B$2,C1:E132,3,FALSE),J9)</f>
        <v>104.686668873376</v>
      </c>
      <c r="G9" s="46"/>
      <c r="H9" s="149">
        <f>RANK(I9,I3:I132)</f>
        <v>7</v>
      </c>
      <c r="I9" s="150">
        <f>VLOOKUP(A9,'Standard Deviations'!A1:C731,3,FALSE)</f>
        <v>8.04425479570744</v>
      </c>
      <c r="J9" s="150">
        <f>I9-VLOOKUP(B$2,H1:J132,2,FALSE)</f>
        <v>3.31030862157836</v>
      </c>
    </row>
    <row r="10" ht="21.25" customHeight="1">
      <c r="A10" t="s" s="8">
        <v>180</v>
      </c>
      <c r="B10" t="s" s="74">
        <f>VLOOKUP(A10,'The List'!B1:D730,3,FALSE)</f>
        <v>118</v>
      </c>
      <c r="C10" s="75">
        <f>IF('Settings'!$E$15="POINTS",RANK(E10,E3:E132),H10)</f>
        <v>10</v>
      </c>
      <c r="D10" t="s" s="42">
        <f>VLOOKUP(A10,'The List'!B1:F730,5,FALSE)</f>
        <v>134</v>
      </c>
      <c r="E10" s="46">
        <f>VLOOKUP(A10,'The List'!B1:I730,8,FALSE)</f>
        <v>442.531869414092</v>
      </c>
      <c r="F10" s="46">
        <f>IF('Settings'!$E$15="POINTS",E10-VLOOKUP(B$2,C1:E132,3,FALSE),J10)</f>
        <v>60.903305707736</v>
      </c>
      <c r="G10" s="46"/>
      <c r="H10" s="149">
        <f>RANK(I10,I3:I132)</f>
        <v>9</v>
      </c>
      <c r="I10" s="150">
        <f>VLOOKUP(A10,'Standard Deviations'!A1:C731,3,FALSE)</f>
        <v>7.96005453380587</v>
      </c>
      <c r="J10" s="150">
        <f>I10-VLOOKUP(B$2,H1:J132,2,FALSE)</f>
        <v>3.22610835967679</v>
      </c>
    </row>
    <row r="11" ht="21.25" customHeight="1">
      <c r="A11" t="s" s="8">
        <v>186</v>
      </c>
      <c r="B11" t="s" s="74">
        <f>VLOOKUP(A11,'The List'!B1:D730,3,FALSE)</f>
        <v>187</v>
      </c>
      <c r="C11" s="75">
        <f>IF('Settings'!$E$15="POINTS",RANK(E11,E3:E132),H11)</f>
        <v>8</v>
      </c>
      <c r="D11" t="s" s="42">
        <f>VLOOKUP(A11,'The List'!B1:F730,5,FALSE)</f>
        <v>156</v>
      </c>
      <c r="E11" s="46">
        <f>VLOOKUP(A11,'The List'!B1:I730,8,FALSE)</f>
        <v>456.358891763996</v>
      </c>
      <c r="F11" s="46">
        <f>IF('Settings'!$E$15="POINTS",E11-VLOOKUP(B$2,C1:E132,3,FALSE),J11)</f>
        <v>74.73032805763999</v>
      </c>
      <c r="G11" s="46"/>
      <c r="H11" s="149">
        <f>RANK(I11,I3:I132)</f>
        <v>12</v>
      </c>
      <c r="I11" s="150">
        <f>VLOOKUP(A11,'Standard Deviations'!A1:C731,3,FALSE)</f>
        <v>6.58013071104636</v>
      </c>
      <c r="J11" s="150">
        <f>I11-VLOOKUP(B$2,H1:J132,2,FALSE)</f>
        <v>1.84618453691728</v>
      </c>
    </row>
    <row r="12" ht="21.25" customHeight="1">
      <c r="A12" t="s" s="8">
        <v>193</v>
      </c>
      <c r="B12" t="s" s="74">
        <f>VLOOKUP(A12,'The List'!B1:D730,3,FALSE)</f>
        <v>187</v>
      </c>
      <c r="C12" s="75">
        <f>IF('Settings'!$E$15="POINTS",RANK(E12,E3:E132),H12)</f>
        <v>16</v>
      </c>
      <c r="D12" t="s" s="42">
        <f>VLOOKUP(A12,'The List'!B1:F730,5,FALSE)</f>
        <v>194</v>
      </c>
      <c r="E12" s="46">
        <f>VLOOKUP(A12,'The List'!B1:I730,8,FALSE)</f>
        <v>425.025066985041</v>
      </c>
      <c r="F12" s="46">
        <f>IF('Settings'!$E$15="POINTS",E12-VLOOKUP(B$2,C1:E132,3,FALSE),J12)</f>
        <v>43.396503278685</v>
      </c>
      <c r="G12" s="46"/>
      <c r="H12" s="149">
        <f>RANK(I12,I3:I132)</f>
        <v>23</v>
      </c>
      <c r="I12" s="150">
        <f>VLOOKUP(A12,'Standard Deviations'!A1:C731,3,FALSE)</f>
        <v>4.96687775391134</v>
      </c>
      <c r="J12" s="150">
        <f>I12-VLOOKUP(B$2,H1:J132,2,FALSE)</f>
        <v>0.23293157978226</v>
      </c>
    </row>
    <row r="13" ht="21.25" customHeight="1">
      <c r="A13" t="s" s="8">
        <v>195</v>
      </c>
      <c r="B13" t="s" s="74">
        <f>VLOOKUP(A13,'The List'!B1:D730,3,FALSE)</f>
        <v>118</v>
      </c>
      <c r="C13" s="75">
        <f>IF('Settings'!$E$15="POINTS",RANK(E13,E3:E132),H13)</f>
        <v>11</v>
      </c>
      <c r="D13" t="s" s="42">
        <f>VLOOKUP(A13,'The List'!B1:F730,5,FALSE)</f>
        <v>196</v>
      </c>
      <c r="E13" s="46">
        <f>VLOOKUP(A13,'The List'!B1:I730,8,FALSE)</f>
        <v>436.923136684366</v>
      </c>
      <c r="F13" s="46">
        <f>IF('Settings'!$E$15="POINTS",E13-VLOOKUP(B$2,C1:E132,3,FALSE),J13)</f>
        <v>55.294572978010</v>
      </c>
      <c r="G13" s="46"/>
      <c r="H13" s="149">
        <f>RANK(I13,I3:I132)</f>
        <v>21</v>
      </c>
      <c r="I13" s="150">
        <f>VLOOKUP(A13,'Standard Deviations'!A1:C731,3,FALSE)</f>
        <v>5.32240911100815</v>
      </c>
      <c r="J13" s="150">
        <f>I13-VLOOKUP(B$2,H1:J132,2,FALSE)</f>
        <v>0.58846293687907</v>
      </c>
    </row>
    <row r="14" ht="21.25" customHeight="1">
      <c r="A14" t="s" s="8">
        <v>198</v>
      </c>
      <c r="B14" t="s" s="74">
        <f>VLOOKUP(A14,'The List'!B1:D730,3,FALSE)</f>
        <v>118</v>
      </c>
      <c r="C14" s="75">
        <f>IF('Settings'!$E$15="POINTS",RANK(E14,E3:E132),H14)</f>
        <v>12</v>
      </c>
      <c r="D14" t="s" s="42">
        <f>VLOOKUP(A14,'The List'!B1:F730,5,FALSE)</f>
        <v>108</v>
      </c>
      <c r="E14" s="46">
        <f>VLOOKUP(A14,'The List'!B1:I730,8,FALSE)</f>
        <v>434.537076182727</v>
      </c>
      <c r="F14" s="46">
        <f>IF('Settings'!$E$15="POINTS",E14-VLOOKUP(B$2,C1:E132,3,FALSE),J14)</f>
        <v>52.908512476371</v>
      </c>
      <c r="G14" s="46"/>
      <c r="H14" s="149">
        <f>RANK(I14,I3:I132)</f>
        <v>10</v>
      </c>
      <c r="I14" s="150">
        <f>VLOOKUP(A14,'Standard Deviations'!A1:C731,3,FALSE)</f>
        <v>7.90186134607692</v>
      </c>
      <c r="J14" s="150">
        <f>I14-VLOOKUP(B$2,H1:J132,2,FALSE)</f>
        <v>3.16791517194784</v>
      </c>
    </row>
    <row r="15" ht="21.25" customHeight="1">
      <c r="A15" t="s" s="8">
        <v>199</v>
      </c>
      <c r="B15" t="s" s="74">
        <f>VLOOKUP(A15,'The List'!B1:D730,3,FALSE)</f>
        <v>118</v>
      </c>
      <c r="C15" s="75">
        <f>IF('Settings'!$E$15="POINTS",RANK(E15,E3:E132),H15)</f>
        <v>14</v>
      </c>
      <c r="D15" t="s" s="42">
        <f>VLOOKUP(A15,'The List'!B1:F730,5,FALSE)</f>
        <v>184</v>
      </c>
      <c r="E15" s="46">
        <f>VLOOKUP(A15,'The List'!B1:I730,8,FALSE)</f>
        <v>432.441434397072</v>
      </c>
      <c r="F15" s="46">
        <f>IF('Settings'!$E$15="POINTS",E15-VLOOKUP(B$2,C1:E132,3,FALSE),J15)</f>
        <v>50.812870690716</v>
      </c>
      <c r="G15" s="46"/>
      <c r="H15" s="149">
        <f>RANK(I15,I3:I132)</f>
        <v>18</v>
      </c>
      <c r="I15" s="150">
        <f>VLOOKUP(A15,'Standard Deviations'!A1:C731,3,FALSE)</f>
        <v>5.73198421064116</v>
      </c>
      <c r="J15" s="150">
        <f>I15-VLOOKUP(B$2,H1:J132,2,FALSE)</f>
        <v>0.99803803651208</v>
      </c>
    </row>
    <row r="16" ht="21.25" customHeight="1">
      <c r="A16" t="s" s="8">
        <v>201</v>
      </c>
      <c r="B16" t="s" s="74">
        <f>VLOOKUP(A16,'The List'!B1:D730,3,FALSE)</f>
        <v>118</v>
      </c>
      <c r="C16" s="75">
        <f>IF('Settings'!$E$15="POINTS",RANK(E16,E3:E132),H16)</f>
        <v>9</v>
      </c>
      <c r="D16" t="s" s="42">
        <f>VLOOKUP(A16,'The List'!B1:F730,5,FALSE)</f>
        <v>202</v>
      </c>
      <c r="E16" s="46">
        <f>VLOOKUP(A16,'The List'!B1:I730,8,FALSE)</f>
        <v>447.158630910392</v>
      </c>
      <c r="F16" s="46">
        <f>IF('Settings'!$E$15="POINTS",E16-VLOOKUP(B$2,C1:E132,3,FALSE),J16)</f>
        <v>65.530067204036</v>
      </c>
      <c r="G16" s="46"/>
      <c r="H16" s="149">
        <f>RANK(I16,I3:I132)</f>
        <v>8</v>
      </c>
      <c r="I16" s="150">
        <f>VLOOKUP(A16,'Standard Deviations'!A1:C731,3,FALSE)</f>
        <v>7.99051447788819</v>
      </c>
      <c r="J16" s="150">
        <f>I16-VLOOKUP(B$2,H1:J132,2,FALSE)</f>
        <v>3.25656830375911</v>
      </c>
    </row>
    <row r="17" ht="21.25" customHeight="1">
      <c r="A17" t="s" s="8">
        <v>209</v>
      </c>
      <c r="B17" t="s" s="74">
        <f>VLOOKUP(A17,'The List'!B1:D730,3,FALSE)</f>
        <v>121</v>
      </c>
      <c r="C17" s="75">
        <f>IF('Settings'!$E$15="POINTS",RANK(E17,E3:E132),H17)</f>
        <v>13</v>
      </c>
      <c r="D17" t="s" s="42">
        <f>VLOOKUP(A17,'The List'!B1:F730,5,FALSE)</f>
        <v>139</v>
      </c>
      <c r="E17" s="46">
        <f>VLOOKUP(A17,'The List'!B1:I730,8,FALSE)</f>
        <v>434.114582276578</v>
      </c>
      <c r="F17" s="46">
        <f>IF('Settings'!$E$15="POINTS",E17-VLOOKUP(B$2,C1:E132,3,FALSE),J17)</f>
        <v>52.486018570222</v>
      </c>
      <c r="G17" s="46"/>
      <c r="H17" s="149">
        <f>RANK(I17,I3:I132)</f>
        <v>15</v>
      </c>
      <c r="I17" s="150">
        <f>VLOOKUP(A17,'Standard Deviations'!A1:C731,3,FALSE)</f>
        <v>6.35565197395985</v>
      </c>
      <c r="J17" s="150">
        <f>I17-VLOOKUP(B$2,H1:J132,2,FALSE)</f>
        <v>1.62170579983077</v>
      </c>
    </row>
    <row r="18" ht="21.25" customHeight="1">
      <c r="A18" t="s" s="8">
        <v>215</v>
      </c>
      <c r="B18" t="s" s="74">
        <f>VLOOKUP(A18,'The List'!B1:D730,3,FALSE)</f>
        <v>118</v>
      </c>
      <c r="C18" s="75">
        <f>IF('Settings'!$E$15="POINTS",RANK(E18,E3:E132),H18)</f>
        <v>24</v>
      </c>
      <c r="D18" t="s" s="42">
        <f>VLOOKUP(A18,'The List'!B1:F730,5,FALSE)</f>
        <v>127</v>
      </c>
      <c r="E18" s="46">
        <f>VLOOKUP(A18,'The List'!B1:I730,8,FALSE)</f>
        <v>393.266774983083</v>
      </c>
      <c r="F18" s="46">
        <f>IF('Settings'!$E$15="POINTS",E18-VLOOKUP(B$2,C1:E132,3,FALSE),J18)</f>
        <v>11.638211276727</v>
      </c>
      <c r="G18" s="46"/>
      <c r="H18" s="149">
        <f>RANK(I18,I3:I132)</f>
        <v>20</v>
      </c>
      <c r="I18" s="150">
        <f>VLOOKUP(A18,'Standard Deviations'!A1:C731,3,FALSE)</f>
        <v>5.60164737026356</v>
      </c>
      <c r="J18" s="150">
        <f>I18-VLOOKUP(B$2,H1:J132,2,FALSE)</f>
        <v>0.86770119613448</v>
      </c>
    </row>
    <row r="19" ht="21.25" customHeight="1">
      <c r="A19" t="s" s="8">
        <v>221</v>
      </c>
      <c r="B19" t="s" s="74">
        <f>VLOOKUP(A19,'The List'!B1:D730,3,FALSE)</f>
        <v>118</v>
      </c>
      <c r="C19" s="75">
        <f>IF('Settings'!$E$15="POINTS",RANK(E19,E3:E132),H19)</f>
        <v>18</v>
      </c>
      <c r="D19" t="s" s="42">
        <f>VLOOKUP(A19,'The List'!B1:F730,5,FALSE)</f>
        <v>189</v>
      </c>
      <c r="E19" s="46">
        <f>VLOOKUP(A19,'The List'!B1:I730,8,FALSE)</f>
        <v>404.837501140412</v>
      </c>
      <c r="F19" s="46">
        <f>IF('Settings'!$E$15="POINTS",E19-VLOOKUP(B$2,C1:E132,3,FALSE),J19)</f>
        <v>23.208937434056</v>
      </c>
      <c r="G19" s="46"/>
      <c r="H19" s="149">
        <f>RANK(I19,I3:I132)</f>
        <v>30</v>
      </c>
      <c r="I19" s="150">
        <f>VLOOKUP(A19,'Standard Deviations'!A1:C731,3,FALSE)</f>
        <v>4.21121454432261</v>
      </c>
      <c r="J19" s="150">
        <f>I19-VLOOKUP(B$2,H1:J132,2,FALSE)</f>
        <v>-0.52273162980647</v>
      </c>
    </row>
    <row r="20" ht="21.25" customHeight="1">
      <c r="A20" t="s" s="8">
        <v>232</v>
      </c>
      <c r="B20" t="s" s="74">
        <f>VLOOKUP(A20,'The List'!B1:D730,3,FALSE)</f>
        <v>187</v>
      </c>
      <c r="C20" s="75">
        <f>IF('Settings'!$E$15="POINTS",RANK(E20,E3:E132),H20)</f>
        <v>19</v>
      </c>
      <c r="D20" t="s" s="42">
        <f>VLOOKUP(A20,'The List'!B1:F730,5,FALSE)</f>
        <v>119</v>
      </c>
      <c r="E20" s="46">
        <f>VLOOKUP(A20,'The List'!B1:I730,8,FALSE)</f>
        <v>399.565113963845</v>
      </c>
      <c r="F20" s="46">
        <f>IF('Settings'!$E$15="POINTS",E20-VLOOKUP(B$2,C1:E132,3,FALSE),J20)</f>
        <v>17.936550257489</v>
      </c>
      <c r="G20" s="46"/>
      <c r="H20" s="149">
        <f>RANK(I20,I3:I132)</f>
        <v>13</v>
      </c>
      <c r="I20" s="150">
        <f>VLOOKUP(A20,'Standard Deviations'!A1:C731,3,FALSE)</f>
        <v>6.39061856439438</v>
      </c>
      <c r="J20" s="150">
        <f>I20-VLOOKUP(B$2,H1:J132,2,FALSE)</f>
        <v>1.6566723902653</v>
      </c>
    </row>
    <row r="21" ht="21.25" customHeight="1">
      <c r="A21" t="s" s="8">
        <v>235</v>
      </c>
      <c r="B21" t="s" s="74">
        <f>VLOOKUP(A21,'The List'!B1:D730,3,FALSE)</f>
        <v>121</v>
      </c>
      <c r="C21" s="75">
        <f>IF('Settings'!$E$15="POINTS",RANK(E21,E3:E132),H21)</f>
        <v>15</v>
      </c>
      <c r="D21" t="s" s="42">
        <f>VLOOKUP(A21,'The List'!B1:F730,5,FALSE)</f>
        <v>236</v>
      </c>
      <c r="E21" s="46">
        <f>VLOOKUP(A21,'The List'!B1:I730,8,FALSE)</f>
        <v>426.759260047710</v>
      </c>
      <c r="F21" s="46">
        <f>IF('Settings'!$E$15="POINTS",E21-VLOOKUP(B$2,C1:E132,3,FALSE),J21)</f>
        <v>45.130696341354</v>
      </c>
      <c r="G21" s="46"/>
      <c r="H21" s="149">
        <f>RANK(I21,I3:I132)</f>
        <v>32</v>
      </c>
      <c r="I21" s="150">
        <f>VLOOKUP(A21,'Standard Deviations'!A1:C731,3,FALSE)</f>
        <v>3.66835664639186</v>
      </c>
      <c r="J21" s="150">
        <f>I21-VLOOKUP(B$2,H1:J132,2,FALSE)</f>
        <v>-1.06558952773722</v>
      </c>
    </row>
    <row r="22" ht="21.25" customHeight="1">
      <c r="A22" t="s" s="8">
        <v>240</v>
      </c>
      <c r="B22" t="s" s="74">
        <f>VLOOKUP(A22,'The List'!B1:D730,3,FALSE)</f>
        <v>187</v>
      </c>
      <c r="C22" s="75">
        <f>IF('Settings'!$E$15="POINTS",RANK(E22,E3:E132),H22)</f>
        <v>28</v>
      </c>
      <c r="D22" t="s" s="42">
        <f>VLOOKUP(A22,'The List'!B1:F730,5,FALSE)</f>
        <v>149</v>
      </c>
      <c r="E22" s="46">
        <f>VLOOKUP(A22,'The List'!B1:I730,8,FALSE)</f>
        <v>370.596662049552</v>
      </c>
      <c r="F22" s="46">
        <f>IF('Settings'!$E$15="POINTS",E22-VLOOKUP(B$2,C1:E132,3,FALSE),J22)</f>
        <v>-11.031901656804</v>
      </c>
      <c r="G22" s="46"/>
      <c r="H22" s="149">
        <f>RANK(I22,I3:I132)</f>
        <v>19</v>
      </c>
      <c r="I22" s="150">
        <f>VLOOKUP(A22,'Standard Deviations'!A1:C731,3,FALSE)</f>
        <v>5.63464338047043</v>
      </c>
      <c r="J22" s="150">
        <f>I22-VLOOKUP(B$2,H1:J132,2,FALSE)</f>
        <v>0.90069720634135</v>
      </c>
    </row>
    <row r="23" ht="21.25" customHeight="1">
      <c r="A23" t="s" s="8">
        <v>241</v>
      </c>
      <c r="B23" t="s" s="74">
        <f>VLOOKUP(A23,'The List'!B1:D730,3,FALSE)</f>
        <v>121</v>
      </c>
      <c r="C23" s="75">
        <f>IF('Settings'!$E$15="POINTS",RANK(E23,E3:E132),H23)</f>
        <v>22</v>
      </c>
      <c r="D23" t="s" s="42">
        <f>VLOOKUP(A23,'The List'!B1:F730,5,FALSE)</f>
        <v>234</v>
      </c>
      <c r="E23" s="46">
        <f>VLOOKUP(A23,'The List'!B1:I730,8,FALSE)</f>
        <v>395.124213032265</v>
      </c>
      <c r="F23" s="46">
        <f>IF('Settings'!$E$15="POINTS",E23-VLOOKUP(B$2,C1:E132,3,FALSE),J23)</f>
        <v>13.495649325909</v>
      </c>
      <c r="G23" s="46"/>
      <c r="H23" s="149">
        <f>RANK(I23,I3:I132)</f>
        <v>37</v>
      </c>
      <c r="I23" s="150">
        <f>VLOOKUP(A23,'Standard Deviations'!A1:C731,3,FALSE)</f>
        <v>3.02880325371513</v>
      </c>
      <c r="J23" s="150">
        <f>I23-VLOOKUP(B$2,H1:J132,2,FALSE)</f>
        <v>-1.70514292041395</v>
      </c>
    </row>
    <row r="24" ht="21.25" customHeight="1">
      <c r="A24" t="s" s="8">
        <v>244</v>
      </c>
      <c r="B24" t="s" s="74">
        <f>VLOOKUP(A24,'The List'!B1:D730,3,FALSE)</f>
        <v>187</v>
      </c>
      <c r="C24" s="75">
        <f>IF('Settings'!$E$15="POINTS",RANK(E24,E3:E132),H24)</f>
        <v>21</v>
      </c>
      <c r="D24" t="s" s="42">
        <f>VLOOKUP(A24,'The List'!B1:F730,5,FALSE)</f>
        <v>136</v>
      </c>
      <c r="E24" s="46">
        <f>VLOOKUP(A24,'The List'!B1:I730,8,FALSE)</f>
        <v>395.774201636015</v>
      </c>
      <c r="F24" s="46">
        <f>IF('Settings'!$E$15="POINTS",E24-VLOOKUP(B$2,C1:E132,3,FALSE),J24)</f>
        <v>14.145637929659</v>
      </c>
      <c r="G24" s="46"/>
      <c r="H24" s="149">
        <f>RANK(I24,I3:I132)</f>
        <v>11</v>
      </c>
      <c r="I24" s="150">
        <f>VLOOKUP(A24,'Standard Deviations'!A1:C731,3,FALSE)</f>
        <v>7.77637529810552</v>
      </c>
      <c r="J24" s="150">
        <f>I24-VLOOKUP(B$2,H1:J132,2,FALSE)</f>
        <v>3.04242912397644</v>
      </c>
    </row>
    <row r="25" ht="21.25" customHeight="1">
      <c r="A25" t="s" s="8">
        <v>245</v>
      </c>
      <c r="B25" t="s" s="74">
        <f>VLOOKUP(A25,'The List'!B1:D730,3,FALSE)</f>
        <v>121</v>
      </c>
      <c r="C25" s="75">
        <f>IF('Settings'!$E$15="POINTS",RANK(E25,E3:E132),H25)</f>
        <v>23</v>
      </c>
      <c r="D25" t="s" s="42">
        <f>VLOOKUP(A25,'The List'!B1:F730,5,FALSE)</f>
        <v>218</v>
      </c>
      <c r="E25" s="46">
        <f>VLOOKUP(A25,'The List'!B1:I730,8,FALSE)</f>
        <v>394.587522466748</v>
      </c>
      <c r="F25" s="46">
        <f>IF('Settings'!$E$15="POINTS",E25-VLOOKUP(B$2,C1:E132,3,FALSE),J25)</f>
        <v>12.958958760392</v>
      </c>
      <c r="G25" s="46"/>
      <c r="H25" s="149">
        <f>RANK(I25,I3:I132)</f>
        <v>17</v>
      </c>
      <c r="I25" s="150">
        <f>VLOOKUP(A25,'Standard Deviations'!A1:C731,3,FALSE)</f>
        <v>5.97058994350369</v>
      </c>
      <c r="J25" s="150">
        <f>I25-VLOOKUP(B$2,H1:J132,2,FALSE)</f>
        <v>1.23664376937461</v>
      </c>
    </row>
    <row r="26" ht="21.25" customHeight="1">
      <c r="A26" t="s" s="8">
        <v>249</v>
      </c>
      <c r="B26" t="s" s="74">
        <f>VLOOKUP(A26,'The List'!B1:D730,3,FALSE)</f>
        <v>187</v>
      </c>
      <c r="C26" s="75">
        <f>IF('Settings'!$E$15="POINTS",RANK(E26,E3:E132),H26)</f>
        <v>25</v>
      </c>
      <c r="D26" t="s" s="42">
        <f>VLOOKUP(A26,'The List'!B1:F730,5,FALSE)</f>
        <v>202</v>
      </c>
      <c r="E26" s="46">
        <f>VLOOKUP(A26,'The List'!B1:I730,8,FALSE)</f>
        <v>383.059770401307</v>
      </c>
      <c r="F26" s="46">
        <f>IF('Settings'!$E$15="POINTS",E26-VLOOKUP(B$2,C1:E132,3,FALSE),J26)</f>
        <v>1.431206694951</v>
      </c>
      <c r="G26" s="46"/>
      <c r="H26" s="149">
        <f>RANK(I26,I3:I132)</f>
        <v>16</v>
      </c>
      <c r="I26" s="150">
        <f>VLOOKUP(A26,'Standard Deviations'!A1:C731,3,FALSE)</f>
        <v>6.10556114419272</v>
      </c>
      <c r="J26" s="150">
        <f>I26-VLOOKUP(B$2,H1:J132,2,FALSE)</f>
        <v>1.37161497006364</v>
      </c>
    </row>
    <row r="27" ht="21.25" customHeight="1">
      <c r="A27" t="s" s="8">
        <v>252</v>
      </c>
      <c r="B27" t="s" s="74">
        <f>VLOOKUP(A27,'The List'!B1:D730,3,FALSE)</f>
        <v>118</v>
      </c>
      <c r="C27" s="75">
        <f>IF('Settings'!$E$15="POINTS",RANK(E27,E3:E132),H27)</f>
        <v>20</v>
      </c>
      <c r="D27" t="s" s="42">
        <f>VLOOKUP(A27,'The List'!B1:F730,5,FALSE)</f>
        <v>113</v>
      </c>
      <c r="E27" s="46">
        <f>VLOOKUP(A27,'The List'!B1:I730,8,FALSE)</f>
        <v>397.404159517415</v>
      </c>
      <c r="F27" s="46">
        <f>IF('Settings'!$E$15="POINTS",E27-VLOOKUP(B$2,C1:E132,3,FALSE),J27)</f>
        <v>15.775595811059</v>
      </c>
      <c r="G27" s="46"/>
      <c r="H27" s="149">
        <f>RANK(I27,I3:I132)</f>
        <v>14</v>
      </c>
      <c r="I27" s="150">
        <f>VLOOKUP(A27,'Standard Deviations'!A1:C731,3,FALSE)</f>
        <v>6.37758556902017</v>
      </c>
      <c r="J27" s="150">
        <f>I27-VLOOKUP(B$2,H1:J132,2,FALSE)</f>
        <v>1.64363939489109</v>
      </c>
    </row>
    <row r="28" ht="21.25" customHeight="1">
      <c r="A28" t="s" s="8">
        <v>255</v>
      </c>
      <c r="B28" t="s" s="74">
        <f>VLOOKUP(A28,'The List'!B1:D730,3,FALSE)</f>
        <v>121</v>
      </c>
      <c r="C28" s="75">
        <f>IF('Settings'!$E$15="POINTS",RANK(E28,E3:E132),H28)</f>
        <v>34</v>
      </c>
      <c r="D28" t="s" s="42">
        <f>VLOOKUP(A28,'The List'!B1:F730,5,FALSE)</f>
        <v>134</v>
      </c>
      <c r="E28" s="46">
        <f>VLOOKUP(A28,'The List'!B1:I730,8,FALSE)</f>
        <v>356.936483815501</v>
      </c>
      <c r="F28" s="46">
        <f>IF('Settings'!$E$15="POINTS",E28-VLOOKUP(B$2,C1:E132,3,FALSE),J28)</f>
        <v>-24.692079890855</v>
      </c>
      <c r="G28" s="46"/>
      <c r="H28" s="149">
        <f>RANK(I28,I3:I132)</f>
        <v>22</v>
      </c>
      <c r="I28" s="150">
        <f>VLOOKUP(A28,'Standard Deviations'!A1:C731,3,FALSE)</f>
        <v>5.26715207091269</v>
      </c>
      <c r="J28" s="150">
        <f>I28-VLOOKUP(B$2,H1:J132,2,FALSE)</f>
        <v>0.53320589678361</v>
      </c>
    </row>
    <row r="29" ht="21.25" customHeight="1">
      <c r="A29" t="s" s="8">
        <v>256</v>
      </c>
      <c r="B29" t="s" s="74">
        <f>VLOOKUP(A29,'The List'!B1:D730,3,FALSE)</f>
        <v>187</v>
      </c>
      <c r="C29" s="75">
        <f>IF('Settings'!$E$15="POINTS",RANK(E29,E3:E132),H29)</f>
        <v>17</v>
      </c>
      <c r="D29" t="s" s="42">
        <f>VLOOKUP(A29,'The List'!B1:F730,5,FALSE)</f>
        <v>204</v>
      </c>
      <c r="E29" s="46">
        <f>VLOOKUP(A29,'The List'!B1:I730,8,FALSE)</f>
        <v>410.7826647549</v>
      </c>
      <c r="F29" s="46">
        <f>IF('Settings'!$E$15="POINTS",E29-VLOOKUP(B$2,C1:E132,3,FALSE),J29)</f>
        <v>29.154101048544</v>
      </c>
      <c r="G29" s="46"/>
      <c r="H29" s="149">
        <f>RANK(I29,I3:I132)</f>
        <v>26</v>
      </c>
      <c r="I29" s="150">
        <f>VLOOKUP(A29,'Standard Deviations'!A1:C731,3,FALSE)</f>
        <v>4.73394617412908</v>
      </c>
      <c r="J29" s="150">
        <f>I29-VLOOKUP(B$2,H1:J132,2,FALSE)</f>
        <v>0</v>
      </c>
    </row>
    <row r="30" ht="21.25" customHeight="1">
      <c r="A30" t="s" s="8">
        <v>257</v>
      </c>
      <c r="B30" t="s" s="74">
        <f>VLOOKUP(A30,'The List'!B1:D730,3,FALSE)</f>
        <v>118</v>
      </c>
      <c r="C30" s="75">
        <f>IF('Settings'!$E$15="POINTS",RANK(E30,E3:E132),H30)</f>
        <v>26</v>
      </c>
      <c r="D30" t="s" s="42">
        <f>VLOOKUP(A30,'The List'!B1:F730,5,FALSE)</f>
        <v>258</v>
      </c>
      <c r="E30" s="46">
        <f>VLOOKUP(A30,'The List'!B1:I730,8,FALSE)</f>
        <v>381.628563706356</v>
      </c>
      <c r="F30" s="46">
        <f>IF('Settings'!$E$15="POINTS",E30-VLOOKUP(B$2,C1:E132,3,FALSE),J30)</f>
        <v>0</v>
      </c>
      <c r="G30" s="46"/>
      <c r="H30" s="149">
        <f>RANK(I30,I3:I132)</f>
        <v>44</v>
      </c>
      <c r="I30" s="150">
        <f>VLOOKUP(A30,'Standard Deviations'!A1:C731,3,FALSE)</f>
        <v>2.57954691677968</v>
      </c>
      <c r="J30" s="150">
        <f>I30-VLOOKUP(B$2,H1:J132,2,FALSE)</f>
        <v>-2.1543992573494</v>
      </c>
    </row>
    <row r="31" ht="21.25" customHeight="1">
      <c r="A31" t="s" s="8">
        <v>259</v>
      </c>
      <c r="B31" t="s" s="74">
        <f>VLOOKUP(A31,'The List'!B1:D730,3,FALSE)</f>
        <v>121</v>
      </c>
      <c r="C31" s="75">
        <f>IF('Settings'!$E$15="POINTS",RANK(E31,E3:E132),H31)</f>
        <v>27</v>
      </c>
      <c r="D31" t="s" s="42">
        <f>VLOOKUP(A31,'The List'!B1:F730,5,FALSE)</f>
        <v>173</v>
      </c>
      <c r="E31" s="46">
        <f>VLOOKUP(A31,'The List'!B1:I730,8,FALSE)</f>
        <v>375.663050828843</v>
      </c>
      <c r="F31" s="46">
        <f>IF('Settings'!$E$15="POINTS",E31-VLOOKUP(B$2,C1:E132,3,FALSE),J31)</f>
        <v>-5.965512877513</v>
      </c>
      <c r="G31" s="46"/>
      <c r="H31" s="149">
        <f>RANK(I31,I3:I132)</f>
        <v>28</v>
      </c>
      <c r="I31" s="150">
        <f>VLOOKUP(A31,'Standard Deviations'!A1:C731,3,FALSE)</f>
        <v>4.59497297936382</v>
      </c>
      <c r="J31" s="150">
        <f>I31-VLOOKUP(B$2,H1:J132,2,FALSE)</f>
        <v>-0.13897319476526</v>
      </c>
    </row>
    <row r="32" ht="21.25" customHeight="1">
      <c r="A32" t="s" s="8">
        <v>281</v>
      </c>
      <c r="B32" t="s" s="74">
        <f>VLOOKUP(A32,'The List'!B1:D730,3,FALSE)</f>
        <v>187</v>
      </c>
      <c r="C32" s="75">
        <f>IF('Settings'!$E$15="POINTS",RANK(E32,E3:E132),H32)</f>
        <v>33</v>
      </c>
      <c r="D32" t="s" s="42">
        <f>VLOOKUP(A32,'The List'!B1:F730,5,FALSE)</f>
        <v>196</v>
      </c>
      <c r="E32" s="46">
        <f>VLOOKUP(A32,'The List'!B1:I730,8,FALSE)</f>
        <v>362.001897235797</v>
      </c>
      <c r="F32" s="46">
        <f>IF('Settings'!$E$15="POINTS",E32-VLOOKUP(B$2,C1:E132,3,FALSE),J32)</f>
        <v>-19.626666470559</v>
      </c>
      <c r="G32" s="46"/>
      <c r="H32" s="149">
        <f>RANK(I32,I3:I132)</f>
        <v>35</v>
      </c>
      <c r="I32" s="150">
        <f>VLOOKUP(A32,'Standard Deviations'!A1:C731,3,FALSE)</f>
        <v>3.27875412338532</v>
      </c>
      <c r="J32" s="150">
        <f>I32-VLOOKUP(B$2,H1:J132,2,FALSE)</f>
        <v>-1.45519205074376</v>
      </c>
    </row>
    <row r="33" ht="21.25" customHeight="1">
      <c r="A33" t="s" s="8">
        <v>289</v>
      </c>
      <c r="B33" t="s" s="74">
        <f>VLOOKUP(A33,'The List'!B1:D730,3,FALSE)</f>
        <v>187</v>
      </c>
      <c r="C33" s="75">
        <f>IF('Settings'!$E$15="POINTS",RANK(E33,E3:E132),H33)</f>
        <v>32</v>
      </c>
      <c r="D33" t="s" s="42">
        <f>VLOOKUP(A33,'The List'!B1:F730,5,FALSE)</f>
        <v>173</v>
      </c>
      <c r="E33" s="46">
        <f>VLOOKUP(A33,'The List'!B1:I730,8,FALSE)</f>
        <v>362.056336886222</v>
      </c>
      <c r="F33" s="46">
        <f>IF('Settings'!$E$15="POINTS",E33-VLOOKUP(B$2,C1:E132,3,FALSE),J33)</f>
        <v>-19.572226820134</v>
      </c>
      <c r="G33" s="46"/>
      <c r="H33" s="149">
        <f>RANK(I33,I3:I132)</f>
        <v>29</v>
      </c>
      <c r="I33" s="150">
        <f>VLOOKUP(A33,'Standard Deviations'!A1:C731,3,FALSE)</f>
        <v>4.24477425595924</v>
      </c>
      <c r="J33" s="150">
        <f>I33-VLOOKUP(B$2,H1:J132,2,FALSE)</f>
        <v>-0.48917191816984</v>
      </c>
    </row>
    <row r="34" ht="21.25" customHeight="1">
      <c r="A34" t="s" s="8">
        <v>291</v>
      </c>
      <c r="B34" t="s" s="74">
        <f>VLOOKUP(A34,'The List'!B1:D730,3,FALSE)</f>
        <v>121</v>
      </c>
      <c r="C34" s="75">
        <f>IF('Settings'!$E$15="POINTS",RANK(E34,E3:E132),H34)</f>
        <v>45</v>
      </c>
      <c r="D34" t="s" s="42">
        <f>VLOOKUP(A34,'The List'!B1:F730,5,FALSE)</f>
        <v>292</v>
      </c>
      <c r="E34" s="46">
        <f>VLOOKUP(A34,'The List'!B1:I730,8,FALSE)</f>
        <v>322.589205019801</v>
      </c>
      <c r="F34" s="46">
        <f>IF('Settings'!$E$15="POINTS",E34-VLOOKUP(B$2,C1:E132,3,FALSE),J34)</f>
        <v>-59.039358686555</v>
      </c>
      <c r="G34" s="46"/>
      <c r="H34" s="149">
        <f>RANK(I34,I3:I132)</f>
        <v>38</v>
      </c>
      <c r="I34" s="150">
        <f>VLOOKUP(A34,'Standard Deviations'!A1:C731,3,FALSE)</f>
        <v>2.99383724864377</v>
      </c>
      <c r="J34" s="150">
        <f>I34-VLOOKUP(B$2,H1:J132,2,FALSE)</f>
        <v>-1.74010892548531</v>
      </c>
    </row>
    <row r="35" ht="21.25" customHeight="1">
      <c r="A35" t="s" s="8">
        <v>295</v>
      </c>
      <c r="B35" t="s" s="74">
        <f>VLOOKUP(A35,'The List'!B1:D730,3,FALSE)</f>
        <v>118</v>
      </c>
      <c r="C35" s="75">
        <f>IF('Settings'!$E$15="POINTS",RANK(E35,E3:E132),H35)</f>
        <v>39</v>
      </c>
      <c r="D35" t="s" s="42">
        <f>VLOOKUP(A35,'The List'!B1:F730,5,FALSE)</f>
        <v>184</v>
      </c>
      <c r="E35" s="46">
        <f>VLOOKUP(A35,'The List'!B1:I730,8,FALSE)</f>
        <v>334.221458455621</v>
      </c>
      <c r="F35" s="46">
        <f>IF('Settings'!$E$15="POINTS",E35-VLOOKUP(B$2,C1:E132,3,FALSE),J35)</f>
        <v>-47.407105250735</v>
      </c>
      <c r="G35" s="46"/>
      <c r="H35" s="149">
        <f>RANK(I35,I3:I132)</f>
        <v>48</v>
      </c>
      <c r="I35" s="150">
        <f>VLOOKUP(A35,'Standard Deviations'!A1:C731,3,FALSE)</f>
        <v>2.17108279548464</v>
      </c>
      <c r="J35" s="150">
        <f>I35-VLOOKUP(B$2,H1:J132,2,FALSE)</f>
        <v>-2.56286337864444</v>
      </c>
    </row>
    <row r="36" ht="21.25" customHeight="1">
      <c r="A36" t="s" s="8">
        <v>297</v>
      </c>
      <c r="B36" t="s" s="74">
        <f>VLOOKUP(A36,'The List'!B1:D730,3,FALSE)</f>
        <v>118</v>
      </c>
      <c r="C36" s="75">
        <f>IF('Settings'!$E$15="POINTS",RANK(E36,E3:E132),H36)</f>
        <v>31</v>
      </c>
      <c r="D36" t="s" s="42">
        <f>VLOOKUP(A36,'The List'!B1:F730,5,FALSE)</f>
        <v>122</v>
      </c>
      <c r="E36" s="46">
        <f>VLOOKUP(A36,'The List'!B1:I730,8,FALSE)</f>
        <v>362.697105030608</v>
      </c>
      <c r="F36" s="46">
        <f>IF('Settings'!$E$15="POINTS",E36-VLOOKUP(B$2,C1:E132,3,FALSE),J36)</f>
        <v>-18.931458675748</v>
      </c>
      <c r="G36" s="46"/>
      <c r="H36" s="149">
        <f>RANK(I36,I3:I132)</f>
        <v>25</v>
      </c>
      <c r="I36" s="150">
        <f>VLOOKUP(A36,'Standard Deviations'!A1:C731,3,FALSE)</f>
        <v>4.87272303246251</v>
      </c>
      <c r="J36" s="150">
        <f>I36-VLOOKUP(B$2,H1:J132,2,FALSE)</f>
        <v>0.13877685833343</v>
      </c>
    </row>
    <row r="37" ht="21.25" customHeight="1">
      <c r="A37" t="s" s="8">
        <v>299</v>
      </c>
      <c r="B37" t="s" s="74">
        <f>VLOOKUP(A37,'The List'!B1:D730,3,FALSE)</f>
        <v>121</v>
      </c>
      <c r="C37" s="75">
        <f>IF('Settings'!$E$15="POINTS",RANK(E37,E3:E132),H37)</f>
        <v>30</v>
      </c>
      <c r="D37" t="s" s="42">
        <f>VLOOKUP(A37,'The List'!B1:F730,5,FALSE)</f>
        <v>170</v>
      </c>
      <c r="E37" s="46">
        <f>VLOOKUP(A37,'The List'!B1:I730,8,FALSE)</f>
        <v>364.712722252221</v>
      </c>
      <c r="F37" s="46">
        <f>IF('Settings'!$E$15="POINTS",E37-VLOOKUP(B$2,C1:E132,3,FALSE),J37)</f>
        <v>-16.915841454135</v>
      </c>
      <c r="G37" s="46"/>
      <c r="H37" s="149">
        <f>RANK(I37,I3:I132)</f>
        <v>27</v>
      </c>
      <c r="I37" s="150">
        <f>VLOOKUP(A37,'Standard Deviations'!A1:C731,3,FALSE)</f>
        <v>4.62752827171934</v>
      </c>
      <c r="J37" s="150">
        <f>I37-VLOOKUP(B$2,H1:J132,2,FALSE)</f>
        <v>-0.10641790240974</v>
      </c>
    </row>
    <row r="38" ht="21.25" customHeight="1">
      <c r="A38" t="s" s="8">
        <v>302</v>
      </c>
      <c r="B38" t="s" s="74">
        <f>VLOOKUP(A38,'The List'!B1:D730,3,FALSE)</f>
        <v>118</v>
      </c>
      <c r="C38" s="75">
        <f>IF('Settings'!$E$15="POINTS",RANK(E38,E3:E132),H38)</f>
        <v>38</v>
      </c>
      <c r="D38" t="s" s="42">
        <f>VLOOKUP(A38,'The List'!B1:F730,5,FALSE)</f>
        <v>184</v>
      </c>
      <c r="E38" s="46">
        <f>VLOOKUP(A38,'The List'!B1:I730,8,FALSE)</f>
        <v>334.313298958391</v>
      </c>
      <c r="F38" s="46">
        <f>IF('Settings'!$E$15="POINTS",E38-VLOOKUP(B$2,C1:E132,3,FALSE),J38)</f>
        <v>-47.315264747965</v>
      </c>
      <c r="G38" s="46"/>
      <c r="H38" s="149">
        <f>RANK(I38,I3:I132)</f>
        <v>40</v>
      </c>
      <c r="I38" s="150">
        <f>VLOOKUP(A38,'Standard Deviations'!A1:C731,3,FALSE)</f>
        <v>2.86895832586876</v>
      </c>
      <c r="J38" s="150">
        <f>I38-VLOOKUP(B$2,H1:J132,2,FALSE)</f>
        <v>-1.86498784826032</v>
      </c>
    </row>
    <row r="39" ht="21.25" customHeight="1">
      <c r="A39" t="s" s="8">
        <v>304</v>
      </c>
      <c r="B39" t="s" s="74">
        <f>VLOOKUP(A39,'The List'!B1:D730,3,FALSE)</f>
        <v>121</v>
      </c>
      <c r="C39" s="75">
        <f>IF('Settings'!$E$15="POINTS",RANK(E39,E3:E132),H39)</f>
        <v>36</v>
      </c>
      <c r="D39" t="s" s="42">
        <f>VLOOKUP(A39,'The List'!B1:F730,5,FALSE)</f>
        <v>218</v>
      </c>
      <c r="E39" s="46">
        <f>VLOOKUP(A39,'The List'!B1:I730,8,FALSE)</f>
        <v>346.305315760219</v>
      </c>
      <c r="F39" s="46">
        <f>IF('Settings'!$E$15="POINTS",E39-VLOOKUP(B$2,C1:E132,3,FALSE),J39)</f>
        <v>-35.323247946137</v>
      </c>
      <c r="G39" s="46"/>
      <c r="H39" s="149">
        <f>RANK(I39,I3:I132)</f>
        <v>24</v>
      </c>
      <c r="I39" s="150">
        <f>VLOOKUP(A39,'Standard Deviations'!A1:C731,3,FALSE)</f>
        <v>4.89235352915412</v>
      </c>
      <c r="J39" s="150">
        <f>I39-VLOOKUP(B$2,H1:J132,2,FALSE)</f>
        <v>0.15840735502504</v>
      </c>
    </row>
    <row r="40" ht="21.25" customHeight="1">
      <c r="A40" t="s" s="8">
        <v>307</v>
      </c>
      <c r="B40" t="s" s="74">
        <f>VLOOKUP(A40,'The List'!B1:D730,3,FALSE)</f>
        <v>118</v>
      </c>
      <c r="C40" s="75">
        <f>IF('Settings'!$E$15="POINTS",RANK(E40,E3:E132),H40)</f>
        <v>41</v>
      </c>
      <c r="D40" t="s" s="42">
        <f>VLOOKUP(A40,'The List'!B1:F730,5,FALSE)</f>
        <v>204</v>
      </c>
      <c r="E40" s="46">
        <f>VLOOKUP(A40,'The List'!B1:I730,8,FALSE)</f>
        <v>331.115612179120</v>
      </c>
      <c r="F40" s="46">
        <f>IF('Settings'!$E$15="POINTS",E40-VLOOKUP(B$2,C1:E132,3,FALSE),J40)</f>
        <v>-50.512951527236</v>
      </c>
      <c r="G40" s="46"/>
      <c r="H40" s="149">
        <f>RANK(I40,I3:I132)</f>
        <v>33</v>
      </c>
      <c r="I40" s="150">
        <f>VLOOKUP(A40,'Standard Deviations'!A1:C731,3,FALSE)</f>
        <v>3.51883082056837</v>
      </c>
      <c r="J40" s="150">
        <f>I40-VLOOKUP(B$2,H1:J132,2,FALSE)</f>
        <v>-1.21511535356071</v>
      </c>
    </row>
    <row r="41" ht="21.25" customHeight="1">
      <c r="A41" t="s" s="8">
        <v>308</v>
      </c>
      <c r="B41" t="s" s="74">
        <f>VLOOKUP(A41,'The List'!B1:D730,3,FALSE)</f>
        <v>121</v>
      </c>
      <c r="C41" s="75">
        <f>IF('Settings'!$E$15="POINTS",RANK(E41,E3:E132),H41)</f>
        <v>29</v>
      </c>
      <c r="D41" t="s" s="42">
        <f>VLOOKUP(A41,'The List'!B1:F730,5,FALSE)</f>
        <v>236</v>
      </c>
      <c r="E41" s="46">
        <f>VLOOKUP(A41,'The List'!B1:I730,8,FALSE)</f>
        <v>364.761632112287</v>
      </c>
      <c r="F41" s="46">
        <f>IF('Settings'!$E$15="POINTS",E41-VLOOKUP(B$2,C1:E132,3,FALSE),J41)</f>
        <v>-16.866931594069</v>
      </c>
      <c r="G41" s="46"/>
      <c r="H41" s="149">
        <f>RANK(I41,I3:I132)</f>
        <v>49</v>
      </c>
      <c r="I41" s="150">
        <f>VLOOKUP(A41,'Standard Deviations'!A1:C731,3,FALSE)</f>
        <v>2.11111488660806</v>
      </c>
      <c r="J41" s="150">
        <f>I41-VLOOKUP(B$2,H1:J132,2,FALSE)</f>
        <v>-2.62283128752102</v>
      </c>
    </row>
    <row r="42" ht="21.25" customHeight="1">
      <c r="A42" t="s" s="8">
        <v>310</v>
      </c>
      <c r="B42" t="s" s="74">
        <f>VLOOKUP(A42,'The List'!B1:D730,3,FALSE)</f>
        <v>118</v>
      </c>
      <c r="C42" s="75">
        <f>IF('Settings'!$E$15="POINTS",RANK(E42,E3:E132),H42)</f>
        <v>46</v>
      </c>
      <c r="D42" t="s" s="42">
        <f>VLOOKUP(A42,'The List'!B1:F730,5,FALSE)</f>
        <v>248</v>
      </c>
      <c r="E42" s="46">
        <f>VLOOKUP(A42,'The List'!B1:I730,8,FALSE)</f>
        <v>319.989471759405</v>
      </c>
      <c r="F42" s="46">
        <f>IF('Settings'!$E$15="POINTS",E42-VLOOKUP(B$2,C1:E132,3,FALSE),J42)</f>
        <v>-61.639091946951</v>
      </c>
      <c r="G42" s="46"/>
      <c r="H42" s="149">
        <f>RANK(I42,I3:I132)</f>
        <v>43</v>
      </c>
      <c r="I42" s="150">
        <f>VLOOKUP(A42,'Standard Deviations'!A1:C731,3,FALSE)</f>
        <v>2.5994598297547</v>
      </c>
      <c r="J42" s="150">
        <f>I42-VLOOKUP(B$2,H1:J132,2,FALSE)</f>
        <v>-2.13448634437438</v>
      </c>
    </row>
    <row r="43" ht="21.25" customHeight="1">
      <c r="A43" t="s" s="8">
        <v>312</v>
      </c>
      <c r="B43" t="s" s="74">
        <f>VLOOKUP(A43,'The List'!B1:D730,3,FALSE)</f>
        <v>121</v>
      </c>
      <c r="C43" s="75">
        <f>IF('Settings'!$E$15="POINTS",RANK(E43,E3:E132),H43)</f>
        <v>37</v>
      </c>
      <c r="D43" t="s" s="42">
        <f>VLOOKUP(A43,'The List'!B1:F730,5,FALSE)</f>
        <v>127</v>
      </c>
      <c r="E43" s="46">
        <f>VLOOKUP(A43,'The List'!B1:I730,8,FALSE)</f>
        <v>343.863932480076</v>
      </c>
      <c r="F43" s="46">
        <f>IF('Settings'!$E$15="POINTS",E43-VLOOKUP(B$2,C1:E132,3,FALSE),J43)</f>
        <v>-37.764631226280</v>
      </c>
      <c r="G43" s="46"/>
      <c r="H43" s="149">
        <f>RANK(I43,I3:I132)</f>
        <v>39</v>
      </c>
      <c r="I43" s="150">
        <f>VLOOKUP(A43,'Standard Deviations'!A1:C731,3,FALSE)</f>
        <v>2.92857223973338</v>
      </c>
      <c r="J43" s="150">
        <f>I43-VLOOKUP(B$2,H1:J132,2,FALSE)</f>
        <v>-1.8053739343957</v>
      </c>
    </row>
    <row r="44" ht="21.25" customHeight="1">
      <c r="A44" t="s" s="8">
        <v>313</v>
      </c>
      <c r="B44" t="s" s="74">
        <f>VLOOKUP(A44,'The List'!B1:D730,3,FALSE)</f>
        <v>187</v>
      </c>
      <c r="C44" s="75">
        <f>IF('Settings'!$E$15="POINTS",RANK(E44,E3:E132),H44)</f>
        <v>35</v>
      </c>
      <c r="D44" t="s" s="42">
        <f>VLOOKUP(A44,'The List'!B1:F730,5,FALSE)</f>
        <v>127</v>
      </c>
      <c r="E44" s="46">
        <f>VLOOKUP(A44,'The List'!B1:I730,8,FALSE)</f>
        <v>355.123293102622</v>
      </c>
      <c r="F44" s="46">
        <f>IF('Settings'!$E$15="POINTS",E44-VLOOKUP(B$2,C1:E132,3,FALSE),J44)</f>
        <v>-26.505270603734</v>
      </c>
      <c r="G44" s="46"/>
      <c r="H44" s="149">
        <f>RANK(I44,I3:I132)</f>
        <v>36</v>
      </c>
      <c r="I44" s="150">
        <f>VLOOKUP(A44,'Standard Deviations'!A1:C731,3,FALSE)</f>
        <v>3.09260618844406</v>
      </c>
      <c r="J44" s="150">
        <f>I44-VLOOKUP(B$2,H1:J132,2,FALSE)</f>
        <v>-1.64133998568502</v>
      </c>
    </row>
    <row r="45" ht="21.25" customHeight="1">
      <c r="A45" t="s" s="8">
        <v>325</v>
      </c>
      <c r="B45" t="s" s="74">
        <f>VLOOKUP(A45,'The List'!B1:D730,3,FALSE)</f>
        <v>121</v>
      </c>
      <c r="C45" s="75">
        <f>IF('Settings'!$E$15="POINTS",RANK(E45,E3:E132),H45)</f>
        <v>44</v>
      </c>
      <c r="D45" t="s" s="42">
        <f>VLOOKUP(A45,'The List'!B1:F730,5,FALSE)</f>
        <v>292</v>
      </c>
      <c r="E45" s="46">
        <f>VLOOKUP(A45,'The List'!B1:I730,8,FALSE)</f>
        <v>325.567441117980</v>
      </c>
      <c r="F45" s="46">
        <f>IF('Settings'!$E$15="POINTS",E45-VLOOKUP(B$2,C1:E132,3,FALSE),J45)</f>
        <v>-56.061122588376</v>
      </c>
      <c r="G45" s="46"/>
      <c r="H45" s="149">
        <f>RANK(I45,I3:I132)</f>
        <v>45</v>
      </c>
      <c r="I45" s="150">
        <f>VLOOKUP(A45,'Standard Deviations'!A1:C731,3,FALSE)</f>
        <v>2.35051800602249</v>
      </c>
      <c r="J45" s="150">
        <f>I45-VLOOKUP(B$2,H1:J132,2,FALSE)</f>
        <v>-2.38342816810659</v>
      </c>
    </row>
    <row r="46" ht="21.25" customHeight="1">
      <c r="A46" t="s" s="8">
        <v>332</v>
      </c>
      <c r="B46" t="s" s="74">
        <f>VLOOKUP(A46,'The List'!B1:D730,3,FALSE)</f>
        <v>118</v>
      </c>
      <c r="C46" s="75">
        <f>IF('Settings'!$E$15="POINTS",RANK(E46,E3:E132),H46)</f>
        <v>42</v>
      </c>
      <c r="D46" t="s" s="42">
        <f>VLOOKUP(A46,'The List'!B1:F730,5,FALSE)</f>
        <v>234</v>
      </c>
      <c r="E46" s="46">
        <f>VLOOKUP(A46,'The List'!B1:I730,8,FALSE)</f>
        <v>329.809327600855</v>
      </c>
      <c r="F46" s="46">
        <f>IF('Settings'!$E$15="POINTS",E46-VLOOKUP(B$2,C1:E132,3,FALSE),J46)</f>
        <v>-51.819236105501</v>
      </c>
      <c r="G46" s="46"/>
      <c r="H46" s="149">
        <f>RANK(I46,I3:I132)</f>
        <v>62</v>
      </c>
      <c r="I46" s="150">
        <f>VLOOKUP(A46,'Standard Deviations'!A1:C731,3,FALSE)</f>
        <v>0.454656114280023</v>
      </c>
      <c r="J46" s="150">
        <f>I46-VLOOKUP(B$2,H1:J132,2,FALSE)</f>
        <v>-4.27929005984906</v>
      </c>
    </row>
    <row r="47" ht="21.25" customHeight="1">
      <c r="A47" t="s" s="8">
        <v>334</v>
      </c>
      <c r="B47" t="s" s="74">
        <f>VLOOKUP(A47,'The List'!B1:D730,3,FALSE)</f>
        <v>121</v>
      </c>
      <c r="C47" s="75">
        <f>IF('Settings'!$E$15="POINTS",RANK(E47,E3:E132),H47)</f>
        <v>50</v>
      </c>
      <c r="D47" t="s" s="42">
        <f>VLOOKUP(A47,'The List'!B1:F730,5,FALSE)</f>
        <v>156</v>
      </c>
      <c r="E47" s="46">
        <f>VLOOKUP(A47,'The List'!B1:I730,8,FALSE)</f>
        <v>310.767896766052</v>
      </c>
      <c r="F47" s="46">
        <f>IF('Settings'!$E$15="POINTS",E47-VLOOKUP(B$2,C1:E132,3,FALSE),J47)</f>
        <v>-70.860666940304</v>
      </c>
      <c r="G47" s="46"/>
      <c r="H47" s="149">
        <f>RANK(I47,I3:I132)</f>
        <v>51</v>
      </c>
      <c r="I47" s="150">
        <f>VLOOKUP(A47,'Standard Deviations'!A1:C731,3,FALSE)</f>
        <v>1.73532289907383</v>
      </c>
      <c r="J47" s="150">
        <f>I47-VLOOKUP(B$2,H1:J132,2,FALSE)</f>
        <v>-2.99862327505525</v>
      </c>
    </row>
    <row r="48" ht="21.25" customHeight="1">
      <c r="A48" t="s" s="8">
        <v>335</v>
      </c>
      <c r="B48" t="s" s="74">
        <f>VLOOKUP(A48,'The List'!B1:D730,3,FALSE)</f>
        <v>118</v>
      </c>
      <c r="C48" s="75">
        <f>IF('Settings'!$E$15="POINTS",RANK(E48,E3:E132),H48)</f>
        <v>40</v>
      </c>
      <c r="D48" t="s" s="42">
        <f>VLOOKUP(A48,'The List'!B1:F730,5,FALSE)</f>
        <v>238</v>
      </c>
      <c r="E48" s="46">
        <f>VLOOKUP(A48,'The List'!B1:I730,8,FALSE)</f>
        <v>332.933865412420</v>
      </c>
      <c r="F48" s="46">
        <f>IF('Settings'!$E$15="POINTS",E48-VLOOKUP(B$2,C1:E132,3,FALSE),J48)</f>
        <v>-48.694698293936</v>
      </c>
      <c r="G48" s="46"/>
      <c r="H48" s="149">
        <f>RANK(I48,I3:I132)</f>
        <v>34</v>
      </c>
      <c r="I48" s="150">
        <f>VLOOKUP(A48,'Standard Deviations'!A1:C731,3,FALSE)</f>
        <v>3.36574852969841</v>
      </c>
      <c r="J48" s="150">
        <f>I48-VLOOKUP(B$2,H1:J132,2,FALSE)</f>
        <v>-1.36819764443067</v>
      </c>
    </row>
    <row r="49" ht="21.25" customHeight="1">
      <c r="A49" t="s" s="8">
        <v>344</v>
      </c>
      <c r="B49" t="s" s="74">
        <f>VLOOKUP(A49,'The List'!B1:D730,3,FALSE)</f>
        <v>121</v>
      </c>
      <c r="C49" s="75">
        <f>IF('Settings'!$E$15="POINTS",RANK(E49,E3:E132),H49)</f>
        <v>53</v>
      </c>
      <c r="D49" t="s" s="42">
        <f>VLOOKUP(A49,'The List'!B1:F730,5,FALSE)</f>
        <v>248</v>
      </c>
      <c r="E49" s="46">
        <f>VLOOKUP(A49,'The List'!B1:I730,8,FALSE)</f>
        <v>299.087250278538</v>
      </c>
      <c r="F49" s="46">
        <f>IF('Settings'!$E$15="POINTS",E49-VLOOKUP(B$2,C1:E132,3,FALSE),J49)</f>
        <v>-82.541313427818</v>
      </c>
      <c r="G49" s="46"/>
      <c r="H49" s="149">
        <f>RANK(I49,I3:I132)</f>
        <v>50</v>
      </c>
      <c r="I49" s="150">
        <f>VLOOKUP(A49,'Standard Deviations'!A1:C731,3,FALSE)</f>
        <v>1.93655957198183</v>
      </c>
      <c r="J49" s="150">
        <f>I49-VLOOKUP(B$2,H1:J132,2,FALSE)</f>
        <v>-2.79738660214725</v>
      </c>
    </row>
    <row r="50" ht="21.25" customHeight="1">
      <c r="A50" t="s" s="8">
        <v>345</v>
      </c>
      <c r="B50" t="s" s="74">
        <f>VLOOKUP(A50,'The List'!B1:D730,3,FALSE)</f>
        <v>187</v>
      </c>
      <c r="C50" s="75">
        <f>IF('Settings'!$E$15="POINTS",RANK(E50,E3:E132),H50)</f>
        <v>48</v>
      </c>
      <c r="D50" t="s" s="42">
        <f>VLOOKUP(A50,'The List'!B1:F730,5,FALSE)</f>
        <v>202</v>
      </c>
      <c r="E50" s="46">
        <f>VLOOKUP(A50,'The List'!B1:I730,8,FALSE)</f>
        <v>319.635637991465</v>
      </c>
      <c r="F50" s="46">
        <f>IF('Settings'!$E$15="POINTS",E50-VLOOKUP(B$2,C1:E132,3,FALSE),J50)</f>
        <v>-61.992925714891</v>
      </c>
      <c r="G50" s="46"/>
      <c r="H50" s="149">
        <f>RANK(I50,I3:I132)</f>
        <v>31</v>
      </c>
      <c r="I50" s="150">
        <f>VLOOKUP(A50,'Standard Deviations'!A1:C731,3,FALSE)</f>
        <v>3.88433731441189</v>
      </c>
      <c r="J50" s="150">
        <f>I50-VLOOKUP(B$2,H1:J132,2,FALSE)</f>
        <v>-0.84960885971719</v>
      </c>
    </row>
    <row r="51" ht="21.25" customHeight="1">
      <c r="A51" t="s" s="8">
        <v>348</v>
      </c>
      <c r="B51" t="s" s="74">
        <f>VLOOKUP(A51,'The List'!B1:D730,3,FALSE)</f>
        <v>121</v>
      </c>
      <c r="C51" s="75">
        <f>IF('Settings'!$E$15="POINTS",RANK(E51,E3:E132),H51)</f>
        <v>47</v>
      </c>
      <c r="D51" t="s" s="42">
        <f>VLOOKUP(A51,'The List'!B1:F730,5,FALSE)</f>
        <v>170</v>
      </c>
      <c r="E51" s="46">
        <f>VLOOKUP(A51,'The List'!B1:I730,8,FALSE)</f>
        <v>319.791423135401</v>
      </c>
      <c r="F51" s="46">
        <f>IF('Settings'!$E$15="POINTS",E51-VLOOKUP(B$2,C1:E132,3,FALSE),J51)</f>
        <v>-61.837140570955</v>
      </c>
      <c r="G51" s="46"/>
      <c r="H51" s="149">
        <f>RANK(I51,I3:I132)</f>
        <v>41</v>
      </c>
      <c r="I51" s="150">
        <f>VLOOKUP(A51,'Standard Deviations'!A1:C731,3,FALSE)</f>
        <v>2.78942357101321</v>
      </c>
      <c r="J51" s="150">
        <f>I51-VLOOKUP(B$2,H1:J132,2,FALSE)</f>
        <v>-1.94452260311587</v>
      </c>
    </row>
    <row r="52" ht="21.25" customHeight="1">
      <c r="A52" t="s" s="8">
        <v>354</v>
      </c>
      <c r="B52" t="s" s="74">
        <f>VLOOKUP(A52,'The List'!B1:D730,3,FALSE)</f>
        <v>187</v>
      </c>
      <c r="C52" s="75">
        <f>IF('Settings'!$E$15="POINTS",RANK(E52,E3:E132),H52)</f>
        <v>56</v>
      </c>
      <c r="D52" t="s" s="42">
        <f>VLOOKUP(A52,'The List'!B1:F730,5,FALSE)</f>
        <v>136</v>
      </c>
      <c r="E52" s="46">
        <f>VLOOKUP(A52,'The List'!B1:I730,8,FALSE)</f>
        <v>294.814134078005</v>
      </c>
      <c r="F52" s="46">
        <f>IF('Settings'!$E$15="POINTS",E52-VLOOKUP(B$2,C1:E132,3,FALSE),J52)</f>
        <v>-86.81442962835099</v>
      </c>
      <c r="G52" s="46"/>
      <c r="H52" s="149">
        <f>RANK(I52,I3:I132)</f>
        <v>42</v>
      </c>
      <c r="I52" s="150">
        <f>VLOOKUP(A52,'Standard Deviations'!A1:C731,3,FALSE)</f>
        <v>2.7500624606879</v>
      </c>
      <c r="J52" s="150">
        <f>I52-VLOOKUP(B$2,H1:J132,2,FALSE)</f>
        <v>-1.98388371344118</v>
      </c>
    </row>
    <row r="53" ht="21.25" customHeight="1">
      <c r="A53" t="s" s="8">
        <v>366</v>
      </c>
      <c r="B53" t="s" s="74">
        <f>VLOOKUP(A53,'The List'!B1:D730,3,FALSE)</f>
        <v>121</v>
      </c>
      <c r="C53" s="75">
        <f>IF('Settings'!$E$15="POINTS",RANK(E53,E3:E132),H53)</f>
        <v>54</v>
      </c>
      <c r="D53" t="s" s="42">
        <f>VLOOKUP(A53,'The List'!B1:F730,5,FALSE)</f>
        <v>248</v>
      </c>
      <c r="E53" s="46">
        <f>VLOOKUP(A53,'The List'!B1:I730,8,FALSE)</f>
        <v>295.902264363848</v>
      </c>
      <c r="F53" s="46">
        <f>IF('Settings'!$E$15="POINTS",E53-VLOOKUP(B$2,C1:E132,3,FALSE),J53)</f>
        <v>-85.726299342508</v>
      </c>
      <c r="G53" s="46"/>
      <c r="H53" s="149">
        <f>RANK(I53,I3:I132)</f>
        <v>57</v>
      </c>
      <c r="I53" s="150">
        <f>VLOOKUP(A53,'Standard Deviations'!A1:C731,3,FALSE)</f>
        <v>1.13527810435822</v>
      </c>
      <c r="J53" s="150">
        <f>I53-VLOOKUP(B$2,H1:J132,2,FALSE)</f>
        <v>-3.59866806977086</v>
      </c>
    </row>
    <row r="54" ht="21.25" customHeight="1">
      <c r="A54" t="s" s="8">
        <v>368</v>
      </c>
      <c r="B54" t="s" s="74">
        <f>VLOOKUP(A54,'The List'!B1:D730,3,FALSE)</f>
        <v>121</v>
      </c>
      <c r="C54" s="75">
        <f>IF('Settings'!$E$15="POINTS",RANK(E54,E3:E132),H54)</f>
        <v>60</v>
      </c>
      <c r="D54" t="s" s="42">
        <f>VLOOKUP(A54,'The List'!B1:F730,5,FALSE)</f>
        <v>131</v>
      </c>
      <c r="E54" s="46">
        <f>VLOOKUP(A54,'The List'!B1:I730,8,FALSE)</f>
        <v>284.668111747721</v>
      </c>
      <c r="F54" s="46">
        <f>IF('Settings'!$E$15="POINTS",E54-VLOOKUP(B$2,C1:E132,3,FALSE),J54)</f>
        <v>-96.96045195863501</v>
      </c>
      <c r="G54" s="46"/>
      <c r="H54" s="149">
        <f>RANK(I54,I3:I132)</f>
        <v>59</v>
      </c>
      <c r="I54" s="150">
        <f>VLOOKUP(A54,'Standard Deviations'!A1:C731,3,FALSE)</f>
        <v>1.02111277426088</v>
      </c>
      <c r="J54" s="150">
        <f>I54-VLOOKUP(B$2,H1:J132,2,FALSE)</f>
        <v>-3.7128333998682</v>
      </c>
    </row>
    <row r="55" ht="21.25" customHeight="1">
      <c r="A55" t="s" s="8">
        <v>370</v>
      </c>
      <c r="B55" t="s" s="74">
        <f>VLOOKUP(A55,'The List'!B1:D730,3,FALSE)</f>
        <v>118</v>
      </c>
      <c r="C55" s="75">
        <f>IF('Settings'!$E$15="POINTS",RANK(E55,E3:E132),H55)</f>
        <v>58</v>
      </c>
      <c r="D55" t="s" s="42">
        <f>VLOOKUP(A55,'The List'!B1:F730,5,FALSE)</f>
        <v>156</v>
      </c>
      <c r="E55" s="46">
        <f>VLOOKUP(A55,'The List'!B1:I730,8,FALSE)</f>
        <v>287.099241610952</v>
      </c>
      <c r="F55" s="46">
        <f>IF('Settings'!$E$15="POINTS",E55-VLOOKUP(B$2,C1:E132,3,FALSE),J55)</f>
        <v>-94.529322095404</v>
      </c>
      <c r="G55" s="46"/>
      <c r="H55" s="149">
        <f>RANK(I55,I3:I132)</f>
        <v>58</v>
      </c>
      <c r="I55" s="150">
        <f>VLOOKUP(A55,'Standard Deviations'!A1:C731,3,FALSE)</f>
        <v>1.0959759835712</v>
      </c>
      <c r="J55" s="150">
        <f>I55-VLOOKUP(B$2,H1:J132,2,FALSE)</f>
        <v>-3.63797019055788</v>
      </c>
    </row>
    <row r="56" ht="21.25" customHeight="1">
      <c r="A56" t="s" s="8">
        <v>372</v>
      </c>
      <c r="B56" t="s" s="74">
        <f>VLOOKUP(A56,'The List'!B1:D730,3,FALSE)</f>
        <v>118</v>
      </c>
      <c r="C56" s="75">
        <f>IF('Settings'!$E$15="POINTS",RANK(E56,E3:E132),H56)</f>
        <v>51</v>
      </c>
      <c r="D56" t="s" s="42">
        <f>VLOOKUP(A56,'The List'!B1:F730,5,FALSE)</f>
        <v>170</v>
      </c>
      <c r="E56" s="46">
        <f>VLOOKUP(A56,'The List'!B1:I730,8,FALSE)</f>
        <v>310.577739354740</v>
      </c>
      <c r="F56" s="46">
        <f>IF('Settings'!$E$15="POINTS",E56-VLOOKUP(B$2,C1:E132,3,FALSE),J56)</f>
        <v>-71.050824351616</v>
      </c>
      <c r="G56" s="46"/>
      <c r="H56" s="149">
        <f>RANK(I56,I3:I132)</f>
        <v>53</v>
      </c>
      <c r="I56" s="150">
        <f>VLOOKUP(A56,'Standard Deviations'!A1:C731,3,FALSE)</f>
        <v>1.59320485613993</v>
      </c>
      <c r="J56" s="150">
        <f>I56-VLOOKUP(B$2,H1:J132,2,FALSE)</f>
        <v>-3.14074131798915</v>
      </c>
    </row>
    <row r="57" ht="21.25" customHeight="1">
      <c r="A57" t="s" s="8">
        <v>377</v>
      </c>
      <c r="B57" t="s" s="74">
        <f>VLOOKUP(A57,'The List'!B1:D730,3,FALSE)</f>
        <v>187</v>
      </c>
      <c r="C57" s="75">
        <f>IF('Settings'!$E$15="POINTS",RANK(E57,E3:E132),H57)</f>
        <v>49</v>
      </c>
      <c r="D57" t="s" s="42">
        <f>VLOOKUP(A57,'The List'!B1:F730,5,FALSE)</f>
        <v>134</v>
      </c>
      <c r="E57" s="46">
        <f>VLOOKUP(A57,'The List'!B1:I730,8,FALSE)</f>
        <v>316.521418207539</v>
      </c>
      <c r="F57" s="46">
        <f>IF('Settings'!$E$15="POINTS",E57-VLOOKUP(B$2,C1:E132,3,FALSE),J57)</f>
        <v>-65.107145498817</v>
      </c>
      <c r="G57" s="46"/>
      <c r="H57" s="149">
        <f>RANK(I57,I3:I132)</f>
        <v>47</v>
      </c>
      <c r="I57" s="150">
        <f>VLOOKUP(A57,'Standard Deviations'!A1:C731,3,FALSE)</f>
        <v>2.18779100632093</v>
      </c>
      <c r="J57" s="150">
        <f>I57-VLOOKUP(B$2,H1:J132,2,FALSE)</f>
        <v>-2.54615516780815</v>
      </c>
    </row>
    <row r="58" ht="21.25" customHeight="1">
      <c r="A58" t="s" s="8">
        <v>385</v>
      </c>
      <c r="B58" t="s" s="74">
        <f>VLOOKUP(A58,'The List'!B1:D730,3,FALSE)</f>
        <v>121</v>
      </c>
      <c r="C58" s="75">
        <f>IF('Settings'!$E$15="POINTS",RANK(E58,E3:E132),H58)</f>
        <v>64</v>
      </c>
      <c r="D58" t="s" s="42">
        <f>VLOOKUP(A58,'The List'!B1:F730,5,FALSE)</f>
        <v>156</v>
      </c>
      <c r="E58" s="46">
        <f>VLOOKUP(A58,'The List'!B1:I730,8,FALSE)</f>
        <v>280.423786864537</v>
      </c>
      <c r="F58" s="46">
        <f>IF('Settings'!$E$15="POINTS",E58-VLOOKUP(B$2,C1:E132,3,FALSE),J58)</f>
        <v>-101.204776841819</v>
      </c>
      <c r="G58" s="46"/>
      <c r="H58" s="149">
        <f>RANK(I58,I3:I132)</f>
        <v>56</v>
      </c>
      <c r="I58" s="150">
        <f>VLOOKUP(A58,'Standard Deviations'!A1:C731,3,FALSE)</f>
        <v>1.17190142691424</v>
      </c>
      <c r="J58" s="150">
        <f>I58-VLOOKUP(B$2,H1:J132,2,FALSE)</f>
        <v>-3.56204474721484</v>
      </c>
    </row>
    <row r="59" ht="21.25" customHeight="1">
      <c r="A59" t="s" s="8">
        <v>395</v>
      </c>
      <c r="B59" t="s" s="74">
        <f>VLOOKUP(A59,'The List'!B1:D730,3,FALSE)</f>
        <v>118</v>
      </c>
      <c r="C59" s="75">
        <f>IF('Settings'!$E$15="POINTS",RANK(E59,E3:E132),H59)</f>
        <v>72</v>
      </c>
      <c r="D59" t="s" s="42">
        <f>VLOOKUP(A59,'The List'!B1:F730,5,FALSE)</f>
        <v>202</v>
      </c>
      <c r="E59" s="46">
        <f>VLOOKUP(A59,'The List'!B1:I730,8,FALSE)</f>
        <v>257.799917332099</v>
      </c>
      <c r="F59" s="46">
        <f>IF('Settings'!$E$15="POINTS",E59-VLOOKUP(B$2,C1:E132,3,FALSE),J59)</f>
        <v>-123.828646374257</v>
      </c>
      <c r="G59" s="46"/>
      <c r="H59" s="149">
        <f>RANK(I59,I3:I132)</f>
        <v>46</v>
      </c>
      <c r="I59" s="150">
        <f>VLOOKUP(A59,'Standard Deviations'!A1:C731,3,FALSE)</f>
        <v>2.23840315309114</v>
      </c>
      <c r="J59" s="150">
        <f>I59-VLOOKUP(B$2,H1:J132,2,FALSE)</f>
        <v>-2.49554302103794</v>
      </c>
    </row>
    <row r="60" ht="21.25" customHeight="1">
      <c r="A60" t="s" s="8">
        <v>403</v>
      </c>
      <c r="B60" t="s" s="74">
        <f>VLOOKUP(A60,'The List'!B1:D730,3,FALSE)</f>
        <v>121</v>
      </c>
      <c r="C60" s="75">
        <f>IF('Settings'!$E$15="POINTS",RANK(E60,E3:E132),H60)</f>
        <v>61</v>
      </c>
      <c r="D60" t="s" s="42">
        <f>VLOOKUP(A60,'The List'!B1:F730,5,FALSE)</f>
        <v>189</v>
      </c>
      <c r="E60" s="46">
        <f>VLOOKUP(A60,'The List'!B1:I730,8,FALSE)</f>
        <v>283.971002275456</v>
      </c>
      <c r="F60" s="46">
        <f>IF('Settings'!$E$15="POINTS",E60-VLOOKUP(B$2,C1:E132,3,FALSE),J60)</f>
        <v>-97.6575614309</v>
      </c>
      <c r="G60" s="46"/>
      <c r="H60" s="149">
        <f>RANK(I60,I3:I132)</f>
        <v>69</v>
      </c>
      <c r="I60" s="150">
        <f>VLOOKUP(A60,'Standard Deviations'!A1:C731,3,FALSE)</f>
        <v>0.083050714412369</v>
      </c>
      <c r="J60" s="150">
        <f>I60-VLOOKUP(B$2,H1:J132,2,FALSE)</f>
        <v>-4.65089545971671</v>
      </c>
    </row>
    <row r="61" ht="21.25" customHeight="1">
      <c r="A61" t="s" s="8">
        <v>405</v>
      </c>
      <c r="B61" t="s" s="74">
        <f>VLOOKUP(A61,'The List'!B1:D730,3,FALSE)</f>
        <v>187</v>
      </c>
      <c r="C61" s="75">
        <f>IF('Settings'!$E$15="POINTS",RANK(E61,E3:E132),H61)</f>
        <v>62</v>
      </c>
      <c r="D61" t="s" s="42">
        <f>VLOOKUP(A61,'The List'!B1:F730,5,FALSE)</f>
        <v>136</v>
      </c>
      <c r="E61" s="46">
        <f>VLOOKUP(A61,'The List'!B1:I730,8,FALSE)</f>
        <v>282.829170552147</v>
      </c>
      <c r="F61" s="46">
        <f>IF('Settings'!$E$15="POINTS",E61-VLOOKUP(B$2,C1:E132,3,FALSE),J61)</f>
        <v>-98.799393154209</v>
      </c>
      <c r="G61" s="46"/>
      <c r="H61" s="149">
        <f>RANK(I61,I3:I132)</f>
        <v>54</v>
      </c>
      <c r="I61" s="150">
        <f>VLOOKUP(A61,'Standard Deviations'!A1:C731,3,FALSE)</f>
        <v>1.49513379496146</v>
      </c>
      <c r="J61" s="150">
        <f>I61-VLOOKUP(B$2,H1:J132,2,FALSE)</f>
        <v>-3.23881237916762</v>
      </c>
    </row>
    <row r="62" ht="21.25" customHeight="1">
      <c r="A62" t="s" s="8">
        <v>406</v>
      </c>
      <c r="B62" t="s" s="74">
        <f>VLOOKUP(A62,'The List'!B1:D730,3,FALSE)</f>
        <v>118</v>
      </c>
      <c r="C62" s="75">
        <f>IF('Settings'!$E$15="POINTS",RANK(E62,E3:E132),H62)</f>
        <v>71</v>
      </c>
      <c r="D62" t="s" s="42">
        <f>VLOOKUP(A62,'The List'!B1:F730,5,FALSE)</f>
        <v>141</v>
      </c>
      <c r="E62" s="46">
        <f>VLOOKUP(A62,'The List'!B1:I730,8,FALSE)</f>
        <v>258.792705981474</v>
      </c>
      <c r="F62" s="46">
        <f>IF('Settings'!$E$15="POINTS",E62-VLOOKUP(B$2,C1:E132,3,FALSE),J62)</f>
        <v>-122.835857724882</v>
      </c>
      <c r="G62" s="46"/>
      <c r="H62" s="149">
        <f>RANK(I62,I3:I132)</f>
        <v>60</v>
      </c>
      <c r="I62" s="150">
        <f>VLOOKUP(A62,'Standard Deviations'!A1:C731,3,FALSE)</f>
        <v>0.833859196639005</v>
      </c>
      <c r="J62" s="150">
        <f>I62-VLOOKUP(B$2,H1:J132,2,FALSE)</f>
        <v>-3.90008697749008</v>
      </c>
    </row>
    <row r="63" ht="21.25" customHeight="1">
      <c r="A63" t="s" s="8">
        <v>408</v>
      </c>
      <c r="B63" t="s" s="74">
        <f>VLOOKUP(A63,'The List'!B1:D730,3,FALSE)</f>
        <v>121</v>
      </c>
      <c r="C63" s="75">
        <f>IF('Settings'!$E$15="POINTS",RANK(E63,E3:E132),H63)</f>
        <v>43</v>
      </c>
      <c r="D63" t="s" s="42">
        <f>VLOOKUP(A63,'The List'!B1:F730,5,FALSE)</f>
        <v>166</v>
      </c>
      <c r="E63" s="46">
        <f>VLOOKUP(A63,'The List'!B1:I730,8,FALSE)</f>
        <v>325.879595460918</v>
      </c>
      <c r="F63" s="46">
        <f>IF('Settings'!$E$15="POINTS",E63-VLOOKUP(B$2,C1:E132,3,FALSE),J63)</f>
        <v>-55.748968245438</v>
      </c>
      <c r="G63" s="46"/>
      <c r="H63" s="149">
        <f>RANK(I63,I3:I132)</f>
        <v>63</v>
      </c>
      <c r="I63" s="150">
        <f>VLOOKUP(A63,'Standard Deviations'!A1:C731,3,FALSE)</f>
        <v>0.39020155339518</v>
      </c>
      <c r="J63" s="150">
        <f>I63-VLOOKUP(B$2,H1:J132,2,FALSE)</f>
        <v>-4.3437446207339</v>
      </c>
    </row>
    <row r="64" ht="21.25" customHeight="1">
      <c r="A64" t="s" s="8">
        <v>409</v>
      </c>
      <c r="B64" t="s" s="74">
        <f>VLOOKUP(A64,'The List'!B1:D730,3,FALSE)</f>
        <v>121</v>
      </c>
      <c r="C64" s="75">
        <f>IF('Settings'!$E$15="POINTS",RANK(E64,E3:E132),H64)</f>
        <v>52</v>
      </c>
      <c r="D64" t="s" s="42">
        <f>VLOOKUP(A64,'The List'!B1:F730,5,FALSE)</f>
        <v>164</v>
      </c>
      <c r="E64" s="46">
        <f>VLOOKUP(A64,'The List'!B1:I730,8,FALSE)</f>
        <v>307.221007291473</v>
      </c>
      <c r="F64" s="46">
        <f>IF('Settings'!$E$15="POINTS",E64-VLOOKUP(B$2,C1:E132,3,FALSE),J64)</f>
        <v>-74.407556414883</v>
      </c>
      <c r="G64" s="46"/>
      <c r="H64" s="149">
        <f>RANK(I64,I3:I132)</f>
        <v>52</v>
      </c>
      <c r="I64" s="150">
        <f>VLOOKUP(A64,'Standard Deviations'!A1:C731,3,FALSE)</f>
        <v>1.69598562769997</v>
      </c>
      <c r="J64" s="150">
        <f>I64-VLOOKUP(B$2,H1:J132,2,FALSE)</f>
        <v>-3.03796054642911</v>
      </c>
    </row>
    <row r="65" ht="21.25" customHeight="1">
      <c r="A65" t="s" s="8">
        <v>418</v>
      </c>
      <c r="B65" t="s" s="74">
        <f>VLOOKUP(A65,'The List'!B1:D730,3,FALSE)</f>
        <v>121</v>
      </c>
      <c r="C65" s="75">
        <f>IF('Settings'!$E$15="POINTS",RANK(E65,E3:E132),H65)</f>
        <v>65</v>
      </c>
      <c r="D65" t="s" s="42">
        <f>VLOOKUP(A65,'The List'!B1:F730,5,FALSE)</f>
        <v>189</v>
      </c>
      <c r="E65" s="46">
        <f>VLOOKUP(A65,'The List'!B1:I730,8,FALSE)</f>
        <v>274.005798125475</v>
      </c>
      <c r="F65" s="46">
        <f>IF('Settings'!$E$15="POINTS",E65-VLOOKUP(B$2,C1:E132,3,FALSE),J65)</f>
        <v>-107.622765580881</v>
      </c>
      <c r="G65" s="46"/>
      <c r="H65" s="149">
        <f>RANK(I65,I3:I132)</f>
        <v>80</v>
      </c>
      <c r="I65" s="150">
        <f>VLOOKUP(A65,'Standard Deviations'!A1:C731,3,FALSE)</f>
        <v>-0.7263020551403701</v>
      </c>
      <c r="J65" s="150">
        <f>I65-VLOOKUP(B$2,H1:J132,2,FALSE)</f>
        <v>-5.46024822926945</v>
      </c>
    </row>
    <row r="66" ht="21.25" customHeight="1">
      <c r="A66" t="s" s="8">
        <v>420</v>
      </c>
      <c r="B66" t="s" s="74">
        <f>VLOOKUP(A66,'The List'!B1:D730,3,FALSE)</f>
        <v>121</v>
      </c>
      <c r="C66" s="75">
        <f>IF('Settings'!$E$15="POINTS",RANK(E66,E3:E132),H66)</f>
        <v>69</v>
      </c>
      <c r="D66" t="s" s="42">
        <f>VLOOKUP(A66,'The List'!B1:F730,5,FALSE)</f>
        <v>151</v>
      </c>
      <c r="E66" s="46">
        <f>VLOOKUP(A66,'The List'!B1:I730,8,FALSE)</f>
        <v>259.726182161086</v>
      </c>
      <c r="F66" s="46">
        <f>IF('Settings'!$E$15="POINTS",E66-VLOOKUP(B$2,C1:E132,3,FALSE),J66)</f>
        <v>-121.902381545270</v>
      </c>
      <c r="G66" s="46"/>
      <c r="H66" s="149">
        <f>RANK(I66,I3:I132)</f>
        <v>55</v>
      </c>
      <c r="I66" s="150">
        <f>VLOOKUP(A66,'Standard Deviations'!A1:C731,3,FALSE)</f>
        <v>1.21025503699135</v>
      </c>
      <c r="J66" s="150">
        <f>I66-VLOOKUP(B$2,H1:J132,2,FALSE)</f>
        <v>-3.52369113713773</v>
      </c>
    </row>
    <row r="67" ht="21.25" customHeight="1">
      <c r="A67" t="s" s="8">
        <v>422</v>
      </c>
      <c r="B67" t="s" s="74">
        <f>VLOOKUP(A67,'The List'!B1:D730,3,FALSE)</f>
        <v>121</v>
      </c>
      <c r="C67" s="75">
        <f>IF('Settings'!$E$15="POINTS",RANK(E67,E3:E132),H67)</f>
        <v>63</v>
      </c>
      <c r="D67" t="s" s="42">
        <f>VLOOKUP(A67,'The List'!B1:F730,5,FALSE)</f>
        <v>166</v>
      </c>
      <c r="E67" s="46">
        <f>VLOOKUP(A67,'The List'!B1:I730,8,FALSE)</f>
        <v>281.671020114794</v>
      </c>
      <c r="F67" s="46">
        <f>IF('Settings'!$E$15="POINTS",E67-VLOOKUP(B$2,C1:E132,3,FALSE),J67)</f>
        <v>-99.957543591562</v>
      </c>
      <c r="G67" s="46"/>
      <c r="H67" s="149">
        <f>RANK(I67,I3:I132)</f>
        <v>71</v>
      </c>
      <c r="I67" s="150">
        <f>VLOOKUP(A67,'Standard Deviations'!A1:C731,3,FALSE)</f>
        <v>-0.071961960214841</v>
      </c>
      <c r="J67" s="150">
        <f>I67-VLOOKUP(B$2,H1:J132,2,FALSE)</f>
        <v>-4.80590813434392</v>
      </c>
    </row>
    <row r="68" ht="21.25" customHeight="1">
      <c r="A68" t="s" s="8">
        <v>433</v>
      </c>
      <c r="B68" t="s" s="74">
        <f>VLOOKUP(A68,'The List'!B1:D730,3,FALSE)</f>
        <v>121</v>
      </c>
      <c r="C68" s="75">
        <f>IF('Settings'!$E$15="POINTS",RANK(E68,E3:E132),H68)</f>
        <v>70</v>
      </c>
      <c r="D68" t="s" s="42">
        <f>VLOOKUP(A68,'The List'!B1:F730,5,FALSE)</f>
        <v>184</v>
      </c>
      <c r="E68" s="46">
        <f>VLOOKUP(A68,'The List'!B1:I730,8,FALSE)</f>
        <v>259.468080422560</v>
      </c>
      <c r="F68" s="46">
        <f>IF('Settings'!$E$15="POINTS",E68-VLOOKUP(B$2,C1:E132,3,FALSE),J68)</f>
        <v>-122.160483283796</v>
      </c>
      <c r="G68" s="46"/>
      <c r="H68" s="149">
        <f>RANK(I68,I3:I132)</f>
        <v>66</v>
      </c>
      <c r="I68" s="150">
        <f>VLOOKUP(A68,'Standard Deviations'!A1:C731,3,FALSE)</f>
        <v>0.335692164514917</v>
      </c>
      <c r="J68" s="150">
        <f>I68-VLOOKUP(B$2,H1:J132,2,FALSE)</f>
        <v>-4.39825400961416</v>
      </c>
    </row>
    <row r="69" ht="21.25" customHeight="1">
      <c r="A69" t="s" s="8">
        <v>439</v>
      </c>
      <c r="B69" t="s" s="74">
        <f>VLOOKUP(A69,'The List'!B1:D730,3,FALSE)</f>
        <v>187</v>
      </c>
      <c r="C69" s="75">
        <f>IF('Settings'!$E$15="POINTS",RANK(E69,E3:E132),H69)</f>
        <v>59</v>
      </c>
      <c r="D69" t="s" s="42">
        <f>VLOOKUP(A69,'The List'!B1:F730,5,FALSE)</f>
        <v>238</v>
      </c>
      <c r="E69" s="46">
        <f>VLOOKUP(A69,'The List'!B1:I730,8,FALSE)</f>
        <v>286.094737747958</v>
      </c>
      <c r="F69" s="46">
        <f>IF('Settings'!$E$15="POINTS",E69-VLOOKUP(B$2,C1:E132,3,FALSE),J69)</f>
        <v>-95.533825958398</v>
      </c>
      <c r="G69" s="46"/>
      <c r="H69" s="149">
        <f>RANK(I69,I3:I132)</f>
        <v>70</v>
      </c>
      <c r="I69" s="150">
        <f>VLOOKUP(A69,'Standard Deviations'!A1:C731,3,FALSE)</f>
        <v>0.0470929130486768</v>
      </c>
      <c r="J69" s="150">
        <f>I69-VLOOKUP(B$2,H1:J132,2,FALSE)</f>
        <v>-4.6868532610804</v>
      </c>
    </row>
    <row r="70" ht="21.25" customHeight="1">
      <c r="A70" t="s" s="8">
        <v>445</v>
      </c>
      <c r="B70" t="s" s="74">
        <f>VLOOKUP(A70,'The List'!B1:D730,3,FALSE)</f>
        <v>118</v>
      </c>
      <c r="C70" s="75">
        <f>IF('Settings'!$E$15="POINTS",RANK(E70,E3:E132),H70)</f>
        <v>67</v>
      </c>
      <c r="D70" t="s" s="42">
        <f>VLOOKUP(A70,'The List'!B1:F730,5,FALSE)</f>
        <v>184</v>
      </c>
      <c r="E70" s="46">
        <f>VLOOKUP(A70,'The List'!B1:I730,8,FALSE)</f>
        <v>265.708064485022</v>
      </c>
      <c r="F70" s="46">
        <f>IF('Settings'!$E$15="POINTS",E70-VLOOKUP(B$2,C1:E132,3,FALSE),J70)</f>
        <v>-115.920499221334</v>
      </c>
      <c r="G70" s="46"/>
      <c r="H70" s="149">
        <f>RANK(I70,I3:I132)</f>
        <v>61</v>
      </c>
      <c r="I70" s="150">
        <f>VLOOKUP(A70,'Standard Deviations'!A1:C731,3,FALSE)</f>
        <v>0.567124638483451</v>
      </c>
      <c r="J70" s="150">
        <f>I70-VLOOKUP(B$2,H1:J132,2,FALSE)</f>
        <v>-4.16682153564563</v>
      </c>
    </row>
    <row r="71" ht="21.25" customHeight="1">
      <c r="A71" t="s" s="8">
        <v>446</v>
      </c>
      <c r="B71" t="s" s="74">
        <f>VLOOKUP(A71,'The List'!B1:D730,3,FALSE)</f>
        <v>121</v>
      </c>
      <c r="C71" s="75">
        <f>IF('Settings'!$E$15="POINTS",RANK(E71,E3:E132),H71)</f>
        <v>75</v>
      </c>
      <c r="D71" t="s" s="42">
        <f>VLOOKUP(A71,'The List'!B1:F730,5,FALSE)</f>
        <v>236</v>
      </c>
      <c r="E71" s="46">
        <f>VLOOKUP(A71,'The List'!B1:I730,8,FALSE)</f>
        <v>247.803594552247</v>
      </c>
      <c r="F71" s="46">
        <f>IF('Settings'!$E$15="POINTS",E71-VLOOKUP(B$2,C1:E132,3,FALSE),J71)</f>
        <v>-133.824969154109</v>
      </c>
      <c r="G71" s="46"/>
      <c r="H71" s="149">
        <f>RANK(I71,I3:I132)</f>
        <v>81</v>
      </c>
      <c r="I71" s="150">
        <f>VLOOKUP(A71,'Standard Deviations'!A1:C731,3,FALSE)</f>
        <v>-0.83059271465519</v>
      </c>
      <c r="J71" s="150">
        <f>I71-VLOOKUP(B$2,H1:J132,2,FALSE)</f>
        <v>-5.56453888878427</v>
      </c>
    </row>
    <row r="72" ht="21.25" customHeight="1">
      <c r="A72" t="s" s="8">
        <v>451</v>
      </c>
      <c r="B72" t="s" s="74">
        <f>VLOOKUP(A72,'The List'!B1:D730,3,FALSE)</f>
        <v>121</v>
      </c>
      <c r="C72" s="75">
        <f>IF('Settings'!$E$15="POINTS",RANK(E72,E3:E132),H72)</f>
        <v>68</v>
      </c>
      <c r="D72" t="s" s="42">
        <f>VLOOKUP(A72,'The List'!B1:F730,5,FALSE)</f>
        <v>156</v>
      </c>
      <c r="E72" s="46">
        <f>VLOOKUP(A72,'The List'!B1:I730,8,FALSE)</f>
        <v>265.137059627252</v>
      </c>
      <c r="F72" s="46">
        <f>IF('Settings'!$E$15="POINTS",E72-VLOOKUP(B$2,C1:E132,3,FALSE),J72)</f>
        <v>-116.491504079104</v>
      </c>
      <c r="G72" s="46"/>
      <c r="H72" s="149">
        <f>RANK(I72,I3:I132)</f>
        <v>68</v>
      </c>
      <c r="I72" s="150">
        <f>VLOOKUP(A72,'Standard Deviations'!A1:C731,3,FALSE)</f>
        <v>0.143705731552272</v>
      </c>
      <c r="J72" s="150">
        <f>I72-VLOOKUP(B$2,H1:J132,2,FALSE)</f>
        <v>-4.59024044257681</v>
      </c>
    </row>
    <row r="73" ht="21.25" customHeight="1">
      <c r="A73" t="s" s="8">
        <v>458</v>
      </c>
      <c r="B73" t="s" s="74">
        <f>VLOOKUP(A73,'The List'!B1:D730,3,FALSE)</f>
        <v>118</v>
      </c>
      <c r="C73" s="75">
        <f>IF('Settings'!$E$15="POINTS",RANK(E73,E3:E132),H73)</f>
        <v>77</v>
      </c>
      <c r="D73" t="s" s="42">
        <f>VLOOKUP(A73,'The List'!B1:F730,5,FALSE)</f>
        <v>139</v>
      </c>
      <c r="E73" s="46">
        <f>VLOOKUP(A73,'The List'!B1:I730,8,FALSE)</f>
        <v>240.466834156187</v>
      </c>
      <c r="F73" s="46">
        <f>IF('Settings'!$E$15="POINTS",E73-VLOOKUP(B$2,C1:E132,3,FALSE),J73)</f>
        <v>-141.161729550169</v>
      </c>
      <c r="G73" s="46"/>
      <c r="H73" s="149">
        <f>RANK(I73,I3:I132)</f>
        <v>82</v>
      </c>
      <c r="I73" s="150">
        <f>VLOOKUP(A73,'Standard Deviations'!A1:C731,3,FALSE)</f>
        <v>-1.14350682122007</v>
      </c>
      <c r="J73" s="150">
        <f>I73-VLOOKUP(B$2,H1:J132,2,FALSE)</f>
        <v>-5.87745299534915</v>
      </c>
    </row>
    <row r="74" ht="21.25" customHeight="1">
      <c r="A74" t="s" s="8">
        <v>463</v>
      </c>
      <c r="B74" t="s" s="74">
        <f>VLOOKUP(A74,'The List'!B1:D730,3,FALSE)</f>
        <v>118</v>
      </c>
      <c r="C74" s="75">
        <f>IF('Settings'!$E$15="POINTS",RANK(E74,E3:E132),H74)</f>
        <v>55</v>
      </c>
      <c r="D74" t="s" s="42">
        <f>VLOOKUP(A74,'The List'!B1:F730,5,FALSE)</f>
        <v>196</v>
      </c>
      <c r="E74" s="46">
        <f>VLOOKUP(A74,'The List'!B1:I730,8,FALSE)</f>
        <v>295.322499522635</v>
      </c>
      <c r="F74" s="46">
        <f>IF('Settings'!$E$15="POINTS",E74-VLOOKUP(B$2,C1:E132,3,FALSE),J74)</f>
        <v>-86.30606418372101</v>
      </c>
      <c r="G74" s="46"/>
      <c r="H74" s="149">
        <f>RANK(I74,I3:I132)</f>
        <v>76</v>
      </c>
      <c r="I74" s="150">
        <f>VLOOKUP(A74,'Standard Deviations'!A1:C731,3,FALSE)</f>
        <v>-0.416433541903233</v>
      </c>
      <c r="J74" s="150">
        <f>I74-VLOOKUP(B$2,H1:J132,2,FALSE)</f>
        <v>-5.15037971603231</v>
      </c>
    </row>
    <row r="75" ht="21.25" customHeight="1">
      <c r="A75" t="s" s="8">
        <v>467</v>
      </c>
      <c r="B75" t="s" s="74">
        <f>VLOOKUP(A75,'The List'!B1:D730,3,FALSE)</f>
        <v>121</v>
      </c>
      <c r="C75" s="75">
        <f>IF('Settings'!$E$15="POINTS",RANK(E75,E3:E132),H75)</f>
        <v>73</v>
      </c>
      <c r="D75" t="s" s="42">
        <f>VLOOKUP(A75,'The List'!B1:F730,5,FALSE)</f>
        <v>225</v>
      </c>
      <c r="E75" s="46">
        <f>VLOOKUP(A75,'The List'!B1:I730,8,FALSE)</f>
        <v>250.417498165648</v>
      </c>
      <c r="F75" s="46">
        <f>IF('Settings'!$E$15="POINTS",E75-VLOOKUP(B$2,C1:E132,3,FALSE),J75)</f>
        <v>-131.211065540708</v>
      </c>
      <c r="G75" s="46"/>
      <c r="H75" s="149">
        <f>RANK(I75,I3:I132)</f>
        <v>84</v>
      </c>
      <c r="I75" s="150">
        <f>VLOOKUP(A75,'Standard Deviations'!A1:C731,3,FALSE)</f>
        <v>-1.38638775135235</v>
      </c>
      <c r="J75" s="150">
        <f>I75-VLOOKUP(B$2,H1:J132,2,FALSE)</f>
        <v>-6.12033392548143</v>
      </c>
    </row>
    <row r="76" ht="21.25" customHeight="1">
      <c r="A76" t="s" s="8">
        <v>472</v>
      </c>
      <c r="B76" t="s" s="74">
        <f>VLOOKUP(A76,'The List'!B1:D730,3,FALSE)</f>
        <v>121</v>
      </c>
      <c r="C76" s="75">
        <f>IF('Settings'!$E$15="POINTS",RANK(E76,E3:E132),H76)</f>
        <v>57</v>
      </c>
      <c r="D76" t="s" s="42">
        <f>VLOOKUP(A76,'The List'!B1:F730,5,FALSE)</f>
        <v>258</v>
      </c>
      <c r="E76" s="46">
        <f>VLOOKUP(A76,'The List'!B1:I730,8,FALSE)</f>
        <v>290.572393062881</v>
      </c>
      <c r="F76" s="46">
        <f>IF('Settings'!$E$15="POINTS",E76-VLOOKUP(B$2,C1:E132,3,FALSE),J76)</f>
        <v>-91.056170643475</v>
      </c>
      <c r="G76" s="46"/>
      <c r="H76" s="149">
        <f>RANK(I76,I3:I132)</f>
        <v>89</v>
      </c>
      <c r="I76" s="150">
        <f>VLOOKUP(A76,'Standard Deviations'!A1:C731,3,FALSE)</f>
        <v>-1.79074357037368</v>
      </c>
      <c r="J76" s="150">
        <f>I76-VLOOKUP(B$2,H1:J132,2,FALSE)</f>
        <v>-6.52468974450276</v>
      </c>
    </row>
    <row r="77" ht="21.25" customHeight="1">
      <c r="A77" t="s" s="8">
        <v>477</v>
      </c>
      <c r="B77" t="s" s="74">
        <f>VLOOKUP(A77,'The List'!B1:D730,3,FALSE)</f>
        <v>118</v>
      </c>
      <c r="C77" s="75">
        <f>IF('Settings'!$E$15="POINTS",RANK(E77,E3:E132),H77)</f>
        <v>80</v>
      </c>
      <c r="D77" t="s" s="42">
        <f>VLOOKUP(A77,'The List'!B1:F730,5,FALSE)</f>
        <v>234</v>
      </c>
      <c r="E77" s="46">
        <f>VLOOKUP(A77,'The List'!B1:I730,8,FALSE)</f>
        <v>230.828011753959</v>
      </c>
      <c r="F77" s="46">
        <f>IF('Settings'!$E$15="POINTS",E77-VLOOKUP(B$2,C1:E132,3,FALSE),J77)</f>
        <v>-150.800551952397</v>
      </c>
      <c r="G77" s="46"/>
      <c r="H77" s="149">
        <f>RANK(I77,I3:I132)</f>
        <v>103</v>
      </c>
      <c r="I77" s="150">
        <f>VLOOKUP(A77,'Standard Deviations'!A1:C731,3,FALSE)</f>
        <v>-3.024115818745</v>
      </c>
      <c r="J77" s="150">
        <f>I77-VLOOKUP(B$2,H1:J132,2,FALSE)</f>
        <v>-7.75806199287408</v>
      </c>
    </row>
    <row r="78" ht="21.25" customHeight="1">
      <c r="A78" t="s" s="8">
        <v>487</v>
      </c>
      <c r="B78" t="s" s="74">
        <f>VLOOKUP(A78,'The List'!B1:D730,3,FALSE)</f>
        <v>187</v>
      </c>
      <c r="C78" s="75">
        <f>IF('Settings'!$E$15="POINTS",RANK(E78,E3:E132),H78)</f>
        <v>66</v>
      </c>
      <c r="D78" t="s" s="42">
        <f>VLOOKUP(A78,'The List'!B1:F730,5,FALSE)</f>
        <v>238</v>
      </c>
      <c r="E78" s="46">
        <f>VLOOKUP(A78,'The List'!B1:I730,8,FALSE)</f>
        <v>271.737817035630</v>
      </c>
      <c r="F78" s="46">
        <f>IF('Settings'!$E$15="POINTS",E78-VLOOKUP(B$2,C1:E132,3,FALSE),J78)</f>
        <v>-109.890746670726</v>
      </c>
      <c r="G78" s="46"/>
      <c r="H78" s="149">
        <f>RANK(I78,I3:I132)</f>
        <v>65</v>
      </c>
      <c r="I78" s="150">
        <f>VLOOKUP(A78,'Standard Deviations'!A1:C731,3,FALSE)</f>
        <v>0.35014605413294</v>
      </c>
      <c r="J78" s="150">
        <f>I78-VLOOKUP(B$2,H1:J132,2,FALSE)</f>
        <v>-4.38380011999614</v>
      </c>
    </row>
    <row r="79" ht="21.25" customHeight="1">
      <c r="A79" t="s" s="8">
        <v>491</v>
      </c>
      <c r="B79" t="s" s="74">
        <f>VLOOKUP(A79,'The List'!B1:D730,3,FALSE)</f>
        <v>121</v>
      </c>
      <c r="C79" s="75">
        <f>IF('Settings'!$E$15="POINTS",RANK(E79,E3:E132),H79)</f>
        <v>76</v>
      </c>
      <c r="D79" t="s" s="42">
        <f>VLOOKUP(A79,'The List'!B1:F730,5,FALSE)</f>
        <v>149</v>
      </c>
      <c r="E79" s="46">
        <f>VLOOKUP(A79,'The List'!B1:I730,8,FALSE)</f>
        <v>245.592183327954</v>
      </c>
      <c r="F79" s="46">
        <f>IF('Settings'!$E$15="POINTS",E79-VLOOKUP(B$2,C1:E132,3,FALSE),J79)</f>
        <v>-136.036380378402</v>
      </c>
      <c r="G79" s="46"/>
      <c r="H79" s="149">
        <f>RANK(I79,I3:I132)</f>
        <v>73</v>
      </c>
      <c r="I79" s="150">
        <f>VLOOKUP(A79,'Standard Deviations'!A1:C731,3,FALSE)</f>
        <v>-0.251120038957823</v>
      </c>
      <c r="J79" s="150">
        <f>I79-VLOOKUP(B$2,H1:J132,2,FALSE)</f>
        <v>-4.9850662130869</v>
      </c>
    </row>
    <row r="80" ht="21.25" customHeight="1">
      <c r="A80" t="s" s="8">
        <v>501</v>
      </c>
      <c r="B80" t="s" s="74">
        <f>VLOOKUP(A80,'The List'!B1:D730,3,FALSE)</f>
        <v>118</v>
      </c>
      <c r="C80" s="75">
        <f>IF('Settings'!$E$15="POINTS",RANK(E80,E3:E132),H80)</f>
        <v>78</v>
      </c>
      <c r="D80" t="s" s="42">
        <f>VLOOKUP(A80,'The List'!B1:F730,5,FALSE)</f>
        <v>292</v>
      </c>
      <c r="E80" s="46">
        <f>VLOOKUP(A80,'The List'!B1:I730,8,FALSE)</f>
        <v>239.718642623044</v>
      </c>
      <c r="F80" s="46">
        <f>IF('Settings'!$E$15="POINTS",E80-VLOOKUP(B$2,C1:E132,3,FALSE),J80)</f>
        <v>-141.909921083312</v>
      </c>
      <c r="G80" s="46"/>
      <c r="H80" s="149">
        <f>RANK(I80,I3:I132)</f>
        <v>74</v>
      </c>
      <c r="I80" s="150">
        <f>VLOOKUP(A80,'Standard Deviations'!A1:C731,3,FALSE)</f>
        <v>-0.328578358352923</v>
      </c>
      <c r="J80" s="150">
        <f>I80-VLOOKUP(B$2,H1:J132,2,FALSE)</f>
        <v>-5.062524532482</v>
      </c>
    </row>
    <row r="81" ht="21.25" customHeight="1">
      <c r="A81" t="s" s="8">
        <v>512</v>
      </c>
      <c r="B81" t="s" s="74">
        <f>VLOOKUP(A81,'The List'!B1:D730,3,FALSE)</f>
        <v>187</v>
      </c>
      <c r="C81" s="75">
        <f>IF('Settings'!$E$15="POINTS",RANK(E81,E3:E132),H81)</f>
        <v>82</v>
      </c>
      <c r="D81" t="s" s="42">
        <f>VLOOKUP(A81,'The List'!B1:F730,5,FALSE)</f>
        <v>170</v>
      </c>
      <c r="E81" s="46">
        <f>VLOOKUP(A81,'The List'!B1:I730,8,FALSE)</f>
        <v>229.213799750828</v>
      </c>
      <c r="F81" s="46">
        <f>IF('Settings'!$E$15="POINTS",E81-VLOOKUP(B$2,C1:E132,3,FALSE),J81)</f>
        <v>-152.414763955528</v>
      </c>
      <c r="G81" s="46"/>
      <c r="H81" s="149">
        <f>RANK(I81,I3:I132)</f>
        <v>78</v>
      </c>
      <c r="I81" s="150">
        <f>VLOOKUP(A81,'Standard Deviations'!A1:C731,3,FALSE)</f>
        <v>-0.667546597837515</v>
      </c>
      <c r="J81" s="150">
        <f>I81-VLOOKUP(B$2,H1:J132,2,FALSE)</f>
        <v>-5.4014927719666</v>
      </c>
    </row>
    <row r="82" ht="21.25" customHeight="1">
      <c r="A82" t="s" s="8">
        <v>516</v>
      </c>
      <c r="B82" t="s" s="74">
        <f>VLOOKUP(A82,'The List'!B1:D730,3,FALSE)</f>
        <v>121</v>
      </c>
      <c r="C82" s="75">
        <f>IF('Settings'!$E$15="POINTS",RANK(E82,E3:E132),H82)</f>
        <v>81</v>
      </c>
      <c r="D82" t="s" s="42">
        <f>VLOOKUP(A82,'The List'!B1:F730,5,FALSE)</f>
        <v>151</v>
      </c>
      <c r="E82" s="46">
        <f>VLOOKUP(A82,'The List'!B1:I730,8,FALSE)</f>
        <v>230.164180124987</v>
      </c>
      <c r="F82" s="46">
        <f>IF('Settings'!$E$15="POINTS",E82-VLOOKUP(B$2,C1:E132,3,FALSE),J82)</f>
        <v>-151.464383581369</v>
      </c>
      <c r="G82" s="46"/>
      <c r="H82" s="149">
        <f>RANK(I82,I3:I132)</f>
        <v>67</v>
      </c>
      <c r="I82" s="150">
        <f>VLOOKUP(A82,'Standard Deviations'!A1:C731,3,FALSE)</f>
        <v>0.321146510025262</v>
      </c>
      <c r="J82" s="150">
        <f>I82-VLOOKUP(B$2,H1:J132,2,FALSE)</f>
        <v>-4.41279966410382</v>
      </c>
    </row>
    <row r="83" ht="21.25" customHeight="1">
      <c r="A83" t="s" s="8">
        <v>526</v>
      </c>
      <c r="B83" t="s" s="74">
        <f>VLOOKUP(A83,'The List'!B1:D730,3,FALSE)</f>
        <v>121</v>
      </c>
      <c r="C83" s="75">
        <f>IF('Settings'!$E$15="POINTS",RANK(E83,E3:E132),H83)</f>
        <v>74</v>
      </c>
      <c r="D83" t="s" s="42">
        <f>VLOOKUP(A83,'The List'!B1:F730,5,FALSE)</f>
        <v>248</v>
      </c>
      <c r="E83" s="46">
        <f>VLOOKUP(A83,'The List'!B1:I730,8,FALSE)</f>
        <v>248.026571423735</v>
      </c>
      <c r="F83" s="46">
        <f>IF('Settings'!$E$15="POINTS",E83-VLOOKUP(B$2,C1:E132,3,FALSE),J83)</f>
        <v>-133.601992282621</v>
      </c>
      <c r="G83" s="46"/>
      <c r="H83" s="149">
        <f>RANK(I83,I3:I132)</f>
        <v>72</v>
      </c>
      <c r="I83" s="150">
        <f>VLOOKUP(A83,'Standard Deviations'!A1:C731,3,FALSE)</f>
        <v>-0.168023939396486</v>
      </c>
      <c r="J83" s="150">
        <f>I83-VLOOKUP(B$2,H1:J132,2,FALSE)</f>
        <v>-4.90197011352557</v>
      </c>
    </row>
    <row r="84" ht="21.25" customHeight="1">
      <c r="A84" t="s" s="8">
        <v>550</v>
      </c>
      <c r="B84" t="s" s="74">
        <f>VLOOKUP(A84,'The List'!B1:D730,3,FALSE)</f>
        <v>121</v>
      </c>
      <c r="C84" s="75">
        <f>IF('Settings'!$E$15="POINTS",RANK(E84,E3:E132),H84)</f>
        <v>79</v>
      </c>
      <c r="D84" t="s" s="42">
        <f>VLOOKUP(A84,'The List'!B1:F730,5,FALSE)</f>
        <v>194</v>
      </c>
      <c r="E84" s="46">
        <f>VLOOKUP(A84,'The List'!B1:I730,8,FALSE)</f>
        <v>233.946165333142</v>
      </c>
      <c r="F84" s="46">
        <f>IF('Settings'!$E$15="POINTS",E84-VLOOKUP(B$2,C1:E132,3,FALSE),J84)</f>
        <v>-147.682398373214</v>
      </c>
      <c r="G84" s="46"/>
      <c r="H84" s="149">
        <f>RANK(I84,I3:I132)</f>
        <v>91</v>
      </c>
      <c r="I84" s="150">
        <f>VLOOKUP(A84,'Standard Deviations'!A1:C731,3,FALSE)</f>
        <v>-2.33324153255082</v>
      </c>
      <c r="J84" s="150">
        <f>I84-VLOOKUP(B$2,H1:J132,2,FALSE)</f>
        <v>-7.0671877066799</v>
      </c>
    </row>
    <row r="85" ht="21.25" customHeight="1">
      <c r="A85" t="s" s="8">
        <v>562</v>
      </c>
      <c r="B85" t="s" s="74">
        <f>VLOOKUP(A85,'The List'!B1:D730,3,FALSE)</f>
        <v>121</v>
      </c>
      <c r="C85" s="75">
        <f>IF('Settings'!$E$15="POINTS",RANK(E85,E3:E132),H85)</f>
        <v>94</v>
      </c>
      <c r="D85" t="s" s="42">
        <f>VLOOKUP(A85,'The List'!B1:F730,5,FALSE)</f>
        <v>292</v>
      </c>
      <c r="E85" s="46">
        <f>VLOOKUP(A85,'The List'!B1:I730,8,FALSE)</f>
        <v>196.993987309359</v>
      </c>
      <c r="F85" s="46">
        <f>IF('Settings'!$E$15="POINTS",E85-VLOOKUP(B$2,C1:E132,3,FALSE),J85)</f>
        <v>-184.634576396997</v>
      </c>
      <c r="G85" s="46"/>
      <c r="H85" s="149">
        <f>RANK(I85,I3:I132)</f>
        <v>87</v>
      </c>
      <c r="I85" s="150">
        <f>VLOOKUP(A85,'Standard Deviations'!A1:C731,3,FALSE)</f>
        <v>-1.6328076589169</v>
      </c>
      <c r="J85" s="150">
        <f>I85-VLOOKUP(B$2,H1:J132,2,FALSE)</f>
        <v>-6.36675383304598</v>
      </c>
    </row>
    <row r="86" ht="21.25" customHeight="1">
      <c r="A86" t="s" s="8">
        <v>574</v>
      </c>
      <c r="B86" t="s" s="74">
        <f>VLOOKUP(A86,'The List'!B1:D730,3,FALSE)</f>
        <v>118</v>
      </c>
      <c r="C86" s="75">
        <f>IF('Settings'!$E$15="POINTS",RANK(E86,E3:E132),H86)</f>
        <v>93</v>
      </c>
      <c r="D86" t="s" s="42">
        <f>VLOOKUP(A86,'The List'!B1:F730,5,FALSE)</f>
        <v>202</v>
      </c>
      <c r="E86" s="46">
        <f>VLOOKUP(A86,'The List'!B1:I730,8,FALSE)</f>
        <v>198.802426282726</v>
      </c>
      <c r="F86" s="46">
        <f>IF('Settings'!$E$15="POINTS",E86-VLOOKUP(B$2,C1:E132,3,FALSE),J86)</f>
        <v>-182.826137423630</v>
      </c>
      <c r="G86" s="46"/>
      <c r="H86" s="149">
        <f>RANK(I86,I3:I132)</f>
        <v>64</v>
      </c>
      <c r="I86" s="150">
        <f>VLOOKUP(A86,'Standard Deviations'!A1:C731,3,FALSE)</f>
        <v>0.364484398385617</v>
      </c>
      <c r="J86" s="150">
        <f>I86-VLOOKUP(B$2,H1:J132,2,FALSE)</f>
        <v>-4.36946177574346</v>
      </c>
    </row>
    <row r="87" ht="21.25" customHeight="1">
      <c r="A87" t="s" s="8">
        <v>581</v>
      </c>
      <c r="B87" t="s" s="74">
        <f>VLOOKUP(A87,'The List'!B1:D730,3,FALSE)</f>
        <v>121</v>
      </c>
      <c r="C87" s="75">
        <f>IF('Settings'!$E$15="POINTS",RANK(E87,E3:E132),H87)</f>
        <v>92</v>
      </c>
      <c r="D87" t="s" s="42">
        <f>VLOOKUP(A87,'The List'!B1:F730,5,FALSE)</f>
        <v>139</v>
      </c>
      <c r="E87" s="46">
        <f>VLOOKUP(A87,'The List'!B1:I730,8,FALSE)</f>
        <v>198.853361317536</v>
      </c>
      <c r="F87" s="46">
        <f>IF('Settings'!$E$15="POINTS",E87-VLOOKUP(B$2,C1:E132,3,FALSE),J87)</f>
        <v>-182.775202388820</v>
      </c>
      <c r="G87" s="46"/>
      <c r="H87" s="149">
        <f>RANK(I87,I3:I132)</f>
        <v>93</v>
      </c>
      <c r="I87" s="150">
        <f>VLOOKUP(A87,'Standard Deviations'!A1:C731,3,FALSE)</f>
        <v>-2.41667444055779</v>
      </c>
      <c r="J87" s="150">
        <f>I87-VLOOKUP(B$2,H1:J132,2,FALSE)</f>
        <v>-7.15062061468687</v>
      </c>
    </row>
    <row r="88" ht="21.25" customHeight="1">
      <c r="A88" t="s" s="8">
        <v>590</v>
      </c>
      <c r="B88" t="s" s="74">
        <f>VLOOKUP(A88,'The List'!B1:D730,3,FALSE)</f>
        <v>121</v>
      </c>
      <c r="C88" s="75">
        <f>IF('Settings'!$E$15="POINTS",RANK(E88,E3:E132),H88)</f>
        <v>85</v>
      </c>
      <c r="D88" t="s" s="42">
        <f>VLOOKUP(A88,'The List'!B1:F730,5,FALSE)</f>
        <v>108</v>
      </c>
      <c r="E88" s="46">
        <f>VLOOKUP(A88,'The List'!B1:I730,8,FALSE)</f>
        <v>210.749644052999</v>
      </c>
      <c r="F88" s="46">
        <f>IF('Settings'!$E$15="POINTS",E88-VLOOKUP(B$2,C1:E132,3,FALSE),J88)</f>
        <v>-170.878919653357</v>
      </c>
      <c r="G88" s="46"/>
      <c r="H88" s="149">
        <f>RANK(I88,I3:I132)</f>
        <v>79</v>
      </c>
      <c r="I88" s="150">
        <f>VLOOKUP(A88,'Standard Deviations'!A1:C731,3,FALSE)</f>
        <v>-0.691365220513894</v>
      </c>
      <c r="J88" s="150">
        <f>I88-VLOOKUP(B$2,H1:J132,2,FALSE)</f>
        <v>-5.42531139464297</v>
      </c>
    </row>
    <row r="89" ht="21.25" customHeight="1">
      <c r="A89" t="s" s="8">
        <v>600</v>
      </c>
      <c r="B89" t="s" s="74">
        <f>VLOOKUP(A89,'The List'!B1:D730,3,FALSE)</f>
        <v>121</v>
      </c>
      <c r="C89" s="75">
        <f>IF('Settings'!$E$15="POINTS",RANK(E89,E3:E132),H89)</f>
        <v>90</v>
      </c>
      <c r="D89" t="s" s="42">
        <f>VLOOKUP(A89,'The List'!B1:F730,5,FALSE)</f>
        <v>136</v>
      </c>
      <c r="E89" s="46">
        <f>VLOOKUP(A89,'The List'!B1:I730,8,FALSE)</f>
        <v>200.113037397079</v>
      </c>
      <c r="F89" s="46">
        <f>IF('Settings'!$E$15="POINTS",E89-VLOOKUP(B$2,C1:E132,3,FALSE),J89)</f>
        <v>-181.515526309277</v>
      </c>
      <c r="G89" s="46"/>
      <c r="H89" s="149">
        <f>RANK(I89,I3:I132)</f>
        <v>75</v>
      </c>
      <c r="I89" s="150">
        <f>VLOOKUP(A89,'Standard Deviations'!A1:C731,3,FALSE)</f>
        <v>-0.356357240331235</v>
      </c>
      <c r="J89" s="150">
        <f>I89-VLOOKUP(B$2,H1:J132,2,FALSE)</f>
        <v>-5.09030341446032</v>
      </c>
    </row>
    <row r="90" ht="21.25" customHeight="1">
      <c r="A90" t="s" s="8">
        <v>608</v>
      </c>
      <c r="B90" t="s" s="74">
        <f>VLOOKUP(A90,'The List'!B1:D730,3,FALSE)</f>
        <v>121</v>
      </c>
      <c r="C90" s="75">
        <f>IF('Settings'!$E$15="POINTS",RANK(E90,E3:E132),H90)</f>
        <v>91</v>
      </c>
      <c r="D90" t="s" s="42">
        <f>VLOOKUP(A90,'The List'!B1:F730,5,FALSE)</f>
        <v>258</v>
      </c>
      <c r="E90" s="46">
        <f>VLOOKUP(A90,'The List'!B1:I730,8,FALSE)</f>
        <v>199.854394714350</v>
      </c>
      <c r="F90" s="46">
        <f>IF('Settings'!$E$15="POINTS",E90-VLOOKUP(B$2,C1:E132,3,FALSE),J90)</f>
        <v>-181.774168992006</v>
      </c>
      <c r="G90" s="46"/>
      <c r="H90" s="149">
        <f>RANK(I90,I3:I132)</f>
        <v>99</v>
      </c>
      <c r="I90" s="150">
        <f>VLOOKUP(A90,'Standard Deviations'!A1:C731,3,FALSE)</f>
        <v>-2.7415342366348</v>
      </c>
      <c r="J90" s="150">
        <f>I90-VLOOKUP(B$2,H1:J132,2,FALSE)</f>
        <v>-7.47548041076388</v>
      </c>
    </row>
    <row r="91" ht="21.25" customHeight="1">
      <c r="A91" t="s" s="8">
        <v>612</v>
      </c>
      <c r="B91" t="s" s="74">
        <f>VLOOKUP(A91,'The List'!B1:D730,3,FALSE)</f>
        <v>121</v>
      </c>
      <c r="C91" s="75">
        <f>IF('Settings'!$E$15="POINTS",RANK(E91,E3:E132),H91)</f>
        <v>86</v>
      </c>
      <c r="D91" t="s" s="42">
        <f>VLOOKUP(A91,'The List'!B1:F730,5,FALSE)</f>
        <v>166</v>
      </c>
      <c r="E91" s="46">
        <f>VLOOKUP(A91,'The List'!B1:I730,8,FALSE)</f>
        <v>210.351963517365</v>
      </c>
      <c r="F91" s="46">
        <f>IF('Settings'!$E$15="POINTS",E91-VLOOKUP(B$2,C1:E132,3,FALSE),J91)</f>
        <v>-171.276600188991</v>
      </c>
      <c r="G91" s="46"/>
      <c r="H91" s="149">
        <f>RANK(I91,I3:I132)</f>
        <v>92</v>
      </c>
      <c r="I91" s="150">
        <f>VLOOKUP(A91,'Standard Deviations'!A1:C731,3,FALSE)</f>
        <v>-2.39736964952414</v>
      </c>
      <c r="J91" s="150">
        <f>I91-VLOOKUP(B$2,H1:J132,2,FALSE)</f>
        <v>-7.13131582365322</v>
      </c>
    </row>
    <row r="92" ht="21.25" customHeight="1">
      <c r="A92" t="s" s="8">
        <v>616</v>
      </c>
      <c r="B92" t="s" s="74">
        <f>VLOOKUP(A92,'The List'!B1:D730,3,FALSE)</f>
        <v>121</v>
      </c>
      <c r="C92" s="75">
        <f>IF('Settings'!$E$15="POINTS",RANK(E92,E3:E132),H92)</f>
        <v>87</v>
      </c>
      <c r="D92" t="s" s="42">
        <f>VLOOKUP(A92,'The List'!B1:F730,5,FALSE)</f>
        <v>141</v>
      </c>
      <c r="E92" s="46">
        <f>VLOOKUP(A92,'The List'!B1:I730,8,FALSE)</f>
        <v>207.641638814847</v>
      </c>
      <c r="F92" s="46">
        <f>IF('Settings'!$E$15="POINTS",E92-VLOOKUP(B$2,C1:E132,3,FALSE),J92)</f>
        <v>-173.986924891509</v>
      </c>
      <c r="G92" s="46"/>
      <c r="H92" s="149">
        <f>RANK(I92,I3:I132)</f>
        <v>88</v>
      </c>
      <c r="I92" s="150">
        <f>VLOOKUP(A92,'Standard Deviations'!A1:C731,3,FALSE)</f>
        <v>-1.76683959434349</v>
      </c>
      <c r="J92" s="150">
        <f>I92-VLOOKUP(B$2,H1:J132,2,FALSE)</f>
        <v>-6.50078576847257</v>
      </c>
    </row>
    <row r="93" ht="21.25" customHeight="1">
      <c r="A93" t="s" s="8">
        <v>621</v>
      </c>
      <c r="B93" t="s" s="74">
        <f>VLOOKUP(A93,'The List'!B1:D730,3,FALSE)</f>
        <v>121</v>
      </c>
      <c r="C93" s="75">
        <f>IF('Settings'!$E$15="POINTS",RANK(E93,E3:E132),H93)</f>
        <v>88</v>
      </c>
      <c r="D93" t="s" s="42">
        <f>VLOOKUP(A93,'The List'!B1:F730,5,FALSE)</f>
        <v>149</v>
      </c>
      <c r="E93" s="46">
        <f>VLOOKUP(A93,'The List'!B1:I730,8,FALSE)</f>
        <v>204.157689083282</v>
      </c>
      <c r="F93" s="46">
        <f>IF('Settings'!$E$15="POINTS",E93-VLOOKUP(B$2,C1:E132,3,FALSE),J93)</f>
        <v>-177.470874623074</v>
      </c>
      <c r="G93" s="46"/>
      <c r="H93" s="149">
        <f>RANK(I93,I3:I132)</f>
        <v>86</v>
      </c>
      <c r="I93" s="150">
        <f>VLOOKUP(A93,'Standard Deviations'!A1:C731,3,FALSE)</f>
        <v>-1.56678994989906</v>
      </c>
      <c r="J93" s="150">
        <f>I93-VLOOKUP(B$2,H1:J132,2,FALSE)</f>
        <v>-6.30073612402814</v>
      </c>
    </row>
    <row r="94" ht="21.25" customHeight="1">
      <c r="A94" t="s" s="8">
        <v>629</v>
      </c>
      <c r="B94" t="s" s="74">
        <f>VLOOKUP(A94,'The List'!B1:D730,3,FALSE)</f>
        <v>187</v>
      </c>
      <c r="C94" s="75">
        <f>IF('Settings'!$E$15="POINTS",RANK(E94,E3:E132),H94)</f>
        <v>83</v>
      </c>
      <c r="D94" t="s" s="42">
        <f>VLOOKUP(A94,'The List'!B1:F730,5,FALSE)</f>
        <v>122</v>
      </c>
      <c r="E94" s="46">
        <f>VLOOKUP(A94,'The List'!B1:I730,8,FALSE)</f>
        <v>222.444897425510</v>
      </c>
      <c r="F94" s="46">
        <f>IF('Settings'!$E$15="POINTS",E94-VLOOKUP(B$2,C1:E132,3,FALSE),J94)</f>
        <v>-159.183666280846</v>
      </c>
      <c r="G94" s="46"/>
      <c r="H94" s="149">
        <f>RANK(I94,I3:I132)</f>
        <v>77</v>
      </c>
      <c r="I94" s="150">
        <f>VLOOKUP(A94,'Standard Deviations'!A1:C731,3,FALSE)</f>
        <v>-0.666306145982336</v>
      </c>
      <c r="J94" s="150">
        <f>I94-VLOOKUP(B$2,H1:J132,2,FALSE)</f>
        <v>-5.40025232011142</v>
      </c>
    </row>
    <row r="95" ht="21.25" customHeight="1">
      <c r="A95" t="s" s="8">
        <v>642</v>
      </c>
      <c r="B95" t="s" s="74">
        <f>VLOOKUP(A95,'The List'!B1:D730,3,FALSE)</f>
        <v>121</v>
      </c>
      <c r="C95" s="75">
        <f>IF('Settings'!$E$15="POINTS",RANK(E95,E3:E132),H95)</f>
        <v>106</v>
      </c>
      <c r="D95" t="s" s="42">
        <f>VLOOKUP(A95,'The List'!B1:F730,5,FALSE)</f>
        <v>204</v>
      </c>
      <c r="E95" s="46">
        <f>VLOOKUP(A95,'The List'!B1:I730,8,FALSE)</f>
        <v>173.046607244497</v>
      </c>
      <c r="F95" s="46">
        <f>IF('Settings'!$E$15="POINTS",E95-VLOOKUP(B$2,C1:E132,3,FALSE),J95)</f>
        <v>-208.581956461859</v>
      </c>
      <c r="G95" s="46"/>
      <c r="H95" s="149">
        <f>RANK(I95,I3:I132)</f>
        <v>90</v>
      </c>
      <c r="I95" s="150">
        <f>VLOOKUP(A95,'Standard Deviations'!A1:C731,3,FALSE)</f>
        <v>-2.21273615125833</v>
      </c>
      <c r="J95" s="150">
        <f>I95-VLOOKUP(B$2,H1:J132,2,FALSE)</f>
        <v>-6.94668232538741</v>
      </c>
    </row>
    <row r="96" ht="21.25" customHeight="1">
      <c r="A96" t="s" s="8">
        <v>661</v>
      </c>
      <c r="B96" t="s" s="74">
        <f>VLOOKUP(A96,'The List'!B1:D730,3,FALSE)</f>
        <v>121</v>
      </c>
      <c r="C96" s="75">
        <f>IF('Settings'!$E$15="POINTS",RANK(E96,E3:E132),H96)</f>
        <v>109</v>
      </c>
      <c r="D96" t="s" s="42">
        <f>VLOOKUP(A96,'The List'!B1:F730,5,FALSE)</f>
        <v>234</v>
      </c>
      <c r="E96" s="46">
        <f>VLOOKUP(A96,'The List'!B1:I730,8,FALSE)</f>
        <v>171.844184785250</v>
      </c>
      <c r="F96" s="46">
        <f>IF('Settings'!$E$15="POINTS",E96-VLOOKUP(B$2,C1:E132,3,FALSE),J96)</f>
        <v>-209.784378921106</v>
      </c>
      <c r="G96" s="46"/>
      <c r="H96" s="149">
        <f>RANK(I96,I3:I132)</f>
        <v>119</v>
      </c>
      <c r="I96" s="150">
        <f>VLOOKUP(A96,'Standard Deviations'!A1:C731,3,FALSE)</f>
        <v>-4.19616417330058</v>
      </c>
      <c r="J96" s="150">
        <f>I96-VLOOKUP(B$2,H1:J132,2,FALSE)</f>
        <v>-8.930110347429659</v>
      </c>
    </row>
    <row r="97" ht="21.25" customHeight="1">
      <c r="A97" t="s" s="8">
        <v>663</v>
      </c>
      <c r="B97" t="s" s="74">
        <f>VLOOKUP(A97,'The List'!B1:D730,3,FALSE)</f>
        <v>121</v>
      </c>
      <c r="C97" s="75">
        <f>IF('Settings'!$E$15="POINTS",RANK(E97,E3:E132),H97)</f>
        <v>96</v>
      </c>
      <c r="D97" t="s" s="42">
        <f>VLOOKUP(A97,'The List'!B1:F730,5,FALSE)</f>
        <v>248</v>
      </c>
      <c r="E97" s="46">
        <f>VLOOKUP(A97,'The List'!B1:I730,8,FALSE)</f>
        <v>194.360082321347</v>
      </c>
      <c r="F97" s="46">
        <f>IF('Settings'!$E$15="POINTS",E97-VLOOKUP(B$2,C1:E132,3,FALSE),J97)</f>
        <v>-187.268481385009</v>
      </c>
      <c r="G97" s="46"/>
      <c r="H97" s="149">
        <f>RANK(I97,I3:I132)</f>
        <v>95</v>
      </c>
      <c r="I97" s="150">
        <f>VLOOKUP(A97,'Standard Deviations'!A1:C731,3,FALSE)</f>
        <v>-2.49174004830544</v>
      </c>
      <c r="J97" s="150">
        <f>I97-VLOOKUP(B$2,H1:J132,2,FALSE)</f>
        <v>-7.22568622243452</v>
      </c>
    </row>
    <row r="98" ht="21.25" customHeight="1">
      <c r="A98" t="s" s="8">
        <v>671</v>
      </c>
      <c r="B98" t="s" s="74">
        <f>VLOOKUP(A98,'The List'!B1:D730,3,FALSE)</f>
        <v>121</v>
      </c>
      <c r="C98" s="75">
        <f>IF('Settings'!$E$15="POINTS",RANK(E98,E3:E132),H98)</f>
        <v>102</v>
      </c>
      <c r="D98" t="s" s="42">
        <f>VLOOKUP(A98,'The List'!B1:F730,5,FALSE)</f>
        <v>189</v>
      </c>
      <c r="E98" s="46">
        <f>VLOOKUP(A98,'The List'!B1:I730,8,FALSE)</f>
        <v>178.252901601030</v>
      </c>
      <c r="F98" s="46">
        <f>IF('Settings'!$E$15="POINTS",E98-VLOOKUP(B$2,C1:E132,3,FALSE),J98)</f>
        <v>-203.375662105326</v>
      </c>
      <c r="G98" s="46"/>
      <c r="H98" s="149">
        <f>RANK(I98,I3:I132)</f>
        <v>101</v>
      </c>
      <c r="I98" s="150">
        <f>VLOOKUP(A98,'Standard Deviations'!A1:C731,3,FALSE)</f>
        <v>-2.8924942333634</v>
      </c>
      <c r="J98" s="150">
        <f>I98-VLOOKUP(B$2,H1:J132,2,FALSE)</f>
        <v>-7.62644040749248</v>
      </c>
    </row>
    <row r="99" ht="21.25" customHeight="1">
      <c r="A99" t="s" s="8">
        <v>672</v>
      </c>
      <c r="B99" t="s" s="74">
        <f>VLOOKUP(A99,'The List'!B1:D730,3,FALSE)</f>
        <v>121</v>
      </c>
      <c r="C99" s="75">
        <f>IF('Settings'!$E$15="POINTS",RANK(E99,E3:E132),H99)</f>
        <v>113</v>
      </c>
      <c r="D99" t="s" s="42">
        <f>VLOOKUP(A99,'The List'!B1:F730,5,FALSE)</f>
        <v>292</v>
      </c>
      <c r="E99" s="46">
        <f>VLOOKUP(A99,'The List'!B1:I730,8,FALSE)</f>
        <v>164.656516620562</v>
      </c>
      <c r="F99" s="46">
        <f>IF('Settings'!$E$15="POINTS",E99-VLOOKUP(B$2,C1:E132,3,FALSE),J99)</f>
        <v>-216.972047085794</v>
      </c>
      <c r="G99" s="46"/>
      <c r="H99" s="149">
        <f>RANK(I99,I3:I132)</f>
        <v>100</v>
      </c>
      <c r="I99" s="150">
        <f>VLOOKUP(A99,'Standard Deviations'!A1:C731,3,FALSE)</f>
        <v>-2.75819664674031</v>
      </c>
      <c r="J99" s="150">
        <f>I99-VLOOKUP(B$2,H1:J132,2,FALSE)</f>
        <v>-7.49214282086939</v>
      </c>
    </row>
    <row r="100" ht="21.25" customHeight="1">
      <c r="A100" t="s" s="8">
        <v>685</v>
      </c>
      <c r="B100" t="s" s="74">
        <f>VLOOKUP(A100,'The List'!B1:D730,3,FALSE)</f>
        <v>121</v>
      </c>
      <c r="C100" s="75">
        <f>IF('Settings'!$E$15="POINTS",RANK(E100,E3:E132),H100)</f>
        <v>108</v>
      </c>
      <c r="D100" t="s" s="42">
        <f>VLOOKUP(A100,'The List'!B1:F730,5,FALSE)</f>
        <v>225</v>
      </c>
      <c r="E100" s="46">
        <f>VLOOKUP(A100,'The List'!B1:I730,8,FALSE)</f>
        <v>172.547901429438</v>
      </c>
      <c r="F100" s="46">
        <f>IF('Settings'!$E$15="POINTS",E100-VLOOKUP(B$2,C1:E132,3,FALSE),J100)</f>
        <v>-209.080662276918</v>
      </c>
      <c r="G100" s="46"/>
      <c r="H100" s="149">
        <f>RANK(I100,I3:I132)</f>
        <v>114</v>
      </c>
      <c r="I100" s="150">
        <f>VLOOKUP(A100,'Standard Deviations'!A1:C731,3,FALSE)</f>
        <v>-3.92890765677454</v>
      </c>
      <c r="J100" s="150">
        <f>I100-VLOOKUP(B$2,H1:J132,2,FALSE)</f>
        <v>-8.66285383090362</v>
      </c>
    </row>
    <row r="101" ht="21.25" customHeight="1">
      <c r="A101" t="s" s="8">
        <v>690</v>
      </c>
      <c r="B101" t="s" s="74">
        <f>VLOOKUP(A101,'The List'!B1:D730,3,FALSE)</f>
        <v>121</v>
      </c>
      <c r="C101" s="75">
        <f>IF('Settings'!$E$15="POINTS",RANK(E101,E3:E132),H101)</f>
        <v>103</v>
      </c>
      <c r="D101" t="s" s="42">
        <f>VLOOKUP(A101,'The List'!B1:F730,5,FALSE)</f>
        <v>139</v>
      </c>
      <c r="E101" s="46">
        <f>VLOOKUP(A101,'The List'!B1:I730,8,FALSE)</f>
        <v>177.009920653014</v>
      </c>
      <c r="F101" s="46">
        <f>IF('Settings'!$E$15="POINTS",E101-VLOOKUP(B$2,C1:E132,3,FALSE),J101)</f>
        <v>-204.618643053342</v>
      </c>
      <c r="G101" s="46"/>
      <c r="H101" s="149">
        <f>RANK(I101,I3:I132)</f>
        <v>108</v>
      </c>
      <c r="I101" s="150">
        <f>VLOOKUP(A101,'Standard Deviations'!A1:C731,3,FALSE)</f>
        <v>-3.36358286016258</v>
      </c>
      <c r="J101" s="150">
        <f>I101-VLOOKUP(B$2,H1:J132,2,FALSE)</f>
        <v>-8.097529034291661</v>
      </c>
    </row>
    <row r="102" ht="21.25" customHeight="1">
      <c r="A102" t="s" s="8">
        <v>691</v>
      </c>
      <c r="B102" t="s" s="74">
        <f>VLOOKUP(A102,'The List'!B1:D730,3,FALSE)</f>
        <v>121</v>
      </c>
      <c r="C102" s="75">
        <f>IF('Settings'!$E$15="POINTS",RANK(E102,E3:E132),H102)</f>
        <v>110</v>
      </c>
      <c r="D102" t="s" s="42">
        <f>VLOOKUP(A102,'The List'!B1:F730,5,FALSE)</f>
        <v>292</v>
      </c>
      <c r="E102" s="46">
        <f>VLOOKUP(A102,'The List'!B1:I730,8,FALSE)</f>
        <v>171.073146858314</v>
      </c>
      <c r="F102" s="46">
        <f>IF('Settings'!$E$15="POINTS",E102-VLOOKUP(B$2,C1:E132,3,FALSE),J102)</f>
        <v>-210.555416848042</v>
      </c>
      <c r="G102" s="46"/>
      <c r="H102" s="149">
        <f>RANK(I102,I3:I132)</f>
        <v>96</v>
      </c>
      <c r="I102" s="150">
        <f>VLOOKUP(A102,'Standard Deviations'!A1:C731,3,FALSE)</f>
        <v>-2.6388452699481</v>
      </c>
      <c r="J102" s="150">
        <f>I102-VLOOKUP(B$2,H1:J132,2,FALSE)</f>
        <v>-7.37279144407718</v>
      </c>
    </row>
    <row r="103" ht="21.25" customHeight="1">
      <c r="A103" t="s" s="8">
        <v>699</v>
      </c>
      <c r="B103" t="s" s="74">
        <f>VLOOKUP(A103,'The List'!B1:D730,3,FALSE)</f>
        <v>121</v>
      </c>
      <c r="C103" s="75">
        <f>IF('Settings'!$E$15="POINTS",RANK(E103,E3:E132),H103)</f>
        <v>119</v>
      </c>
      <c r="D103" t="s" s="42">
        <f>VLOOKUP(A103,'The List'!B1:F730,5,FALSE)</f>
        <v>139</v>
      </c>
      <c r="E103" s="46">
        <f>VLOOKUP(A103,'The List'!B1:I730,8,FALSE)</f>
        <v>157.183292644769</v>
      </c>
      <c r="F103" s="46">
        <f>IF('Settings'!$E$15="POINTS",E103-VLOOKUP(B$2,C1:E132,3,FALSE),J103)</f>
        <v>-224.445271061587</v>
      </c>
      <c r="G103" s="46"/>
      <c r="H103" s="149">
        <f>RANK(I103,I3:I132)</f>
        <v>104</v>
      </c>
      <c r="I103" s="150">
        <f>VLOOKUP(A103,'Standard Deviations'!A1:C731,3,FALSE)</f>
        <v>-3.15780926522827</v>
      </c>
      <c r="J103" s="150">
        <f>I103-VLOOKUP(B$2,H1:J132,2,FALSE)</f>
        <v>-7.89175543935735</v>
      </c>
    </row>
    <row r="104" ht="21.25" customHeight="1">
      <c r="A104" t="s" s="8">
        <v>701</v>
      </c>
      <c r="B104" t="s" s="74">
        <f>VLOOKUP(A104,'The List'!B1:D730,3,FALSE)</f>
        <v>121</v>
      </c>
      <c r="C104" s="75">
        <f>IF('Settings'!$E$15="POINTS",RANK(E104,E3:E132),H104)</f>
        <v>97</v>
      </c>
      <c r="D104" t="s" s="42">
        <f>VLOOKUP(A104,'The List'!B1:F730,5,FALSE)</f>
        <v>113</v>
      </c>
      <c r="E104" s="46">
        <f>VLOOKUP(A104,'The List'!B1:I730,8,FALSE)</f>
        <v>192.800673557396</v>
      </c>
      <c r="F104" s="46">
        <f>IF('Settings'!$E$15="POINTS",E104-VLOOKUP(B$2,C1:E132,3,FALSE),J104)</f>
        <v>-188.827890148960</v>
      </c>
      <c r="G104" s="46"/>
      <c r="H104" s="149">
        <f>RANK(I104,I3:I132)</f>
        <v>85</v>
      </c>
      <c r="I104" s="150">
        <f>VLOOKUP(A104,'Standard Deviations'!A1:C731,3,FALSE)</f>
        <v>-1.56606951236804</v>
      </c>
      <c r="J104" s="150">
        <f>I104-VLOOKUP(B$2,H1:J132,2,FALSE)</f>
        <v>-6.30001568649712</v>
      </c>
    </row>
    <row r="105" ht="21.25" customHeight="1">
      <c r="A105" t="s" s="8">
        <v>704</v>
      </c>
      <c r="B105" t="s" s="74">
        <f>VLOOKUP(A105,'The List'!B1:D730,3,FALSE)</f>
        <v>118</v>
      </c>
      <c r="C105" s="75">
        <f>IF('Settings'!$E$15="POINTS",RANK(E105,E3:E132),H105)</f>
        <v>107</v>
      </c>
      <c r="D105" t="s" s="42">
        <f>VLOOKUP(A105,'The List'!B1:F730,5,FALSE)</f>
        <v>189</v>
      </c>
      <c r="E105" s="46">
        <f>VLOOKUP(A105,'The List'!B1:I730,8,FALSE)</f>
        <v>172.852951068026</v>
      </c>
      <c r="F105" s="46">
        <f>IF('Settings'!$E$15="POINTS",E105-VLOOKUP(B$2,C1:E132,3,FALSE),J105)</f>
        <v>-208.775612638330</v>
      </c>
      <c r="G105" s="46"/>
      <c r="H105" s="149">
        <f>RANK(I105,I3:I132)</f>
        <v>115</v>
      </c>
      <c r="I105" s="150">
        <f>VLOOKUP(A105,'Standard Deviations'!A1:C731,3,FALSE)</f>
        <v>-4.08911533290388</v>
      </c>
      <c r="J105" s="150">
        <f>I105-VLOOKUP(B$2,H1:J132,2,FALSE)</f>
        <v>-8.823061507032961</v>
      </c>
    </row>
    <row r="106" ht="21.25" customHeight="1">
      <c r="A106" t="s" s="8">
        <v>709</v>
      </c>
      <c r="B106" t="s" s="74">
        <f>VLOOKUP(A106,'The List'!B1:D730,3,FALSE)</f>
        <v>121</v>
      </c>
      <c r="C106" s="75">
        <f>IF('Settings'!$E$15="POINTS",RANK(E106,E3:E132),H106)</f>
        <v>100</v>
      </c>
      <c r="D106" t="s" s="42">
        <f>VLOOKUP(A106,'The List'!B1:F730,5,FALSE)</f>
        <v>202</v>
      </c>
      <c r="E106" s="46">
        <f>VLOOKUP(A106,'The List'!B1:I730,8,FALSE)</f>
        <v>185.889390417866</v>
      </c>
      <c r="F106" s="46">
        <f>IF('Settings'!$E$15="POINTS",E106-VLOOKUP(B$2,C1:E132,3,FALSE),J106)</f>
        <v>-195.739173288490</v>
      </c>
      <c r="G106" s="46"/>
      <c r="H106" s="149">
        <f>RANK(I106,I3:I132)</f>
        <v>83</v>
      </c>
      <c r="I106" s="150">
        <f>VLOOKUP(A106,'Standard Deviations'!A1:C731,3,FALSE)</f>
        <v>-1.23444741462918</v>
      </c>
      <c r="J106" s="150">
        <f>I106-VLOOKUP(B$2,H1:J132,2,FALSE)</f>
        <v>-5.96839358875826</v>
      </c>
    </row>
    <row r="107" ht="21.25" customHeight="1">
      <c r="A107" t="s" s="8">
        <v>716</v>
      </c>
      <c r="B107" t="s" s="74">
        <f>VLOOKUP(A107,'The List'!B1:D730,3,FALSE)</f>
        <v>121</v>
      </c>
      <c r="C107" s="75">
        <f>IF('Settings'!$E$15="POINTS",RANK(E107,E3:E132),H107)</f>
        <v>99</v>
      </c>
      <c r="D107" t="s" s="42">
        <f>VLOOKUP(A107,'The List'!B1:F730,5,FALSE)</f>
        <v>173</v>
      </c>
      <c r="E107" s="46">
        <f>VLOOKUP(A107,'The List'!B1:I730,8,FALSE)</f>
        <v>187.865949512912</v>
      </c>
      <c r="F107" s="46">
        <f>IF('Settings'!$E$15="POINTS",E107-VLOOKUP(B$2,C1:E132,3,FALSE),J107)</f>
        <v>-193.762614193444</v>
      </c>
      <c r="G107" s="46"/>
      <c r="H107" s="149">
        <f>RANK(I107,I3:I132)</f>
        <v>97</v>
      </c>
      <c r="I107" s="150">
        <f>VLOOKUP(A107,'Standard Deviations'!A1:C731,3,FALSE)</f>
        <v>-2.66963109533175</v>
      </c>
      <c r="J107" s="150">
        <f>I107-VLOOKUP(B$2,H1:J132,2,FALSE)</f>
        <v>-7.40357726946083</v>
      </c>
    </row>
    <row r="108" ht="21.25" customHeight="1">
      <c r="A108" t="s" s="8">
        <v>720</v>
      </c>
      <c r="B108" t="s" s="74">
        <f>VLOOKUP(A108,'The List'!B1:D730,3,FALSE)</f>
        <v>121</v>
      </c>
      <c r="C108" s="75">
        <f>IF('Settings'!$E$15="POINTS",RANK(E108,E3:E132),H108)</f>
        <v>121</v>
      </c>
      <c r="D108" t="s" s="42">
        <f>VLOOKUP(A108,'The List'!B1:F730,5,FALSE)</f>
        <v>127</v>
      </c>
      <c r="E108" s="46">
        <f>VLOOKUP(A108,'The List'!B1:I730,8,FALSE)</f>
        <v>153.313808749031</v>
      </c>
      <c r="F108" s="46">
        <f>IF('Settings'!$E$15="POINTS",E108-VLOOKUP(B$2,C1:E132,3,FALSE),J108)</f>
        <v>-228.314754957325</v>
      </c>
      <c r="G108" s="46"/>
      <c r="H108" s="149">
        <f>RANK(I108,I3:I132)</f>
        <v>106</v>
      </c>
      <c r="I108" s="150">
        <f>VLOOKUP(A108,'Standard Deviations'!A1:C731,3,FALSE)</f>
        <v>-3.18605554465101</v>
      </c>
      <c r="J108" s="150">
        <f>I108-VLOOKUP(B$2,H1:J132,2,FALSE)</f>
        <v>-7.92000171878009</v>
      </c>
    </row>
    <row r="109" ht="21.25" customHeight="1">
      <c r="A109" t="s" s="8">
        <v>723</v>
      </c>
      <c r="B109" t="s" s="74">
        <f>VLOOKUP(A109,'The List'!B1:D730,3,FALSE)</f>
        <v>121</v>
      </c>
      <c r="C109" s="75">
        <f>IF('Settings'!$E$15="POINTS",RANK(E109,E3:E132),H109)</f>
        <v>89</v>
      </c>
      <c r="D109" t="s" s="42">
        <f>VLOOKUP(A109,'The List'!B1:F730,5,FALSE)</f>
        <v>236</v>
      </c>
      <c r="E109" s="46">
        <f>VLOOKUP(A109,'The List'!B1:I730,8,FALSE)</f>
        <v>202.932790008719</v>
      </c>
      <c r="F109" s="46">
        <f>IF('Settings'!$E$15="POINTS",E109-VLOOKUP(B$2,C1:E132,3,FALSE),J109)</f>
        <v>-178.695773697637</v>
      </c>
      <c r="G109" s="46"/>
      <c r="H109" s="149">
        <f>RANK(I109,I3:I132)</f>
        <v>112</v>
      </c>
      <c r="I109" s="150">
        <f>VLOOKUP(A109,'Standard Deviations'!A1:C731,3,FALSE)</f>
        <v>-3.58549118060516</v>
      </c>
      <c r="J109" s="150">
        <f>I109-VLOOKUP(B$2,H1:J132,2,FALSE)</f>
        <v>-8.319437354734241</v>
      </c>
    </row>
    <row r="110" ht="21.25" customHeight="1">
      <c r="A110" t="s" s="8">
        <v>728</v>
      </c>
      <c r="B110" t="s" s="74">
        <f>VLOOKUP(A110,'The List'!B1:D730,3,FALSE)</f>
        <v>121</v>
      </c>
      <c r="C110" s="75">
        <f>IF('Settings'!$E$15="POINTS",RANK(E110,E3:E132),H110)</f>
        <v>84</v>
      </c>
      <c r="D110" t="s" s="42">
        <f>VLOOKUP(A110,'The List'!B1:F730,5,FALSE)</f>
        <v>236</v>
      </c>
      <c r="E110" s="46">
        <f>VLOOKUP(A110,'The List'!B1:I730,8,FALSE)</f>
        <v>219.157832366634</v>
      </c>
      <c r="F110" s="46">
        <f>IF('Settings'!$E$15="POINTS",E110-VLOOKUP(B$2,C1:E132,3,FALSE),J110)</f>
        <v>-162.470731339722</v>
      </c>
      <c r="G110" s="46"/>
      <c r="H110" s="149">
        <f>RANK(I110,I3:I132)</f>
        <v>111</v>
      </c>
      <c r="I110" s="150">
        <f>VLOOKUP(A110,'Standard Deviations'!A1:C731,3,FALSE)</f>
        <v>-3.577144991809</v>
      </c>
      <c r="J110" s="150">
        <f>I110-VLOOKUP(B$2,H1:J132,2,FALSE)</f>
        <v>-8.31109116593808</v>
      </c>
    </row>
    <row r="111" ht="21.25" customHeight="1">
      <c r="A111" t="s" s="8">
        <v>729</v>
      </c>
      <c r="B111" t="s" s="74">
        <f>VLOOKUP(A111,'The List'!B1:D730,3,FALSE)</f>
        <v>121</v>
      </c>
      <c r="C111" s="75">
        <f>IF('Settings'!$E$15="POINTS",RANK(E111,E3:E132),H111)</f>
        <v>104</v>
      </c>
      <c r="D111" t="s" s="42">
        <f>VLOOKUP(A111,'The List'!B1:F730,5,FALSE)</f>
        <v>131</v>
      </c>
      <c r="E111" s="46">
        <f>VLOOKUP(A111,'The List'!B1:I730,8,FALSE)</f>
        <v>176.0609481014</v>
      </c>
      <c r="F111" s="46">
        <f>IF('Settings'!$E$15="POINTS",E111-VLOOKUP(B$2,C1:E132,3,FALSE),J111)</f>
        <v>-205.567615604956</v>
      </c>
      <c r="G111" s="46"/>
      <c r="H111" s="149">
        <f>RANK(I111,I3:I132)</f>
        <v>107</v>
      </c>
      <c r="I111" s="150">
        <f>VLOOKUP(A111,'Standard Deviations'!A1:C731,3,FALSE)</f>
        <v>-3.31558524493382</v>
      </c>
      <c r="J111" s="150">
        <f>I111-VLOOKUP(B$2,H1:J132,2,FALSE)</f>
        <v>-8.0495314190629</v>
      </c>
    </row>
    <row r="112" ht="21.25" customHeight="1">
      <c r="A112" t="s" s="8">
        <v>730</v>
      </c>
      <c r="B112" t="s" s="74">
        <f>VLOOKUP(A112,'The List'!B1:D730,3,FALSE)</f>
        <v>121</v>
      </c>
      <c r="C112" s="75">
        <f>IF('Settings'!$E$15="POINTS",RANK(E112,E3:E132),H112)</f>
        <v>115</v>
      </c>
      <c r="D112" t="s" s="42">
        <f>VLOOKUP(A112,'The List'!B1:F730,5,FALSE)</f>
        <v>149</v>
      </c>
      <c r="E112" s="46">
        <f>VLOOKUP(A112,'The List'!B1:I730,8,FALSE)</f>
        <v>163.838295987329</v>
      </c>
      <c r="F112" s="46">
        <f>IF('Settings'!$E$15="POINTS",E112-VLOOKUP(B$2,C1:E132,3,FALSE),J112)</f>
        <v>-217.790267719027</v>
      </c>
      <c r="G112" s="46"/>
      <c r="H112" s="149">
        <f>RANK(I112,I3:I132)</f>
        <v>102</v>
      </c>
      <c r="I112" s="150">
        <f>VLOOKUP(A112,'Standard Deviations'!A1:C731,3,FALSE)</f>
        <v>-2.93140877572964</v>
      </c>
      <c r="J112" s="150">
        <f>I112-VLOOKUP(B$2,H1:J132,2,FALSE)</f>
        <v>-7.66535494985872</v>
      </c>
    </row>
    <row r="113" ht="21.25" customHeight="1">
      <c r="A113" t="s" s="8">
        <v>731</v>
      </c>
      <c r="B113" t="s" s="74">
        <f>VLOOKUP(A113,'The List'!B1:D730,3,FALSE)</f>
        <v>121</v>
      </c>
      <c r="C113" s="75">
        <f>IF('Settings'!$E$15="POINTS",RANK(E113,E3:E132),H113)</f>
        <v>122</v>
      </c>
      <c r="D113" t="s" s="42">
        <f>VLOOKUP(A113,'The List'!B1:F730,5,FALSE)</f>
        <v>189</v>
      </c>
      <c r="E113" s="46">
        <f>VLOOKUP(A113,'The List'!B1:I730,8,FALSE)</f>
        <v>148.654965299365</v>
      </c>
      <c r="F113" s="46">
        <f>IF('Settings'!$E$15="POINTS",E113-VLOOKUP(B$2,C1:E132,3,FALSE),J113)</f>
        <v>-232.973598406991</v>
      </c>
      <c r="G113" s="46"/>
      <c r="H113" s="149">
        <f>RANK(I113,I3:I132)</f>
        <v>123</v>
      </c>
      <c r="I113" s="150">
        <f>VLOOKUP(A113,'Standard Deviations'!A1:C731,3,FALSE)</f>
        <v>-4.40573775672075</v>
      </c>
      <c r="J113" s="150">
        <f>I113-VLOOKUP(B$2,H1:J132,2,FALSE)</f>
        <v>-9.139683930849831</v>
      </c>
    </row>
    <row r="114" ht="21.25" customHeight="1">
      <c r="A114" t="s" s="8">
        <v>732</v>
      </c>
      <c r="B114" t="s" s="74">
        <f>VLOOKUP(A114,'The List'!B1:D730,3,FALSE)</f>
        <v>121</v>
      </c>
      <c r="C114" s="75">
        <f>IF('Settings'!$E$15="POINTS",RANK(E114,E3:E132),H114)</f>
        <v>111</v>
      </c>
      <c r="D114" t="s" s="42">
        <f>VLOOKUP(A114,'The List'!B1:F730,5,FALSE)</f>
        <v>238</v>
      </c>
      <c r="E114" s="46">
        <f>VLOOKUP(A114,'The List'!B1:I730,8,FALSE)</f>
        <v>168.989131152527</v>
      </c>
      <c r="F114" s="46">
        <f>IF('Settings'!$E$15="POINTS",E114-VLOOKUP(B$2,C1:E132,3,FALSE),J114)</f>
        <v>-212.639432553829</v>
      </c>
      <c r="G114" s="46"/>
      <c r="H114" s="149">
        <f>RANK(I114,I3:I132)</f>
        <v>105</v>
      </c>
      <c r="I114" s="150">
        <f>VLOOKUP(A114,'Standard Deviations'!A1:C731,3,FALSE)</f>
        <v>-3.1740259976704</v>
      </c>
      <c r="J114" s="150">
        <f>I114-VLOOKUP(B$2,H1:J132,2,FALSE)</f>
        <v>-7.90797217179948</v>
      </c>
    </row>
    <row r="115" ht="21.25" customHeight="1">
      <c r="A115" t="s" s="8">
        <v>741</v>
      </c>
      <c r="B115" t="s" s="74">
        <f>VLOOKUP(A115,'The List'!B1:D730,3,FALSE)</f>
        <v>121</v>
      </c>
      <c r="C115" s="75">
        <f>IF('Settings'!$E$15="POINTS",RANK(E115,E3:E132),H115)</f>
        <v>98</v>
      </c>
      <c r="D115" t="s" s="42">
        <f>VLOOKUP(A115,'The List'!B1:F730,5,FALSE)</f>
        <v>127</v>
      </c>
      <c r="E115" s="46">
        <f>VLOOKUP(A115,'The List'!B1:I730,8,FALSE)</f>
        <v>189.767667827023</v>
      </c>
      <c r="F115" s="46">
        <f>IF('Settings'!$E$15="POINTS",E115-VLOOKUP(B$2,C1:E132,3,FALSE),J115)</f>
        <v>-191.860895879333</v>
      </c>
      <c r="G115" s="46"/>
      <c r="H115" s="149">
        <f>RANK(I115,I3:I132)</f>
        <v>98</v>
      </c>
      <c r="I115" s="150">
        <f>VLOOKUP(A115,'Standard Deviations'!A1:C731,3,FALSE)</f>
        <v>-2.7379699620691</v>
      </c>
      <c r="J115" s="150">
        <f>I115-VLOOKUP(B$2,H1:J132,2,FALSE)</f>
        <v>-7.47191613619818</v>
      </c>
    </row>
    <row r="116" ht="21.25" customHeight="1">
      <c r="A116" t="s" s="8">
        <v>744</v>
      </c>
      <c r="B116" t="s" s="74">
        <f>VLOOKUP(A116,'The List'!B1:D730,3,FALSE)</f>
        <v>121</v>
      </c>
      <c r="C116" s="75">
        <f>IF('Settings'!$E$15="POINTS",RANK(E116,E3:E132),H116)</f>
        <v>101</v>
      </c>
      <c r="D116" t="s" s="42">
        <f>VLOOKUP(A116,'The List'!B1:F730,5,FALSE)</f>
        <v>204</v>
      </c>
      <c r="E116" s="46">
        <f>VLOOKUP(A116,'The List'!B1:I730,8,FALSE)</f>
        <v>183.166822888756</v>
      </c>
      <c r="F116" s="46">
        <f>IF('Settings'!$E$15="POINTS",E116-VLOOKUP(B$2,C1:E132,3,FALSE),J116)</f>
        <v>-198.4617408176</v>
      </c>
      <c r="G116" s="46"/>
      <c r="H116" s="149">
        <f>RANK(I116,I3:I132)</f>
        <v>109</v>
      </c>
      <c r="I116" s="150">
        <f>VLOOKUP(A116,'Standard Deviations'!A1:C731,3,FALSE)</f>
        <v>-3.39215315970796</v>
      </c>
      <c r="J116" s="150">
        <f>I116-VLOOKUP(B$2,H1:J132,2,FALSE)</f>
        <v>-8.12609933383704</v>
      </c>
    </row>
    <row r="117" ht="21.25" customHeight="1">
      <c r="A117" t="s" s="8">
        <v>748</v>
      </c>
      <c r="B117" t="s" s="74">
        <f>VLOOKUP(A117,'The List'!B1:D730,3,FALSE)</f>
        <v>121</v>
      </c>
      <c r="C117" s="75">
        <f>IF('Settings'!$E$15="POINTS",RANK(E117,E3:E132),H117)</f>
        <v>105</v>
      </c>
      <c r="D117" t="s" s="42">
        <f>VLOOKUP(A117,'The List'!B1:F730,5,FALSE)</f>
        <v>166</v>
      </c>
      <c r="E117" s="46">
        <f>VLOOKUP(A117,'The List'!B1:I730,8,FALSE)</f>
        <v>173.780449945236</v>
      </c>
      <c r="F117" s="46">
        <f>IF('Settings'!$E$15="POINTS",E117-VLOOKUP(B$2,C1:E132,3,FALSE),J117)</f>
        <v>-207.848113761120</v>
      </c>
      <c r="G117" s="46"/>
      <c r="H117" s="149">
        <f>RANK(I117,I3:I132)</f>
        <v>118</v>
      </c>
      <c r="I117" s="150">
        <f>VLOOKUP(A117,'Standard Deviations'!A1:C731,3,FALSE)</f>
        <v>-4.19118231145993</v>
      </c>
      <c r="J117" s="150">
        <f>I117-VLOOKUP(B$2,H1:J132,2,FALSE)</f>
        <v>-8.92512848558901</v>
      </c>
    </row>
    <row r="118" ht="21.25" customHeight="1">
      <c r="A118" t="s" s="8">
        <v>751</v>
      </c>
      <c r="B118" t="s" s="74">
        <f>VLOOKUP(A118,'The List'!B1:D730,3,FALSE)</f>
        <v>121</v>
      </c>
      <c r="C118" s="75">
        <f>IF('Settings'!$E$15="POINTS",RANK(E118,E3:E132),H118)</f>
        <v>117</v>
      </c>
      <c r="D118" t="s" s="42">
        <f>VLOOKUP(A118,'The List'!B1:F730,5,FALSE)</f>
        <v>258</v>
      </c>
      <c r="E118" s="46">
        <f>VLOOKUP(A118,'The List'!B1:I730,8,FALSE)</f>
        <v>158.733083853085</v>
      </c>
      <c r="F118" s="46">
        <f>IF('Settings'!$E$15="POINTS",E118-VLOOKUP(B$2,C1:E132,3,FALSE),J118)</f>
        <v>-222.895479853271</v>
      </c>
      <c r="G118" s="46"/>
      <c r="H118" s="149">
        <f>RANK(I118,I3:I132)</f>
        <v>127</v>
      </c>
      <c r="I118" s="150">
        <f>VLOOKUP(A118,'Standard Deviations'!A1:C731,3,FALSE)</f>
        <v>-5.0634805575164</v>
      </c>
      <c r="J118" s="150">
        <f>I118-VLOOKUP(B$2,H1:J132,2,FALSE)</f>
        <v>-9.79742673164548</v>
      </c>
    </row>
    <row r="119" ht="21.25" customHeight="1">
      <c r="A119" t="s" s="8">
        <v>754</v>
      </c>
      <c r="B119" t="s" s="74">
        <f>VLOOKUP(A119,'The List'!B1:D730,3,FALSE)</f>
        <v>121</v>
      </c>
      <c r="C119" s="75">
        <f>IF('Settings'!$E$15="POINTS",RANK(E119,E3:E132),H119)</f>
        <v>120</v>
      </c>
      <c r="D119" t="s" s="42">
        <f>VLOOKUP(A119,'The List'!B1:F730,5,FALSE)</f>
        <v>156</v>
      </c>
      <c r="E119" s="46">
        <f>VLOOKUP(A119,'The List'!B1:I730,8,FALSE)</f>
        <v>153.997148309494</v>
      </c>
      <c r="F119" s="46">
        <f>IF('Settings'!$E$15="POINTS",E119-VLOOKUP(B$2,C1:E132,3,FALSE),J119)</f>
        <v>-227.631415396862</v>
      </c>
      <c r="G119" s="46"/>
      <c r="H119" s="149">
        <f>RANK(I119,I3:I132)</f>
        <v>110</v>
      </c>
      <c r="I119" s="150">
        <f>VLOOKUP(A119,'Standard Deviations'!A1:C731,3,FALSE)</f>
        <v>-3.44687954442535</v>
      </c>
      <c r="J119" s="150">
        <f>I119-VLOOKUP(B$2,H1:J132,2,FALSE)</f>
        <v>-8.180825718554431</v>
      </c>
    </row>
    <row r="120" ht="21.25" customHeight="1">
      <c r="A120" t="s" s="8">
        <v>757</v>
      </c>
      <c r="B120" t="s" s="74">
        <f>VLOOKUP(A120,'The List'!B1:D730,3,FALSE)</f>
        <v>121</v>
      </c>
      <c r="C120" s="75">
        <f>IF('Settings'!$E$15="POINTS",RANK(E120,E3:E132),H120)</f>
        <v>95</v>
      </c>
      <c r="D120" t="s" s="42">
        <f>VLOOKUP(A120,'The List'!B1:F730,5,FALSE)</f>
        <v>218</v>
      </c>
      <c r="E120" s="46">
        <f>VLOOKUP(A120,'The List'!B1:I730,8,FALSE)</f>
        <v>196.561629761911</v>
      </c>
      <c r="F120" s="46">
        <f>IF('Settings'!$E$15="POINTS",E120-VLOOKUP(B$2,C1:E132,3,FALSE),J120)</f>
        <v>-185.066933944445</v>
      </c>
      <c r="G120" s="46"/>
      <c r="H120" s="149">
        <f>RANK(I120,I3:I132)</f>
        <v>94</v>
      </c>
      <c r="I120" s="150">
        <f>VLOOKUP(A120,'Standard Deviations'!A1:C731,3,FALSE)</f>
        <v>-2.45841037014272</v>
      </c>
      <c r="J120" s="150">
        <f>I120-VLOOKUP(B$2,H1:J132,2,FALSE)</f>
        <v>-7.1923565442718</v>
      </c>
    </row>
    <row r="121" ht="21.25" customHeight="1">
      <c r="A121" t="s" s="8">
        <v>759</v>
      </c>
      <c r="B121" t="s" s="74">
        <f>VLOOKUP(A121,'The List'!B1:D730,3,FALSE)</f>
        <v>121</v>
      </c>
      <c r="C121" s="75">
        <f>IF('Settings'!$E$15="POINTS",RANK(E121,E3:E132),H121)</f>
        <v>118</v>
      </c>
      <c r="D121" t="s" s="42">
        <f>VLOOKUP(A121,'The List'!B1:F730,5,FALSE)</f>
        <v>184</v>
      </c>
      <c r="E121" s="46">
        <f>VLOOKUP(A121,'The List'!B1:I730,8,FALSE)</f>
        <v>158.378106393561</v>
      </c>
      <c r="F121" s="46">
        <f>IF('Settings'!$E$15="POINTS",E121-VLOOKUP(B$2,C1:E132,3,FALSE),J121)</f>
        <v>-223.250457312795</v>
      </c>
      <c r="G121" s="46"/>
      <c r="H121" s="149">
        <f>RANK(I121,I3:I132)</f>
        <v>121</v>
      </c>
      <c r="I121" s="150">
        <f>VLOOKUP(A121,'Standard Deviations'!A1:C731,3,FALSE)</f>
        <v>-4.30593971651222</v>
      </c>
      <c r="J121" s="150">
        <f>I121-VLOOKUP(B$2,H1:J132,2,FALSE)</f>
        <v>-9.039885890641299</v>
      </c>
    </row>
    <row r="122" ht="21.25" customHeight="1">
      <c r="A122" t="s" s="8">
        <v>777</v>
      </c>
      <c r="B122" t="s" s="74">
        <f>VLOOKUP(A122,'The List'!B1:D730,3,FALSE)</f>
        <v>121</v>
      </c>
      <c r="C122" s="75">
        <f>IF('Settings'!$E$15="POINTS",RANK(E122,E3:E132),H122)</f>
        <v>114</v>
      </c>
      <c r="D122" t="s" s="42">
        <f>VLOOKUP(A122,'The List'!B1:F730,5,FALSE)</f>
        <v>194</v>
      </c>
      <c r="E122" s="46">
        <f>VLOOKUP(A122,'The List'!B1:I730,8,FALSE)</f>
        <v>164.463495513221</v>
      </c>
      <c r="F122" s="46">
        <f>IF('Settings'!$E$15="POINTS",E122-VLOOKUP(B$2,C1:E132,3,FALSE),J122)</f>
        <v>-217.165068193135</v>
      </c>
      <c r="G122" s="46"/>
      <c r="H122" s="149">
        <f>RANK(I122,I3:I132)</f>
        <v>120</v>
      </c>
      <c r="I122" s="150">
        <f>VLOOKUP(A122,'Standard Deviations'!A1:C731,3,FALSE)</f>
        <v>-4.30536604937422</v>
      </c>
      <c r="J122" s="150">
        <f>I122-VLOOKUP(B$2,H1:J132,2,FALSE)</f>
        <v>-9.0393122235033</v>
      </c>
    </row>
    <row r="123" ht="21.25" customHeight="1">
      <c r="A123" t="s" s="8">
        <v>787</v>
      </c>
      <c r="B123" t="s" s="74">
        <f>VLOOKUP(A123,'The List'!B1:D730,3,FALSE)</f>
        <v>121</v>
      </c>
      <c r="C123" s="75">
        <f>IF('Settings'!$E$15="POINTS",RANK(E123,E3:E132),H123)</f>
        <v>116</v>
      </c>
      <c r="D123" t="s" s="42">
        <f>VLOOKUP(A123,'The List'!B1:F730,5,FALSE)</f>
        <v>134</v>
      </c>
      <c r="E123" s="46">
        <f>VLOOKUP(A123,'The List'!B1:I730,8,FALSE)</f>
        <v>160.653719921252</v>
      </c>
      <c r="F123" s="46">
        <f>IF('Settings'!$E$15="POINTS",E123-VLOOKUP(B$2,C1:E132,3,FALSE),J123)</f>
        <v>-220.974843785104</v>
      </c>
      <c r="G123" s="46"/>
      <c r="H123" s="149">
        <f>RANK(I123,I3:I132)</f>
        <v>113</v>
      </c>
      <c r="I123" s="150">
        <f>VLOOKUP(A123,'Standard Deviations'!A1:C731,3,FALSE)</f>
        <v>-3.67846451766992</v>
      </c>
      <c r="J123" s="150">
        <f>I123-VLOOKUP(B$2,H1:J132,2,FALSE)</f>
        <v>-8.412410691799</v>
      </c>
    </row>
    <row r="124" ht="21.25" customHeight="1">
      <c r="A124" t="s" s="8">
        <v>801</v>
      </c>
      <c r="B124" t="s" s="74">
        <f>VLOOKUP(A124,'The List'!B1:D730,3,FALSE)</f>
        <v>121</v>
      </c>
      <c r="C124" s="75">
        <f>IF('Settings'!$E$15="POINTS",RANK(E124,E3:E132),H124)</f>
        <v>126</v>
      </c>
      <c r="D124" t="s" s="42">
        <f>VLOOKUP(A124,'The List'!B1:F730,5,FALSE)</f>
        <v>151</v>
      </c>
      <c r="E124" s="46">
        <f>VLOOKUP(A124,'The List'!B1:I730,8,FALSE)</f>
        <v>127.328568238936</v>
      </c>
      <c r="F124" s="46">
        <f>IF('Settings'!$E$15="POINTS",E124-VLOOKUP(B$2,C1:E132,3,FALSE),J124)</f>
        <v>-254.299995467420</v>
      </c>
      <c r="G124" s="46"/>
      <c r="H124" s="149">
        <f>RANK(I124,I3:I132)</f>
        <v>116</v>
      </c>
      <c r="I124" s="150">
        <f>VLOOKUP(A124,'Standard Deviations'!A1:C731,3,FALSE)</f>
        <v>-4.13087948554163</v>
      </c>
      <c r="J124" s="150">
        <f>I124-VLOOKUP(B$2,H1:J132,2,FALSE)</f>
        <v>-8.864825659670711</v>
      </c>
    </row>
    <row r="125" ht="21.25" customHeight="1">
      <c r="A125" t="s" s="8">
        <v>810</v>
      </c>
      <c r="B125" t="s" s="74">
        <f>VLOOKUP(A125,'The List'!B1:D730,3,FALSE)</f>
        <v>121</v>
      </c>
      <c r="C125" s="75">
        <f>IF('Settings'!$E$15="POINTS",RANK(E125,E3:E132),H125)</f>
        <v>112</v>
      </c>
      <c r="D125" t="s" s="42">
        <f>VLOOKUP(A125,'The List'!B1:F730,5,FALSE)</f>
        <v>149</v>
      </c>
      <c r="E125" s="46">
        <f>VLOOKUP(A125,'The List'!B1:I730,8,FALSE)</f>
        <v>168.212938624379</v>
      </c>
      <c r="F125" s="46">
        <f>IF('Settings'!$E$15="POINTS",E125-VLOOKUP(B$2,C1:E132,3,FALSE),J125)</f>
        <v>-213.415625081977</v>
      </c>
      <c r="G125" s="46"/>
      <c r="H125" s="149">
        <f>RANK(I125,I3:I132)</f>
        <v>122</v>
      </c>
      <c r="I125" s="150">
        <f>VLOOKUP(A125,'Standard Deviations'!A1:C731,3,FALSE)</f>
        <v>-4.32750704106908</v>
      </c>
      <c r="J125" s="150">
        <f>I125-VLOOKUP(B$2,H1:J132,2,FALSE)</f>
        <v>-9.06145321519816</v>
      </c>
    </row>
    <row r="126" ht="21.25" customHeight="1">
      <c r="A126" t="s" s="8">
        <v>822</v>
      </c>
      <c r="B126" t="s" s="74">
        <f>VLOOKUP(A126,'The List'!B1:D730,3,FALSE)</f>
        <v>121</v>
      </c>
      <c r="C126" s="75">
        <f>IF('Settings'!$E$15="POINTS",RANK(E126,E3:E132),H126)</f>
        <v>128</v>
      </c>
      <c r="D126" t="s" s="42">
        <f>VLOOKUP(A126,'The List'!B1:F730,5,FALSE)</f>
        <v>234</v>
      </c>
      <c r="E126" s="46">
        <f>VLOOKUP(A126,'The List'!B1:I730,8,FALSE)</f>
        <v>107.343962532845</v>
      </c>
      <c r="F126" s="46">
        <f>IF('Settings'!$E$15="POINTS",E126-VLOOKUP(B$2,C1:E132,3,FALSE),J126)</f>
        <v>-274.284601173511</v>
      </c>
      <c r="G126" s="46"/>
      <c r="H126" s="149">
        <f>RANK(I126,I3:I132)</f>
        <v>130</v>
      </c>
      <c r="I126" s="150">
        <f>VLOOKUP(A126,'Standard Deviations'!A1:C731,3,FALSE)</f>
        <v>-6.65617003463115</v>
      </c>
      <c r="J126" s="150">
        <f>I126-VLOOKUP(B$2,H1:J132,2,FALSE)</f>
        <v>-11.3901162087602</v>
      </c>
    </row>
    <row r="127" ht="21.25" customHeight="1">
      <c r="A127" t="s" s="8">
        <v>824</v>
      </c>
      <c r="B127" t="s" s="74">
        <f>VLOOKUP(A127,'The List'!B1:D730,3,FALSE)</f>
        <v>121</v>
      </c>
      <c r="C127" s="75">
        <f>IF('Settings'!$E$15="POINTS",RANK(E127,E3:E132),H127)</f>
        <v>125</v>
      </c>
      <c r="D127" t="s" s="42">
        <f>VLOOKUP(A127,'The List'!B1:F730,5,FALSE)</f>
        <v>131</v>
      </c>
      <c r="E127" s="46">
        <f>VLOOKUP(A127,'The List'!B1:I730,8,FALSE)</f>
        <v>128.068963414366</v>
      </c>
      <c r="F127" s="46">
        <f>IF('Settings'!$E$15="POINTS",E127-VLOOKUP(B$2,C1:E132,3,FALSE),J127)</f>
        <v>-253.559600291990</v>
      </c>
      <c r="G127" s="46"/>
      <c r="H127" s="149">
        <f>RANK(I127,I3:I132)</f>
        <v>126</v>
      </c>
      <c r="I127" s="150">
        <f>VLOOKUP(A127,'Standard Deviations'!A1:C731,3,FALSE)</f>
        <v>-4.69995845639205</v>
      </c>
      <c r="J127" s="150">
        <f>I127-VLOOKUP(B$2,H1:J132,2,FALSE)</f>
        <v>-9.43390463052113</v>
      </c>
    </row>
    <row r="128" ht="21.25" customHeight="1">
      <c r="A128" t="s" s="8">
        <v>826</v>
      </c>
      <c r="B128" t="s" s="74">
        <f>VLOOKUP(A128,'The List'!B1:D730,3,FALSE)</f>
        <v>121</v>
      </c>
      <c r="C128" s="75">
        <f>IF('Settings'!$E$15="POINTS",RANK(E128,E3:E132),H128)</f>
        <v>123</v>
      </c>
      <c r="D128" t="s" s="42">
        <f>VLOOKUP(A128,'The List'!B1:F730,5,FALSE)</f>
        <v>124</v>
      </c>
      <c r="E128" s="46">
        <f>VLOOKUP(A128,'The List'!B1:I730,8,FALSE)</f>
        <v>135.302550366909</v>
      </c>
      <c r="F128" s="46">
        <f>IF('Settings'!$E$15="POINTS",E128-VLOOKUP(B$2,C1:E132,3,FALSE),J128)</f>
        <v>-246.326013339447</v>
      </c>
      <c r="G128" s="46"/>
      <c r="H128" s="149">
        <f>RANK(I128,I3:I132)</f>
        <v>125</v>
      </c>
      <c r="I128" s="150">
        <f>VLOOKUP(A128,'Standard Deviations'!A1:C731,3,FALSE)</f>
        <v>-4.62319227496794</v>
      </c>
      <c r="J128" s="150">
        <f>I128-VLOOKUP(B$2,H1:J132,2,FALSE)</f>
        <v>-9.35713844909702</v>
      </c>
    </row>
    <row r="129" ht="21.25" customHeight="1">
      <c r="A129" t="s" s="8">
        <v>828</v>
      </c>
      <c r="B129" t="s" s="74">
        <f>VLOOKUP(A129,'The List'!B1:D730,3,FALSE)</f>
        <v>121</v>
      </c>
      <c r="C129" s="75">
        <f>IF('Settings'!$E$15="POINTS",RANK(E129,E3:E132),H129)</f>
        <v>129</v>
      </c>
      <c r="D129" t="s" s="42">
        <f>VLOOKUP(A129,'The List'!B1:F730,5,FALSE)</f>
        <v>115</v>
      </c>
      <c r="E129" s="46">
        <f>VLOOKUP(A129,'The List'!B1:I730,8,FALSE)</f>
        <v>104.483777904252</v>
      </c>
      <c r="F129" s="46">
        <f>IF('Settings'!$E$15="POINTS",E129-VLOOKUP(B$2,C1:E132,3,FALSE),J129)</f>
        <v>-277.144785802104</v>
      </c>
      <c r="G129" s="46"/>
      <c r="H129" s="149">
        <f>RANK(I129,I3:I132)</f>
        <v>117</v>
      </c>
      <c r="I129" s="150">
        <f>VLOOKUP(A129,'Standard Deviations'!A1:C731,3,FALSE)</f>
        <v>-4.1358272269703</v>
      </c>
      <c r="J129" s="150">
        <f>I129-VLOOKUP(B$2,H1:J132,2,FALSE)</f>
        <v>-8.86977340109938</v>
      </c>
    </row>
    <row r="130" ht="21.25" customHeight="1">
      <c r="A130" t="s" s="8">
        <v>838</v>
      </c>
      <c r="B130" t="s" s="74">
        <f>VLOOKUP(A130,'The List'!B1:D730,3,FALSE)</f>
        <v>121</v>
      </c>
      <c r="C130" s="75">
        <f>IF('Settings'!$E$15="POINTS",RANK(E130,E3:E132),H130)</f>
        <v>127</v>
      </c>
      <c r="D130" t="s" s="42">
        <f>VLOOKUP(A130,'The List'!B1:F730,5,FALSE)</f>
        <v>189</v>
      </c>
      <c r="E130" s="46">
        <f>VLOOKUP(A130,'The List'!B1:I730,8,FALSE)</f>
        <v>117.284809072262</v>
      </c>
      <c r="F130" s="46">
        <f>IF('Settings'!$E$15="POINTS",E130-VLOOKUP(B$2,C1:E132,3,FALSE),J130)</f>
        <v>-264.343754634094</v>
      </c>
      <c r="G130" s="46"/>
      <c r="H130" s="149">
        <f>RANK(I130,I3:I132)</f>
        <v>129</v>
      </c>
      <c r="I130" s="150">
        <f>VLOOKUP(A130,'Standard Deviations'!A1:C731,3,FALSE)</f>
        <v>-5.75037718169217</v>
      </c>
      <c r="J130" s="150">
        <f>I130-VLOOKUP(B$2,H1:J132,2,FALSE)</f>
        <v>-10.4843233558213</v>
      </c>
    </row>
    <row r="131" ht="21.25" customHeight="1">
      <c r="A131" t="s" s="8">
        <v>845</v>
      </c>
      <c r="B131" t="s" s="74">
        <f>VLOOKUP(A131,'The List'!B1:D730,3,FALSE)</f>
        <v>121</v>
      </c>
      <c r="C131" s="75">
        <f>IF('Settings'!$E$15="POINTS",RANK(E131,E3:E132),H131)</f>
        <v>124</v>
      </c>
      <c r="D131" t="s" s="42">
        <f>VLOOKUP(A131,'The List'!B1:F730,5,FALSE)</f>
        <v>115</v>
      </c>
      <c r="E131" s="46">
        <f>VLOOKUP(A131,'The List'!B1:I730,8,FALSE)</f>
        <v>130.696762552861</v>
      </c>
      <c r="F131" s="46">
        <f>IF('Settings'!$E$15="POINTS",E131-VLOOKUP(B$2,C1:E132,3,FALSE),J131)</f>
        <v>-250.931801153495</v>
      </c>
      <c r="G131" s="46"/>
      <c r="H131" s="149">
        <f>RANK(I131,I3:I132)</f>
        <v>124</v>
      </c>
      <c r="I131" s="150">
        <f>VLOOKUP(A131,'Standard Deviations'!A1:C731,3,FALSE)</f>
        <v>-4.45288513433045</v>
      </c>
      <c r="J131" s="150">
        <f>I131-VLOOKUP(B$2,H1:J132,2,FALSE)</f>
        <v>-9.18683130845953</v>
      </c>
    </row>
    <row r="132" ht="21.25" customHeight="1">
      <c r="A132" t="s" s="8">
        <v>862</v>
      </c>
      <c r="B132" t="s" s="74">
        <f>VLOOKUP(A132,'The List'!B1:D730,3,FALSE)</f>
        <v>121</v>
      </c>
      <c r="C132" s="75">
        <f>IF('Settings'!$E$15="POINTS",RANK(E132,E3:E132),H132)</f>
        <v>130</v>
      </c>
      <c r="D132" t="s" s="42">
        <f>VLOOKUP(A132,'The List'!B1:F730,5,FALSE)</f>
        <v>141</v>
      </c>
      <c r="E132" s="46">
        <f>VLOOKUP(A132,'The List'!B1:I730,8,FALSE)</f>
        <v>89.4992297238155</v>
      </c>
      <c r="F132" s="46">
        <f>IF('Settings'!$E$15="POINTS",E132-VLOOKUP(B$2,C1:E132,3,FALSE),J132)</f>
        <v>-292.129333982541</v>
      </c>
      <c r="G132" s="46"/>
      <c r="H132" s="149">
        <f>RANK(I132,I3:I132)</f>
        <v>128</v>
      </c>
      <c r="I132" s="150">
        <f>VLOOKUP(A132,'Standard Deviations'!A1:C731,3,FALSE)</f>
        <v>-5.58687108813121</v>
      </c>
      <c r="J132" s="150">
        <f>I132-VLOOKUP(B$2,H1:J132,2,FALSE)</f>
        <v>-10.3208172622603</v>
      </c>
    </row>
  </sheetData>
  <conditionalFormatting sqref="C3:C132 H3:H132">
    <cfRule type="containsText" dxfId="41" priority="1" stopIfTrue="1" text="/">
      <formula>NOT(ISERROR(FIND(UPPER("/"),UPPER(C3))))</formula>
      <formula>"/"</formula>
    </cfRule>
    <cfRule type="containsText" dxfId="42" priority="2" stopIfTrue="1" text="C">
      <formula>NOT(ISERROR(FIND(UPPER("C"),UPPER(C3))))</formula>
      <formula>"C"</formula>
    </cfRule>
    <cfRule type="containsText" dxfId="43" priority="3" stopIfTrue="1" text="D">
      <formula>NOT(ISERROR(FIND(UPPER("D"),UPPER(C3))))</formula>
      <formula>"D"</formula>
    </cfRule>
    <cfRule type="containsText" dxfId="44" priority="4" stopIfTrue="1" text="LW">
      <formula>NOT(ISERROR(FIND(UPPER("LW"),UPPER(C3))))</formula>
      <formula>"LW"</formula>
    </cfRule>
    <cfRule type="containsText" dxfId="45" priority="5" stopIfTrue="1" text="RW">
      <formula>NOT(ISERROR(FIND(UPPER("RW"),UPPER(C3))))</formula>
      <formula>"RW"</formula>
    </cfRule>
    <cfRule type="containsText" dxfId="46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28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8" customWidth="1"/>
    <col min="2" max="2" width="7.10938" style="158" customWidth="1"/>
    <col min="3" max="3" width="5.92969" style="158" customWidth="1"/>
    <col min="4" max="6" width="8.28125" style="158" customWidth="1"/>
    <col min="7" max="10" width="1.35156" style="158" customWidth="1"/>
    <col min="11" max="16384" width="8" style="158" customWidth="1"/>
  </cols>
  <sheetData>
    <row r="1" ht="28.3" customHeight="1">
      <c r="A1" t="s" s="133">
        <v>919</v>
      </c>
      <c r="B1" t="s" s="134">
        <v>927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'Settings'!F5</f>
        <v>21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130</v>
      </c>
      <c r="B3" t="s" s="159">
        <f>VLOOKUP(A3,'The List'!B1:D730,3,FALSE)</f>
        <v>129</v>
      </c>
      <c r="C3" s="160">
        <f>IF('Settings'!$E$15="POINTS",RANK(E3,E3:E228),H3)</f>
        <v>1</v>
      </c>
      <c r="D3" t="s" s="42">
        <f>VLOOKUP(A3,'The List'!B1:F730,5,FALSE)</f>
        <v>131</v>
      </c>
      <c r="E3" s="46">
        <f>VLOOKUP(A3,'The List'!B1:I730,8,FALSE)</f>
        <v>476.756526134166</v>
      </c>
      <c r="F3" s="46">
        <f>IF('Settings'!$E$15="POINTS",E3-VLOOKUP(B$2,C1:E228,3,FALSE),J3)</f>
        <v>136.021387487643</v>
      </c>
      <c r="G3" s="46"/>
      <c r="H3" s="154">
        <f>RANK(I3,I3:I228)</f>
        <v>2</v>
      </c>
      <c r="I3" s="155">
        <f>VLOOKUP(A3,'Standard Deviations'!A1:C731,3,FALSE)</f>
        <v>9.996865642536029</v>
      </c>
      <c r="J3" s="155">
        <f>I3-VLOOKUP(B$2,H1:J228,2,FALSE)</f>
        <v>4.61486677237279</v>
      </c>
    </row>
    <row r="4" ht="21.25" customHeight="1">
      <c r="A4" t="s" s="8">
        <v>128</v>
      </c>
      <c r="B4" t="s" s="159">
        <f>VLOOKUP(A4,'The List'!B1:D730,3,FALSE)</f>
        <v>129</v>
      </c>
      <c r="C4" s="160">
        <f>IF('Settings'!$E$15="POINTS",RANK(E4,E3:E228),H4)</f>
        <v>2</v>
      </c>
      <c r="D4" t="s" s="42">
        <f>VLOOKUP(A4,'The List'!B1:F730,5,FALSE)</f>
        <v>113</v>
      </c>
      <c r="E4" s="46">
        <f>VLOOKUP(A4,'The List'!B1:I730,8,FALSE)</f>
        <v>473.615951175709</v>
      </c>
      <c r="F4" s="46">
        <f>IF('Settings'!$E$15="POINTS",E4-VLOOKUP(B$2,C1:E228,3,FALSE),J4)</f>
        <v>132.880812529186</v>
      </c>
      <c r="G4" s="46"/>
      <c r="H4" s="149">
        <f>RANK(I4,I3:I228)</f>
        <v>1</v>
      </c>
      <c r="I4" s="150">
        <f>VLOOKUP(A4,'Standard Deviations'!A1:C731,3,FALSE)</f>
        <v>11.7377354075943</v>
      </c>
      <c r="J4" s="150">
        <f>I4-VLOOKUP(B$2,H1:J228,2,FALSE)</f>
        <v>6.35573653743106</v>
      </c>
    </row>
    <row r="5" ht="21.25" customHeight="1">
      <c r="A5" t="s" s="8">
        <v>150</v>
      </c>
      <c r="B5" t="s" s="159">
        <f>VLOOKUP(A5,'The List'!B1:D730,3,FALSE)</f>
        <v>129</v>
      </c>
      <c r="C5" s="160">
        <f>IF('Settings'!$E$15="POINTS",RANK(E5,E3:E228),H5)</f>
        <v>9</v>
      </c>
      <c r="D5" t="s" s="42">
        <f>VLOOKUP(A5,'The List'!B1:F730,5,FALSE)</f>
        <v>151</v>
      </c>
      <c r="E5" s="46">
        <f>VLOOKUP(A5,'The List'!B1:I730,8,FALSE)</f>
        <v>399.242367824594</v>
      </c>
      <c r="F5" s="46">
        <f>IF('Settings'!$E$15="POINTS",E5-VLOOKUP(B$2,C1:E228,3,FALSE),J5)</f>
        <v>58.507229178071</v>
      </c>
      <c r="G5" s="46"/>
      <c r="H5" s="149">
        <f>RANK(I5,I3:I228)</f>
        <v>3</v>
      </c>
      <c r="I5" s="150">
        <f>VLOOKUP(A5,'Standard Deviations'!A1:C731,3,FALSE)</f>
        <v>9.385812185959811</v>
      </c>
      <c r="J5" s="150">
        <f>I5-VLOOKUP(B$2,H1:J228,2,FALSE)</f>
        <v>4.00381331579657</v>
      </c>
    </row>
    <row r="6" ht="21.25" customHeight="1">
      <c r="A6" t="s" s="8">
        <v>143</v>
      </c>
      <c r="B6" t="s" s="159">
        <f>VLOOKUP(A6,'The List'!B1:D730,3,FALSE)</f>
        <v>129</v>
      </c>
      <c r="C6" s="160">
        <f>IF('Settings'!$E$15="POINTS",RANK(E6,E3:E228),H6)</f>
        <v>4</v>
      </c>
      <c r="D6" t="s" s="42">
        <f>VLOOKUP(A6,'The List'!B1:F730,5,FALSE)</f>
        <v>139</v>
      </c>
      <c r="E6" s="46">
        <f>VLOOKUP(A6,'The List'!B1:I730,8,FALSE)</f>
        <v>430.513888666521</v>
      </c>
      <c r="F6" s="46">
        <f>IF('Settings'!$E$15="POINTS",E6-VLOOKUP(B$2,C1:E228,3,FALSE),J6)</f>
        <v>89.778750019998</v>
      </c>
      <c r="G6" s="46"/>
      <c r="H6" s="149">
        <f>RANK(I6,I3:I228)</f>
        <v>7</v>
      </c>
      <c r="I6" s="150">
        <f>VLOOKUP(A6,'Standard Deviations'!A1:C731,3,FALSE)</f>
        <v>7.72283652247541</v>
      </c>
      <c r="J6" s="150">
        <f>I6-VLOOKUP(B$2,H1:J228,2,FALSE)</f>
        <v>2.34083765231217</v>
      </c>
    </row>
    <row r="7" ht="21.25" customHeight="1">
      <c r="A7" t="s" s="8">
        <v>155</v>
      </c>
      <c r="B7" t="s" s="159">
        <f>VLOOKUP(A7,'The List'!B1:D730,3,FALSE)</f>
        <v>129</v>
      </c>
      <c r="C7" s="160">
        <f>IF('Settings'!$E$15="POINTS",RANK(E7,E3:E228),H7)</f>
        <v>13</v>
      </c>
      <c r="D7" t="s" s="42">
        <f>VLOOKUP(A7,'The List'!B1:F730,5,FALSE)</f>
        <v>156</v>
      </c>
      <c r="E7" s="46">
        <f>VLOOKUP(A7,'The List'!B1:I730,8,FALSE)</f>
        <v>366.7993777181</v>
      </c>
      <c r="F7" s="46">
        <f>IF('Settings'!$E$15="POINTS",E7-VLOOKUP(B$2,C1:E228,3,FALSE),J7)</f>
        <v>26.064239071577</v>
      </c>
      <c r="G7" s="46"/>
      <c r="H7" s="149">
        <f>RANK(I7,I3:I228)</f>
        <v>10</v>
      </c>
      <c r="I7" s="150">
        <f>VLOOKUP(A7,'Standard Deviations'!A1:C731,3,FALSE)</f>
        <v>6.69025559351849</v>
      </c>
      <c r="J7" s="150">
        <f>I7-VLOOKUP(B$2,H1:J228,2,FALSE)</f>
        <v>1.30825672335525</v>
      </c>
    </row>
    <row r="8" ht="21.25" customHeight="1">
      <c r="A8" t="s" s="8">
        <v>147</v>
      </c>
      <c r="B8" t="s" s="159">
        <f>VLOOKUP(A8,'The List'!B1:D730,3,FALSE)</f>
        <v>129</v>
      </c>
      <c r="C8" s="160">
        <f>IF('Settings'!$E$15="POINTS",RANK(E8,E3:E228),H8)</f>
        <v>6</v>
      </c>
      <c r="D8" t="s" s="42">
        <f>VLOOKUP(A8,'The List'!B1:F730,5,FALSE)</f>
        <v>127</v>
      </c>
      <c r="E8" s="46">
        <f>VLOOKUP(A8,'The List'!B1:I730,8,FALSE)</f>
        <v>420.338681256505</v>
      </c>
      <c r="F8" s="46">
        <f>IF('Settings'!$E$15="POINTS",E8-VLOOKUP(B$2,C1:E228,3,FALSE),J8)</f>
        <v>79.603542609982</v>
      </c>
      <c r="G8" s="46"/>
      <c r="H8" s="149">
        <f>RANK(I8,I3:I228)</f>
        <v>8</v>
      </c>
      <c r="I8" s="150">
        <f>VLOOKUP(A8,'Standard Deviations'!A1:C731,3,FALSE)</f>
        <v>7.54466511076501</v>
      </c>
      <c r="J8" s="150">
        <f>I8-VLOOKUP(B$2,H1:J228,2,FALSE)</f>
        <v>2.16266624060177</v>
      </c>
    </row>
    <row r="9" ht="21.25" customHeight="1">
      <c r="A9" t="s" s="8">
        <v>140</v>
      </c>
      <c r="B9" t="s" s="159">
        <f>VLOOKUP(A9,'The List'!B1:D730,3,FALSE)</f>
        <v>129</v>
      </c>
      <c r="C9" s="160">
        <f>IF('Settings'!$E$15="POINTS",RANK(E9,E3:E228),H9)</f>
        <v>3</v>
      </c>
      <c r="D9" t="s" s="42">
        <f>VLOOKUP(A9,'The List'!B1:F730,5,FALSE)</f>
        <v>141</v>
      </c>
      <c r="E9" s="46">
        <f>VLOOKUP(A9,'The List'!B1:I730,8,FALSE)</f>
        <v>432.321395564439</v>
      </c>
      <c r="F9" s="46">
        <f>IF('Settings'!$E$15="POINTS",E9-VLOOKUP(B$2,C1:E228,3,FALSE),J9)</f>
        <v>91.586256917916</v>
      </c>
      <c r="G9" s="46"/>
      <c r="H9" s="149">
        <f>RANK(I9,I3:I228)</f>
        <v>6</v>
      </c>
      <c r="I9" s="150">
        <f>VLOOKUP(A9,'Standard Deviations'!A1:C731,3,FALSE)</f>
        <v>8.0894770954341</v>
      </c>
      <c r="J9" s="150">
        <f>I9-VLOOKUP(B$2,H1:J228,2,FALSE)</f>
        <v>2.70747822527086</v>
      </c>
    </row>
    <row r="10" ht="21.25" customHeight="1">
      <c r="A10" t="s" s="8">
        <v>152</v>
      </c>
      <c r="B10" t="s" s="159">
        <f>VLOOKUP(A10,'The List'!B1:D730,3,FALSE)</f>
        <v>129</v>
      </c>
      <c r="C10" s="160">
        <f>IF('Settings'!$E$15="POINTS",RANK(E10,E3:E228),H10)</f>
        <v>10</v>
      </c>
      <c r="D10" t="s" s="42">
        <f>VLOOKUP(A10,'The List'!B1:F730,5,FALSE)</f>
        <v>136</v>
      </c>
      <c r="E10" s="46">
        <f>VLOOKUP(A10,'The List'!B1:I730,8,FALSE)</f>
        <v>396.144943304509</v>
      </c>
      <c r="F10" s="46">
        <f>IF('Settings'!$E$15="POINTS",E10-VLOOKUP(B$2,C1:E228,3,FALSE),J10)</f>
        <v>55.409804657986</v>
      </c>
      <c r="G10" s="46"/>
      <c r="H10" s="149">
        <f>RANK(I10,I3:I228)</f>
        <v>4</v>
      </c>
      <c r="I10" s="150">
        <f>VLOOKUP(A10,'Standard Deviations'!A1:C731,3,FALSE)</f>
        <v>8.980945742692001</v>
      </c>
      <c r="J10" s="150">
        <f>I10-VLOOKUP(B$2,H1:J228,2,FALSE)</f>
        <v>3.59894687252876</v>
      </c>
    </row>
    <row r="11" ht="21.25" customHeight="1">
      <c r="A11" t="s" s="8">
        <v>177</v>
      </c>
      <c r="B11" t="s" s="159">
        <f>VLOOKUP(A11,'The List'!B1:D730,3,FALSE)</f>
        <v>129</v>
      </c>
      <c r="C11" s="160">
        <f>IF('Settings'!$E$15="POINTS",RANK(E11,E3:E228),H11)</f>
        <v>8</v>
      </c>
      <c r="D11" t="s" s="42">
        <f>VLOOKUP(A11,'The List'!B1:F730,5,FALSE)</f>
        <v>124</v>
      </c>
      <c r="E11" s="46">
        <f>VLOOKUP(A11,'The List'!B1:I730,8,FALSE)</f>
        <v>399.859014561747</v>
      </c>
      <c r="F11" s="46">
        <f>IF('Settings'!$E$15="POINTS",E11-VLOOKUP(B$2,C1:E228,3,FALSE),J11)</f>
        <v>59.123875915224</v>
      </c>
      <c r="G11" s="46"/>
      <c r="H11" s="149">
        <f>RANK(I11,I3:I228)</f>
        <v>12</v>
      </c>
      <c r="I11" s="150">
        <f>VLOOKUP(A11,'Standard Deviations'!A1:C731,3,FALSE)</f>
        <v>6.48193059660054</v>
      </c>
      <c r="J11" s="150">
        <f>I11-VLOOKUP(B$2,H1:J228,2,FALSE)</f>
        <v>1.0999317264373</v>
      </c>
    </row>
    <row r="12" ht="21.25" customHeight="1">
      <c r="A12" t="s" s="8">
        <v>197</v>
      </c>
      <c r="B12" t="s" s="159">
        <f>VLOOKUP(A12,'The List'!B1:D730,3,FALSE)</f>
        <v>129</v>
      </c>
      <c r="C12" s="160">
        <f>IF('Settings'!$E$15="POINTS",RANK(E12,E3:E228),H12)</f>
        <v>11</v>
      </c>
      <c r="D12" t="s" s="42">
        <f>VLOOKUP(A12,'The List'!B1:F730,5,FALSE)</f>
        <v>124</v>
      </c>
      <c r="E12" s="46">
        <f>VLOOKUP(A12,'The List'!B1:I730,8,FALSE)</f>
        <v>380.931357977396</v>
      </c>
      <c r="F12" s="46">
        <f>IF('Settings'!$E$15="POINTS",E12-VLOOKUP(B$2,C1:E228,3,FALSE),J12)</f>
        <v>40.196219330873</v>
      </c>
      <c r="G12" s="46"/>
      <c r="H12" s="149">
        <f>RANK(I12,I3:I228)</f>
        <v>15</v>
      </c>
      <c r="I12" s="150">
        <f>VLOOKUP(A12,'Standard Deviations'!A1:C731,3,FALSE)</f>
        <v>6.0584778541566</v>
      </c>
      <c r="J12" s="150">
        <f>I12-VLOOKUP(B$2,H1:J228,2,FALSE)</f>
        <v>0.67647898399336</v>
      </c>
    </row>
    <row r="13" ht="21.25" customHeight="1">
      <c r="A13" t="s" s="8">
        <v>191</v>
      </c>
      <c r="B13" t="s" s="159">
        <f>VLOOKUP(A13,'The List'!B1:D730,3,FALSE)</f>
        <v>129</v>
      </c>
      <c r="C13" s="160">
        <f>IF('Settings'!$E$15="POINTS",RANK(E13,E3:E228),H13)</f>
        <v>12</v>
      </c>
      <c r="D13" t="s" s="42">
        <f>VLOOKUP(A13,'The List'!B1:F730,5,FALSE)</f>
        <v>164</v>
      </c>
      <c r="E13" s="46">
        <f>VLOOKUP(A13,'The List'!B1:I730,8,FALSE)</f>
        <v>374.304382334770</v>
      </c>
      <c r="F13" s="46">
        <f>IF('Settings'!$E$15="POINTS",E13-VLOOKUP(B$2,C1:E228,3,FALSE),J13)</f>
        <v>33.569243688247</v>
      </c>
      <c r="G13" s="46"/>
      <c r="H13" s="149">
        <f>RANK(I13,I3:I228)</f>
        <v>14</v>
      </c>
      <c r="I13" s="150">
        <f>VLOOKUP(A13,'Standard Deviations'!A1:C731,3,FALSE)</f>
        <v>6.30164135783812</v>
      </c>
      <c r="J13" s="150">
        <f>I13-VLOOKUP(B$2,H1:J228,2,FALSE)</f>
        <v>0.91964248767488</v>
      </c>
    </row>
    <row r="14" ht="21.25" customHeight="1">
      <c r="A14" t="s" s="8">
        <v>157</v>
      </c>
      <c r="B14" t="s" s="159">
        <f>VLOOKUP(A14,'The List'!B1:D730,3,FALSE)</f>
        <v>129</v>
      </c>
      <c r="C14" s="160">
        <f>IF('Settings'!$E$15="POINTS",RANK(E14,E3:E228),H14)</f>
        <v>7</v>
      </c>
      <c r="D14" t="s" s="42">
        <f>VLOOKUP(A14,'The List'!B1:F730,5,FALSE)</f>
        <v>108</v>
      </c>
      <c r="E14" s="46">
        <f>VLOOKUP(A14,'The List'!B1:I730,8,FALSE)</f>
        <v>409.983446005224</v>
      </c>
      <c r="F14" s="46">
        <f>IF('Settings'!$E$15="POINTS",E14-VLOOKUP(B$2,C1:E228,3,FALSE),J14)</f>
        <v>69.248307358701</v>
      </c>
      <c r="G14" s="46"/>
      <c r="H14" s="149">
        <f>RANK(I14,I3:I228)</f>
        <v>5</v>
      </c>
      <c r="I14" s="150">
        <f>VLOOKUP(A14,'Standard Deviations'!A1:C731,3,FALSE)</f>
        <v>8.88211286930405</v>
      </c>
      <c r="J14" s="150">
        <f>I14-VLOOKUP(B$2,H1:J228,2,FALSE)</f>
        <v>3.50011399914081</v>
      </c>
    </row>
    <row r="15" ht="21.25" customHeight="1">
      <c r="A15" t="s" s="8">
        <v>183</v>
      </c>
      <c r="B15" t="s" s="159">
        <f>VLOOKUP(A15,'The List'!B1:D730,3,FALSE)</f>
        <v>129</v>
      </c>
      <c r="C15" s="160">
        <f>IF('Settings'!$E$15="POINTS",RANK(E15,E3:E228),H15)</f>
        <v>5</v>
      </c>
      <c r="D15" t="s" s="42">
        <f>VLOOKUP(A15,'The List'!B1:F730,5,FALSE)</f>
        <v>184</v>
      </c>
      <c r="E15" s="46">
        <f>VLOOKUP(A15,'The List'!B1:I730,8,FALSE)</f>
        <v>422.477848580799</v>
      </c>
      <c r="F15" s="46">
        <f>IF('Settings'!$E$15="POINTS",E15-VLOOKUP(B$2,C1:E228,3,FALSE),J15)</f>
        <v>81.74270993427599</v>
      </c>
      <c r="G15" s="46"/>
      <c r="H15" s="149">
        <f>RANK(I15,I3:I228)</f>
        <v>16</v>
      </c>
      <c r="I15" s="150">
        <f>VLOOKUP(A15,'Standard Deviations'!A1:C731,3,FALSE)</f>
        <v>6.047332275295</v>
      </c>
      <c r="J15" s="150">
        <f>I15-VLOOKUP(B$2,H1:J228,2,FALSE)</f>
        <v>0.66533340513176</v>
      </c>
    </row>
    <row r="16" ht="21.25" customHeight="1">
      <c r="A16" t="s" s="8">
        <v>222</v>
      </c>
      <c r="B16" t="s" s="159">
        <f>VLOOKUP(A16,'The List'!B1:D730,3,FALSE)</f>
        <v>129</v>
      </c>
      <c r="C16" s="160">
        <f>IF('Settings'!$E$15="POINTS",RANK(E16,E3:E228),H16)</f>
        <v>16</v>
      </c>
      <c r="D16" t="s" s="42">
        <f>VLOOKUP(A16,'The List'!B1:F730,5,FALSE)</f>
        <v>166</v>
      </c>
      <c r="E16" s="46">
        <f>VLOOKUP(A16,'The List'!B1:I730,8,FALSE)</f>
        <v>353.762607831787</v>
      </c>
      <c r="F16" s="46">
        <f>IF('Settings'!$E$15="POINTS",E16-VLOOKUP(B$2,C1:E228,3,FALSE),J16)</f>
        <v>13.027469185264</v>
      </c>
      <c r="G16" s="46"/>
      <c r="H16" s="149">
        <f>RANK(I16,I3:I228)</f>
        <v>24</v>
      </c>
      <c r="I16" s="150">
        <f>VLOOKUP(A16,'Standard Deviations'!A1:C731,3,FALSE)</f>
        <v>4.1984957581321</v>
      </c>
      <c r="J16" s="150">
        <f>I16-VLOOKUP(B$2,H1:J228,2,FALSE)</f>
        <v>-1.18350311203114</v>
      </c>
    </row>
    <row r="17" ht="21.25" customHeight="1">
      <c r="A17" t="s" s="8">
        <v>211</v>
      </c>
      <c r="B17" t="s" s="159">
        <f>VLOOKUP(A17,'The List'!B1:D730,3,FALSE)</f>
        <v>129</v>
      </c>
      <c r="C17" s="160">
        <f>IF('Settings'!$E$15="POINTS",RANK(E17,E3:E228),H17)</f>
        <v>21</v>
      </c>
      <c r="D17" t="s" s="42">
        <f>VLOOKUP(A17,'The List'!B1:F730,5,FALSE)</f>
        <v>149</v>
      </c>
      <c r="E17" s="46">
        <f>VLOOKUP(A17,'The List'!B1:I730,8,FALSE)</f>
        <v>340.735138646523</v>
      </c>
      <c r="F17" s="46">
        <f>IF('Settings'!$E$15="POINTS",E17-VLOOKUP(B$2,C1:E228,3,FALSE),J17)</f>
        <v>0</v>
      </c>
      <c r="G17" s="46"/>
      <c r="H17" s="149">
        <f>RANK(I17,I3:I228)</f>
        <v>22</v>
      </c>
      <c r="I17" s="150">
        <f>VLOOKUP(A17,'Standard Deviations'!A1:C731,3,FALSE)</f>
        <v>5.06553516013955</v>
      </c>
      <c r="J17" s="150">
        <f>I17-VLOOKUP(B$2,H1:J228,2,FALSE)</f>
        <v>-0.31646371002369</v>
      </c>
    </row>
    <row r="18" ht="21.25" customHeight="1">
      <c r="A18" t="s" s="8">
        <v>214</v>
      </c>
      <c r="B18" t="s" s="159">
        <f>VLOOKUP(A18,'The List'!B1:D730,3,FALSE)</f>
        <v>129</v>
      </c>
      <c r="C18" s="160">
        <f>IF('Settings'!$E$15="POINTS",RANK(E18,E3:E228),H18)</f>
        <v>17</v>
      </c>
      <c r="D18" t="s" s="42">
        <f>VLOOKUP(A18,'The List'!B1:F730,5,FALSE)</f>
        <v>122</v>
      </c>
      <c r="E18" s="46">
        <f>VLOOKUP(A18,'The List'!B1:I730,8,FALSE)</f>
        <v>353.467545508973</v>
      </c>
      <c r="F18" s="46">
        <f>IF('Settings'!$E$15="POINTS",E18-VLOOKUP(B$2,C1:E228,3,FALSE),J18)</f>
        <v>12.732406862450</v>
      </c>
      <c r="G18" s="46"/>
      <c r="H18" s="149">
        <f>RANK(I18,I3:I228)</f>
        <v>9</v>
      </c>
      <c r="I18" s="150">
        <f>VLOOKUP(A18,'Standard Deviations'!A1:C731,3,FALSE)</f>
        <v>6.84290068227909</v>
      </c>
      <c r="J18" s="150">
        <f>I18-VLOOKUP(B$2,H1:J228,2,FALSE)</f>
        <v>1.46090181211585</v>
      </c>
    </row>
    <row r="19" ht="21.25" customHeight="1">
      <c r="A19" t="s" s="8">
        <v>227</v>
      </c>
      <c r="B19" t="s" s="159">
        <f>VLOOKUP(A19,'The List'!B1:D730,3,FALSE)</f>
        <v>129</v>
      </c>
      <c r="C19" s="160">
        <f>IF('Settings'!$E$15="POINTS",RANK(E19,E3:E228),H19)</f>
        <v>24</v>
      </c>
      <c r="D19" t="s" s="42">
        <f>VLOOKUP(A19,'The List'!B1:F730,5,FALSE)</f>
        <v>218</v>
      </c>
      <c r="E19" s="46">
        <f>VLOOKUP(A19,'The List'!B1:I730,8,FALSE)</f>
        <v>335.037474562554</v>
      </c>
      <c r="F19" s="46">
        <f>IF('Settings'!$E$15="POINTS",E19-VLOOKUP(B$2,C1:E228,3,FALSE),J19)</f>
        <v>-5.697664083969</v>
      </c>
      <c r="G19" s="46"/>
      <c r="H19" s="149">
        <f>RANK(I19,I3:I228)</f>
        <v>17</v>
      </c>
      <c r="I19" s="150">
        <f>VLOOKUP(A19,'Standard Deviations'!A1:C731,3,FALSE)</f>
        <v>5.79446174840462</v>
      </c>
      <c r="J19" s="150">
        <f>I19-VLOOKUP(B$2,H1:J228,2,FALSE)</f>
        <v>0.41246287824138</v>
      </c>
    </row>
    <row r="20" ht="21.25" customHeight="1">
      <c r="A20" t="s" s="8">
        <v>237</v>
      </c>
      <c r="B20" t="s" s="159">
        <f>VLOOKUP(A20,'The List'!B1:D730,3,FALSE)</f>
        <v>129</v>
      </c>
      <c r="C20" s="160">
        <f>IF('Settings'!$E$15="POINTS",RANK(E20,E3:E228),H20)</f>
        <v>28</v>
      </c>
      <c r="D20" t="s" s="42">
        <f>VLOOKUP(A20,'The List'!B1:F730,5,FALSE)</f>
        <v>238</v>
      </c>
      <c r="E20" s="46">
        <f>VLOOKUP(A20,'The List'!B1:I730,8,FALSE)</f>
        <v>332.107706865729</v>
      </c>
      <c r="F20" s="46">
        <f>IF('Settings'!$E$15="POINTS",E20-VLOOKUP(B$2,C1:E228,3,FALSE),J20)</f>
        <v>-8.627431780794</v>
      </c>
      <c r="G20" s="46"/>
      <c r="H20" s="149">
        <f>RANK(I20,I3:I228)</f>
        <v>20</v>
      </c>
      <c r="I20" s="150">
        <f>VLOOKUP(A20,'Standard Deviations'!A1:C731,3,FALSE)</f>
        <v>5.48417116703251</v>
      </c>
      <c r="J20" s="150">
        <f>I20-VLOOKUP(B$2,H1:J228,2,FALSE)</f>
        <v>0.10217229686927</v>
      </c>
    </row>
    <row r="21" ht="21.25" customHeight="1">
      <c r="A21" t="s" s="8">
        <v>212</v>
      </c>
      <c r="B21" t="s" s="159">
        <f>VLOOKUP(A21,'The List'!B1:D730,3,FALSE)</f>
        <v>129</v>
      </c>
      <c r="C21" s="160">
        <f>IF('Settings'!$E$15="POINTS",RANK(E21,E3:E228),H21)</f>
        <v>25</v>
      </c>
      <c r="D21" t="s" s="42">
        <f>VLOOKUP(A21,'The List'!B1:F730,5,FALSE)</f>
        <v>202</v>
      </c>
      <c r="E21" s="46">
        <f>VLOOKUP(A21,'The List'!B1:I730,8,FALSE)</f>
        <v>334.681342112269</v>
      </c>
      <c r="F21" s="46">
        <f>IF('Settings'!$E$15="POINTS",E21-VLOOKUP(B$2,C1:E228,3,FALSE),J21)</f>
        <v>-6.053796534254</v>
      </c>
      <c r="G21" s="46"/>
      <c r="H21" s="149">
        <f>RANK(I21,I3:I228)</f>
        <v>11</v>
      </c>
      <c r="I21" s="150">
        <f>VLOOKUP(A21,'Standard Deviations'!A1:C731,3,FALSE)</f>
        <v>6.51249131037835</v>
      </c>
      <c r="J21" s="150">
        <f>I21-VLOOKUP(B$2,H1:J228,2,FALSE)</f>
        <v>1.13049244021511</v>
      </c>
    </row>
    <row r="22" ht="21.25" customHeight="1">
      <c r="A22" t="s" s="8">
        <v>220</v>
      </c>
      <c r="B22" t="s" s="159">
        <f>VLOOKUP(A22,'The List'!B1:D730,3,FALSE)</f>
        <v>129</v>
      </c>
      <c r="C22" s="160">
        <f>IF('Settings'!$E$15="POINTS",RANK(E22,E3:E228),H22)</f>
        <v>26</v>
      </c>
      <c r="D22" t="s" s="42">
        <f>VLOOKUP(A22,'The List'!B1:F730,5,FALSE)</f>
        <v>115</v>
      </c>
      <c r="E22" s="46">
        <f>VLOOKUP(A22,'The List'!B1:I730,8,FALSE)</f>
        <v>333.587401006829</v>
      </c>
      <c r="F22" s="46">
        <f>IF('Settings'!$E$15="POINTS",E22-VLOOKUP(B$2,C1:E228,3,FALSE),J22)</f>
        <v>-7.147737639694</v>
      </c>
      <c r="G22" s="46"/>
      <c r="H22" s="149">
        <f>RANK(I22,I3:I228)</f>
        <v>21</v>
      </c>
      <c r="I22" s="150">
        <f>VLOOKUP(A22,'Standard Deviations'!A1:C731,3,FALSE)</f>
        <v>5.38199887016324</v>
      </c>
      <c r="J22" s="150">
        <f>I22-VLOOKUP(B$2,H1:J228,2,FALSE)</f>
        <v>0</v>
      </c>
    </row>
    <row r="23" ht="21.25" customHeight="1">
      <c r="A23" t="s" s="8">
        <v>224</v>
      </c>
      <c r="B23" t="s" s="159">
        <f>VLOOKUP(A23,'The List'!B1:D730,3,FALSE)</f>
        <v>129</v>
      </c>
      <c r="C23" s="160">
        <f>IF('Settings'!$E$15="POINTS",RANK(E23,E3:E228),H23)</f>
        <v>15</v>
      </c>
      <c r="D23" t="s" s="42">
        <f>VLOOKUP(A23,'The List'!B1:F730,5,FALSE)</f>
        <v>225</v>
      </c>
      <c r="E23" s="46">
        <f>VLOOKUP(A23,'The List'!B1:I730,8,FALSE)</f>
        <v>358.249450919705</v>
      </c>
      <c r="F23" s="46">
        <f>IF('Settings'!$E$15="POINTS",E23-VLOOKUP(B$2,C1:E228,3,FALSE),J23)</f>
        <v>17.514312273182</v>
      </c>
      <c r="G23" s="46"/>
      <c r="H23" s="149">
        <f>RANK(I23,I3:I228)</f>
        <v>38</v>
      </c>
      <c r="I23" s="150">
        <f>VLOOKUP(A23,'Standard Deviations'!A1:C731,3,FALSE)</f>
        <v>2.73315530491557</v>
      </c>
      <c r="J23" s="150">
        <f>I23-VLOOKUP(B$2,H1:J228,2,FALSE)</f>
        <v>-2.64884356524767</v>
      </c>
    </row>
    <row r="24" ht="21.25" customHeight="1">
      <c r="A24" t="s" s="8">
        <v>246</v>
      </c>
      <c r="B24" t="s" s="159">
        <f>VLOOKUP(A24,'The List'!B1:D730,3,FALSE)</f>
        <v>129</v>
      </c>
      <c r="C24" s="160">
        <f>IF('Settings'!$E$15="POINTS",RANK(E24,E3:E228),H24)</f>
        <v>14</v>
      </c>
      <c r="D24" t="s" s="42">
        <f>VLOOKUP(A24,'The List'!B1:F730,5,FALSE)</f>
        <v>218</v>
      </c>
      <c r="E24" s="46">
        <f>VLOOKUP(A24,'The List'!B1:I730,8,FALSE)</f>
        <v>365.078643707994</v>
      </c>
      <c r="F24" s="46">
        <f>IF('Settings'!$E$15="POINTS",E24-VLOOKUP(B$2,C1:E228,3,FALSE),J24)</f>
        <v>24.343505061471</v>
      </c>
      <c r="G24" s="46"/>
      <c r="H24" s="149">
        <f>RANK(I24,I3:I228)</f>
        <v>13</v>
      </c>
      <c r="I24" s="150">
        <f>VLOOKUP(A24,'Standard Deviations'!A1:C731,3,FALSE)</f>
        <v>6.44949888624581</v>
      </c>
      <c r="J24" s="150">
        <f>I24-VLOOKUP(B$2,H1:J228,2,FALSE)</f>
        <v>1.06750001608257</v>
      </c>
    </row>
    <row r="25" ht="21.25" customHeight="1">
      <c r="A25" t="s" s="8">
        <v>254</v>
      </c>
      <c r="B25" t="s" s="159">
        <f>VLOOKUP(A25,'The List'!B1:D730,3,FALSE)</f>
        <v>129</v>
      </c>
      <c r="C25" s="160">
        <f>IF('Settings'!$E$15="POINTS",RANK(E25,E3:E228),H25)</f>
        <v>18</v>
      </c>
      <c r="D25" t="s" s="42">
        <f>VLOOKUP(A25,'The List'!B1:F730,5,FALSE)</f>
        <v>170</v>
      </c>
      <c r="E25" s="46">
        <f>VLOOKUP(A25,'The List'!B1:I730,8,FALSE)</f>
        <v>349.696212578686</v>
      </c>
      <c r="F25" s="46">
        <f>IF('Settings'!$E$15="POINTS",E25-VLOOKUP(B$2,C1:E228,3,FALSE),J25)</f>
        <v>8.961073932163</v>
      </c>
      <c r="G25" s="46"/>
      <c r="H25" s="149">
        <f>RANK(I25,I3:I228)</f>
        <v>23</v>
      </c>
      <c r="I25" s="150">
        <f>VLOOKUP(A25,'Standard Deviations'!A1:C731,3,FALSE)</f>
        <v>4.28415667475861</v>
      </c>
      <c r="J25" s="150">
        <f>I25-VLOOKUP(B$2,H1:J228,2,FALSE)</f>
        <v>-1.09784219540463</v>
      </c>
    </row>
    <row r="26" ht="21.25" customHeight="1">
      <c r="A26" t="s" s="8">
        <v>229</v>
      </c>
      <c r="B26" t="s" s="159">
        <f>VLOOKUP(A26,'The List'!B1:D730,3,FALSE)</f>
        <v>129</v>
      </c>
      <c r="C26" s="160">
        <f>IF('Settings'!$E$15="POINTS",RANK(E26,E3:E228),H26)</f>
        <v>22</v>
      </c>
      <c r="D26" t="s" s="42">
        <f>VLOOKUP(A26,'The List'!B1:F730,5,FALSE)</f>
        <v>189</v>
      </c>
      <c r="E26" s="46">
        <f>VLOOKUP(A26,'The List'!B1:I730,8,FALSE)</f>
        <v>338.018052562945</v>
      </c>
      <c r="F26" s="46">
        <f>IF('Settings'!$E$15="POINTS",E26-VLOOKUP(B$2,C1:E228,3,FALSE),J26)</f>
        <v>-2.717086083578</v>
      </c>
      <c r="G26" s="46"/>
      <c r="H26" s="149">
        <f>RANK(I26,I3:I228)</f>
        <v>37</v>
      </c>
      <c r="I26" s="150">
        <f>VLOOKUP(A26,'Standard Deviations'!A1:C731,3,FALSE)</f>
        <v>2.81235161245942</v>
      </c>
      <c r="J26" s="150">
        <f>I26-VLOOKUP(B$2,H1:J228,2,FALSE)</f>
        <v>-2.56964725770382</v>
      </c>
    </row>
    <row r="27" ht="21.25" customHeight="1">
      <c r="A27" t="s" s="8">
        <v>264</v>
      </c>
      <c r="B27" t="s" s="159">
        <f>VLOOKUP(A27,'The List'!B1:D730,3,FALSE)</f>
        <v>129</v>
      </c>
      <c r="C27" s="160">
        <f>IF('Settings'!$E$15="POINTS",RANK(E27,E3:E228),H27)</f>
        <v>35</v>
      </c>
      <c r="D27" t="s" s="42">
        <f>VLOOKUP(A27,'The List'!B1:F730,5,FALSE)</f>
        <v>204</v>
      </c>
      <c r="E27" s="46">
        <f>VLOOKUP(A27,'The List'!B1:I730,8,FALSE)</f>
        <v>307.178700846393</v>
      </c>
      <c r="F27" s="46">
        <f>IF('Settings'!$E$15="POINTS",E27-VLOOKUP(B$2,C1:E228,3,FALSE),J27)</f>
        <v>-33.556437800130</v>
      </c>
      <c r="G27" s="46"/>
      <c r="H27" s="149">
        <f>RANK(I27,I3:I228)</f>
        <v>30</v>
      </c>
      <c r="I27" s="150">
        <f>VLOOKUP(A27,'Standard Deviations'!A1:C731,3,FALSE)</f>
        <v>3.51331432742723</v>
      </c>
      <c r="J27" s="150">
        <f>I27-VLOOKUP(B$2,H1:J228,2,FALSE)</f>
        <v>-1.86868454273601</v>
      </c>
    </row>
    <row r="28" ht="21.25" customHeight="1">
      <c r="A28" t="s" s="8">
        <v>207</v>
      </c>
      <c r="B28" t="s" s="159">
        <f>VLOOKUP(A28,'The List'!B1:D730,3,FALSE)</f>
        <v>129</v>
      </c>
      <c r="C28" s="160">
        <f>IF('Settings'!$E$15="POINTS",RANK(E28,E3:E228),H28)</f>
        <v>20</v>
      </c>
      <c r="D28" t="s" s="42">
        <f>VLOOKUP(A28,'The List'!B1:F730,5,FALSE)</f>
        <v>119</v>
      </c>
      <c r="E28" s="46">
        <f>VLOOKUP(A28,'The List'!B1:I730,8,FALSE)</f>
        <v>341.473632194021</v>
      </c>
      <c r="F28" s="46">
        <f>IF('Settings'!$E$15="POINTS",E28-VLOOKUP(B$2,C1:E228,3,FALSE),J28)</f>
        <v>0.738493547498</v>
      </c>
      <c r="G28" s="46"/>
      <c r="H28" s="149">
        <f>RANK(I28,I3:I228)</f>
        <v>18</v>
      </c>
      <c r="I28" s="150">
        <f>VLOOKUP(A28,'Standard Deviations'!A1:C731,3,FALSE)</f>
        <v>5.58945965215708</v>
      </c>
      <c r="J28" s="150">
        <f>I28-VLOOKUP(B$2,H1:J228,2,FALSE)</f>
        <v>0.20746078199384</v>
      </c>
    </row>
    <row r="29" ht="21.25" customHeight="1">
      <c r="A29" t="s" s="8">
        <v>247</v>
      </c>
      <c r="B29" t="s" s="159">
        <f>VLOOKUP(A29,'The List'!B1:D730,3,FALSE)</f>
        <v>129</v>
      </c>
      <c r="C29" s="160">
        <f>IF('Settings'!$E$15="POINTS",RANK(E29,E3:E228),H29)</f>
        <v>27</v>
      </c>
      <c r="D29" t="s" s="42">
        <f>VLOOKUP(A29,'The List'!B1:F730,5,FALSE)</f>
        <v>248</v>
      </c>
      <c r="E29" s="46">
        <f>VLOOKUP(A29,'The List'!B1:I730,8,FALSE)</f>
        <v>333.519002805303</v>
      </c>
      <c r="F29" s="46">
        <f>IF('Settings'!$E$15="POINTS",E29-VLOOKUP(B$2,C1:E228,3,FALSE),J29)</f>
        <v>-7.216135841220</v>
      </c>
      <c r="G29" s="46"/>
      <c r="H29" s="149">
        <f>RANK(I29,I3:I228)</f>
        <v>26</v>
      </c>
      <c r="I29" s="150">
        <f>VLOOKUP(A29,'Standard Deviations'!A1:C731,3,FALSE)</f>
        <v>3.94935700819406</v>
      </c>
      <c r="J29" s="150">
        <f>I29-VLOOKUP(B$2,H1:J228,2,FALSE)</f>
        <v>-1.43264186196918</v>
      </c>
    </row>
    <row r="30" ht="21.25" customHeight="1">
      <c r="A30" t="s" s="8">
        <v>262</v>
      </c>
      <c r="B30" t="s" s="159">
        <f>VLOOKUP(A30,'The List'!B1:D730,3,FALSE)</f>
        <v>129</v>
      </c>
      <c r="C30" s="160">
        <f>IF('Settings'!$E$15="POINTS",RANK(E30,E3:E228),H30)</f>
        <v>19</v>
      </c>
      <c r="D30" t="s" s="42">
        <f>VLOOKUP(A30,'The List'!B1:F730,5,FALSE)</f>
        <v>194</v>
      </c>
      <c r="E30" s="46">
        <f>VLOOKUP(A30,'The List'!B1:I730,8,FALSE)</f>
        <v>346.647286916966</v>
      </c>
      <c r="F30" s="46">
        <f>IF('Settings'!$E$15="POINTS",E30-VLOOKUP(B$2,C1:E228,3,FALSE),J30)</f>
        <v>5.912148270443</v>
      </c>
      <c r="G30" s="46"/>
      <c r="H30" s="149">
        <f>RANK(I30,I3:I228)</f>
        <v>39</v>
      </c>
      <c r="I30" s="150">
        <f>VLOOKUP(A30,'Standard Deviations'!A1:C731,3,FALSE)</f>
        <v>2.65629037137229</v>
      </c>
      <c r="J30" s="150">
        <f>I30-VLOOKUP(B$2,H1:J228,2,FALSE)</f>
        <v>-2.72570849879095</v>
      </c>
    </row>
    <row r="31" ht="21.25" customHeight="1">
      <c r="A31" t="s" s="8">
        <v>265</v>
      </c>
      <c r="B31" t="s" s="159">
        <f>VLOOKUP(A31,'The List'!B1:D730,3,FALSE)</f>
        <v>129</v>
      </c>
      <c r="C31" s="160">
        <f>IF('Settings'!$E$15="POINTS",RANK(E31,E3:E228),H31)</f>
        <v>32</v>
      </c>
      <c r="D31" t="s" s="42">
        <f>VLOOKUP(A31,'The List'!B1:F730,5,FALSE)</f>
        <v>173</v>
      </c>
      <c r="E31" s="46">
        <f>VLOOKUP(A31,'The List'!B1:I730,8,FALSE)</f>
        <v>315.395188112933</v>
      </c>
      <c r="F31" s="46">
        <f>IF('Settings'!$E$15="POINTS",E31-VLOOKUP(B$2,C1:E228,3,FALSE),J31)</f>
        <v>-25.339950533590</v>
      </c>
      <c r="G31" s="46"/>
      <c r="H31" s="149">
        <f>RANK(I31,I3:I228)</f>
        <v>27</v>
      </c>
      <c r="I31" s="150">
        <f>VLOOKUP(A31,'Standard Deviations'!A1:C731,3,FALSE)</f>
        <v>3.85860893121152</v>
      </c>
      <c r="J31" s="150">
        <f>I31-VLOOKUP(B$2,H1:J228,2,FALSE)</f>
        <v>-1.52338993895172</v>
      </c>
    </row>
    <row r="32" ht="21.25" customHeight="1">
      <c r="A32" t="s" s="8">
        <v>279</v>
      </c>
      <c r="B32" t="s" s="159">
        <f>VLOOKUP(A32,'The List'!B1:D730,3,FALSE)</f>
        <v>129</v>
      </c>
      <c r="C32" s="160">
        <f>IF('Settings'!$E$15="POINTS",RANK(E32,E3:E228),H32)</f>
        <v>31</v>
      </c>
      <c r="D32" t="s" s="42">
        <f>VLOOKUP(A32,'The List'!B1:F730,5,FALSE)</f>
        <v>258</v>
      </c>
      <c r="E32" s="46">
        <f>VLOOKUP(A32,'The List'!B1:I730,8,FALSE)</f>
        <v>319.960969221804</v>
      </c>
      <c r="F32" s="46">
        <f>IF('Settings'!$E$15="POINTS",E32-VLOOKUP(B$2,C1:E228,3,FALSE),J32)</f>
        <v>-20.774169424719</v>
      </c>
      <c r="G32" s="46"/>
      <c r="H32" s="149">
        <f>RANK(I32,I3:I228)</f>
        <v>47</v>
      </c>
      <c r="I32" s="150">
        <f>VLOOKUP(A32,'Standard Deviations'!A1:C731,3,FALSE)</f>
        <v>1.79231556613453</v>
      </c>
      <c r="J32" s="150">
        <f>I32-VLOOKUP(B$2,H1:J228,2,FALSE)</f>
        <v>-3.58968330402871</v>
      </c>
    </row>
    <row r="33" ht="21.25" customHeight="1">
      <c r="A33" t="s" s="8">
        <v>267</v>
      </c>
      <c r="B33" t="s" s="159">
        <f>VLOOKUP(A33,'The List'!B1:D730,3,FALSE)</f>
        <v>129</v>
      </c>
      <c r="C33" s="160">
        <f>IF('Settings'!$E$15="POINTS",RANK(E33,E3:E228),H33)</f>
        <v>23</v>
      </c>
      <c r="D33" t="s" s="42">
        <f>VLOOKUP(A33,'The List'!B1:F730,5,FALSE)</f>
        <v>113</v>
      </c>
      <c r="E33" s="46">
        <f>VLOOKUP(A33,'The List'!B1:I730,8,FALSE)</f>
        <v>336.594326600981</v>
      </c>
      <c r="F33" s="46">
        <f>IF('Settings'!$E$15="POINTS",E33-VLOOKUP(B$2,C1:E228,3,FALSE),J33)</f>
        <v>-4.140812045542</v>
      </c>
      <c r="G33" s="46"/>
      <c r="H33" s="149">
        <f>RANK(I33,I3:I228)</f>
        <v>19</v>
      </c>
      <c r="I33" s="150">
        <f>VLOOKUP(A33,'Standard Deviations'!A1:C731,3,FALSE)</f>
        <v>5.53714971429497</v>
      </c>
      <c r="J33" s="150">
        <f>I33-VLOOKUP(B$2,H1:J228,2,FALSE)</f>
        <v>0.15515084413173</v>
      </c>
    </row>
    <row r="34" ht="21.25" customHeight="1">
      <c r="A34" t="s" s="8">
        <v>270</v>
      </c>
      <c r="B34" t="s" s="159">
        <f>VLOOKUP(A34,'The List'!B1:D730,3,FALSE)</f>
        <v>129</v>
      </c>
      <c r="C34" s="160">
        <f>IF('Settings'!$E$15="POINTS",RANK(E34,E3:E228),H34)</f>
        <v>41</v>
      </c>
      <c r="D34" t="s" s="42">
        <f>VLOOKUP(A34,'The List'!B1:F730,5,FALSE)</f>
        <v>234</v>
      </c>
      <c r="E34" s="46">
        <f>VLOOKUP(A34,'The List'!B1:I730,8,FALSE)</f>
        <v>295.279338712156</v>
      </c>
      <c r="F34" s="46">
        <f>IF('Settings'!$E$15="POINTS",E34-VLOOKUP(B$2,C1:E228,3,FALSE),J34)</f>
        <v>-45.455799934367</v>
      </c>
      <c r="G34" s="46"/>
      <c r="H34" s="149">
        <f>RANK(I34,I3:I228)</f>
        <v>63</v>
      </c>
      <c r="I34" s="150">
        <f>VLOOKUP(A34,'Standard Deviations'!A1:C731,3,FALSE)</f>
        <v>1.17030282178725</v>
      </c>
      <c r="J34" s="150">
        <f>I34-VLOOKUP(B$2,H1:J228,2,FALSE)</f>
        <v>-4.21169604837599</v>
      </c>
    </row>
    <row r="35" ht="21.25" customHeight="1">
      <c r="A35" t="s" s="8">
        <v>276</v>
      </c>
      <c r="B35" t="s" s="159">
        <f>VLOOKUP(A35,'The List'!B1:D730,3,FALSE)</f>
        <v>129</v>
      </c>
      <c r="C35" s="160">
        <f>IF('Settings'!$E$15="POINTS",RANK(E35,E3:E228),H35)</f>
        <v>34</v>
      </c>
      <c r="D35" t="s" s="42">
        <f>VLOOKUP(A35,'The List'!B1:F730,5,FALSE)</f>
        <v>196</v>
      </c>
      <c r="E35" s="46">
        <f>VLOOKUP(A35,'The List'!B1:I730,8,FALSE)</f>
        <v>309.462556813665</v>
      </c>
      <c r="F35" s="46">
        <f>IF('Settings'!$E$15="POINTS",E35-VLOOKUP(B$2,C1:E228,3,FALSE),J35)</f>
        <v>-31.272581832858</v>
      </c>
      <c r="G35" s="46"/>
      <c r="H35" s="149">
        <f>RANK(I35,I3:I228)</f>
        <v>33</v>
      </c>
      <c r="I35" s="150">
        <f>VLOOKUP(A35,'Standard Deviations'!A1:C731,3,FALSE)</f>
        <v>3.20258895937039</v>
      </c>
      <c r="J35" s="150">
        <f>I35-VLOOKUP(B$2,H1:J228,2,FALSE)</f>
        <v>-2.17940991079285</v>
      </c>
    </row>
    <row r="36" ht="21.25" customHeight="1">
      <c r="A36" t="s" s="8">
        <v>283</v>
      </c>
      <c r="B36" t="s" s="159">
        <f>VLOOKUP(A36,'The List'!B1:D730,3,FALSE)</f>
        <v>129</v>
      </c>
      <c r="C36" s="160">
        <f>IF('Settings'!$E$15="POINTS",RANK(E36,E3:E228),H36)</f>
        <v>30</v>
      </c>
      <c r="D36" t="s" s="42">
        <f>VLOOKUP(A36,'The List'!B1:F730,5,FALSE)</f>
        <v>173</v>
      </c>
      <c r="E36" s="46">
        <f>VLOOKUP(A36,'The List'!B1:I730,8,FALSE)</f>
        <v>321.214230750392</v>
      </c>
      <c r="F36" s="46">
        <f>IF('Settings'!$E$15="POINTS",E36-VLOOKUP(B$2,C1:E228,3,FALSE),J36)</f>
        <v>-19.520907896131</v>
      </c>
      <c r="G36" s="46"/>
      <c r="H36" s="149">
        <f>RANK(I36,I3:I228)</f>
        <v>32</v>
      </c>
      <c r="I36" s="150">
        <f>VLOOKUP(A36,'Standard Deviations'!A1:C731,3,FALSE)</f>
        <v>3.25572436646969</v>
      </c>
      <c r="J36" s="150">
        <f>I36-VLOOKUP(B$2,H1:J228,2,FALSE)</f>
        <v>-2.12627450369355</v>
      </c>
    </row>
    <row r="37" ht="21.25" customHeight="1">
      <c r="A37" t="s" s="8">
        <v>293</v>
      </c>
      <c r="B37" t="s" s="159">
        <f>VLOOKUP(A37,'The List'!B1:D730,3,FALSE)</f>
        <v>129</v>
      </c>
      <c r="C37" s="160">
        <f>IF('Settings'!$E$15="POINTS",RANK(E37,E3:E228),H37)</f>
        <v>36</v>
      </c>
      <c r="D37" t="s" s="42">
        <f>VLOOKUP(A37,'The List'!B1:F730,5,FALSE)</f>
        <v>238</v>
      </c>
      <c r="E37" s="46">
        <f>VLOOKUP(A37,'The List'!B1:I730,8,FALSE)</f>
        <v>304.103213571027</v>
      </c>
      <c r="F37" s="46">
        <f>IF('Settings'!$E$15="POINTS",E37-VLOOKUP(B$2,C1:E228,3,FALSE),J37)</f>
        <v>-36.631925075496</v>
      </c>
      <c r="G37" s="46"/>
      <c r="H37" s="149">
        <f>RANK(I37,I3:I228)</f>
        <v>28</v>
      </c>
      <c r="I37" s="150">
        <f>VLOOKUP(A37,'Standard Deviations'!A1:C731,3,FALSE)</f>
        <v>3.53442338417037</v>
      </c>
      <c r="J37" s="150">
        <f>I37-VLOOKUP(B$2,H1:J228,2,FALSE)</f>
        <v>-1.84757548599287</v>
      </c>
    </row>
    <row r="38" ht="21.25" customHeight="1">
      <c r="A38" t="s" s="8">
        <v>296</v>
      </c>
      <c r="B38" t="s" s="159">
        <f>VLOOKUP(A38,'The List'!B1:D730,3,FALSE)</f>
        <v>129</v>
      </c>
      <c r="C38" s="160">
        <f>IF('Settings'!$E$15="POINTS",RANK(E38,E3:E228),H38)</f>
        <v>48</v>
      </c>
      <c r="D38" t="s" s="42">
        <f>VLOOKUP(A38,'The List'!B1:F730,5,FALSE)</f>
        <v>194</v>
      </c>
      <c r="E38" s="46">
        <f>VLOOKUP(A38,'The List'!B1:I730,8,FALSE)</f>
        <v>275.204374417936</v>
      </c>
      <c r="F38" s="46">
        <f>IF('Settings'!$E$15="POINTS",E38-VLOOKUP(B$2,C1:E228,3,FALSE),J38)</f>
        <v>-65.530764228587</v>
      </c>
      <c r="G38" s="46"/>
      <c r="H38" s="149">
        <f>RANK(I38,I3:I228)</f>
        <v>50</v>
      </c>
      <c r="I38" s="150">
        <f>VLOOKUP(A38,'Standard Deviations'!A1:C731,3,FALSE)</f>
        <v>1.50684073360614</v>
      </c>
      <c r="J38" s="150">
        <f>I38-VLOOKUP(B$2,H1:J228,2,FALSE)</f>
        <v>-3.8751581365571</v>
      </c>
    </row>
    <row r="39" ht="21.25" customHeight="1">
      <c r="A39" t="s" s="8">
        <v>303</v>
      </c>
      <c r="B39" t="s" s="159">
        <f>VLOOKUP(A39,'The List'!B1:D730,3,FALSE)</f>
        <v>129</v>
      </c>
      <c r="C39" s="160">
        <f>IF('Settings'!$E$15="POINTS",RANK(E39,E3:E228),H39)</f>
        <v>37</v>
      </c>
      <c r="D39" t="s" s="42">
        <f>VLOOKUP(A39,'The List'!B1:F730,5,FALSE)</f>
        <v>119</v>
      </c>
      <c r="E39" s="46">
        <f>VLOOKUP(A39,'The List'!B1:I730,8,FALSE)</f>
        <v>303.528200407784</v>
      </c>
      <c r="F39" s="46">
        <f>IF('Settings'!$E$15="POINTS",E39-VLOOKUP(B$2,C1:E228,3,FALSE),J39)</f>
        <v>-37.206938238739</v>
      </c>
      <c r="G39" s="46"/>
      <c r="H39" s="149">
        <f>RANK(I39,I3:I228)</f>
        <v>34</v>
      </c>
      <c r="I39" s="150">
        <f>VLOOKUP(A39,'Standard Deviations'!A1:C731,3,FALSE)</f>
        <v>3.07425220321962</v>
      </c>
      <c r="J39" s="150">
        <f>I39-VLOOKUP(B$2,H1:J228,2,FALSE)</f>
        <v>-2.30774666694362</v>
      </c>
    </row>
    <row r="40" ht="21.25" customHeight="1">
      <c r="A40" t="s" s="8">
        <v>298</v>
      </c>
      <c r="B40" t="s" s="159">
        <f>VLOOKUP(A40,'The List'!B1:D730,3,FALSE)</f>
        <v>129</v>
      </c>
      <c r="C40" s="160">
        <f>IF('Settings'!$E$15="POINTS",RANK(E40,E3:E228),H40)</f>
        <v>39</v>
      </c>
      <c r="D40" t="s" s="42">
        <f>VLOOKUP(A40,'The List'!B1:F730,5,FALSE)</f>
        <v>204</v>
      </c>
      <c r="E40" s="46">
        <f>VLOOKUP(A40,'The List'!B1:I730,8,FALSE)</f>
        <v>301.412646306103</v>
      </c>
      <c r="F40" s="46">
        <f>IF('Settings'!$E$15="POINTS",E40-VLOOKUP(B$2,C1:E228,3,FALSE),J40)</f>
        <v>-39.322492340420</v>
      </c>
      <c r="G40" s="46"/>
      <c r="H40" s="149">
        <f>RANK(I40,I3:I228)</f>
        <v>44</v>
      </c>
      <c r="I40" s="150">
        <f>VLOOKUP(A40,'Standard Deviations'!A1:C731,3,FALSE)</f>
        <v>2.20874140800865</v>
      </c>
      <c r="J40" s="150">
        <f>I40-VLOOKUP(B$2,H1:J228,2,FALSE)</f>
        <v>-3.17325746215459</v>
      </c>
    </row>
    <row r="41" ht="21.25" customHeight="1">
      <c r="A41" t="s" s="8">
        <v>314</v>
      </c>
      <c r="B41" t="s" s="159">
        <f>VLOOKUP(A41,'The List'!B1:D730,3,FALSE)</f>
        <v>129</v>
      </c>
      <c r="C41" s="160">
        <f>IF('Settings'!$E$15="POINTS",RANK(E41,E3:E228),H41)</f>
        <v>29</v>
      </c>
      <c r="D41" t="s" s="42">
        <f>VLOOKUP(A41,'The List'!B1:F730,5,FALSE)</f>
        <v>108</v>
      </c>
      <c r="E41" s="46">
        <f>VLOOKUP(A41,'The List'!B1:I730,8,FALSE)</f>
        <v>330.080194538163</v>
      </c>
      <c r="F41" s="46">
        <f>IF('Settings'!$E$15="POINTS",E41-VLOOKUP(B$2,C1:E228,3,FALSE),J41)</f>
        <v>-10.654944108360</v>
      </c>
      <c r="G41" s="46"/>
      <c r="H41" s="149">
        <f>RANK(I41,I3:I228)</f>
        <v>25</v>
      </c>
      <c r="I41" s="150">
        <f>VLOOKUP(A41,'Standard Deviations'!A1:C731,3,FALSE)</f>
        <v>4.02013070427645</v>
      </c>
      <c r="J41" s="150">
        <f>I41-VLOOKUP(B$2,H1:J228,2,FALSE)</f>
        <v>-1.36186816588679</v>
      </c>
    </row>
    <row r="42" ht="21.25" customHeight="1">
      <c r="A42" t="s" s="8">
        <v>321</v>
      </c>
      <c r="B42" t="s" s="159">
        <f>VLOOKUP(A42,'The List'!B1:D730,3,FALSE)</f>
        <v>129</v>
      </c>
      <c r="C42" s="160">
        <f>IF('Settings'!$E$15="POINTS",RANK(E42,E3:E228),H42)</f>
        <v>68</v>
      </c>
      <c r="D42" t="s" s="42">
        <f>VLOOKUP(A42,'The List'!B1:F730,5,FALSE)</f>
        <v>131</v>
      </c>
      <c r="E42" s="46">
        <f>VLOOKUP(A42,'The List'!B1:I730,8,FALSE)</f>
        <v>247.902889194675</v>
      </c>
      <c r="F42" s="46">
        <f>IF('Settings'!$E$15="POINTS",E42-VLOOKUP(B$2,C1:E228,3,FALSE),J42)</f>
        <v>-92.832249451848</v>
      </c>
      <c r="G42" s="46"/>
      <c r="H42" s="149">
        <f>RANK(I42,I3:I228)</f>
        <v>69</v>
      </c>
      <c r="I42" s="150">
        <f>VLOOKUP(A42,'Standard Deviations'!A1:C731,3,FALSE)</f>
        <v>0.85137802172995</v>
      </c>
      <c r="J42" s="150">
        <f>I42-VLOOKUP(B$2,H1:J228,2,FALSE)</f>
        <v>-4.53062084843329</v>
      </c>
    </row>
    <row r="43" ht="21.25" customHeight="1">
      <c r="A43" t="s" s="8">
        <v>306</v>
      </c>
      <c r="B43" t="s" s="159">
        <f>VLOOKUP(A43,'The List'!B1:D730,3,FALSE)</f>
        <v>129</v>
      </c>
      <c r="C43" s="160">
        <f>IF('Settings'!$E$15="POINTS",RANK(E43,E3:E228),H43)</f>
        <v>47</v>
      </c>
      <c r="D43" t="s" s="42">
        <f>VLOOKUP(A43,'The List'!B1:F730,5,FALSE)</f>
        <v>122</v>
      </c>
      <c r="E43" s="46">
        <f>VLOOKUP(A43,'The List'!B1:I730,8,FALSE)</f>
        <v>275.686804761654</v>
      </c>
      <c r="F43" s="46">
        <f>IF('Settings'!$E$15="POINTS",E43-VLOOKUP(B$2,C1:E228,3,FALSE),J43)</f>
        <v>-65.048333884869</v>
      </c>
      <c r="G43" s="46"/>
      <c r="H43" s="149">
        <f>RANK(I43,I3:I228)</f>
        <v>29</v>
      </c>
      <c r="I43" s="150">
        <f>VLOOKUP(A43,'Standard Deviations'!A1:C731,3,FALSE)</f>
        <v>3.51520688546886</v>
      </c>
      <c r="J43" s="150">
        <f>I43-VLOOKUP(B$2,H1:J228,2,FALSE)</f>
        <v>-1.86679198469438</v>
      </c>
    </row>
    <row r="44" ht="21.25" customHeight="1">
      <c r="A44" t="s" s="8">
        <v>319</v>
      </c>
      <c r="B44" t="s" s="159">
        <f>VLOOKUP(A44,'The List'!B1:D730,3,FALSE)</f>
        <v>129</v>
      </c>
      <c r="C44" s="160">
        <f>IF('Settings'!$E$15="POINTS",RANK(E44,E3:E228),H44)</f>
        <v>50</v>
      </c>
      <c r="D44" t="s" s="42">
        <f>VLOOKUP(A44,'The List'!B1:F730,5,FALSE)</f>
        <v>156</v>
      </c>
      <c r="E44" s="46">
        <f>VLOOKUP(A44,'The List'!B1:I730,8,FALSE)</f>
        <v>270.463001021685</v>
      </c>
      <c r="F44" s="46">
        <f>IF('Settings'!$E$15="POINTS",E44-VLOOKUP(B$2,C1:E228,3,FALSE),J44)</f>
        <v>-70.272137624838</v>
      </c>
      <c r="G44" s="46"/>
      <c r="H44" s="149">
        <f>RANK(I44,I3:I228)</f>
        <v>58</v>
      </c>
      <c r="I44" s="150">
        <f>VLOOKUP(A44,'Standard Deviations'!A1:C731,3,FALSE)</f>
        <v>1.28578459754646</v>
      </c>
      <c r="J44" s="150">
        <f>I44-VLOOKUP(B$2,H1:J228,2,FALSE)</f>
        <v>-4.09621427261678</v>
      </c>
    </row>
    <row r="45" ht="21.25" customHeight="1">
      <c r="A45" t="s" s="8">
        <v>316</v>
      </c>
      <c r="B45" t="s" s="159">
        <f>VLOOKUP(A45,'The List'!B1:D730,3,FALSE)</f>
        <v>129</v>
      </c>
      <c r="C45" s="160">
        <f>IF('Settings'!$E$15="POINTS",RANK(E45,E3:E228),H45)</f>
        <v>55</v>
      </c>
      <c r="D45" t="s" s="42">
        <f>VLOOKUP(A45,'The List'!B1:F730,5,FALSE)</f>
        <v>139</v>
      </c>
      <c r="E45" s="46">
        <f>VLOOKUP(A45,'The List'!B1:I730,8,FALSE)</f>
        <v>265.795779182338</v>
      </c>
      <c r="F45" s="46">
        <f>IF('Settings'!$E$15="POINTS",E45-VLOOKUP(B$2,C1:E228,3,FALSE),J45)</f>
        <v>-74.939359464185</v>
      </c>
      <c r="G45" s="46"/>
      <c r="H45" s="149">
        <f>RANK(I45,I3:I228)</f>
        <v>54</v>
      </c>
      <c r="I45" s="150">
        <f>VLOOKUP(A45,'Standard Deviations'!A1:C731,3,FALSE)</f>
        <v>1.42333449417847</v>
      </c>
      <c r="J45" s="150">
        <f>I45-VLOOKUP(B$2,H1:J228,2,FALSE)</f>
        <v>-3.95866437598477</v>
      </c>
    </row>
    <row r="46" ht="21.25" customHeight="1">
      <c r="A46" t="s" s="8">
        <v>323</v>
      </c>
      <c r="B46" t="s" s="159">
        <f>VLOOKUP(A46,'The List'!B1:D730,3,FALSE)</f>
        <v>129</v>
      </c>
      <c r="C46" s="160">
        <f>IF('Settings'!$E$15="POINTS",RANK(E46,E3:E228),H46)</f>
        <v>53</v>
      </c>
      <c r="D46" t="s" s="42">
        <f>VLOOKUP(A46,'The List'!B1:F730,5,FALSE)</f>
        <v>173</v>
      </c>
      <c r="E46" s="46">
        <f>VLOOKUP(A46,'The List'!B1:I730,8,FALSE)</f>
        <v>267.262034229623</v>
      </c>
      <c r="F46" s="46">
        <f>IF('Settings'!$E$15="POINTS",E46-VLOOKUP(B$2,C1:E228,3,FALSE),J46)</f>
        <v>-73.4731044169</v>
      </c>
      <c r="G46" s="46"/>
      <c r="H46" s="149">
        <f>RANK(I46,I3:I228)</f>
        <v>42</v>
      </c>
      <c r="I46" s="150">
        <f>VLOOKUP(A46,'Standard Deviations'!A1:C731,3,FALSE)</f>
        <v>2.4549882333394</v>
      </c>
      <c r="J46" s="150">
        <f>I46-VLOOKUP(B$2,H1:J228,2,FALSE)</f>
        <v>-2.92701063682384</v>
      </c>
    </row>
    <row r="47" ht="21.25" customHeight="1">
      <c r="A47" t="s" s="8">
        <v>330</v>
      </c>
      <c r="B47" t="s" s="159">
        <f>VLOOKUP(A47,'The List'!B1:D730,3,FALSE)</f>
        <v>129</v>
      </c>
      <c r="C47" s="160">
        <f>IF('Settings'!$E$15="POINTS",RANK(E47,E3:E228),H47)</f>
        <v>38</v>
      </c>
      <c r="D47" t="s" s="42">
        <f>VLOOKUP(A47,'The List'!B1:F730,5,FALSE)</f>
        <v>238</v>
      </c>
      <c r="E47" s="46">
        <f>VLOOKUP(A47,'The List'!B1:I730,8,FALSE)</f>
        <v>301.925659907067</v>
      </c>
      <c r="F47" s="46">
        <f>IF('Settings'!$E$15="POINTS",E47-VLOOKUP(B$2,C1:E228,3,FALSE),J47)</f>
        <v>-38.809478739456</v>
      </c>
      <c r="G47" s="46"/>
      <c r="H47" s="149">
        <f>RANK(I47,I3:I228)</f>
        <v>40</v>
      </c>
      <c r="I47" s="150">
        <f>VLOOKUP(A47,'Standard Deviations'!A1:C731,3,FALSE)</f>
        <v>2.58481515470622</v>
      </c>
      <c r="J47" s="150">
        <f>I47-VLOOKUP(B$2,H1:J228,2,FALSE)</f>
        <v>-2.79718371545702</v>
      </c>
    </row>
    <row r="48" ht="21.25" customHeight="1">
      <c r="A48" t="s" s="8">
        <v>318</v>
      </c>
      <c r="B48" t="s" s="159">
        <f>VLOOKUP(A48,'The List'!B1:D730,3,FALSE)</f>
        <v>129</v>
      </c>
      <c r="C48" s="160">
        <f>IF('Settings'!$E$15="POINTS",RANK(E48,E3:E228),H48)</f>
        <v>45</v>
      </c>
      <c r="D48" t="s" s="42">
        <f>VLOOKUP(A48,'The List'!B1:F730,5,FALSE)</f>
        <v>127</v>
      </c>
      <c r="E48" s="46">
        <f>VLOOKUP(A48,'The List'!B1:I730,8,FALSE)</f>
        <v>279.456467660293</v>
      </c>
      <c r="F48" s="46">
        <f>IF('Settings'!$E$15="POINTS",E48-VLOOKUP(B$2,C1:E228,3,FALSE),J48)</f>
        <v>-61.278670986230</v>
      </c>
      <c r="G48" s="46"/>
      <c r="H48" s="149">
        <f>RANK(I48,I3:I228)</f>
        <v>48</v>
      </c>
      <c r="I48" s="150">
        <f>VLOOKUP(A48,'Standard Deviations'!A1:C731,3,FALSE)</f>
        <v>1.72090781335161</v>
      </c>
      <c r="J48" s="150">
        <f>I48-VLOOKUP(B$2,H1:J228,2,FALSE)</f>
        <v>-3.66109105681163</v>
      </c>
    </row>
    <row r="49" ht="21.25" customHeight="1">
      <c r="A49" t="s" s="8">
        <v>343</v>
      </c>
      <c r="B49" t="s" s="159">
        <f>VLOOKUP(A49,'The List'!B1:D730,3,FALSE)</f>
        <v>129</v>
      </c>
      <c r="C49" s="160">
        <f>IF('Settings'!$E$15="POINTS",RANK(E49,E3:E228),H49)</f>
        <v>61</v>
      </c>
      <c r="D49" t="s" s="42">
        <f>VLOOKUP(A49,'The List'!B1:F730,5,FALSE)</f>
        <v>225</v>
      </c>
      <c r="E49" s="46">
        <f>VLOOKUP(A49,'The List'!B1:I730,8,FALSE)</f>
        <v>255.478934349119</v>
      </c>
      <c r="F49" s="46">
        <f>IF('Settings'!$E$15="POINTS",E49-VLOOKUP(B$2,C1:E228,3,FALSE),J49)</f>
        <v>-85.256204297404</v>
      </c>
      <c r="G49" s="46"/>
      <c r="H49" s="149">
        <f>RANK(I49,I3:I228)</f>
        <v>67</v>
      </c>
      <c r="I49" s="150">
        <f>VLOOKUP(A49,'Standard Deviations'!A1:C731,3,FALSE)</f>
        <v>0.930455166486531</v>
      </c>
      <c r="J49" s="150">
        <f>I49-VLOOKUP(B$2,H1:J228,2,FALSE)</f>
        <v>-4.45154370367671</v>
      </c>
    </row>
    <row r="50" ht="21.25" customHeight="1">
      <c r="A50" t="s" s="8">
        <v>336</v>
      </c>
      <c r="B50" t="s" s="159">
        <f>VLOOKUP(A50,'The List'!B1:D730,3,FALSE)</f>
        <v>129</v>
      </c>
      <c r="C50" s="160">
        <f>IF('Settings'!$E$15="POINTS",RANK(E50,E3:E228),H50)</f>
        <v>46</v>
      </c>
      <c r="D50" t="s" s="42">
        <f>VLOOKUP(A50,'The List'!B1:F730,5,FALSE)</f>
        <v>202</v>
      </c>
      <c r="E50" s="46">
        <f>VLOOKUP(A50,'The List'!B1:I730,8,FALSE)</f>
        <v>276.721271755307</v>
      </c>
      <c r="F50" s="46">
        <f>IF('Settings'!$E$15="POINTS",E50-VLOOKUP(B$2,C1:E228,3,FALSE),J50)</f>
        <v>-64.013866891216</v>
      </c>
      <c r="G50" s="46"/>
      <c r="H50" s="149">
        <f>RANK(I50,I3:I228)</f>
        <v>41</v>
      </c>
      <c r="I50" s="150">
        <f>VLOOKUP(A50,'Standard Deviations'!A1:C731,3,FALSE)</f>
        <v>2.53676263316668</v>
      </c>
      <c r="J50" s="150">
        <f>I50-VLOOKUP(B$2,H1:J228,2,FALSE)</f>
        <v>-2.84523623699656</v>
      </c>
    </row>
    <row r="51" ht="21.25" customHeight="1">
      <c r="A51" t="s" s="8">
        <v>337</v>
      </c>
      <c r="B51" t="s" s="159">
        <f>VLOOKUP(A51,'The List'!B1:D730,3,FALSE)</f>
        <v>129</v>
      </c>
      <c r="C51" s="160">
        <f>IF('Settings'!$E$15="POINTS",RANK(E51,E3:E228),H51)</f>
        <v>42</v>
      </c>
      <c r="D51" t="s" s="42">
        <f>VLOOKUP(A51,'The List'!B1:F730,5,FALSE)</f>
        <v>164</v>
      </c>
      <c r="E51" s="46">
        <f>VLOOKUP(A51,'The List'!B1:I730,8,FALSE)</f>
        <v>290.171380061065</v>
      </c>
      <c r="F51" s="46">
        <f>IF('Settings'!$E$15="POINTS",E51-VLOOKUP(B$2,C1:E228,3,FALSE),J51)</f>
        <v>-50.563758585458</v>
      </c>
      <c r="G51" s="46"/>
      <c r="H51" s="149">
        <f>RANK(I51,I3:I228)</f>
        <v>59</v>
      </c>
      <c r="I51" s="150">
        <f>VLOOKUP(A51,'Standard Deviations'!A1:C731,3,FALSE)</f>
        <v>1.27259482211282</v>
      </c>
      <c r="J51" s="150">
        <f>I51-VLOOKUP(B$2,H1:J228,2,FALSE)</f>
        <v>-4.10940404805042</v>
      </c>
    </row>
    <row r="52" ht="21.25" customHeight="1">
      <c r="A52" t="s" s="8">
        <v>324</v>
      </c>
      <c r="B52" t="s" s="159">
        <f>VLOOKUP(A52,'The List'!B1:D730,3,FALSE)</f>
        <v>129</v>
      </c>
      <c r="C52" s="160">
        <f>IF('Settings'!$E$15="POINTS",RANK(E52,E3:E228),H52)</f>
        <v>63</v>
      </c>
      <c r="D52" t="s" s="42">
        <f>VLOOKUP(A52,'The List'!B1:F730,5,FALSE)</f>
        <v>115</v>
      </c>
      <c r="E52" s="46">
        <f>VLOOKUP(A52,'The List'!B1:I730,8,FALSE)</f>
        <v>251.727097134038</v>
      </c>
      <c r="F52" s="46">
        <f>IF('Settings'!$E$15="POINTS",E52-VLOOKUP(B$2,C1:E228,3,FALSE),J52)</f>
        <v>-89.00804151248499</v>
      </c>
      <c r="G52" s="46"/>
      <c r="H52" s="149">
        <f>RANK(I52,I3:I228)</f>
        <v>52</v>
      </c>
      <c r="I52" s="150">
        <f>VLOOKUP(A52,'Standard Deviations'!A1:C731,3,FALSE)</f>
        <v>1.49807063687077</v>
      </c>
      <c r="J52" s="150">
        <f>I52-VLOOKUP(B$2,H1:J228,2,FALSE)</f>
        <v>-3.88392823329247</v>
      </c>
    </row>
    <row r="53" ht="21.25" customHeight="1">
      <c r="A53" t="s" s="8">
        <v>327</v>
      </c>
      <c r="B53" t="s" s="159">
        <f>VLOOKUP(A53,'The List'!B1:D730,3,FALSE)</f>
        <v>129</v>
      </c>
      <c r="C53" s="160">
        <f>IF('Settings'!$E$15="POINTS",RANK(E53,E3:E228),H53)</f>
        <v>58</v>
      </c>
      <c r="D53" t="s" s="42">
        <f>VLOOKUP(A53,'The List'!B1:F730,5,FALSE)</f>
        <v>119</v>
      </c>
      <c r="E53" s="46">
        <f>VLOOKUP(A53,'The List'!B1:I730,8,FALSE)</f>
        <v>260.463332978249</v>
      </c>
      <c r="F53" s="46">
        <f>IF('Settings'!$E$15="POINTS",E53-VLOOKUP(B$2,C1:E228,3,FALSE),J53)</f>
        <v>-80.271805668274</v>
      </c>
      <c r="G53" s="46"/>
      <c r="H53" s="149">
        <f>RANK(I53,I3:I228)</f>
        <v>53</v>
      </c>
      <c r="I53" s="150">
        <f>VLOOKUP(A53,'Standard Deviations'!A1:C731,3,FALSE)</f>
        <v>1.48496717049532</v>
      </c>
      <c r="J53" s="150">
        <f>I53-VLOOKUP(B$2,H1:J228,2,FALSE)</f>
        <v>-3.89703169966792</v>
      </c>
    </row>
    <row r="54" ht="21.25" customHeight="1">
      <c r="A54" t="s" s="8">
        <v>340</v>
      </c>
      <c r="B54" t="s" s="159">
        <f>VLOOKUP(A54,'The List'!B1:D730,3,FALSE)</f>
        <v>129</v>
      </c>
      <c r="C54" s="160">
        <f>IF('Settings'!$E$15="POINTS",RANK(E54,E3:E228),H54)</f>
        <v>43</v>
      </c>
      <c r="D54" t="s" s="42">
        <f>VLOOKUP(A54,'The List'!B1:F730,5,FALSE)</f>
        <v>134</v>
      </c>
      <c r="E54" s="46">
        <f>VLOOKUP(A54,'The List'!B1:I730,8,FALSE)</f>
        <v>286.661649280439</v>
      </c>
      <c r="F54" s="46">
        <f>IF('Settings'!$E$15="POINTS",E54-VLOOKUP(B$2,C1:E228,3,FALSE),J54)</f>
        <v>-54.073489366084</v>
      </c>
      <c r="G54" s="46"/>
      <c r="H54" s="149">
        <f>RANK(I54,I3:I228)</f>
        <v>31</v>
      </c>
      <c r="I54" s="150">
        <f>VLOOKUP(A54,'Standard Deviations'!A1:C731,3,FALSE)</f>
        <v>3.48012351602676</v>
      </c>
      <c r="J54" s="150">
        <f>I54-VLOOKUP(B$2,H1:J228,2,FALSE)</f>
        <v>-1.90187535413648</v>
      </c>
    </row>
    <row r="55" ht="21.25" customHeight="1">
      <c r="A55" t="s" s="8">
        <v>342</v>
      </c>
      <c r="B55" t="s" s="159">
        <f>VLOOKUP(A55,'The List'!B1:D730,3,FALSE)</f>
        <v>129</v>
      </c>
      <c r="C55" s="160">
        <f>IF('Settings'!$E$15="POINTS",RANK(E55,E3:E228),H55)</f>
        <v>33</v>
      </c>
      <c r="D55" t="s" s="42">
        <f>VLOOKUP(A55,'The List'!B1:F730,5,FALSE)</f>
        <v>151</v>
      </c>
      <c r="E55" s="46">
        <f>VLOOKUP(A55,'The List'!B1:I730,8,FALSE)</f>
        <v>315.053897014525</v>
      </c>
      <c r="F55" s="46">
        <f>IF('Settings'!$E$15="POINTS",E55-VLOOKUP(B$2,C1:E228,3,FALSE),J55)</f>
        <v>-25.681241631998</v>
      </c>
      <c r="G55" s="46"/>
      <c r="H55" s="149">
        <f>RANK(I55,I3:I228)</f>
        <v>36</v>
      </c>
      <c r="I55" s="150">
        <f>VLOOKUP(A55,'Standard Deviations'!A1:C731,3,FALSE)</f>
        <v>2.91772892675392</v>
      </c>
      <c r="J55" s="150">
        <f>I55-VLOOKUP(B$2,H1:J228,2,FALSE)</f>
        <v>-2.46426994340932</v>
      </c>
    </row>
    <row r="56" ht="21.25" customHeight="1">
      <c r="A56" t="s" s="8">
        <v>349</v>
      </c>
      <c r="B56" t="s" s="159">
        <f>VLOOKUP(A56,'The List'!B1:D730,3,FALSE)</f>
        <v>129</v>
      </c>
      <c r="C56" s="160">
        <f>IF('Settings'!$E$15="POINTS",RANK(E56,E3:E228),H56)</f>
        <v>62</v>
      </c>
      <c r="D56" t="s" s="42">
        <f>VLOOKUP(A56,'The List'!B1:F730,5,FALSE)</f>
        <v>189</v>
      </c>
      <c r="E56" s="46">
        <f>VLOOKUP(A56,'The List'!B1:I730,8,FALSE)</f>
        <v>251.981943598092</v>
      </c>
      <c r="F56" s="46">
        <f>IF('Settings'!$E$15="POINTS",E56-VLOOKUP(B$2,C1:E228,3,FALSE),J56)</f>
        <v>-88.753195048431</v>
      </c>
      <c r="G56" s="46"/>
      <c r="H56" s="149">
        <f>RANK(I56,I3:I228)</f>
        <v>79</v>
      </c>
      <c r="I56" s="150">
        <f>VLOOKUP(A56,'Standard Deviations'!A1:C731,3,FALSE)</f>
        <v>0.149700498729197</v>
      </c>
      <c r="J56" s="150">
        <f>I56-VLOOKUP(B$2,H1:J228,2,FALSE)</f>
        <v>-5.23229837143404</v>
      </c>
    </row>
    <row r="57" ht="21.25" customHeight="1">
      <c r="A57" t="s" s="8">
        <v>347</v>
      </c>
      <c r="B57" t="s" s="159">
        <f>VLOOKUP(A57,'The List'!B1:D730,3,FALSE)</f>
        <v>129</v>
      </c>
      <c r="C57" s="160">
        <f>IF('Settings'!$E$15="POINTS",RANK(E57,E3:E228),H57)</f>
        <v>57</v>
      </c>
      <c r="D57" t="s" s="42">
        <f>VLOOKUP(A57,'The List'!B1:F730,5,FALSE)</f>
        <v>108</v>
      </c>
      <c r="E57" s="46">
        <f>VLOOKUP(A57,'The List'!B1:I730,8,FALSE)</f>
        <v>265.581111394283</v>
      </c>
      <c r="F57" s="46">
        <f>IF('Settings'!$E$15="POINTS",E57-VLOOKUP(B$2,C1:E228,3,FALSE),J57)</f>
        <v>-75.154027252240</v>
      </c>
      <c r="G57" s="46"/>
      <c r="H57" s="149">
        <f>RANK(I57,I3:I228)</f>
        <v>35</v>
      </c>
      <c r="I57" s="150">
        <f>VLOOKUP(A57,'Standard Deviations'!A1:C731,3,FALSE)</f>
        <v>3.0086425717745</v>
      </c>
      <c r="J57" s="150">
        <f>I57-VLOOKUP(B$2,H1:J228,2,FALSE)</f>
        <v>-2.37335629838874</v>
      </c>
    </row>
    <row r="58" ht="21.25" customHeight="1">
      <c r="A58" t="s" s="8">
        <v>355</v>
      </c>
      <c r="B58" t="s" s="159">
        <f>VLOOKUP(A58,'The List'!B1:D730,3,FALSE)</f>
        <v>129</v>
      </c>
      <c r="C58" s="160">
        <f>IF('Settings'!$E$15="POINTS",RANK(E58,E3:E228),H58)</f>
        <v>79</v>
      </c>
      <c r="D58" t="s" s="42">
        <f>VLOOKUP(A58,'The List'!B1:F730,5,FALSE)</f>
        <v>136</v>
      </c>
      <c r="E58" s="46">
        <f>VLOOKUP(A58,'The List'!B1:I730,8,FALSE)</f>
        <v>236.020366283028</v>
      </c>
      <c r="F58" s="46">
        <f>IF('Settings'!$E$15="POINTS",E58-VLOOKUP(B$2,C1:E228,3,FALSE),J58)</f>
        <v>-104.714772363495</v>
      </c>
      <c r="G58" s="46"/>
      <c r="H58" s="149">
        <f>RANK(I58,I3:I228)</f>
        <v>49</v>
      </c>
      <c r="I58" s="150">
        <f>VLOOKUP(A58,'Standard Deviations'!A1:C731,3,FALSE)</f>
        <v>1.66547090734435</v>
      </c>
      <c r="J58" s="150">
        <f>I58-VLOOKUP(B$2,H1:J228,2,FALSE)</f>
        <v>-3.71652796281889</v>
      </c>
    </row>
    <row r="59" ht="21.25" customHeight="1">
      <c r="A59" t="s" s="8">
        <v>357</v>
      </c>
      <c r="B59" t="s" s="159">
        <f>VLOOKUP(A59,'The List'!B1:D730,3,FALSE)</f>
        <v>129</v>
      </c>
      <c r="C59" s="160">
        <f>IF('Settings'!$E$15="POINTS",RANK(E59,E3:E228),H59)</f>
        <v>65</v>
      </c>
      <c r="D59" t="s" s="42">
        <f>VLOOKUP(A59,'The List'!B1:F730,5,FALSE)</f>
        <v>196</v>
      </c>
      <c r="E59" s="46">
        <f>VLOOKUP(A59,'The List'!B1:I730,8,FALSE)</f>
        <v>251.600023594446</v>
      </c>
      <c r="F59" s="46">
        <f>IF('Settings'!$E$15="POINTS",E59-VLOOKUP(B$2,C1:E228,3,FALSE),J59)</f>
        <v>-89.135115052077</v>
      </c>
      <c r="G59" s="46"/>
      <c r="H59" s="149">
        <f>RANK(I59,I3:I228)</f>
        <v>83</v>
      </c>
      <c r="I59" s="150">
        <f>VLOOKUP(A59,'Standard Deviations'!A1:C731,3,FALSE)</f>
        <v>-0.040099148260616</v>
      </c>
      <c r="J59" s="150">
        <f>I59-VLOOKUP(B$2,H1:J228,2,FALSE)</f>
        <v>-5.42209801842386</v>
      </c>
    </row>
    <row r="60" ht="21.25" customHeight="1">
      <c r="A60" t="s" s="8">
        <v>358</v>
      </c>
      <c r="B60" t="s" s="159">
        <f>VLOOKUP(A60,'The List'!B1:D730,3,FALSE)</f>
        <v>129</v>
      </c>
      <c r="C60" s="160">
        <f>IF('Settings'!$E$15="POINTS",RANK(E60,E3:E228),H60)</f>
        <v>88</v>
      </c>
      <c r="D60" t="s" s="42">
        <f>VLOOKUP(A60,'The List'!B1:F730,5,FALSE)</f>
        <v>184</v>
      </c>
      <c r="E60" s="46">
        <f>VLOOKUP(A60,'The List'!B1:I730,8,FALSE)</f>
        <v>229.587469227767</v>
      </c>
      <c r="F60" s="46">
        <f>IF('Settings'!$E$15="POINTS",E60-VLOOKUP(B$2,C1:E228,3,FALSE),J60)</f>
        <v>-111.147669418756</v>
      </c>
      <c r="G60" s="46"/>
      <c r="H60" s="149">
        <f>RANK(I60,I3:I228)</f>
        <v>90</v>
      </c>
      <c r="I60" s="150">
        <f>VLOOKUP(A60,'Standard Deviations'!A1:C731,3,FALSE)</f>
        <v>-0.278494948285685</v>
      </c>
      <c r="J60" s="150">
        <f>I60-VLOOKUP(B$2,H1:J228,2,FALSE)</f>
        <v>-5.66049381844893</v>
      </c>
    </row>
    <row r="61" ht="21.25" customHeight="1">
      <c r="A61" t="s" s="8">
        <v>360</v>
      </c>
      <c r="B61" t="s" s="159">
        <f>VLOOKUP(A61,'The List'!B1:D730,3,FALSE)</f>
        <v>129</v>
      </c>
      <c r="C61" s="160">
        <f>IF('Settings'!$E$15="POINTS",RANK(E61,E3:E228),H61)</f>
        <v>51</v>
      </c>
      <c r="D61" t="s" s="42">
        <f>VLOOKUP(A61,'The List'!B1:F730,5,FALSE)</f>
        <v>170</v>
      </c>
      <c r="E61" s="46">
        <f>VLOOKUP(A61,'The List'!B1:I730,8,FALSE)</f>
        <v>268.825948808939</v>
      </c>
      <c r="F61" s="46">
        <f>IF('Settings'!$E$15="POINTS",E61-VLOOKUP(B$2,C1:E228,3,FALSE),J61)</f>
        <v>-71.90918983758399</v>
      </c>
      <c r="G61" s="46"/>
      <c r="H61" s="149">
        <f>RANK(I61,I3:I228)</f>
        <v>74</v>
      </c>
      <c r="I61" s="150">
        <f>VLOOKUP(A61,'Standard Deviations'!A1:C731,3,FALSE)</f>
        <v>0.553975341546688</v>
      </c>
      <c r="J61" s="150">
        <f>I61-VLOOKUP(B$2,H1:J228,2,FALSE)</f>
        <v>-4.82802352861655</v>
      </c>
    </row>
    <row r="62" ht="21.25" customHeight="1">
      <c r="A62" t="s" s="8">
        <v>364</v>
      </c>
      <c r="B62" t="s" s="159">
        <f>VLOOKUP(A62,'The List'!B1:D730,3,FALSE)</f>
        <v>129</v>
      </c>
      <c r="C62" s="160">
        <f>IF('Settings'!$E$15="POINTS",RANK(E62,E3:E228),H62)</f>
        <v>54</v>
      </c>
      <c r="D62" t="s" s="42">
        <f>VLOOKUP(A62,'The List'!B1:F730,5,FALSE)</f>
        <v>194</v>
      </c>
      <c r="E62" s="46">
        <f>VLOOKUP(A62,'The List'!B1:I730,8,FALSE)</f>
        <v>266.688817143408</v>
      </c>
      <c r="F62" s="46">
        <f>IF('Settings'!$E$15="POINTS",E62-VLOOKUP(B$2,C1:E228,3,FALSE),J62)</f>
        <v>-74.046321503115</v>
      </c>
      <c r="G62" s="46"/>
      <c r="H62" s="149">
        <f>RANK(I62,I3:I228)</f>
        <v>97</v>
      </c>
      <c r="I62" s="150">
        <f>VLOOKUP(A62,'Standard Deviations'!A1:C731,3,FALSE)</f>
        <v>-0.554729646721233</v>
      </c>
      <c r="J62" s="150">
        <f>I62-VLOOKUP(B$2,H1:J228,2,FALSE)</f>
        <v>-5.93672851688447</v>
      </c>
    </row>
    <row r="63" ht="21.25" customHeight="1">
      <c r="A63" t="s" s="8">
        <v>365</v>
      </c>
      <c r="B63" t="s" s="159">
        <f>VLOOKUP(A63,'The List'!B1:D730,3,FALSE)</f>
        <v>129</v>
      </c>
      <c r="C63" s="160">
        <f>IF('Settings'!$E$15="POINTS",RANK(E63,E3:E228),H63)</f>
        <v>75</v>
      </c>
      <c r="D63" t="s" s="42">
        <f>VLOOKUP(A63,'The List'!B1:F730,5,FALSE)</f>
        <v>202</v>
      </c>
      <c r="E63" s="46">
        <f>VLOOKUP(A63,'The List'!B1:I730,8,FALSE)</f>
        <v>240.687703984277</v>
      </c>
      <c r="F63" s="46">
        <f>IF('Settings'!$E$15="POINTS",E63-VLOOKUP(B$2,C1:E228,3,FALSE),J63)</f>
        <v>-100.047434662246</v>
      </c>
      <c r="G63" s="46"/>
      <c r="H63" s="149">
        <f>RANK(I63,I3:I228)</f>
        <v>45</v>
      </c>
      <c r="I63" s="150">
        <f>VLOOKUP(A63,'Standard Deviations'!A1:C731,3,FALSE)</f>
        <v>2.07432043006501</v>
      </c>
      <c r="J63" s="150">
        <f>I63-VLOOKUP(B$2,H1:J228,2,FALSE)</f>
        <v>-3.30767844009823</v>
      </c>
    </row>
    <row r="64" ht="21.25" customHeight="1">
      <c r="A64" t="s" s="8">
        <v>367</v>
      </c>
      <c r="B64" t="s" s="159">
        <f>VLOOKUP(A64,'The List'!B1:D730,3,FALSE)</f>
        <v>129</v>
      </c>
      <c r="C64" s="160">
        <f>IF('Settings'!$E$15="POINTS",RANK(E64,E3:E228),H64)</f>
        <v>76</v>
      </c>
      <c r="D64" t="s" s="42">
        <f>VLOOKUP(A64,'The List'!B1:F730,5,FALSE)</f>
        <v>113</v>
      </c>
      <c r="E64" s="46">
        <f>VLOOKUP(A64,'The List'!B1:I730,8,FALSE)</f>
        <v>240.542570320656</v>
      </c>
      <c r="F64" s="46">
        <f>IF('Settings'!$E$15="POINTS",E64-VLOOKUP(B$2,C1:E228,3,FALSE),J64)</f>
        <v>-100.192568325867</v>
      </c>
      <c r="G64" s="46"/>
      <c r="H64" s="149">
        <f>RANK(I64,I3:I228)</f>
        <v>66</v>
      </c>
      <c r="I64" s="150">
        <f>VLOOKUP(A64,'Standard Deviations'!A1:C731,3,FALSE)</f>
        <v>1.05526842716867</v>
      </c>
      <c r="J64" s="150">
        <f>I64-VLOOKUP(B$2,H1:J228,2,FALSE)</f>
        <v>-4.32673044299457</v>
      </c>
    </row>
    <row r="65" ht="21.25" customHeight="1">
      <c r="A65" t="s" s="8">
        <v>373</v>
      </c>
      <c r="B65" t="s" s="159">
        <f>VLOOKUP(A65,'The List'!B1:D730,3,FALSE)</f>
        <v>129</v>
      </c>
      <c r="C65" s="160">
        <f>IF('Settings'!$E$15="POINTS",RANK(E65,E3:E228),H65)</f>
        <v>71</v>
      </c>
      <c r="D65" t="s" s="42">
        <f>VLOOKUP(A65,'The List'!B1:F730,5,FALSE)</f>
        <v>202</v>
      </c>
      <c r="E65" s="46">
        <f>VLOOKUP(A65,'The List'!B1:I730,8,FALSE)</f>
        <v>243.947869985769</v>
      </c>
      <c r="F65" s="46">
        <f>IF('Settings'!$E$15="POINTS",E65-VLOOKUP(B$2,C1:E228,3,FALSE),J65)</f>
        <v>-96.78726866075399</v>
      </c>
      <c r="G65" s="46"/>
      <c r="H65" s="149">
        <f>RANK(I65,I3:I228)</f>
        <v>43</v>
      </c>
      <c r="I65" s="150">
        <f>VLOOKUP(A65,'Standard Deviations'!A1:C731,3,FALSE)</f>
        <v>2.44273369059174</v>
      </c>
      <c r="J65" s="150">
        <f>I65-VLOOKUP(B$2,H1:J228,2,FALSE)</f>
        <v>-2.9392651795715</v>
      </c>
    </row>
    <row r="66" ht="21.25" customHeight="1">
      <c r="A66" t="s" s="8">
        <v>361</v>
      </c>
      <c r="B66" t="s" s="159">
        <f>VLOOKUP(A66,'The List'!B1:D730,3,FALSE)</f>
        <v>129</v>
      </c>
      <c r="C66" s="160">
        <f>IF('Settings'!$E$15="POINTS",RANK(E66,E3:E228),H66)</f>
        <v>85</v>
      </c>
      <c r="D66" t="s" s="42">
        <f>VLOOKUP(A66,'The List'!B1:F730,5,FALSE)</f>
        <v>234</v>
      </c>
      <c r="E66" s="46">
        <f>VLOOKUP(A66,'The List'!B1:I730,8,FALSE)</f>
        <v>231.423625796781</v>
      </c>
      <c r="F66" s="46">
        <f>IF('Settings'!$E$15="POINTS",E66-VLOOKUP(B$2,C1:E228,3,FALSE),J66)</f>
        <v>-109.311512849742</v>
      </c>
      <c r="G66" s="46"/>
      <c r="H66" s="149">
        <f>RANK(I66,I3:I228)</f>
        <v>140</v>
      </c>
      <c r="I66" s="150">
        <f>VLOOKUP(A66,'Standard Deviations'!A1:C731,3,FALSE)</f>
        <v>-1.8134193440303</v>
      </c>
      <c r="J66" s="150">
        <f>I66-VLOOKUP(B$2,H1:J228,2,FALSE)</f>
        <v>-7.19541821419354</v>
      </c>
    </row>
    <row r="67" ht="21.25" customHeight="1">
      <c r="A67" t="s" s="8">
        <v>374</v>
      </c>
      <c r="B67" t="s" s="159">
        <f>VLOOKUP(A67,'The List'!B1:D730,3,FALSE)</f>
        <v>129</v>
      </c>
      <c r="C67" s="160">
        <f>IF('Settings'!$E$15="POINTS",RANK(E67,E3:E228),H67)</f>
        <v>40</v>
      </c>
      <c r="D67" t="s" s="42">
        <f>VLOOKUP(A67,'The List'!B1:F730,5,FALSE)</f>
        <v>248</v>
      </c>
      <c r="E67" s="46">
        <f>VLOOKUP(A67,'The List'!B1:I730,8,FALSE)</f>
        <v>297.770679007216</v>
      </c>
      <c r="F67" s="46">
        <f>IF('Settings'!$E$15="POINTS",E67-VLOOKUP(B$2,C1:E228,3,FALSE),J67)</f>
        <v>-42.964459639307</v>
      </c>
      <c r="G67" s="46"/>
      <c r="H67" s="149">
        <f>RANK(I67,I3:I228)</f>
        <v>57</v>
      </c>
      <c r="I67" s="150">
        <f>VLOOKUP(A67,'Standard Deviations'!A1:C731,3,FALSE)</f>
        <v>1.31862890283209</v>
      </c>
      <c r="J67" s="150">
        <f>I67-VLOOKUP(B$2,H1:J228,2,FALSE)</f>
        <v>-4.06336996733115</v>
      </c>
    </row>
    <row r="68" ht="21.25" customHeight="1">
      <c r="A68" t="s" s="8">
        <v>375</v>
      </c>
      <c r="B68" t="s" s="159">
        <f>VLOOKUP(A68,'The List'!B1:D730,3,FALSE)</f>
        <v>129</v>
      </c>
      <c r="C68" s="160">
        <f>IF('Settings'!$E$15="POINTS",RANK(E68,E3:E228),H68)</f>
        <v>78</v>
      </c>
      <c r="D68" t="s" s="42">
        <f>VLOOKUP(A68,'The List'!B1:F730,5,FALSE)</f>
        <v>202</v>
      </c>
      <c r="E68" s="46">
        <f>VLOOKUP(A68,'The List'!B1:I730,8,FALSE)</f>
        <v>237.687433756691</v>
      </c>
      <c r="F68" s="46">
        <f>IF('Settings'!$E$15="POINTS",E68-VLOOKUP(B$2,C1:E228,3,FALSE),J68)</f>
        <v>-103.047704889832</v>
      </c>
      <c r="G68" s="46"/>
      <c r="H68" s="149">
        <f>RANK(I68,I3:I228)</f>
        <v>64</v>
      </c>
      <c r="I68" s="150">
        <f>VLOOKUP(A68,'Standard Deviations'!A1:C731,3,FALSE)</f>
        <v>1.14936625698812</v>
      </c>
      <c r="J68" s="150">
        <f>I68-VLOOKUP(B$2,H1:J228,2,FALSE)</f>
        <v>-4.23263261317512</v>
      </c>
    </row>
    <row r="69" ht="21.25" customHeight="1">
      <c r="A69" t="s" s="8">
        <v>380</v>
      </c>
      <c r="B69" t="s" s="159">
        <f>VLOOKUP(A69,'The List'!B1:D730,3,FALSE)</f>
        <v>129</v>
      </c>
      <c r="C69" s="160">
        <f>IF('Settings'!$E$15="POINTS",RANK(E69,E3:E228),H69)</f>
        <v>94</v>
      </c>
      <c r="D69" t="s" s="42">
        <f>VLOOKUP(A69,'The List'!B1:F730,5,FALSE)</f>
        <v>122</v>
      </c>
      <c r="E69" s="46">
        <f>VLOOKUP(A69,'The List'!B1:I730,8,FALSE)</f>
        <v>223.769428561212</v>
      </c>
      <c r="F69" s="46">
        <f>IF('Settings'!$E$15="POINTS",E69-VLOOKUP(B$2,C1:E228,3,FALSE),J69)</f>
        <v>-116.965710085311</v>
      </c>
      <c r="G69" s="46"/>
      <c r="H69" s="149">
        <f>RANK(I69,I3:I228)</f>
        <v>68</v>
      </c>
      <c r="I69" s="150">
        <f>VLOOKUP(A69,'Standard Deviations'!A1:C731,3,FALSE)</f>
        <v>0.92453833389313</v>
      </c>
      <c r="J69" s="150">
        <f>I69-VLOOKUP(B$2,H1:J228,2,FALSE)</f>
        <v>-4.45746053627011</v>
      </c>
    </row>
    <row r="70" ht="21.25" customHeight="1">
      <c r="A70" t="s" s="8">
        <v>384</v>
      </c>
      <c r="B70" t="s" s="159">
        <f>VLOOKUP(A70,'The List'!B1:D730,3,FALSE)</f>
        <v>129</v>
      </c>
      <c r="C70" s="160">
        <f>IF('Settings'!$E$15="POINTS",RANK(E70,E3:E228),H70)</f>
        <v>52</v>
      </c>
      <c r="D70" t="s" s="42">
        <f>VLOOKUP(A70,'The List'!B1:F730,5,FALSE)</f>
        <v>151</v>
      </c>
      <c r="E70" s="46">
        <f>VLOOKUP(A70,'The List'!B1:I730,8,FALSE)</f>
        <v>268.622361040353</v>
      </c>
      <c r="F70" s="46">
        <f>IF('Settings'!$E$15="POINTS",E70-VLOOKUP(B$2,C1:E228,3,FALSE),J70)</f>
        <v>-72.112777606170</v>
      </c>
      <c r="G70" s="46"/>
      <c r="H70" s="149">
        <f>RANK(I70,I3:I228)</f>
        <v>65</v>
      </c>
      <c r="I70" s="150">
        <f>VLOOKUP(A70,'Standard Deviations'!A1:C731,3,FALSE)</f>
        <v>1.14872602004219</v>
      </c>
      <c r="J70" s="150">
        <f>I70-VLOOKUP(B$2,H1:J228,2,FALSE)</f>
        <v>-4.23327285012105</v>
      </c>
    </row>
    <row r="71" ht="21.25" customHeight="1">
      <c r="A71" t="s" s="8">
        <v>369</v>
      </c>
      <c r="B71" t="s" s="159">
        <f>VLOOKUP(A71,'The List'!B1:D730,3,FALSE)</f>
        <v>129</v>
      </c>
      <c r="C71" s="160">
        <f>IF('Settings'!$E$15="POINTS",RANK(E71,E3:E228),H71)</f>
        <v>56</v>
      </c>
      <c r="D71" t="s" s="42">
        <f>VLOOKUP(A71,'The List'!B1:F730,5,FALSE)</f>
        <v>141</v>
      </c>
      <c r="E71" s="46">
        <f>VLOOKUP(A71,'The List'!B1:I730,8,FALSE)</f>
        <v>265.641998101903</v>
      </c>
      <c r="F71" s="46">
        <f>IF('Settings'!$E$15="POINTS",E71-VLOOKUP(B$2,C1:E228,3,FALSE),J71)</f>
        <v>-75.093140544620</v>
      </c>
      <c r="G71" s="46"/>
      <c r="H71" s="149">
        <f>RANK(I71,I3:I228)</f>
        <v>60</v>
      </c>
      <c r="I71" s="150">
        <f>VLOOKUP(A71,'Standard Deviations'!A1:C731,3,FALSE)</f>
        <v>1.24688053490465</v>
      </c>
      <c r="J71" s="150">
        <f>I71-VLOOKUP(B$2,H1:J228,2,FALSE)</f>
        <v>-4.13511833525859</v>
      </c>
    </row>
    <row r="72" ht="21.25" customHeight="1">
      <c r="A72" t="s" s="8">
        <v>386</v>
      </c>
      <c r="B72" t="s" s="159">
        <f>VLOOKUP(A72,'The List'!B1:D730,3,FALSE)</f>
        <v>129</v>
      </c>
      <c r="C72" s="160">
        <f>IF('Settings'!$E$15="POINTS",RANK(E72,E3:E228),H72)</f>
        <v>107</v>
      </c>
      <c r="D72" t="s" s="42">
        <f>VLOOKUP(A72,'The List'!B1:F730,5,FALSE)</f>
        <v>196</v>
      </c>
      <c r="E72" s="46">
        <f>VLOOKUP(A72,'The List'!B1:I730,8,FALSE)</f>
        <v>217.895599385562</v>
      </c>
      <c r="F72" s="46">
        <f>IF('Settings'!$E$15="POINTS",E72-VLOOKUP(B$2,C1:E228,3,FALSE),J72)</f>
        <v>-122.839539260961</v>
      </c>
      <c r="G72" s="46"/>
      <c r="H72" s="149">
        <f>RANK(I72,I3:I228)</f>
        <v>96</v>
      </c>
      <c r="I72" s="150">
        <f>VLOOKUP(A72,'Standard Deviations'!A1:C731,3,FALSE)</f>
        <v>-0.546600717309604</v>
      </c>
      <c r="J72" s="150">
        <f>I72-VLOOKUP(B$2,H1:J228,2,FALSE)</f>
        <v>-5.92859958747284</v>
      </c>
    </row>
    <row r="73" ht="21.25" customHeight="1">
      <c r="A73" t="s" s="8">
        <v>387</v>
      </c>
      <c r="B73" t="s" s="159">
        <f>VLOOKUP(A73,'The List'!B1:D730,3,FALSE)</f>
        <v>129</v>
      </c>
      <c r="C73" s="160">
        <f>IF('Settings'!$E$15="POINTS",RANK(E73,E3:E228),H73)</f>
        <v>114</v>
      </c>
      <c r="D73" t="s" s="42">
        <f>VLOOKUP(A73,'The List'!B1:F730,5,FALSE)</f>
        <v>248</v>
      </c>
      <c r="E73" s="46">
        <f>VLOOKUP(A73,'The List'!B1:I730,8,FALSE)</f>
        <v>206.445941834738</v>
      </c>
      <c r="F73" s="46">
        <f>IF('Settings'!$E$15="POINTS",E73-VLOOKUP(B$2,C1:E228,3,FALSE),J73)</f>
        <v>-134.289196811785</v>
      </c>
      <c r="G73" s="46"/>
      <c r="H73" s="149">
        <f>RANK(I73,I3:I228)</f>
        <v>91</v>
      </c>
      <c r="I73" s="150">
        <f>VLOOKUP(A73,'Standard Deviations'!A1:C731,3,FALSE)</f>
        <v>-0.279766629128725</v>
      </c>
      <c r="J73" s="150">
        <f>I73-VLOOKUP(B$2,H1:J228,2,FALSE)</f>
        <v>-5.66176549929197</v>
      </c>
    </row>
    <row r="74" ht="21.25" customHeight="1">
      <c r="A74" t="s" s="8">
        <v>389</v>
      </c>
      <c r="B74" t="s" s="159">
        <f>VLOOKUP(A74,'The List'!B1:D730,3,FALSE)</f>
        <v>129</v>
      </c>
      <c r="C74" s="160">
        <f>IF('Settings'!$E$15="POINTS",RANK(E74,E3:E228),H74)</f>
        <v>59</v>
      </c>
      <c r="D74" t="s" s="42">
        <f>VLOOKUP(A74,'The List'!B1:F730,5,FALSE)</f>
        <v>170</v>
      </c>
      <c r="E74" s="46">
        <f>VLOOKUP(A74,'The List'!B1:I730,8,FALSE)</f>
        <v>259.908722934395</v>
      </c>
      <c r="F74" s="46">
        <f>IF('Settings'!$E$15="POINTS",E74-VLOOKUP(B$2,C1:E228,3,FALSE),J74)</f>
        <v>-80.826415712128</v>
      </c>
      <c r="G74" s="46"/>
      <c r="H74" s="149">
        <f>RANK(I74,I3:I228)</f>
        <v>61</v>
      </c>
      <c r="I74" s="150">
        <f>VLOOKUP(A74,'Standard Deviations'!A1:C731,3,FALSE)</f>
        <v>1.21746342971528</v>
      </c>
      <c r="J74" s="150">
        <f>I74-VLOOKUP(B$2,H1:J228,2,FALSE)</f>
        <v>-4.16453544044796</v>
      </c>
    </row>
    <row r="75" ht="21.25" customHeight="1">
      <c r="A75" t="s" s="8">
        <v>376</v>
      </c>
      <c r="B75" t="s" s="159">
        <f>VLOOKUP(A75,'The List'!B1:D730,3,FALSE)</f>
        <v>129</v>
      </c>
      <c r="C75" s="160">
        <f>IF('Settings'!$E$15="POINTS",RANK(E75,E3:E228),H75)</f>
        <v>95</v>
      </c>
      <c r="D75" t="s" s="42">
        <f>VLOOKUP(A75,'The List'!B1:F730,5,FALSE)</f>
        <v>236</v>
      </c>
      <c r="E75" s="46">
        <f>VLOOKUP(A75,'The List'!B1:I730,8,FALSE)</f>
        <v>221.226321046591</v>
      </c>
      <c r="F75" s="46">
        <f>IF('Settings'!$E$15="POINTS",E75-VLOOKUP(B$2,C1:E228,3,FALSE),J75)</f>
        <v>-119.508817599932</v>
      </c>
      <c r="G75" s="46"/>
      <c r="H75" s="149">
        <f>RANK(I75,I3:I228)</f>
        <v>112</v>
      </c>
      <c r="I75" s="150">
        <f>VLOOKUP(A75,'Standard Deviations'!A1:C731,3,FALSE)</f>
        <v>-0.919506018205176</v>
      </c>
      <c r="J75" s="150">
        <f>I75-VLOOKUP(B$2,H1:J228,2,FALSE)</f>
        <v>-6.30150488836842</v>
      </c>
    </row>
    <row r="76" ht="21.25" customHeight="1">
      <c r="A76" t="s" s="8">
        <v>391</v>
      </c>
      <c r="B76" t="s" s="159">
        <f>VLOOKUP(A76,'The List'!B1:D730,3,FALSE)</f>
        <v>129</v>
      </c>
      <c r="C76" s="160">
        <f>IF('Settings'!$E$15="POINTS",RANK(E76,E3:E228),H76)</f>
        <v>60</v>
      </c>
      <c r="D76" t="s" s="42">
        <f>VLOOKUP(A76,'The List'!B1:F730,5,FALSE)</f>
        <v>189</v>
      </c>
      <c r="E76" s="46">
        <f>VLOOKUP(A76,'The List'!B1:I730,8,FALSE)</f>
        <v>255.785602615015</v>
      </c>
      <c r="F76" s="46">
        <f>IF('Settings'!$E$15="POINTS",E76-VLOOKUP(B$2,C1:E228,3,FALSE),J76)</f>
        <v>-84.949536031508</v>
      </c>
      <c r="G76" s="46"/>
      <c r="H76" s="149">
        <f>RANK(I76,I3:I228)</f>
        <v>104</v>
      </c>
      <c r="I76" s="150">
        <f>VLOOKUP(A76,'Standard Deviations'!A1:C731,3,FALSE)</f>
        <v>-0.797824114679291</v>
      </c>
      <c r="J76" s="150">
        <f>I76-VLOOKUP(B$2,H1:J228,2,FALSE)</f>
        <v>-6.17982298484253</v>
      </c>
    </row>
    <row r="77" ht="21.25" customHeight="1">
      <c r="A77" t="s" s="8">
        <v>396</v>
      </c>
      <c r="B77" t="s" s="159">
        <f>VLOOKUP(A77,'The List'!B1:D730,3,FALSE)</f>
        <v>129</v>
      </c>
      <c r="C77" s="160">
        <f>IF('Settings'!$E$15="POINTS",RANK(E77,E3:E228),H77)</f>
        <v>161</v>
      </c>
      <c r="D77" t="s" s="42">
        <f>VLOOKUP(A77,'The List'!B1:F730,5,FALSE)</f>
        <v>134</v>
      </c>
      <c r="E77" s="46">
        <f>VLOOKUP(A77,'The List'!B1:I730,8,FALSE)</f>
        <v>171.210391140424</v>
      </c>
      <c r="F77" s="46">
        <f>IF('Settings'!$E$15="POINTS",E77-VLOOKUP(B$2,C1:E228,3,FALSE),J77)</f>
        <v>-169.524747506099</v>
      </c>
      <c r="G77" s="46"/>
      <c r="H77" s="149">
        <f>RANK(I77,I3:I228)</f>
        <v>103</v>
      </c>
      <c r="I77" s="150">
        <f>VLOOKUP(A77,'Standard Deviations'!A1:C731,3,FALSE)</f>
        <v>-0.754739105749541</v>
      </c>
      <c r="J77" s="150">
        <f>I77-VLOOKUP(B$2,H1:J228,2,FALSE)</f>
        <v>-6.13673797591278</v>
      </c>
    </row>
    <row r="78" ht="21.25" customHeight="1">
      <c r="A78" t="s" s="8">
        <v>398</v>
      </c>
      <c r="B78" t="s" s="159">
        <f>VLOOKUP(A78,'The List'!B1:D730,3,FALSE)</f>
        <v>129</v>
      </c>
      <c r="C78" s="160">
        <f>IF('Settings'!$E$15="POINTS",RANK(E78,E3:E228),H78)</f>
        <v>72</v>
      </c>
      <c r="D78" t="s" s="42">
        <f>VLOOKUP(A78,'The List'!B1:F730,5,FALSE)</f>
        <v>236</v>
      </c>
      <c r="E78" s="46">
        <f>VLOOKUP(A78,'The List'!B1:I730,8,FALSE)</f>
        <v>243.821204864468</v>
      </c>
      <c r="F78" s="46">
        <f>IF('Settings'!$E$15="POINTS",E78-VLOOKUP(B$2,C1:E228,3,FALSE),J78)</f>
        <v>-96.913933782055</v>
      </c>
      <c r="G78" s="46"/>
      <c r="H78" s="149">
        <f>RANK(I78,I3:I228)</f>
        <v>114</v>
      </c>
      <c r="I78" s="150">
        <f>VLOOKUP(A78,'Standard Deviations'!A1:C731,3,FALSE)</f>
        <v>-1.05661355680217</v>
      </c>
      <c r="J78" s="150">
        <f>I78-VLOOKUP(B$2,H1:J228,2,FALSE)</f>
        <v>-6.43861242696541</v>
      </c>
    </row>
    <row r="79" ht="21.25" customHeight="1">
      <c r="A79" t="s" s="8">
        <v>399</v>
      </c>
      <c r="B79" t="s" s="159">
        <f>VLOOKUP(A79,'The List'!B1:D730,3,FALSE)</f>
        <v>129</v>
      </c>
      <c r="C79" s="160">
        <f>IF('Settings'!$E$15="POINTS",RANK(E79,E3:E228),H79)</f>
        <v>90</v>
      </c>
      <c r="D79" t="s" s="42">
        <f>VLOOKUP(A79,'The List'!B1:F730,5,FALSE)</f>
        <v>134</v>
      </c>
      <c r="E79" s="46">
        <f>VLOOKUP(A79,'The List'!B1:I730,8,FALSE)</f>
        <v>226.496407620847</v>
      </c>
      <c r="F79" s="46">
        <f>IF('Settings'!$E$15="POINTS",E79-VLOOKUP(B$2,C1:E228,3,FALSE),J79)</f>
        <v>-114.238731025676</v>
      </c>
      <c r="G79" s="46"/>
      <c r="H79" s="149">
        <f>RANK(I79,I3:I228)</f>
        <v>85</v>
      </c>
      <c r="I79" s="150">
        <f>VLOOKUP(A79,'Standard Deviations'!A1:C731,3,FALSE)</f>
        <v>-0.143879422627146</v>
      </c>
      <c r="J79" s="150">
        <f>I79-VLOOKUP(B$2,H1:J228,2,FALSE)</f>
        <v>-5.52587829279039</v>
      </c>
    </row>
    <row r="80" ht="21.25" customHeight="1">
      <c r="A80" t="s" s="8">
        <v>402</v>
      </c>
      <c r="B80" t="s" s="159">
        <f>VLOOKUP(A80,'The List'!B1:D730,3,FALSE)</f>
        <v>129</v>
      </c>
      <c r="C80" s="160">
        <f>IF('Settings'!$E$15="POINTS",RANK(E80,E3:E228),H80)</f>
        <v>86</v>
      </c>
      <c r="D80" t="s" s="42">
        <f>VLOOKUP(A80,'The List'!B1:F730,5,FALSE)</f>
        <v>113</v>
      </c>
      <c r="E80" s="46">
        <f>VLOOKUP(A80,'The List'!B1:I730,8,FALSE)</f>
        <v>231.076086555117</v>
      </c>
      <c r="F80" s="46">
        <f>IF('Settings'!$E$15="POINTS",E80-VLOOKUP(B$2,C1:E228,3,FALSE),J80)</f>
        <v>-109.659052091406</v>
      </c>
      <c r="G80" s="46"/>
      <c r="H80" s="149">
        <f>RANK(I80,I3:I228)</f>
        <v>80</v>
      </c>
      <c r="I80" s="150">
        <f>VLOOKUP(A80,'Standard Deviations'!A1:C731,3,FALSE)</f>
        <v>0.113861214648456</v>
      </c>
      <c r="J80" s="150">
        <f>I80-VLOOKUP(B$2,H1:J228,2,FALSE)</f>
        <v>-5.26813765551478</v>
      </c>
    </row>
    <row r="81" ht="21.25" customHeight="1">
      <c r="A81" t="s" s="8">
        <v>407</v>
      </c>
      <c r="B81" t="s" s="159">
        <f>VLOOKUP(A81,'The List'!B1:D730,3,FALSE)</f>
        <v>129</v>
      </c>
      <c r="C81" s="160">
        <f>IF('Settings'!$E$15="POINTS",RANK(E81,E3:E228),H81)</f>
        <v>69</v>
      </c>
      <c r="D81" t="s" s="42">
        <f>VLOOKUP(A81,'The List'!B1:F730,5,FALSE)</f>
        <v>149</v>
      </c>
      <c r="E81" s="46">
        <f>VLOOKUP(A81,'The List'!B1:I730,8,FALSE)</f>
        <v>246.803067241286</v>
      </c>
      <c r="F81" s="46">
        <f>IF('Settings'!$E$15="POINTS",E81-VLOOKUP(B$2,C1:E228,3,FALSE),J81)</f>
        <v>-93.932071405237</v>
      </c>
      <c r="G81" s="46"/>
      <c r="H81" s="149">
        <f>RANK(I81,I3:I228)</f>
        <v>71</v>
      </c>
      <c r="I81" s="150">
        <f>VLOOKUP(A81,'Standard Deviations'!A1:C731,3,FALSE)</f>
        <v>0.599221211269255</v>
      </c>
      <c r="J81" s="150">
        <f>I81-VLOOKUP(B$2,H1:J228,2,FALSE)</f>
        <v>-4.78277765889399</v>
      </c>
    </row>
    <row r="82" ht="21.25" customHeight="1">
      <c r="A82" t="s" s="8">
        <v>413</v>
      </c>
      <c r="B82" t="s" s="159">
        <f>VLOOKUP(A82,'The List'!B1:D730,3,FALSE)</f>
        <v>129</v>
      </c>
      <c r="C82" s="160">
        <f>IF('Settings'!$E$15="POINTS",RANK(E82,E3:E228),H82)</f>
        <v>77</v>
      </c>
      <c r="D82" t="s" s="42">
        <f>VLOOKUP(A82,'The List'!B1:F730,5,FALSE)</f>
        <v>134</v>
      </c>
      <c r="E82" s="46">
        <f>VLOOKUP(A82,'The List'!B1:I730,8,FALSE)</f>
        <v>239.559144293493</v>
      </c>
      <c r="F82" s="46">
        <f>IF('Settings'!$E$15="POINTS",E82-VLOOKUP(B$2,C1:E228,3,FALSE),J82)</f>
        <v>-101.175994353030</v>
      </c>
      <c r="G82" s="46"/>
      <c r="H82" s="149">
        <f>RANK(I82,I3:I228)</f>
        <v>62</v>
      </c>
      <c r="I82" s="150">
        <f>VLOOKUP(A82,'Standard Deviations'!A1:C731,3,FALSE)</f>
        <v>1.21296375588954</v>
      </c>
      <c r="J82" s="150">
        <f>I82-VLOOKUP(B$2,H1:J228,2,FALSE)</f>
        <v>-4.1690351142737</v>
      </c>
    </row>
    <row r="83" ht="21.25" customHeight="1">
      <c r="A83" t="s" s="8">
        <v>415</v>
      </c>
      <c r="B83" t="s" s="159">
        <f>VLOOKUP(A83,'The List'!B1:D730,3,FALSE)</f>
        <v>129</v>
      </c>
      <c r="C83" s="160">
        <f>IF('Settings'!$E$15="POINTS",RANK(E83,E3:E228),H83)</f>
        <v>73</v>
      </c>
      <c r="D83" t="s" s="42">
        <f>VLOOKUP(A83,'The List'!B1:F730,5,FALSE)</f>
        <v>149</v>
      </c>
      <c r="E83" s="46">
        <f>VLOOKUP(A83,'The List'!B1:I730,8,FALSE)</f>
        <v>243.567510976483</v>
      </c>
      <c r="F83" s="46">
        <f>IF('Settings'!$E$15="POINTS",E83-VLOOKUP(B$2,C1:E228,3,FALSE),J83)</f>
        <v>-97.16762767004001</v>
      </c>
      <c r="G83" s="46"/>
      <c r="H83" s="149">
        <f>RANK(I83,I3:I228)</f>
        <v>70</v>
      </c>
      <c r="I83" s="150">
        <f>VLOOKUP(A83,'Standard Deviations'!A1:C731,3,FALSE)</f>
        <v>0.623416735706416</v>
      </c>
      <c r="J83" s="150">
        <f>I83-VLOOKUP(B$2,H1:J228,2,FALSE)</f>
        <v>-4.75858213445682</v>
      </c>
    </row>
    <row r="84" ht="21.25" customHeight="1">
      <c r="A84" t="s" s="8">
        <v>427</v>
      </c>
      <c r="B84" t="s" s="159">
        <f>VLOOKUP(A84,'The List'!B1:D730,3,FALSE)</f>
        <v>129</v>
      </c>
      <c r="C84" s="160">
        <f>IF('Settings'!$E$15="POINTS",RANK(E84,E3:E228),H84)</f>
        <v>89</v>
      </c>
      <c r="D84" t="s" s="42">
        <f>VLOOKUP(A84,'The List'!B1:F730,5,FALSE)</f>
        <v>184</v>
      </c>
      <c r="E84" s="46">
        <f>VLOOKUP(A84,'The List'!B1:I730,8,FALSE)</f>
        <v>228.816954677316</v>
      </c>
      <c r="F84" s="46">
        <f>IF('Settings'!$E$15="POINTS",E84-VLOOKUP(B$2,C1:E228,3,FALSE),J84)</f>
        <v>-111.918183969207</v>
      </c>
      <c r="G84" s="46"/>
      <c r="H84" s="149">
        <f>RANK(I84,I3:I228)</f>
        <v>87</v>
      </c>
      <c r="I84" s="150">
        <f>VLOOKUP(A84,'Standard Deviations'!A1:C731,3,FALSE)</f>
        <v>-0.205389617736501</v>
      </c>
      <c r="J84" s="150">
        <f>I84-VLOOKUP(B$2,H1:J228,2,FALSE)</f>
        <v>-5.58738848789974</v>
      </c>
    </row>
    <row r="85" ht="21.25" customHeight="1">
      <c r="A85" t="s" s="8">
        <v>429</v>
      </c>
      <c r="B85" t="s" s="159">
        <f>VLOOKUP(A85,'The List'!B1:D730,3,FALSE)</f>
        <v>129</v>
      </c>
      <c r="C85" s="160">
        <f>IF('Settings'!$E$15="POINTS",RANK(E85,E3:E228),H85)</f>
        <v>106</v>
      </c>
      <c r="D85" t="s" s="42">
        <f>VLOOKUP(A85,'The List'!B1:F730,5,FALSE)</f>
        <v>166</v>
      </c>
      <c r="E85" s="46">
        <f>VLOOKUP(A85,'The List'!B1:I730,8,FALSE)</f>
        <v>218.559752121843</v>
      </c>
      <c r="F85" s="46">
        <f>IF('Settings'!$E$15="POINTS",E85-VLOOKUP(B$2,C1:E228,3,FALSE),J85)</f>
        <v>-122.175386524680</v>
      </c>
      <c r="G85" s="46"/>
      <c r="H85" s="149">
        <f>RANK(I85,I3:I228)</f>
        <v>122</v>
      </c>
      <c r="I85" s="150">
        <f>VLOOKUP(A85,'Standard Deviations'!A1:C731,3,FALSE)</f>
        <v>-1.28489805830214</v>
      </c>
      <c r="J85" s="150">
        <f>I85-VLOOKUP(B$2,H1:J228,2,FALSE)</f>
        <v>-6.66689692846538</v>
      </c>
    </row>
    <row r="86" ht="21.25" customHeight="1">
      <c r="A86" t="s" s="8">
        <v>431</v>
      </c>
      <c r="B86" t="s" s="159">
        <f>VLOOKUP(A86,'The List'!B1:D730,3,FALSE)</f>
        <v>129</v>
      </c>
      <c r="C86" s="160">
        <f>IF('Settings'!$E$15="POINTS",RANK(E86,E3:E228),H86)</f>
        <v>96</v>
      </c>
      <c r="D86" t="s" s="42">
        <f>VLOOKUP(A86,'The List'!B1:F730,5,FALSE)</f>
        <v>124</v>
      </c>
      <c r="E86" s="46">
        <f>VLOOKUP(A86,'The List'!B1:I730,8,FALSE)</f>
        <v>221.118670406624</v>
      </c>
      <c r="F86" s="46">
        <f>IF('Settings'!$E$15="POINTS",E86-VLOOKUP(B$2,C1:E228,3,FALSE),J86)</f>
        <v>-119.616468239899</v>
      </c>
      <c r="G86" s="46"/>
      <c r="H86" s="149">
        <f>RANK(I86,I3:I228)</f>
        <v>110</v>
      </c>
      <c r="I86" s="150">
        <f>VLOOKUP(A86,'Standard Deviations'!A1:C731,3,FALSE)</f>
        <v>-0.89872606011241</v>
      </c>
      <c r="J86" s="150">
        <f>I86-VLOOKUP(B$2,H1:J228,2,FALSE)</f>
        <v>-6.28072493027565</v>
      </c>
    </row>
    <row r="87" ht="21.25" customHeight="1">
      <c r="A87" t="s" s="8">
        <v>430</v>
      </c>
      <c r="B87" t="s" s="159">
        <f>VLOOKUP(A87,'The List'!B1:D730,3,FALSE)</f>
        <v>129</v>
      </c>
      <c r="C87" s="160">
        <f>IF('Settings'!$E$15="POINTS",RANK(E87,E3:E228),H87)</f>
        <v>82</v>
      </c>
      <c r="D87" t="s" s="42">
        <f>VLOOKUP(A87,'The List'!B1:F730,5,FALSE)</f>
        <v>204</v>
      </c>
      <c r="E87" s="46">
        <f>VLOOKUP(A87,'The List'!B1:I730,8,FALSE)</f>
        <v>235.041100260413</v>
      </c>
      <c r="F87" s="46">
        <f>IF('Settings'!$E$15="POINTS",E87-VLOOKUP(B$2,C1:E228,3,FALSE),J87)</f>
        <v>-105.694038386110</v>
      </c>
      <c r="G87" s="46"/>
      <c r="H87" s="149">
        <f>RANK(I87,I3:I228)</f>
        <v>89</v>
      </c>
      <c r="I87" s="150">
        <f>VLOOKUP(A87,'Standard Deviations'!A1:C731,3,FALSE)</f>
        <v>-0.256172125128483</v>
      </c>
      <c r="J87" s="150">
        <f>I87-VLOOKUP(B$2,H1:J228,2,FALSE)</f>
        <v>-5.63817099529172</v>
      </c>
    </row>
    <row r="88" ht="21.25" customHeight="1">
      <c r="A88" t="s" s="8">
        <v>432</v>
      </c>
      <c r="B88" t="s" s="159">
        <f>VLOOKUP(A88,'The List'!B1:D730,3,FALSE)</f>
        <v>129</v>
      </c>
      <c r="C88" s="160">
        <f>IF('Settings'!$E$15="POINTS",RANK(E88,E3:E228),H88)</f>
        <v>70</v>
      </c>
      <c r="D88" t="s" s="42">
        <f>VLOOKUP(A88,'The List'!B1:F730,5,FALSE)</f>
        <v>136</v>
      </c>
      <c r="E88" s="46">
        <f>VLOOKUP(A88,'The List'!B1:I730,8,FALSE)</f>
        <v>245.799318813708</v>
      </c>
      <c r="F88" s="46">
        <f>IF('Settings'!$E$15="POINTS",E88-VLOOKUP(B$2,C1:E228,3,FALSE),J88)</f>
        <v>-94.935819832815</v>
      </c>
      <c r="G88" s="46"/>
      <c r="H88" s="149">
        <f>RANK(I88,I3:I228)</f>
        <v>51</v>
      </c>
      <c r="I88" s="150">
        <f>VLOOKUP(A88,'Standard Deviations'!A1:C731,3,FALSE)</f>
        <v>1.50407297652822</v>
      </c>
      <c r="J88" s="150">
        <f>I88-VLOOKUP(B$2,H1:J228,2,FALSE)</f>
        <v>-3.87792589363502</v>
      </c>
    </row>
    <row r="89" ht="21.25" customHeight="1">
      <c r="A89" t="s" s="8">
        <v>435</v>
      </c>
      <c r="B89" t="s" s="159">
        <f>VLOOKUP(A89,'The List'!B1:D730,3,FALSE)</f>
        <v>129</v>
      </c>
      <c r="C89" s="160">
        <f>IF('Settings'!$E$15="POINTS",RANK(E89,E3:E228),H89)</f>
        <v>67</v>
      </c>
      <c r="D89" t="s" s="42">
        <f>VLOOKUP(A89,'The List'!B1:F730,5,FALSE)</f>
        <v>236</v>
      </c>
      <c r="E89" s="46">
        <f>VLOOKUP(A89,'The List'!B1:I730,8,FALSE)</f>
        <v>249.982425018694</v>
      </c>
      <c r="F89" s="46">
        <f>IF('Settings'!$E$15="POINTS",E89-VLOOKUP(B$2,C1:E228,3,FALSE),J89)</f>
        <v>-90.752713627829</v>
      </c>
      <c r="G89" s="46"/>
      <c r="H89" s="149">
        <f>RANK(I89,I3:I228)</f>
        <v>123</v>
      </c>
      <c r="I89" s="150">
        <f>VLOOKUP(A89,'Standard Deviations'!A1:C731,3,FALSE)</f>
        <v>-1.3056278990959</v>
      </c>
      <c r="J89" s="150">
        <f>I89-VLOOKUP(B$2,H1:J228,2,FALSE)</f>
        <v>-6.68762676925914</v>
      </c>
    </row>
    <row r="90" ht="21.25" customHeight="1">
      <c r="A90" t="s" s="8">
        <v>436</v>
      </c>
      <c r="B90" t="s" s="159">
        <f>VLOOKUP(A90,'The List'!B1:D730,3,FALSE)</f>
        <v>129</v>
      </c>
      <c r="C90" s="160">
        <f>IF('Settings'!$E$15="POINTS",RANK(E90,E3:E228),H90)</f>
        <v>83</v>
      </c>
      <c r="D90" t="s" s="42">
        <f>VLOOKUP(A90,'The List'!B1:F730,5,FALSE)</f>
        <v>166</v>
      </c>
      <c r="E90" s="46">
        <f>VLOOKUP(A90,'The List'!B1:I730,8,FALSE)</f>
        <v>235.019408903645</v>
      </c>
      <c r="F90" s="46">
        <f>IF('Settings'!$E$15="POINTS",E90-VLOOKUP(B$2,C1:E228,3,FALSE),J90)</f>
        <v>-105.715729742878</v>
      </c>
      <c r="G90" s="46"/>
      <c r="H90" s="149">
        <f>RANK(I90,I3:I228)</f>
        <v>111</v>
      </c>
      <c r="I90" s="150">
        <f>VLOOKUP(A90,'Standard Deviations'!A1:C731,3,FALSE)</f>
        <v>-0.91623246878975</v>
      </c>
      <c r="J90" s="150">
        <f>I90-VLOOKUP(B$2,H1:J228,2,FALSE)</f>
        <v>-6.29823133895299</v>
      </c>
    </row>
    <row r="91" ht="21.25" customHeight="1">
      <c r="A91" t="s" s="8">
        <v>437</v>
      </c>
      <c r="B91" t="s" s="159">
        <f>VLOOKUP(A91,'The List'!B1:D730,3,FALSE)</f>
        <v>129</v>
      </c>
      <c r="C91" s="160">
        <f>IF('Settings'!$E$15="POINTS",RANK(E91,E3:E228),H91)</f>
        <v>92</v>
      </c>
      <c r="D91" t="s" s="42">
        <f>VLOOKUP(A91,'The List'!B1:F730,5,FALSE)</f>
        <v>292</v>
      </c>
      <c r="E91" s="46">
        <f>VLOOKUP(A91,'The List'!B1:I730,8,FALSE)</f>
        <v>225.278240159737</v>
      </c>
      <c r="F91" s="46">
        <f>IF('Settings'!$E$15="POINTS",E91-VLOOKUP(B$2,C1:E228,3,FALSE),J91)</f>
        <v>-115.456898486786</v>
      </c>
      <c r="G91" s="46"/>
      <c r="H91" s="149">
        <f>RANK(I91,I3:I228)</f>
        <v>125</v>
      </c>
      <c r="I91" s="150">
        <f>VLOOKUP(A91,'Standard Deviations'!A1:C731,3,FALSE)</f>
        <v>-1.34604495581984</v>
      </c>
      <c r="J91" s="150">
        <f>I91-VLOOKUP(B$2,H1:J228,2,FALSE)</f>
        <v>-6.72804382598308</v>
      </c>
    </row>
    <row r="92" ht="21.25" customHeight="1">
      <c r="A92" t="s" s="8">
        <v>443</v>
      </c>
      <c r="B92" t="s" s="159">
        <f>VLOOKUP(A92,'The List'!B1:D730,3,FALSE)</f>
        <v>129</v>
      </c>
      <c r="C92" s="160">
        <f>IF('Settings'!$E$15="POINTS",RANK(E92,E3:E228),H92)</f>
        <v>81</v>
      </c>
      <c r="D92" t="s" s="42">
        <f>VLOOKUP(A92,'The List'!B1:F730,5,FALSE)</f>
        <v>204</v>
      </c>
      <c r="E92" s="46">
        <f>VLOOKUP(A92,'The List'!B1:I730,8,FALSE)</f>
        <v>235.262401634540</v>
      </c>
      <c r="F92" s="46">
        <f>IF('Settings'!$E$15="POINTS",E92-VLOOKUP(B$2,C1:E228,3,FALSE),J92)</f>
        <v>-105.472737011983</v>
      </c>
      <c r="G92" s="46"/>
      <c r="H92" s="149">
        <f>RANK(I92,I3:I228)</f>
        <v>86</v>
      </c>
      <c r="I92" s="150">
        <f>VLOOKUP(A92,'Standard Deviations'!A1:C731,3,FALSE)</f>
        <v>-0.190926099395441</v>
      </c>
      <c r="J92" s="150">
        <f>I92-VLOOKUP(B$2,H1:J228,2,FALSE)</f>
        <v>-5.57292496955868</v>
      </c>
    </row>
    <row r="93" ht="21.25" customHeight="1">
      <c r="A93" t="s" s="8">
        <v>448</v>
      </c>
      <c r="B93" t="s" s="159">
        <f>VLOOKUP(A93,'The List'!B1:D730,3,FALSE)</f>
        <v>129</v>
      </c>
      <c r="C93" s="160">
        <f>IF('Settings'!$E$15="POINTS",RANK(E93,E3:E228),H93)</f>
        <v>44</v>
      </c>
      <c r="D93" t="s" s="42">
        <f>VLOOKUP(A93,'The List'!B1:F730,5,FALSE)</f>
        <v>234</v>
      </c>
      <c r="E93" s="46">
        <f>VLOOKUP(A93,'The List'!B1:I730,8,FALSE)</f>
        <v>285.987652115133</v>
      </c>
      <c r="F93" s="46">
        <f>IF('Settings'!$E$15="POINTS",E93-VLOOKUP(B$2,C1:E228,3,FALSE),J93)</f>
        <v>-54.747486531390</v>
      </c>
      <c r="G93" s="46"/>
      <c r="H93" s="149">
        <f>RANK(I93,I3:I228)</f>
        <v>119</v>
      </c>
      <c r="I93" s="150">
        <f>VLOOKUP(A93,'Standard Deviations'!A1:C731,3,FALSE)</f>
        <v>-1.15729951286364</v>
      </c>
      <c r="J93" s="150">
        <f>I93-VLOOKUP(B$2,H1:J228,2,FALSE)</f>
        <v>-6.53929838302688</v>
      </c>
    </row>
    <row r="94" ht="21.25" customHeight="1">
      <c r="A94" t="s" s="8">
        <v>450</v>
      </c>
      <c r="B94" t="s" s="159">
        <f>VLOOKUP(A94,'The List'!B1:D730,3,FALSE)</f>
        <v>129</v>
      </c>
      <c r="C94" s="160">
        <f>IF('Settings'!$E$15="POINTS",RANK(E94,E3:E228),H94)</f>
        <v>141</v>
      </c>
      <c r="D94" t="s" s="42">
        <f>VLOOKUP(A94,'The List'!B1:F730,5,FALSE)</f>
        <v>236</v>
      </c>
      <c r="E94" s="46">
        <f>VLOOKUP(A94,'The List'!B1:I730,8,FALSE)</f>
        <v>184.755104989675</v>
      </c>
      <c r="F94" s="46">
        <f>IF('Settings'!$E$15="POINTS",E94-VLOOKUP(B$2,C1:E228,3,FALSE),J94)</f>
        <v>-155.980033656848</v>
      </c>
      <c r="G94" s="46"/>
      <c r="H94" s="149">
        <f>RANK(I94,I3:I228)</f>
        <v>101</v>
      </c>
      <c r="I94" s="150">
        <f>VLOOKUP(A94,'Standard Deviations'!A1:C731,3,FALSE)</f>
        <v>-0.6962022662670579</v>
      </c>
      <c r="J94" s="150">
        <f>I94-VLOOKUP(B$2,H1:J228,2,FALSE)</f>
        <v>-6.0782011364303</v>
      </c>
    </row>
    <row r="95" ht="21.25" customHeight="1">
      <c r="A95" t="s" s="8">
        <v>452</v>
      </c>
      <c r="B95" t="s" s="159">
        <f>VLOOKUP(A95,'The List'!B1:D730,3,FALSE)</f>
        <v>129</v>
      </c>
      <c r="C95" s="160">
        <f>IF('Settings'!$E$15="POINTS",RANK(E95,E3:E228),H95)</f>
        <v>84</v>
      </c>
      <c r="D95" t="s" s="42">
        <f>VLOOKUP(A95,'The List'!B1:F730,5,FALSE)</f>
        <v>170</v>
      </c>
      <c r="E95" s="46">
        <f>VLOOKUP(A95,'The List'!B1:I730,8,FALSE)</f>
        <v>231.441043851460</v>
      </c>
      <c r="F95" s="46">
        <f>IF('Settings'!$E$15="POINTS",E95-VLOOKUP(B$2,C1:E228,3,FALSE),J95)</f>
        <v>-109.294094795063</v>
      </c>
      <c r="G95" s="46"/>
      <c r="H95" s="149">
        <f>RANK(I95,I3:I228)</f>
        <v>78</v>
      </c>
      <c r="I95" s="150">
        <f>VLOOKUP(A95,'Standard Deviations'!A1:C731,3,FALSE)</f>
        <v>0.183333637301884</v>
      </c>
      <c r="J95" s="150">
        <f>I95-VLOOKUP(B$2,H1:J228,2,FALSE)</f>
        <v>-5.19866523286136</v>
      </c>
    </row>
    <row r="96" ht="21.25" customHeight="1">
      <c r="A96" t="s" s="8">
        <v>401</v>
      </c>
      <c r="B96" t="s" s="159">
        <f>VLOOKUP(A96,'The List'!B1:D730,3,FALSE)</f>
        <v>129</v>
      </c>
      <c r="C96" s="160">
        <f>IF('Settings'!$E$15="POINTS",RANK(E96,E3:E228),H96)</f>
        <v>66</v>
      </c>
      <c r="D96" t="s" s="42">
        <f>VLOOKUP(A96,'The List'!B1:F730,5,FALSE)</f>
        <v>258</v>
      </c>
      <c r="E96" s="46">
        <f>VLOOKUP(A96,'The List'!B1:I730,8,FALSE)</f>
        <v>250.240728564893</v>
      </c>
      <c r="F96" s="46">
        <f>IF('Settings'!$E$15="POINTS",E96-VLOOKUP(B$2,C1:E228,3,FALSE),J96)</f>
        <v>-90.49441008162999</v>
      </c>
      <c r="G96" s="46"/>
      <c r="H96" s="149">
        <f>RANK(I96,I3:I228)</f>
        <v>147</v>
      </c>
      <c r="I96" s="150">
        <f>VLOOKUP(A96,'Standard Deviations'!A1:C731,3,FALSE)</f>
        <v>-2.01464761620563</v>
      </c>
      <c r="J96" s="150">
        <f>I96-VLOOKUP(B$2,H1:J228,2,FALSE)</f>
        <v>-7.39664648636887</v>
      </c>
    </row>
    <row r="97" ht="21.25" customHeight="1">
      <c r="A97" t="s" s="8">
        <v>454</v>
      </c>
      <c r="B97" t="s" s="159">
        <f>VLOOKUP(A97,'The List'!B1:D730,3,FALSE)</f>
        <v>129</v>
      </c>
      <c r="C97" s="160">
        <f>IF('Settings'!$E$15="POINTS",RANK(E97,E3:E228),H97)</f>
        <v>87</v>
      </c>
      <c r="D97" t="s" s="42">
        <f>VLOOKUP(A97,'The List'!B1:F730,5,FALSE)</f>
        <v>149</v>
      </c>
      <c r="E97" s="46">
        <f>VLOOKUP(A97,'The List'!B1:I730,8,FALSE)</f>
        <v>230.588523585998</v>
      </c>
      <c r="F97" s="46">
        <f>IF('Settings'!$E$15="POINTS",E97-VLOOKUP(B$2,C1:E228,3,FALSE),J97)</f>
        <v>-110.146615060525</v>
      </c>
      <c r="G97" s="46"/>
      <c r="H97" s="149">
        <f>RANK(I97,I3:I228)</f>
        <v>82</v>
      </c>
      <c r="I97" s="150">
        <f>VLOOKUP(A97,'Standard Deviations'!A1:C731,3,FALSE)</f>
        <v>-0.0111630877251457</v>
      </c>
      <c r="J97" s="150">
        <f>I97-VLOOKUP(B$2,H1:J228,2,FALSE)</f>
        <v>-5.39316195788839</v>
      </c>
    </row>
    <row r="98" ht="21.25" customHeight="1">
      <c r="A98" t="s" s="8">
        <v>456</v>
      </c>
      <c r="B98" t="s" s="159">
        <f>VLOOKUP(A98,'The List'!B1:D730,3,FALSE)</f>
        <v>129</v>
      </c>
      <c r="C98" s="160">
        <f>IF('Settings'!$E$15="POINTS",RANK(E98,E3:E228),H98)</f>
        <v>134</v>
      </c>
      <c r="D98" t="s" s="42">
        <f>VLOOKUP(A98,'The List'!B1:F730,5,FALSE)</f>
        <v>164</v>
      </c>
      <c r="E98" s="46">
        <f>VLOOKUP(A98,'The List'!B1:I730,8,FALSE)</f>
        <v>190.174531393815</v>
      </c>
      <c r="F98" s="46">
        <f>IF('Settings'!$E$15="POINTS",E98-VLOOKUP(B$2,C1:E228,3,FALSE),J98)</f>
        <v>-150.560607252708</v>
      </c>
      <c r="G98" s="46"/>
      <c r="H98" s="149">
        <f>RANK(I98,I3:I228)</f>
        <v>98</v>
      </c>
      <c r="I98" s="150">
        <f>VLOOKUP(A98,'Standard Deviations'!A1:C731,3,FALSE)</f>
        <v>-0.5785603217367939</v>
      </c>
      <c r="J98" s="150">
        <f>I98-VLOOKUP(B$2,H1:J228,2,FALSE)</f>
        <v>-5.96055919190003</v>
      </c>
    </row>
    <row r="99" ht="21.25" customHeight="1">
      <c r="A99" t="s" s="8">
        <v>468</v>
      </c>
      <c r="B99" t="s" s="159">
        <f>VLOOKUP(A99,'The List'!B1:D730,3,FALSE)</f>
        <v>129</v>
      </c>
      <c r="C99" s="160">
        <f>IF('Settings'!$E$15="POINTS",RANK(E99,E3:E228),H99)</f>
        <v>111</v>
      </c>
      <c r="D99" t="s" s="42">
        <f>VLOOKUP(A99,'The List'!B1:F730,5,FALSE)</f>
        <v>141</v>
      </c>
      <c r="E99" s="46">
        <f>VLOOKUP(A99,'The List'!B1:I730,8,FALSE)</f>
        <v>207.950045782601</v>
      </c>
      <c r="F99" s="46">
        <f>IF('Settings'!$E$15="POINTS",E99-VLOOKUP(B$2,C1:E228,3,FALSE),J99)</f>
        <v>-132.785092863922</v>
      </c>
      <c r="G99" s="46"/>
      <c r="H99" s="149">
        <f>RANK(I99,I3:I228)</f>
        <v>120</v>
      </c>
      <c r="I99" s="150">
        <f>VLOOKUP(A99,'Standard Deviations'!A1:C731,3,FALSE)</f>
        <v>-1.16959724832699</v>
      </c>
      <c r="J99" s="150">
        <f>I99-VLOOKUP(B$2,H1:J228,2,FALSE)</f>
        <v>-6.55159611849023</v>
      </c>
    </row>
    <row r="100" ht="21.25" customHeight="1">
      <c r="A100" t="s" s="8">
        <v>459</v>
      </c>
      <c r="B100" t="s" s="159">
        <f>VLOOKUP(A100,'The List'!B1:D730,3,FALSE)</f>
        <v>129</v>
      </c>
      <c r="C100" s="160">
        <f>IF('Settings'!$E$15="POINTS",RANK(E100,E3:E228),H100)</f>
        <v>138</v>
      </c>
      <c r="D100" t="s" s="42">
        <f>VLOOKUP(A100,'The List'!B1:F730,5,FALSE)</f>
        <v>189</v>
      </c>
      <c r="E100" s="46">
        <f>VLOOKUP(A100,'The List'!B1:I730,8,FALSE)</f>
        <v>186.297648987088</v>
      </c>
      <c r="F100" s="46">
        <f>IF('Settings'!$E$15="POINTS",E100-VLOOKUP(B$2,C1:E228,3,FALSE),J100)</f>
        <v>-154.437489659435</v>
      </c>
      <c r="G100" s="46"/>
      <c r="H100" s="149">
        <f>RANK(I100,I3:I228)</f>
        <v>166</v>
      </c>
      <c r="I100" s="150">
        <f>VLOOKUP(A100,'Standard Deviations'!A1:C731,3,FALSE)</f>
        <v>-2.73416240685963</v>
      </c>
      <c r="J100" s="150">
        <f>I100-VLOOKUP(B$2,H1:J228,2,FALSE)</f>
        <v>-8.11616127702287</v>
      </c>
    </row>
    <row r="101" ht="21.25" customHeight="1">
      <c r="A101" t="s" s="8">
        <v>462</v>
      </c>
      <c r="B101" t="s" s="159">
        <f>VLOOKUP(A101,'The List'!B1:D730,3,FALSE)</f>
        <v>129</v>
      </c>
      <c r="C101" s="160">
        <f>IF('Settings'!$E$15="POINTS",RANK(E101,E3:E228),H101)</f>
        <v>132</v>
      </c>
      <c r="D101" t="s" s="42">
        <f>VLOOKUP(A101,'The List'!B1:F730,5,FALSE)</f>
        <v>122</v>
      </c>
      <c r="E101" s="46">
        <f>VLOOKUP(A101,'The List'!B1:I730,8,FALSE)</f>
        <v>191.490726490783</v>
      </c>
      <c r="F101" s="46">
        <f>IF('Settings'!$E$15="POINTS",E101-VLOOKUP(B$2,C1:E228,3,FALSE),J101)</f>
        <v>-149.244412155740</v>
      </c>
      <c r="G101" s="46"/>
      <c r="H101" s="149">
        <f>RANK(I101,I3:I228)</f>
        <v>76</v>
      </c>
      <c r="I101" s="150">
        <f>VLOOKUP(A101,'Standard Deviations'!A1:C731,3,FALSE)</f>
        <v>0.220087159637437</v>
      </c>
      <c r="J101" s="150">
        <f>I101-VLOOKUP(B$2,H1:J228,2,FALSE)</f>
        <v>-5.1619117105258</v>
      </c>
    </row>
    <row r="102" ht="21.25" customHeight="1">
      <c r="A102" t="s" s="8">
        <v>464</v>
      </c>
      <c r="B102" t="s" s="159">
        <f>VLOOKUP(A102,'The List'!B1:D730,3,FALSE)</f>
        <v>129</v>
      </c>
      <c r="C102" s="160">
        <f>IF('Settings'!$E$15="POINTS",RANK(E102,E3:E228),H102)</f>
        <v>102</v>
      </c>
      <c r="D102" t="s" s="42">
        <f>VLOOKUP(A102,'The List'!B1:F730,5,FALSE)</f>
        <v>115</v>
      </c>
      <c r="E102" s="46">
        <f>VLOOKUP(A102,'The List'!B1:I730,8,FALSE)</f>
        <v>219.272430096681</v>
      </c>
      <c r="F102" s="46">
        <f>IF('Settings'!$E$15="POINTS",E102-VLOOKUP(B$2,C1:E228,3,FALSE),J102)</f>
        <v>-121.462708549842</v>
      </c>
      <c r="G102" s="46"/>
      <c r="H102" s="149">
        <f>RANK(I102,I3:I228)</f>
        <v>72</v>
      </c>
      <c r="I102" s="150">
        <f>VLOOKUP(A102,'Standard Deviations'!A1:C731,3,FALSE)</f>
        <v>0.586825944523379</v>
      </c>
      <c r="J102" s="150">
        <f>I102-VLOOKUP(B$2,H1:J228,2,FALSE)</f>
        <v>-4.79517292563986</v>
      </c>
    </row>
    <row r="103" ht="21.25" customHeight="1">
      <c r="A103" t="s" s="8">
        <v>470</v>
      </c>
      <c r="B103" t="s" s="159">
        <f>VLOOKUP(A103,'The List'!B1:D730,3,FALSE)</f>
        <v>129</v>
      </c>
      <c r="C103" s="160">
        <f>IF('Settings'!$E$15="POINTS",RANK(E103,E3:E228),H103)</f>
        <v>100</v>
      </c>
      <c r="D103" t="s" s="42">
        <f>VLOOKUP(A103,'The List'!B1:F730,5,FALSE)</f>
        <v>131</v>
      </c>
      <c r="E103" s="46">
        <f>VLOOKUP(A103,'The List'!B1:I730,8,FALSE)</f>
        <v>219.827357100537</v>
      </c>
      <c r="F103" s="46">
        <f>IF('Settings'!$E$15="POINTS",E103-VLOOKUP(B$2,C1:E228,3,FALSE),J103)</f>
        <v>-120.907781545986</v>
      </c>
      <c r="G103" s="46"/>
      <c r="H103" s="149">
        <f>RANK(I103,I3:I228)</f>
        <v>92</v>
      </c>
      <c r="I103" s="150">
        <f>VLOOKUP(A103,'Standard Deviations'!A1:C731,3,FALSE)</f>
        <v>-0.284357181034932</v>
      </c>
      <c r="J103" s="150">
        <f>I103-VLOOKUP(B$2,H1:J228,2,FALSE)</f>
        <v>-5.66635605119817</v>
      </c>
    </row>
    <row r="104" ht="21.25" customHeight="1">
      <c r="A104" t="s" s="8">
        <v>471</v>
      </c>
      <c r="B104" t="s" s="159">
        <f>VLOOKUP(A104,'The List'!B1:D730,3,FALSE)</f>
        <v>129</v>
      </c>
      <c r="C104" s="160">
        <f>IF('Settings'!$E$15="POINTS",RANK(E104,E3:E228),H104)</f>
        <v>80</v>
      </c>
      <c r="D104" t="s" s="42">
        <f>VLOOKUP(A104,'The List'!B1:F730,5,FALSE)</f>
        <v>124</v>
      </c>
      <c r="E104" s="46">
        <f>VLOOKUP(A104,'The List'!B1:I730,8,FALSE)</f>
        <v>235.907858584219</v>
      </c>
      <c r="F104" s="46">
        <f>IF('Settings'!$E$15="POINTS",E104-VLOOKUP(B$2,C1:E228,3,FALSE),J104)</f>
        <v>-104.827280062304</v>
      </c>
      <c r="G104" s="46"/>
      <c r="H104" s="149">
        <f>RANK(I104,I3:I228)</f>
        <v>115</v>
      </c>
      <c r="I104" s="150">
        <f>VLOOKUP(A104,'Standard Deviations'!A1:C731,3,FALSE)</f>
        <v>-1.06872740330088</v>
      </c>
      <c r="J104" s="150">
        <f>I104-VLOOKUP(B$2,H1:J228,2,FALSE)</f>
        <v>-6.45072627346412</v>
      </c>
    </row>
    <row r="105" ht="21.25" customHeight="1">
      <c r="A105" t="s" s="8">
        <v>475</v>
      </c>
      <c r="B105" t="s" s="159">
        <f>VLOOKUP(A105,'The List'!B1:D730,3,FALSE)</f>
        <v>129</v>
      </c>
      <c r="C105" s="160">
        <f>IF('Settings'!$E$15="POINTS",RANK(E105,E3:E228),H105)</f>
        <v>64</v>
      </c>
      <c r="D105" t="s" s="42">
        <f>VLOOKUP(A105,'The List'!B1:F730,5,FALSE)</f>
        <v>166</v>
      </c>
      <c r="E105" s="46">
        <f>VLOOKUP(A105,'The List'!B1:I730,8,FALSE)</f>
        <v>251.664335620740</v>
      </c>
      <c r="F105" s="46">
        <f>IF('Settings'!$E$15="POINTS",E105-VLOOKUP(B$2,C1:E228,3,FALSE),J105)</f>
        <v>-89.07080302578299</v>
      </c>
      <c r="G105" s="46"/>
      <c r="H105" s="149">
        <f>RANK(I105,I3:I228)</f>
        <v>136</v>
      </c>
      <c r="I105" s="150">
        <f>VLOOKUP(A105,'Standard Deviations'!A1:C731,3,FALSE)</f>
        <v>-1.66006554393878</v>
      </c>
      <c r="J105" s="150">
        <f>I105-VLOOKUP(B$2,H1:J228,2,FALSE)</f>
        <v>-7.04206441410202</v>
      </c>
    </row>
    <row r="106" ht="21.25" customHeight="1">
      <c r="A106" t="s" s="8">
        <v>476</v>
      </c>
      <c r="B106" t="s" s="159">
        <f>VLOOKUP(A106,'The List'!B1:D730,3,FALSE)</f>
        <v>129</v>
      </c>
      <c r="C106" s="160">
        <f>IF('Settings'!$E$15="POINTS",RANK(E106,E3:E228),H106)</f>
        <v>166</v>
      </c>
      <c r="D106" t="s" s="42">
        <f>VLOOKUP(A106,'The List'!B1:F730,5,FALSE)</f>
        <v>151</v>
      </c>
      <c r="E106" s="46">
        <f>VLOOKUP(A106,'The List'!B1:I730,8,FALSE)</f>
        <v>167.635201229322</v>
      </c>
      <c r="F106" s="46">
        <f>IF('Settings'!$E$15="POINTS",E106-VLOOKUP(B$2,C1:E228,3,FALSE),J106)</f>
        <v>-173.099937417201</v>
      </c>
      <c r="G106" s="46"/>
      <c r="H106" s="149">
        <f>RANK(I106,I3:I228)</f>
        <v>106</v>
      </c>
      <c r="I106" s="150">
        <f>VLOOKUP(A106,'Standard Deviations'!A1:C731,3,FALSE)</f>
        <v>-0.831924573403676</v>
      </c>
      <c r="J106" s="150">
        <f>I106-VLOOKUP(B$2,H1:J228,2,FALSE)</f>
        <v>-6.21392344356692</v>
      </c>
    </row>
    <row r="107" ht="21.25" customHeight="1">
      <c r="A107" t="s" s="8">
        <v>478</v>
      </c>
      <c r="B107" t="s" s="159">
        <f>VLOOKUP(A107,'The List'!B1:D730,3,FALSE)</f>
        <v>129</v>
      </c>
      <c r="C107" s="160">
        <f>IF('Settings'!$E$15="POINTS",RANK(E107,E3:E228),H107)</f>
        <v>99</v>
      </c>
      <c r="D107" t="s" s="42">
        <f>VLOOKUP(A107,'The List'!B1:F730,5,FALSE)</f>
        <v>156</v>
      </c>
      <c r="E107" s="46">
        <f>VLOOKUP(A107,'The List'!B1:I730,8,FALSE)</f>
        <v>220.165592978939</v>
      </c>
      <c r="F107" s="46">
        <f>IF('Settings'!$E$15="POINTS",E107-VLOOKUP(B$2,C1:E228,3,FALSE),J107)</f>
        <v>-120.569545667584</v>
      </c>
      <c r="G107" s="46"/>
      <c r="H107" s="149">
        <f>RANK(I107,I3:I228)</f>
        <v>107</v>
      </c>
      <c r="I107" s="150">
        <f>VLOOKUP(A107,'Standard Deviations'!A1:C731,3,FALSE)</f>
        <v>-0.83784319619859</v>
      </c>
      <c r="J107" s="150">
        <f>I107-VLOOKUP(B$2,H1:J228,2,FALSE)</f>
        <v>-6.21984206636183</v>
      </c>
    </row>
    <row r="108" ht="21.25" customHeight="1">
      <c r="A108" t="s" s="8">
        <v>480</v>
      </c>
      <c r="B108" t="s" s="159">
        <f>VLOOKUP(A108,'The List'!B1:D730,3,FALSE)</f>
        <v>129</v>
      </c>
      <c r="C108" s="160">
        <f>IF('Settings'!$E$15="POINTS",RANK(E108,E3:E228),H108)</f>
        <v>139</v>
      </c>
      <c r="D108" t="s" s="42">
        <f>VLOOKUP(A108,'The List'!B1:F730,5,FALSE)</f>
        <v>189</v>
      </c>
      <c r="E108" s="46">
        <f>VLOOKUP(A108,'The List'!B1:I730,8,FALSE)</f>
        <v>185.360261903018</v>
      </c>
      <c r="F108" s="46">
        <f>IF('Settings'!$E$15="POINTS",E108-VLOOKUP(B$2,C1:E228,3,FALSE),J108)</f>
        <v>-155.374876743505</v>
      </c>
      <c r="G108" s="46"/>
      <c r="H108" s="149">
        <f>RANK(I108,I3:I228)</f>
        <v>138</v>
      </c>
      <c r="I108" s="150">
        <f>VLOOKUP(A108,'Standard Deviations'!A1:C731,3,FALSE)</f>
        <v>-1.76670971225581</v>
      </c>
      <c r="J108" s="150">
        <f>I108-VLOOKUP(B$2,H1:J228,2,FALSE)</f>
        <v>-7.14870858241905</v>
      </c>
    </row>
    <row r="109" ht="21.25" customHeight="1">
      <c r="A109" t="s" s="8">
        <v>482</v>
      </c>
      <c r="B109" t="s" s="159">
        <f>VLOOKUP(A109,'The List'!B1:D730,3,FALSE)</f>
        <v>129</v>
      </c>
      <c r="C109" s="160">
        <f>IF('Settings'!$E$15="POINTS",RANK(E109,E3:E228),H109)</f>
        <v>74</v>
      </c>
      <c r="D109" t="s" s="42">
        <f>VLOOKUP(A109,'The List'!B1:F730,5,FALSE)</f>
        <v>218</v>
      </c>
      <c r="E109" s="46">
        <f>VLOOKUP(A109,'The List'!B1:I730,8,FALSE)</f>
        <v>241.301580323012</v>
      </c>
      <c r="F109" s="46">
        <f>IF('Settings'!$E$15="POINTS",E109-VLOOKUP(B$2,C1:E228,3,FALSE),J109)</f>
        <v>-99.43355832351099</v>
      </c>
      <c r="G109" s="46"/>
      <c r="H109" s="149">
        <f>RANK(I109,I3:I228)</f>
        <v>56</v>
      </c>
      <c r="I109" s="150">
        <f>VLOOKUP(A109,'Standard Deviations'!A1:C731,3,FALSE)</f>
        <v>1.35467805191633</v>
      </c>
      <c r="J109" s="150">
        <f>I109-VLOOKUP(B$2,H1:J228,2,FALSE)</f>
        <v>-4.02732081824691</v>
      </c>
    </row>
    <row r="110" ht="21.25" customHeight="1">
      <c r="A110" t="s" s="8">
        <v>483</v>
      </c>
      <c r="B110" t="s" s="159">
        <f>VLOOKUP(A110,'The List'!B1:D730,3,FALSE)</f>
        <v>129</v>
      </c>
      <c r="C110" s="160">
        <f>IF('Settings'!$E$15="POINTS",RANK(E110,E3:E228),H110)</f>
        <v>104</v>
      </c>
      <c r="D110" t="s" s="42">
        <f>VLOOKUP(A110,'The List'!B1:F730,5,FALSE)</f>
        <v>184</v>
      </c>
      <c r="E110" s="46">
        <f>VLOOKUP(A110,'The List'!B1:I730,8,FALSE)</f>
        <v>218.963184858608</v>
      </c>
      <c r="F110" s="46">
        <f>IF('Settings'!$E$15="POINTS",E110-VLOOKUP(B$2,C1:E228,3,FALSE),J110)</f>
        <v>-121.771953787915</v>
      </c>
      <c r="G110" s="46"/>
      <c r="H110" s="149">
        <f>RANK(I110,I3:I228)</f>
        <v>148</v>
      </c>
      <c r="I110" s="150">
        <f>VLOOKUP(A110,'Standard Deviations'!A1:C731,3,FALSE)</f>
        <v>-2.04151069853442</v>
      </c>
      <c r="J110" s="150">
        <f>I110-VLOOKUP(B$2,H1:J228,2,FALSE)</f>
        <v>-7.42350956869766</v>
      </c>
    </row>
    <row r="111" ht="21.25" customHeight="1">
      <c r="A111" t="s" s="8">
        <v>485</v>
      </c>
      <c r="B111" t="s" s="159">
        <f>VLOOKUP(A111,'The List'!B1:D730,3,FALSE)</f>
        <v>129</v>
      </c>
      <c r="C111" s="160">
        <f>IF('Settings'!$E$15="POINTS",RANK(E111,E3:E228),H111)</f>
        <v>103</v>
      </c>
      <c r="D111" t="s" s="42">
        <f>VLOOKUP(A111,'The List'!B1:F730,5,FALSE)</f>
        <v>218</v>
      </c>
      <c r="E111" s="46">
        <f>VLOOKUP(A111,'The List'!B1:I730,8,FALSE)</f>
        <v>219.123742578291</v>
      </c>
      <c r="F111" s="46">
        <f>IF('Settings'!$E$15="POINTS",E111-VLOOKUP(B$2,C1:E228,3,FALSE),J111)</f>
        <v>-121.611396068232</v>
      </c>
      <c r="G111" s="46"/>
      <c r="H111" s="149">
        <f>RANK(I111,I3:I228)</f>
        <v>46</v>
      </c>
      <c r="I111" s="150">
        <f>VLOOKUP(A111,'Standard Deviations'!A1:C731,3,FALSE)</f>
        <v>1.91444934342597</v>
      </c>
      <c r="J111" s="150">
        <f>I111-VLOOKUP(B$2,H1:J228,2,FALSE)</f>
        <v>-3.46754952673727</v>
      </c>
    </row>
    <row r="112" ht="21.25" customHeight="1">
      <c r="A112" t="s" s="8">
        <v>486</v>
      </c>
      <c r="B112" t="s" s="159">
        <f>VLOOKUP(A112,'The List'!B1:D730,3,FALSE)</f>
        <v>129</v>
      </c>
      <c r="C112" s="160">
        <f>IF('Settings'!$E$15="POINTS",RANK(E112,E3:E228),H112)</f>
        <v>109</v>
      </c>
      <c r="D112" t="s" s="42">
        <f>VLOOKUP(A112,'The List'!B1:F730,5,FALSE)</f>
        <v>238</v>
      </c>
      <c r="E112" s="46">
        <f>VLOOKUP(A112,'The List'!B1:I730,8,FALSE)</f>
        <v>213.775803487003</v>
      </c>
      <c r="F112" s="46">
        <f>IF('Settings'!$E$15="POINTS",E112-VLOOKUP(B$2,C1:E228,3,FALSE),J112)</f>
        <v>-126.959335159520</v>
      </c>
      <c r="G112" s="46"/>
      <c r="H112" s="149">
        <f>RANK(I112,I3:I228)</f>
        <v>116</v>
      </c>
      <c r="I112" s="150">
        <f>VLOOKUP(A112,'Standard Deviations'!A1:C731,3,FALSE)</f>
        <v>-1.09935244892039</v>
      </c>
      <c r="J112" s="150">
        <f>I112-VLOOKUP(B$2,H1:J228,2,FALSE)</f>
        <v>-6.48135131908363</v>
      </c>
    </row>
    <row r="113" ht="21.25" customHeight="1">
      <c r="A113" t="s" s="8">
        <v>489</v>
      </c>
      <c r="B113" t="s" s="159">
        <f>VLOOKUP(A113,'The List'!B1:D730,3,FALSE)</f>
        <v>129</v>
      </c>
      <c r="C113" s="160">
        <f>IF('Settings'!$E$15="POINTS",RANK(E113,E3:E228),H113)</f>
        <v>91</v>
      </c>
      <c r="D113" t="s" s="42">
        <f>VLOOKUP(A113,'The List'!B1:F730,5,FALSE)</f>
        <v>139</v>
      </c>
      <c r="E113" s="46">
        <f>VLOOKUP(A113,'The List'!B1:I730,8,FALSE)</f>
        <v>225.820631297840</v>
      </c>
      <c r="F113" s="46">
        <f>IF('Settings'!$E$15="POINTS",E113-VLOOKUP(B$2,C1:E228,3,FALSE),J113)</f>
        <v>-114.914507348683</v>
      </c>
      <c r="G113" s="46"/>
      <c r="H113" s="149">
        <f>RANK(I113,I3:I228)</f>
        <v>133</v>
      </c>
      <c r="I113" s="150">
        <f>VLOOKUP(A113,'Standard Deviations'!A1:C731,3,FALSE)</f>
        <v>-1.60467179868669</v>
      </c>
      <c r="J113" s="150">
        <f>I113-VLOOKUP(B$2,H1:J228,2,FALSE)</f>
        <v>-6.98667066884993</v>
      </c>
    </row>
    <row r="114" ht="21.25" customHeight="1">
      <c r="A114" t="s" s="8">
        <v>490</v>
      </c>
      <c r="B114" t="s" s="159">
        <f>VLOOKUP(A114,'The List'!B1:D730,3,FALSE)</f>
        <v>129</v>
      </c>
      <c r="C114" s="160">
        <f>IF('Settings'!$E$15="POINTS",RANK(E114,E3:E228),H114)</f>
        <v>98</v>
      </c>
      <c r="D114" t="s" s="42">
        <f>VLOOKUP(A114,'The List'!B1:F730,5,FALSE)</f>
        <v>115</v>
      </c>
      <c r="E114" s="46">
        <f>VLOOKUP(A114,'The List'!B1:I730,8,FALSE)</f>
        <v>220.190313605291</v>
      </c>
      <c r="F114" s="46">
        <f>IF('Settings'!$E$15="POINTS",E114-VLOOKUP(B$2,C1:E228,3,FALSE),J114)</f>
        <v>-120.544825041232</v>
      </c>
      <c r="G114" s="46"/>
      <c r="H114" s="149">
        <f>RANK(I114,I3:I228)</f>
        <v>73</v>
      </c>
      <c r="I114" s="150">
        <f>VLOOKUP(A114,'Standard Deviations'!A1:C731,3,FALSE)</f>
        <v>0.573163591003554</v>
      </c>
      <c r="J114" s="150">
        <f>I114-VLOOKUP(B$2,H1:J228,2,FALSE)</f>
        <v>-4.80883527915969</v>
      </c>
    </row>
    <row r="115" ht="21.25" customHeight="1">
      <c r="A115" t="s" s="8">
        <v>481</v>
      </c>
      <c r="B115" t="s" s="159">
        <f>VLOOKUP(A115,'The List'!B1:D730,3,FALSE)</f>
        <v>129</v>
      </c>
      <c r="C115" s="160">
        <f>IF('Settings'!$E$15="POINTS",RANK(E115,E3:E228),H115)</f>
        <v>126</v>
      </c>
      <c r="D115" t="s" s="42">
        <f>VLOOKUP(A115,'The List'!B1:F730,5,FALSE)</f>
        <v>127</v>
      </c>
      <c r="E115" s="46">
        <f>VLOOKUP(A115,'The List'!B1:I730,8,FALSE)</f>
        <v>194.481533207237</v>
      </c>
      <c r="F115" s="46">
        <f>IF('Settings'!$E$15="POINTS",E115-VLOOKUP(B$2,C1:E228,3,FALSE),J115)</f>
        <v>-146.253605439286</v>
      </c>
      <c r="G115" s="46"/>
      <c r="H115" s="149">
        <f>RANK(I115,I3:I228)</f>
        <v>127</v>
      </c>
      <c r="I115" s="150">
        <f>VLOOKUP(A115,'Standard Deviations'!A1:C731,3,FALSE)</f>
        <v>-1.48806818786354</v>
      </c>
      <c r="J115" s="150">
        <f>I115-VLOOKUP(B$2,H1:J228,2,FALSE)</f>
        <v>-6.87006705802678</v>
      </c>
    </row>
    <row r="116" ht="21.25" customHeight="1">
      <c r="A116" t="s" s="8">
        <v>492</v>
      </c>
      <c r="B116" t="s" s="159">
        <f>VLOOKUP(A116,'The List'!B1:D730,3,FALSE)</f>
        <v>129</v>
      </c>
      <c r="C116" s="160">
        <f>IF('Settings'!$E$15="POINTS",RANK(E116,E3:E228),H116)</f>
        <v>120</v>
      </c>
      <c r="D116" t="s" s="42">
        <f>VLOOKUP(A116,'The List'!B1:F730,5,FALSE)</f>
        <v>218</v>
      </c>
      <c r="E116" s="46">
        <f>VLOOKUP(A116,'The List'!B1:I730,8,FALSE)</f>
        <v>200.642191647545</v>
      </c>
      <c r="F116" s="46">
        <f>IF('Settings'!$E$15="POINTS",E116-VLOOKUP(B$2,C1:E228,3,FALSE),J116)</f>
        <v>-140.092946998978</v>
      </c>
      <c r="G116" s="46"/>
      <c r="H116" s="149">
        <f>RANK(I116,I3:I228)</f>
        <v>94</v>
      </c>
      <c r="I116" s="150">
        <f>VLOOKUP(A116,'Standard Deviations'!A1:C731,3,FALSE)</f>
        <v>-0.328115093954348</v>
      </c>
      <c r="J116" s="150">
        <f>I116-VLOOKUP(B$2,H1:J228,2,FALSE)</f>
        <v>-5.71011396411759</v>
      </c>
    </row>
    <row r="117" ht="21.25" customHeight="1">
      <c r="A117" t="s" s="8">
        <v>495</v>
      </c>
      <c r="B117" t="s" s="159">
        <f>VLOOKUP(A117,'The List'!B1:D730,3,FALSE)</f>
        <v>129</v>
      </c>
      <c r="C117" s="160">
        <f>IF('Settings'!$E$15="POINTS",RANK(E117,E3:E228),H117)</f>
        <v>112</v>
      </c>
      <c r="D117" t="s" s="42">
        <f>VLOOKUP(A117,'The List'!B1:F730,5,FALSE)</f>
        <v>127</v>
      </c>
      <c r="E117" s="46">
        <f>VLOOKUP(A117,'The List'!B1:I730,8,FALSE)</f>
        <v>207.750263156354</v>
      </c>
      <c r="F117" s="46">
        <f>IF('Settings'!$E$15="POINTS",E117-VLOOKUP(B$2,C1:E228,3,FALSE),J117)</f>
        <v>-132.984875490169</v>
      </c>
      <c r="G117" s="46"/>
      <c r="H117" s="149">
        <f>RANK(I117,I3:I228)</f>
        <v>100</v>
      </c>
      <c r="I117" s="150">
        <f>VLOOKUP(A117,'Standard Deviations'!A1:C731,3,FALSE)</f>
        <v>-0.644850906325151</v>
      </c>
      <c r="J117" s="150">
        <f>I117-VLOOKUP(B$2,H1:J228,2,FALSE)</f>
        <v>-6.02684977648839</v>
      </c>
    </row>
    <row r="118" ht="21.25" customHeight="1">
      <c r="A118" t="s" s="8">
        <v>500</v>
      </c>
      <c r="B118" t="s" s="159">
        <f>VLOOKUP(A118,'The List'!B1:D730,3,FALSE)</f>
        <v>129</v>
      </c>
      <c r="C118" s="160">
        <f>IF('Settings'!$E$15="POINTS",RANK(E118,E3:E228),H118)</f>
        <v>108</v>
      </c>
      <c r="D118" t="s" s="42">
        <f>VLOOKUP(A118,'The List'!B1:F730,5,FALSE)</f>
        <v>204</v>
      </c>
      <c r="E118" s="46">
        <f>VLOOKUP(A118,'The List'!B1:I730,8,FALSE)</f>
        <v>214.204570692414</v>
      </c>
      <c r="F118" s="46">
        <f>IF('Settings'!$E$15="POINTS",E118-VLOOKUP(B$2,C1:E228,3,FALSE),J118)</f>
        <v>-126.530567954109</v>
      </c>
      <c r="G118" s="46"/>
      <c r="H118" s="149">
        <f>RANK(I118,I3:I228)</f>
        <v>118</v>
      </c>
      <c r="I118" s="150">
        <f>VLOOKUP(A118,'Standard Deviations'!A1:C731,3,FALSE)</f>
        <v>-1.10789701485742</v>
      </c>
      <c r="J118" s="150">
        <f>I118-VLOOKUP(B$2,H1:J228,2,FALSE)</f>
        <v>-6.48989588502066</v>
      </c>
    </row>
    <row r="119" ht="21.25" customHeight="1">
      <c r="A119" t="s" s="8">
        <v>502</v>
      </c>
      <c r="B119" t="s" s="159">
        <f>VLOOKUP(A119,'The List'!B1:D730,3,FALSE)</f>
        <v>129</v>
      </c>
      <c r="C119" s="160">
        <f>IF('Settings'!$E$15="POINTS",RANK(E119,E3:E228),H119)</f>
        <v>143</v>
      </c>
      <c r="D119" t="s" s="42">
        <f>VLOOKUP(A119,'The List'!B1:F730,5,FALSE)</f>
        <v>189</v>
      </c>
      <c r="E119" s="46">
        <f>VLOOKUP(A119,'The List'!B1:I730,8,FALSE)</f>
        <v>181.955692044127</v>
      </c>
      <c r="F119" s="46">
        <f>IF('Settings'!$E$15="POINTS",E119-VLOOKUP(B$2,C1:E228,3,FALSE),J119)</f>
        <v>-158.779446602396</v>
      </c>
      <c r="G119" s="46"/>
      <c r="H119" s="149">
        <f>RANK(I119,I3:I228)</f>
        <v>176</v>
      </c>
      <c r="I119" s="150">
        <f>VLOOKUP(A119,'Standard Deviations'!A1:C731,3,FALSE)</f>
        <v>-3.17504661644423</v>
      </c>
      <c r="J119" s="150">
        <f>I119-VLOOKUP(B$2,H1:J228,2,FALSE)</f>
        <v>-8.557045486607469</v>
      </c>
    </row>
    <row r="120" ht="21.25" customHeight="1">
      <c r="A120" t="s" s="8">
        <v>504</v>
      </c>
      <c r="B120" t="s" s="159">
        <f>VLOOKUP(A120,'The List'!B1:D730,3,FALSE)</f>
        <v>129</v>
      </c>
      <c r="C120" s="160">
        <f>IF('Settings'!$E$15="POINTS",RANK(E120,E3:E228),H120)</f>
        <v>101</v>
      </c>
      <c r="D120" t="s" s="42">
        <f>VLOOKUP(A120,'The List'!B1:F730,5,FALSE)</f>
        <v>149</v>
      </c>
      <c r="E120" s="46">
        <f>VLOOKUP(A120,'The List'!B1:I730,8,FALSE)</f>
        <v>219.502920676447</v>
      </c>
      <c r="F120" s="46">
        <f>IF('Settings'!$E$15="POINTS",E120-VLOOKUP(B$2,C1:E228,3,FALSE),J120)</f>
        <v>-121.232217970076</v>
      </c>
      <c r="G120" s="46"/>
      <c r="H120" s="149">
        <f>RANK(I120,I3:I228)</f>
        <v>124</v>
      </c>
      <c r="I120" s="150">
        <f>VLOOKUP(A120,'Standard Deviations'!A1:C731,3,FALSE)</f>
        <v>-1.3425221548522</v>
      </c>
      <c r="J120" s="150">
        <f>I120-VLOOKUP(B$2,H1:J228,2,FALSE)</f>
        <v>-6.72452102501544</v>
      </c>
    </row>
    <row r="121" ht="21.25" customHeight="1">
      <c r="A121" t="s" s="8">
        <v>505</v>
      </c>
      <c r="B121" t="s" s="159">
        <f>VLOOKUP(A121,'The List'!B1:D730,3,FALSE)</f>
        <v>129</v>
      </c>
      <c r="C121" s="160">
        <f>IF('Settings'!$E$15="POINTS",RANK(E121,E3:E228),H121)</f>
        <v>117</v>
      </c>
      <c r="D121" t="s" s="42">
        <f>VLOOKUP(A121,'The List'!B1:F730,5,FALSE)</f>
        <v>164</v>
      </c>
      <c r="E121" s="46">
        <f>VLOOKUP(A121,'The List'!B1:I730,8,FALSE)</f>
        <v>202.955230454085</v>
      </c>
      <c r="F121" s="46">
        <f>IF('Settings'!$E$15="POINTS",E121-VLOOKUP(B$2,C1:E228,3,FALSE),J121)</f>
        <v>-137.779908192438</v>
      </c>
      <c r="G121" s="46"/>
      <c r="H121" s="149">
        <f>RANK(I121,I3:I228)</f>
        <v>109</v>
      </c>
      <c r="I121" s="150">
        <f>VLOOKUP(A121,'Standard Deviations'!A1:C731,3,FALSE)</f>
        <v>-0.893533269681324</v>
      </c>
      <c r="J121" s="150">
        <f>I121-VLOOKUP(B$2,H1:J228,2,FALSE)</f>
        <v>-6.27553213984456</v>
      </c>
    </row>
    <row r="122" ht="21.25" customHeight="1">
      <c r="A122" t="s" s="8">
        <v>506</v>
      </c>
      <c r="B122" t="s" s="159">
        <f>VLOOKUP(A122,'The List'!B1:D730,3,FALSE)</f>
        <v>129</v>
      </c>
      <c r="C122" s="160">
        <f>IF('Settings'!$E$15="POINTS",RANK(E122,E3:E228),H122)</f>
        <v>129</v>
      </c>
      <c r="D122" t="s" s="42">
        <f>VLOOKUP(A122,'The List'!B1:F730,5,FALSE)</f>
        <v>115</v>
      </c>
      <c r="E122" s="46">
        <f>VLOOKUP(A122,'The List'!B1:I730,8,FALSE)</f>
        <v>191.898203000446</v>
      </c>
      <c r="F122" s="46">
        <f>IF('Settings'!$E$15="POINTS",E122-VLOOKUP(B$2,C1:E228,3,FALSE),J122)</f>
        <v>-148.836935646077</v>
      </c>
      <c r="G122" s="46"/>
      <c r="H122" s="149">
        <f>RANK(I122,I3:I228)</f>
        <v>77</v>
      </c>
      <c r="I122" s="150">
        <f>VLOOKUP(A122,'Standard Deviations'!A1:C731,3,FALSE)</f>
        <v>0.208111427983253</v>
      </c>
      <c r="J122" s="150">
        <f>I122-VLOOKUP(B$2,H1:J228,2,FALSE)</f>
        <v>-5.17388744217999</v>
      </c>
    </row>
    <row r="123" ht="21.25" customHeight="1">
      <c r="A123" t="s" s="8">
        <v>507</v>
      </c>
      <c r="B123" t="s" s="159">
        <f>VLOOKUP(A123,'The List'!B1:D730,3,FALSE)</f>
        <v>129</v>
      </c>
      <c r="C123" s="160">
        <f>IF('Settings'!$E$15="POINTS",RANK(E123,E3:E228),H123)</f>
        <v>110</v>
      </c>
      <c r="D123" t="s" s="42">
        <f>VLOOKUP(A123,'The List'!B1:F730,5,FALSE)</f>
        <v>248</v>
      </c>
      <c r="E123" s="46">
        <f>VLOOKUP(A123,'The List'!B1:I730,8,FALSE)</f>
        <v>210.522444110840</v>
      </c>
      <c r="F123" s="46">
        <f>IF('Settings'!$E$15="POINTS",E123-VLOOKUP(B$2,C1:E228,3,FALSE),J123)</f>
        <v>-130.212694535683</v>
      </c>
      <c r="G123" s="46"/>
      <c r="H123" s="149">
        <f>RANK(I123,I3:I228)</f>
        <v>126</v>
      </c>
      <c r="I123" s="150">
        <f>VLOOKUP(A123,'Standard Deviations'!A1:C731,3,FALSE)</f>
        <v>-1.3690952908268</v>
      </c>
      <c r="J123" s="150">
        <f>I123-VLOOKUP(B$2,H1:J228,2,FALSE)</f>
        <v>-6.75109416099004</v>
      </c>
    </row>
    <row r="124" ht="21.25" customHeight="1">
      <c r="A124" t="s" s="8">
        <v>508</v>
      </c>
      <c r="B124" t="s" s="159">
        <f>VLOOKUP(A124,'The List'!B1:D730,3,FALSE)</f>
        <v>129</v>
      </c>
      <c r="C124" s="160">
        <f>IF('Settings'!$E$15="POINTS",RANK(E124,E3:E228),H124)</f>
        <v>165</v>
      </c>
      <c r="D124" t="s" s="42">
        <f>VLOOKUP(A124,'The List'!B1:F730,5,FALSE)</f>
        <v>119</v>
      </c>
      <c r="E124" s="46">
        <f>VLOOKUP(A124,'The List'!B1:I730,8,FALSE)</f>
        <v>167.833579580518</v>
      </c>
      <c r="F124" s="46">
        <f>IF('Settings'!$E$15="POINTS",E124-VLOOKUP(B$2,C1:E228,3,FALSE),J124)</f>
        <v>-172.901559066005</v>
      </c>
      <c r="G124" s="46"/>
      <c r="H124" s="149">
        <f>RANK(I124,I3:I228)</f>
        <v>160</v>
      </c>
      <c r="I124" s="150">
        <f>VLOOKUP(A124,'Standard Deviations'!A1:C731,3,FALSE)</f>
        <v>-2.39672122555016</v>
      </c>
      <c r="J124" s="150">
        <f>I124-VLOOKUP(B$2,H1:J228,2,FALSE)</f>
        <v>-7.7787200957134</v>
      </c>
    </row>
    <row r="125" ht="21.25" customHeight="1">
      <c r="A125" t="s" s="8">
        <v>509</v>
      </c>
      <c r="B125" t="s" s="159">
        <f>VLOOKUP(A125,'The List'!B1:D730,3,FALSE)</f>
        <v>129</v>
      </c>
      <c r="C125" s="160">
        <f>IF('Settings'!$E$15="POINTS",RANK(E125,E3:E228),H125)</f>
        <v>127</v>
      </c>
      <c r="D125" t="s" s="42">
        <f>VLOOKUP(A125,'The List'!B1:F730,5,FALSE)</f>
        <v>131</v>
      </c>
      <c r="E125" s="46">
        <f>VLOOKUP(A125,'The List'!B1:I730,8,FALSE)</f>
        <v>194.109727539609</v>
      </c>
      <c r="F125" s="46">
        <f>IF('Settings'!$E$15="POINTS",E125-VLOOKUP(B$2,C1:E228,3,FALSE),J125)</f>
        <v>-146.625411106914</v>
      </c>
      <c r="G125" s="46"/>
      <c r="H125" s="149">
        <f>RANK(I125,I3:I228)</f>
        <v>134</v>
      </c>
      <c r="I125" s="150">
        <f>VLOOKUP(A125,'Standard Deviations'!A1:C731,3,FALSE)</f>
        <v>-1.65234371709426</v>
      </c>
      <c r="J125" s="150">
        <f>I125-VLOOKUP(B$2,H1:J228,2,FALSE)</f>
        <v>-7.0343425872575</v>
      </c>
    </row>
    <row r="126" ht="21.25" customHeight="1">
      <c r="A126" t="s" s="8">
        <v>510</v>
      </c>
      <c r="B126" t="s" s="159">
        <f>VLOOKUP(A126,'The List'!B1:D730,3,FALSE)</f>
        <v>129</v>
      </c>
      <c r="C126" s="160">
        <f>IF('Settings'!$E$15="POINTS",RANK(E126,E3:E228),H126)</f>
        <v>133</v>
      </c>
      <c r="D126" t="s" s="42">
        <f>VLOOKUP(A126,'The List'!B1:F730,5,FALSE)</f>
        <v>238</v>
      </c>
      <c r="E126" s="46">
        <f>VLOOKUP(A126,'The List'!B1:I730,8,FALSE)</f>
        <v>191.343556057860</v>
      </c>
      <c r="F126" s="46">
        <f>IF('Settings'!$E$15="POINTS",E126-VLOOKUP(B$2,C1:E228,3,FALSE),J126)</f>
        <v>-149.391582588663</v>
      </c>
      <c r="G126" s="46"/>
      <c r="H126" s="149">
        <f>RANK(I126,I3:I228)</f>
        <v>81</v>
      </c>
      <c r="I126" s="150">
        <f>VLOOKUP(A126,'Standard Deviations'!A1:C731,3,FALSE)</f>
        <v>0.040149401943606</v>
      </c>
      <c r="J126" s="150">
        <f>I126-VLOOKUP(B$2,H1:J228,2,FALSE)</f>
        <v>-5.34184946821963</v>
      </c>
    </row>
    <row r="127" ht="21.25" customHeight="1">
      <c r="A127" t="s" s="8">
        <v>511</v>
      </c>
      <c r="B127" t="s" s="159">
        <f>VLOOKUP(A127,'The List'!B1:D730,3,FALSE)</f>
        <v>129</v>
      </c>
      <c r="C127" s="160">
        <f>IF('Settings'!$E$15="POINTS",RANK(E127,E3:E228),H127)</f>
        <v>118</v>
      </c>
      <c r="D127" t="s" s="42">
        <f>VLOOKUP(A127,'The List'!B1:F730,5,FALSE)</f>
        <v>173</v>
      </c>
      <c r="E127" s="46">
        <f>VLOOKUP(A127,'The List'!B1:I730,8,FALSE)</f>
        <v>201.610811263108</v>
      </c>
      <c r="F127" s="46">
        <f>IF('Settings'!$E$15="POINTS",E127-VLOOKUP(B$2,C1:E228,3,FALSE),J127)</f>
        <v>-139.124327383415</v>
      </c>
      <c r="G127" s="46"/>
      <c r="H127" s="149">
        <f>RANK(I127,I3:I228)</f>
        <v>121</v>
      </c>
      <c r="I127" s="150">
        <f>VLOOKUP(A127,'Standard Deviations'!A1:C731,3,FALSE)</f>
        <v>-1.24314047164037</v>
      </c>
      <c r="J127" s="150">
        <f>I127-VLOOKUP(B$2,H1:J228,2,FALSE)</f>
        <v>-6.62513934180361</v>
      </c>
    </row>
    <row r="128" ht="21.25" customHeight="1">
      <c r="A128" t="s" s="8">
        <v>497</v>
      </c>
      <c r="B128" t="s" s="159">
        <f>VLOOKUP(A128,'The List'!B1:D730,3,FALSE)</f>
        <v>129</v>
      </c>
      <c r="C128" s="160">
        <f>IF('Settings'!$E$15="POINTS",RANK(E128,E3:E228),H128)</f>
        <v>113</v>
      </c>
      <c r="D128" t="s" s="42">
        <f>VLOOKUP(A128,'The List'!B1:F730,5,FALSE)</f>
        <v>108</v>
      </c>
      <c r="E128" s="46">
        <f>VLOOKUP(A128,'The List'!B1:I730,8,FALSE)</f>
        <v>206.694801734410</v>
      </c>
      <c r="F128" s="46">
        <f>IF('Settings'!$E$15="POINTS",E128-VLOOKUP(B$2,C1:E228,3,FALSE),J128)</f>
        <v>-134.040336912113</v>
      </c>
      <c r="G128" s="46"/>
      <c r="H128" s="149">
        <f>RANK(I128,I3:I228)</f>
        <v>88</v>
      </c>
      <c r="I128" s="150">
        <f>VLOOKUP(A128,'Standard Deviations'!A1:C731,3,FALSE)</f>
        <v>-0.251356264085742</v>
      </c>
      <c r="J128" s="150">
        <f>I128-VLOOKUP(B$2,H1:J228,2,FALSE)</f>
        <v>-5.63335513424898</v>
      </c>
    </row>
    <row r="129" ht="21.25" customHeight="1">
      <c r="A129" t="s" s="8">
        <v>515</v>
      </c>
      <c r="B129" t="s" s="159">
        <f>VLOOKUP(A129,'The List'!B1:D730,3,FALSE)</f>
        <v>129</v>
      </c>
      <c r="C129" s="160">
        <f>IF('Settings'!$E$15="POINTS",RANK(E129,E3:E228),H129)</f>
        <v>123</v>
      </c>
      <c r="D129" t="s" s="42">
        <f>VLOOKUP(A129,'The List'!B1:F730,5,FALSE)</f>
        <v>156</v>
      </c>
      <c r="E129" s="46">
        <f>VLOOKUP(A129,'The List'!B1:I730,8,FALSE)</f>
        <v>197.691410743128</v>
      </c>
      <c r="F129" s="46">
        <f>IF('Settings'!$E$15="POINTS",E129-VLOOKUP(B$2,C1:E228,3,FALSE),J129)</f>
        <v>-143.043727903395</v>
      </c>
      <c r="G129" s="46"/>
      <c r="H129" s="149">
        <f>RANK(I129,I3:I228)</f>
        <v>117</v>
      </c>
      <c r="I129" s="150">
        <f>VLOOKUP(A129,'Standard Deviations'!A1:C731,3,FALSE)</f>
        <v>-1.103533822207</v>
      </c>
      <c r="J129" s="150">
        <f>I129-VLOOKUP(B$2,H1:J228,2,FALSE)</f>
        <v>-6.48553269237024</v>
      </c>
    </row>
    <row r="130" ht="21.25" customHeight="1">
      <c r="A130" t="s" s="8">
        <v>517</v>
      </c>
      <c r="B130" t="s" s="159">
        <f>VLOOKUP(A130,'The List'!B1:D730,3,FALSE)</f>
        <v>129</v>
      </c>
      <c r="C130" s="160">
        <f>IF('Settings'!$E$15="POINTS",RANK(E130,E3:E228),H130)</f>
        <v>128</v>
      </c>
      <c r="D130" t="s" s="42">
        <f>VLOOKUP(A130,'The List'!B1:F730,5,FALSE)</f>
        <v>115</v>
      </c>
      <c r="E130" s="46">
        <f>VLOOKUP(A130,'The List'!B1:I730,8,FALSE)</f>
        <v>192.315795070309</v>
      </c>
      <c r="F130" s="46">
        <f>IF('Settings'!$E$15="POINTS",E130-VLOOKUP(B$2,C1:E228,3,FALSE),J130)</f>
        <v>-148.419343576214</v>
      </c>
      <c r="G130" s="46"/>
      <c r="H130" s="149">
        <f>RANK(I130,I3:I228)</f>
        <v>75</v>
      </c>
      <c r="I130" s="150">
        <f>VLOOKUP(A130,'Standard Deviations'!A1:C731,3,FALSE)</f>
        <v>0.313785647619949</v>
      </c>
      <c r="J130" s="150">
        <f>I130-VLOOKUP(B$2,H1:J228,2,FALSE)</f>
        <v>-5.06821322254329</v>
      </c>
    </row>
    <row r="131" ht="21.25" customHeight="1">
      <c r="A131" t="s" s="8">
        <v>518</v>
      </c>
      <c r="B131" t="s" s="159">
        <f>VLOOKUP(A131,'The List'!B1:D730,3,FALSE)</f>
        <v>129</v>
      </c>
      <c r="C131" s="160">
        <f>IF('Settings'!$E$15="POINTS",RANK(E131,E3:E228),H131)</f>
        <v>121</v>
      </c>
      <c r="D131" t="s" s="42">
        <f>VLOOKUP(A131,'The List'!B1:F730,5,FALSE)</f>
        <v>139</v>
      </c>
      <c r="E131" s="46">
        <f>VLOOKUP(A131,'The List'!B1:I730,8,FALSE)</f>
        <v>198.536031366881</v>
      </c>
      <c r="F131" s="46">
        <f>IF('Settings'!$E$15="POINTS",E131-VLOOKUP(B$2,C1:E228,3,FALSE),J131)</f>
        <v>-142.199107279642</v>
      </c>
      <c r="G131" s="46"/>
      <c r="H131" s="149">
        <f>RANK(I131,I3:I228)</f>
        <v>144</v>
      </c>
      <c r="I131" s="150">
        <f>VLOOKUP(A131,'Standard Deviations'!A1:C731,3,FALSE)</f>
        <v>-1.95946367082746</v>
      </c>
      <c r="J131" s="150">
        <f>I131-VLOOKUP(B$2,H1:J228,2,FALSE)</f>
        <v>-7.3414625409907</v>
      </c>
    </row>
    <row r="132" ht="21.25" customHeight="1">
      <c r="A132" t="s" s="8">
        <v>520</v>
      </c>
      <c r="B132" t="s" s="159">
        <f>VLOOKUP(A132,'The List'!B1:D730,3,FALSE)</f>
        <v>129</v>
      </c>
      <c r="C132" s="160">
        <f>IF('Settings'!$E$15="POINTS",RANK(E132,E3:E228),H132)</f>
        <v>142</v>
      </c>
      <c r="D132" t="s" s="42">
        <f>VLOOKUP(A132,'The List'!B1:F730,5,FALSE)</f>
        <v>166</v>
      </c>
      <c r="E132" s="46">
        <f>VLOOKUP(A132,'The List'!B1:I730,8,FALSE)</f>
        <v>183.064582438530</v>
      </c>
      <c r="F132" s="46">
        <f>IF('Settings'!$E$15="POINTS",E132-VLOOKUP(B$2,C1:E228,3,FALSE),J132)</f>
        <v>-157.670556207993</v>
      </c>
      <c r="G132" s="46"/>
      <c r="H132" s="149">
        <f>RANK(I132,I3:I228)</f>
        <v>128</v>
      </c>
      <c r="I132" s="150">
        <f>VLOOKUP(A132,'Standard Deviations'!A1:C731,3,FALSE)</f>
        <v>-1.53000265632153</v>
      </c>
      <c r="J132" s="150">
        <f>I132-VLOOKUP(B$2,H1:J228,2,FALSE)</f>
        <v>-6.91200152648477</v>
      </c>
    </row>
    <row r="133" ht="21.25" customHeight="1">
      <c r="A133" t="s" s="8">
        <v>522</v>
      </c>
      <c r="B133" t="s" s="159">
        <f>VLOOKUP(A133,'The List'!B1:D730,3,FALSE)</f>
        <v>129</v>
      </c>
      <c r="C133" s="160">
        <f>IF('Settings'!$E$15="POINTS",RANK(E133,E3:E228),H133)</f>
        <v>140</v>
      </c>
      <c r="D133" t="s" s="42">
        <f>VLOOKUP(A133,'The List'!B1:F730,5,FALSE)</f>
        <v>108</v>
      </c>
      <c r="E133" s="46">
        <f>VLOOKUP(A133,'The List'!B1:I730,8,FALSE)</f>
        <v>184.991880186559</v>
      </c>
      <c r="F133" s="46">
        <f>IF('Settings'!$E$15="POINTS",E133-VLOOKUP(B$2,C1:E228,3,FALSE),J133)</f>
        <v>-155.743258459964</v>
      </c>
      <c r="G133" s="46"/>
      <c r="H133" s="149">
        <f>RANK(I133,I3:I228)</f>
        <v>105</v>
      </c>
      <c r="I133" s="150">
        <f>VLOOKUP(A133,'Standard Deviations'!A1:C731,3,FALSE)</f>
        <v>-0.8049977205278031</v>
      </c>
      <c r="J133" s="150">
        <f>I133-VLOOKUP(B$2,H1:J228,2,FALSE)</f>
        <v>-6.18699659069104</v>
      </c>
    </row>
    <row r="134" ht="21.25" customHeight="1">
      <c r="A134" t="s" s="8">
        <v>523</v>
      </c>
      <c r="B134" t="s" s="159">
        <f>VLOOKUP(A134,'The List'!B1:D730,3,FALSE)</f>
        <v>129</v>
      </c>
      <c r="C134" s="160">
        <f>IF('Settings'!$E$15="POINTS",RANK(E134,E3:E228),H134)</f>
        <v>167</v>
      </c>
      <c r="D134" t="s" s="42">
        <f>VLOOKUP(A134,'The List'!B1:F730,5,FALSE)</f>
        <v>170</v>
      </c>
      <c r="E134" s="46">
        <f>VLOOKUP(A134,'The List'!B1:I730,8,FALSE)</f>
        <v>166.744297441005</v>
      </c>
      <c r="F134" s="46">
        <f>IF('Settings'!$E$15="POINTS",E134-VLOOKUP(B$2,C1:E228,3,FALSE),J134)</f>
        <v>-173.990841205518</v>
      </c>
      <c r="G134" s="46"/>
      <c r="H134" s="149">
        <f>RANK(I134,I3:I228)</f>
        <v>146</v>
      </c>
      <c r="I134" s="150">
        <f>VLOOKUP(A134,'Standard Deviations'!A1:C731,3,FALSE)</f>
        <v>-2.00436114153853</v>
      </c>
      <c r="J134" s="150">
        <f>I134-VLOOKUP(B$2,H1:J228,2,FALSE)</f>
        <v>-7.38636001170177</v>
      </c>
    </row>
    <row r="135" ht="21.25" customHeight="1">
      <c r="A135" t="s" s="8">
        <v>528</v>
      </c>
      <c r="B135" t="s" s="159">
        <f>VLOOKUP(A135,'The List'!B1:D730,3,FALSE)</f>
        <v>129</v>
      </c>
      <c r="C135" s="160">
        <f>IF('Settings'!$E$15="POINTS",RANK(E135,E3:E228),H135)</f>
        <v>160</v>
      </c>
      <c r="D135" t="s" s="42">
        <f>VLOOKUP(A135,'The List'!B1:F730,5,FALSE)</f>
        <v>173</v>
      </c>
      <c r="E135" s="46">
        <f>VLOOKUP(A135,'The List'!B1:I730,8,FALSE)</f>
        <v>172.429471703412</v>
      </c>
      <c r="F135" s="46">
        <f>IF('Settings'!$E$15="POINTS",E135-VLOOKUP(B$2,C1:E228,3,FALSE),J135)</f>
        <v>-168.305666943111</v>
      </c>
      <c r="G135" s="46"/>
      <c r="H135" s="149">
        <f>RANK(I135,I3:I228)</f>
        <v>132</v>
      </c>
      <c r="I135" s="150">
        <f>VLOOKUP(A135,'Standard Deviations'!A1:C731,3,FALSE)</f>
        <v>-1.57643970594603</v>
      </c>
      <c r="J135" s="150">
        <f>I135-VLOOKUP(B$2,H1:J228,2,FALSE)</f>
        <v>-6.95843857610927</v>
      </c>
    </row>
    <row r="136" ht="21.25" customHeight="1">
      <c r="A136" t="s" s="8">
        <v>529</v>
      </c>
      <c r="B136" t="s" s="159">
        <f>VLOOKUP(A136,'The List'!B1:D730,3,FALSE)</f>
        <v>129</v>
      </c>
      <c r="C136" s="160">
        <f>IF('Settings'!$E$15="POINTS",RANK(E136,E3:E228),H136)</f>
        <v>137</v>
      </c>
      <c r="D136" t="s" s="42">
        <f>VLOOKUP(A136,'The List'!B1:F730,5,FALSE)</f>
        <v>151</v>
      </c>
      <c r="E136" s="46">
        <f>VLOOKUP(A136,'The List'!B1:I730,8,FALSE)</f>
        <v>188.425819763957</v>
      </c>
      <c r="F136" s="46">
        <f>IF('Settings'!$E$15="POINTS",E136-VLOOKUP(B$2,C1:E228,3,FALSE),J136)</f>
        <v>-152.309318882566</v>
      </c>
      <c r="G136" s="46"/>
      <c r="H136" s="149">
        <f>RANK(I136,I3:I228)</f>
        <v>84</v>
      </c>
      <c r="I136" s="150">
        <f>VLOOKUP(A136,'Standard Deviations'!A1:C731,3,FALSE)</f>
        <v>-0.04498077054216</v>
      </c>
      <c r="J136" s="150">
        <f>I136-VLOOKUP(B$2,H1:J228,2,FALSE)</f>
        <v>-5.4269796407054</v>
      </c>
    </row>
    <row r="137" ht="21.25" customHeight="1">
      <c r="A137" t="s" s="8">
        <v>530</v>
      </c>
      <c r="B137" t="s" s="159">
        <f>VLOOKUP(A137,'The List'!B1:D730,3,FALSE)</f>
        <v>129</v>
      </c>
      <c r="C137" s="160">
        <f>IF('Settings'!$E$15="POINTS",RANK(E137,E3:E228),H137)</f>
        <v>124</v>
      </c>
      <c r="D137" t="s" s="42">
        <f>VLOOKUP(A137,'The List'!B1:F730,5,FALSE)</f>
        <v>218</v>
      </c>
      <c r="E137" s="46">
        <f>VLOOKUP(A137,'The List'!B1:I730,8,FALSE)</f>
        <v>197.358824532657</v>
      </c>
      <c r="F137" s="46">
        <f>IF('Settings'!$E$15="POINTS",E137-VLOOKUP(B$2,C1:E228,3,FALSE),J137)</f>
        <v>-143.376314113866</v>
      </c>
      <c r="G137" s="46"/>
      <c r="H137" s="149">
        <f>RANK(I137,I3:I228)</f>
        <v>93</v>
      </c>
      <c r="I137" s="150">
        <f>VLOOKUP(A137,'Standard Deviations'!A1:C731,3,FALSE)</f>
        <v>-0.325516128489579</v>
      </c>
      <c r="J137" s="150">
        <f>I137-VLOOKUP(B$2,H1:J228,2,FALSE)</f>
        <v>-5.70751499865282</v>
      </c>
    </row>
    <row r="138" ht="21.25" customHeight="1">
      <c r="A138" t="s" s="8">
        <v>532</v>
      </c>
      <c r="B138" t="s" s="159">
        <f>VLOOKUP(A138,'The List'!B1:D730,3,FALSE)</f>
        <v>129</v>
      </c>
      <c r="C138" s="160">
        <f>IF('Settings'!$E$15="POINTS",RANK(E138,E3:E228),H138)</f>
        <v>105</v>
      </c>
      <c r="D138" t="s" s="42">
        <f>VLOOKUP(A138,'The List'!B1:F730,5,FALSE)</f>
        <v>225</v>
      </c>
      <c r="E138" s="46">
        <f>VLOOKUP(A138,'The List'!B1:I730,8,FALSE)</f>
        <v>218.772577546279</v>
      </c>
      <c r="F138" s="46">
        <f>IF('Settings'!$E$15="POINTS",E138-VLOOKUP(B$2,C1:E228,3,FALSE),J138)</f>
        <v>-121.962561100244</v>
      </c>
      <c r="G138" s="46"/>
      <c r="H138" s="149">
        <f>RANK(I138,I3:I228)</f>
        <v>163</v>
      </c>
      <c r="I138" s="150">
        <f>VLOOKUP(A138,'Standard Deviations'!A1:C731,3,FALSE)</f>
        <v>-2.57674322137246</v>
      </c>
      <c r="J138" s="150">
        <f>I138-VLOOKUP(B$2,H1:J228,2,FALSE)</f>
        <v>-7.9587420915357</v>
      </c>
    </row>
    <row r="139" ht="21.25" customHeight="1">
      <c r="A139" t="s" s="8">
        <v>533</v>
      </c>
      <c r="B139" t="s" s="159">
        <f>VLOOKUP(A139,'The List'!B1:D730,3,FALSE)</f>
        <v>129</v>
      </c>
      <c r="C139" s="160">
        <f>IF('Settings'!$E$15="POINTS",RANK(E139,E3:E228),H139)</f>
        <v>116</v>
      </c>
      <c r="D139" t="s" s="42">
        <f>VLOOKUP(A139,'The List'!B1:F730,5,FALSE)</f>
        <v>164</v>
      </c>
      <c r="E139" s="46">
        <f>VLOOKUP(A139,'The List'!B1:I730,8,FALSE)</f>
        <v>205.156018658037</v>
      </c>
      <c r="F139" s="46">
        <f>IF('Settings'!$E$15="POINTS",E139-VLOOKUP(B$2,C1:E228,3,FALSE),J139)</f>
        <v>-135.579119988486</v>
      </c>
      <c r="G139" s="46"/>
      <c r="H139" s="149">
        <f>RANK(I139,I3:I228)</f>
        <v>130</v>
      </c>
      <c r="I139" s="150">
        <f>VLOOKUP(A139,'Standard Deviations'!A1:C731,3,FALSE)</f>
        <v>-1.54272558208927</v>
      </c>
      <c r="J139" s="150">
        <f>I139-VLOOKUP(B$2,H1:J228,2,FALSE)</f>
        <v>-6.92472445225251</v>
      </c>
    </row>
    <row r="140" ht="21.25" customHeight="1">
      <c r="A140" t="s" s="8">
        <v>534</v>
      </c>
      <c r="B140" t="s" s="159">
        <f>VLOOKUP(A140,'The List'!B1:D730,3,FALSE)</f>
        <v>129</v>
      </c>
      <c r="C140" s="160">
        <f>IF('Settings'!$E$15="POINTS",RANK(E140,E3:E228),H140)</f>
        <v>150</v>
      </c>
      <c r="D140" t="s" s="42">
        <f>VLOOKUP(A140,'The List'!B1:F730,5,FALSE)</f>
        <v>131</v>
      </c>
      <c r="E140" s="46">
        <f>VLOOKUP(A140,'The List'!B1:I730,8,FALSE)</f>
        <v>177.787023457692</v>
      </c>
      <c r="F140" s="46">
        <f>IF('Settings'!$E$15="POINTS",E140-VLOOKUP(B$2,C1:E228,3,FALSE),J140)</f>
        <v>-162.948115188831</v>
      </c>
      <c r="G140" s="46"/>
      <c r="H140" s="149">
        <f>RANK(I140,I3:I228)</f>
        <v>151</v>
      </c>
      <c r="I140" s="150">
        <f>VLOOKUP(A140,'Standard Deviations'!A1:C731,3,FALSE)</f>
        <v>-2.14677212882376</v>
      </c>
      <c r="J140" s="150">
        <f>I140-VLOOKUP(B$2,H1:J228,2,FALSE)</f>
        <v>-7.528770998987</v>
      </c>
    </row>
    <row r="141" ht="21.25" customHeight="1">
      <c r="A141" t="s" s="8">
        <v>538</v>
      </c>
      <c r="B141" t="s" s="159">
        <f>VLOOKUP(A141,'The List'!B1:D730,3,FALSE)</f>
        <v>129</v>
      </c>
      <c r="C141" s="160">
        <f>IF('Settings'!$E$15="POINTS",RANK(E141,E3:E228),H141)</f>
        <v>151</v>
      </c>
      <c r="D141" t="s" s="42">
        <f>VLOOKUP(A141,'The List'!B1:F730,5,FALSE)</f>
        <v>236</v>
      </c>
      <c r="E141" s="46">
        <f>VLOOKUP(A141,'The List'!B1:I730,8,FALSE)</f>
        <v>177.476958940697</v>
      </c>
      <c r="F141" s="46">
        <f>IF('Settings'!$E$15="POINTS",E141-VLOOKUP(B$2,C1:E228,3,FALSE),J141)</f>
        <v>-163.258179705826</v>
      </c>
      <c r="G141" s="46"/>
      <c r="H141" s="149">
        <f>RANK(I141,I3:I228)</f>
        <v>174</v>
      </c>
      <c r="I141" s="150">
        <f>VLOOKUP(A141,'Standard Deviations'!A1:C731,3,FALSE)</f>
        <v>-3.14854015070972</v>
      </c>
      <c r="J141" s="150">
        <f>I141-VLOOKUP(B$2,H1:J228,2,FALSE)</f>
        <v>-8.530539020872959</v>
      </c>
    </row>
    <row r="142" ht="21.25" customHeight="1">
      <c r="A142" t="s" s="8">
        <v>540</v>
      </c>
      <c r="B142" t="s" s="159">
        <f>VLOOKUP(A142,'The List'!B1:D730,3,FALSE)</f>
        <v>129</v>
      </c>
      <c r="C142" s="160">
        <f>IF('Settings'!$E$15="POINTS",RANK(E142,E3:E228),H142)</f>
        <v>153</v>
      </c>
      <c r="D142" t="s" s="42">
        <f>VLOOKUP(A142,'The List'!B1:F730,5,FALSE)</f>
        <v>127</v>
      </c>
      <c r="E142" s="46">
        <f>VLOOKUP(A142,'The List'!B1:I730,8,FALSE)</f>
        <v>177.246771250209</v>
      </c>
      <c r="F142" s="46">
        <f>IF('Settings'!$E$15="POINTS",E142-VLOOKUP(B$2,C1:E228,3,FALSE),J142)</f>
        <v>-163.488367396314</v>
      </c>
      <c r="G142" s="46"/>
      <c r="H142" s="149">
        <f>RANK(I142,I3:I228)</f>
        <v>154</v>
      </c>
      <c r="I142" s="150">
        <f>VLOOKUP(A142,'Standard Deviations'!A1:C731,3,FALSE)</f>
        <v>-2.21718603528827</v>
      </c>
      <c r="J142" s="150">
        <f>I142-VLOOKUP(B$2,H1:J228,2,FALSE)</f>
        <v>-7.59918490545151</v>
      </c>
    </row>
    <row r="143" ht="21.25" customHeight="1">
      <c r="A143" t="s" s="8">
        <v>542</v>
      </c>
      <c r="B143" t="s" s="159">
        <f>VLOOKUP(A143,'The List'!B1:D730,3,FALSE)</f>
        <v>129</v>
      </c>
      <c r="C143" s="160">
        <f>IF('Settings'!$E$15="POINTS",RANK(E143,E3:E228),H143)</f>
        <v>162</v>
      </c>
      <c r="D143" t="s" s="42">
        <f>VLOOKUP(A143,'The List'!B1:F730,5,FALSE)</f>
        <v>136</v>
      </c>
      <c r="E143" s="46">
        <f>VLOOKUP(A143,'The List'!B1:I730,8,FALSE)</f>
        <v>169.997100496670</v>
      </c>
      <c r="F143" s="46">
        <f>IF('Settings'!$E$15="POINTS",E143-VLOOKUP(B$2,C1:E228,3,FALSE),J143)</f>
        <v>-170.738038149853</v>
      </c>
      <c r="G143" s="46"/>
      <c r="H143" s="149">
        <f>RANK(I143,I3:I228)</f>
        <v>102</v>
      </c>
      <c r="I143" s="150">
        <f>VLOOKUP(A143,'Standard Deviations'!A1:C731,3,FALSE)</f>
        <v>-0.750231600110283</v>
      </c>
      <c r="J143" s="150">
        <f>I143-VLOOKUP(B$2,H1:J228,2,FALSE)</f>
        <v>-6.13223047027352</v>
      </c>
    </row>
    <row r="144" ht="21.25" customHeight="1">
      <c r="A144" t="s" s="8">
        <v>544</v>
      </c>
      <c r="B144" t="s" s="159">
        <f>VLOOKUP(A144,'The List'!B1:D730,3,FALSE)</f>
        <v>129</v>
      </c>
      <c r="C144" s="160">
        <f>IF('Settings'!$E$15="POINTS",RANK(E144,E3:E228),H144)</f>
        <v>130</v>
      </c>
      <c r="D144" t="s" s="42">
        <f>VLOOKUP(A144,'The List'!B1:F730,5,FALSE)</f>
        <v>139</v>
      </c>
      <c r="E144" s="46">
        <f>VLOOKUP(A144,'The List'!B1:I730,8,FALSE)</f>
        <v>191.823564227938</v>
      </c>
      <c r="F144" s="46">
        <f>IF('Settings'!$E$15="POINTS",E144-VLOOKUP(B$2,C1:E228,3,FALSE),J144)</f>
        <v>-148.911574418585</v>
      </c>
      <c r="G144" s="46"/>
      <c r="H144" s="149">
        <f>RANK(I144,I3:I228)</f>
        <v>145</v>
      </c>
      <c r="I144" s="150">
        <f>VLOOKUP(A144,'Standard Deviations'!A1:C731,3,FALSE)</f>
        <v>-1.96615316670448</v>
      </c>
      <c r="J144" s="150">
        <f>I144-VLOOKUP(B$2,H1:J228,2,FALSE)</f>
        <v>-7.34815203686772</v>
      </c>
    </row>
    <row r="145" ht="21.25" customHeight="1">
      <c r="A145" t="s" s="8">
        <v>547</v>
      </c>
      <c r="B145" t="s" s="159">
        <f>VLOOKUP(A145,'The List'!B1:D730,3,FALSE)</f>
        <v>129</v>
      </c>
      <c r="C145" s="160">
        <f>IF('Settings'!$E$15="POINTS",RANK(E145,E3:E228),H145)</f>
        <v>145</v>
      </c>
      <c r="D145" t="s" s="42">
        <f>VLOOKUP(A145,'The List'!B1:F730,5,FALSE)</f>
        <v>156</v>
      </c>
      <c r="E145" s="46">
        <f>VLOOKUP(A145,'The List'!B1:I730,8,FALSE)</f>
        <v>181.469577602679</v>
      </c>
      <c r="F145" s="46">
        <f>IF('Settings'!$E$15="POINTS",E145-VLOOKUP(B$2,C1:E228,3,FALSE),J145)</f>
        <v>-159.265561043844</v>
      </c>
      <c r="G145" s="46"/>
      <c r="H145" s="149">
        <f>RANK(I145,I3:I228)</f>
        <v>152</v>
      </c>
      <c r="I145" s="150">
        <f>VLOOKUP(A145,'Standard Deviations'!A1:C731,3,FALSE)</f>
        <v>-2.16735892054461</v>
      </c>
      <c r="J145" s="150">
        <f>I145-VLOOKUP(B$2,H1:J228,2,FALSE)</f>
        <v>-7.54935779070785</v>
      </c>
    </row>
    <row r="146" ht="21.25" customHeight="1">
      <c r="A146" t="s" s="8">
        <v>546</v>
      </c>
      <c r="B146" t="s" s="159">
        <f>VLOOKUP(A146,'The List'!B1:D730,3,FALSE)</f>
        <v>129</v>
      </c>
      <c r="C146" s="160">
        <f>IF('Settings'!$E$15="POINTS",RANK(E146,E3:E228),H146)</f>
        <v>93</v>
      </c>
      <c r="D146" t="s" s="42">
        <f>VLOOKUP(A146,'The List'!B1:F730,5,FALSE)</f>
        <v>131</v>
      </c>
      <c r="E146" s="46">
        <f>VLOOKUP(A146,'The List'!B1:I730,8,FALSE)</f>
        <v>225.032698769168</v>
      </c>
      <c r="F146" s="46">
        <f>IF('Settings'!$E$15="POINTS",E146-VLOOKUP(B$2,C1:E228,3,FALSE),J146)</f>
        <v>-115.702439877355</v>
      </c>
      <c r="G146" s="46"/>
      <c r="H146" s="149">
        <f>RANK(I146,I3:I228)</f>
        <v>150</v>
      </c>
      <c r="I146" s="150">
        <f>VLOOKUP(A146,'Standard Deviations'!A1:C731,3,FALSE)</f>
        <v>-2.13946648445519</v>
      </c>
      <c r="J146" s="150">
        <f>I146-VLOOKUP(B$2,H1:J228,2,FALSE)</f>
        <v>-7.52146535461843</v>
      </c>
    </row>
    <row r="147" ht="21.25" customHeight="1">
      <c r="A147" t="s" s="8">
        <v>549</v>
      </c>
      <c r="B147" t="s" s="159">
        <f>VLOOKUP(A147,'The List'!B1:D730,3,FALSE)</f>
        <v>129</v>
      </c>
      <c r="C147" s="160">
        <f>IF('Settings'!$E$15="POINTS",RANK(E147,E3:E228),H147)</f>
        <v>135</v>
      </c>
      <c r="D147" t="s" s="42">
        <f>VLOOKUP(A147,'The List'!B1:F730,5,FALSE)</f>
        <v>122</v>
      </c>
      <c r="E147" s="46">
        <f>VLOOKUP(A147,'The List'!B1:I730,8,FALSE)</f>
        <v>189.769283629937</v>
      </c>
      <c r="F147" s="46">
        <f>IF('Settings'!$E$15="POINTS",E147-VLOOKUP(B$2,C1:E228,3,FALSE),J147)</f>
        <v>-150.965855016586</v>
      </c>
      <c r="G147" s="46"/>
      <c r="H147" s="149">
        <f>RANK(I147,I3:I228)</f>
        <v>99</v>
      </c>
      <c r="I147" s="150">
        <f>VLOOKUP(A147,'Standard Deviations'!A1:C731,3,FALSE)</f>
        <v>-0.631615776131681</v>
      </c>
      <c r="J147" s="150">
        <f>I147-VLOOKUP(B$2,H1:J228,2,FALSE)</f>
        <v>-6.01361464629492</v>
      </c>
    </row>
    <row r="148" ht="21.25" customHeight="1">
      <c r="A148" t="s" s="8">
        <v>551</v>
      </c>
      <c r="B148" t="s" s="159">
        <f>VLOOKUP(A148,'The List'!B1:D730,3,FALSE)</f>
        <v>129</v>
      </c>
      <c r="C148" s="160">
        <f>IF('Settings'!$E$15="POINTS",RANK(E148,E3:E228),H148)</f>
        <v>131</v>
      </c>
      <c r="D148" t="s" s="42">
        <f>VLOOKUP(A148,'The List'!B1:F730,5,FALSE)</f>
        <v>184</v>
      </c>
      <c r="E148" s="46">
        <f>VLOOKUP(A148,'The List'!B1:I730,8,FALSE)</f>
        <v>191.775143568526</v>
      </c>
      <c r="F148" s="46">
        <f>IF('Settings'!$E$15="POINTS",E148-VLOOKUP(B$2,C1:E228,3,FALSE),J148)</f>
        <v>-148.959995077997</v>
      </c>
      <c r="G148" s="46"/>
      <c r="H148" s="149">
        <f>RANK(I148,I3:I228)</f>
        <v>155</v>
      </c>
      <c r="I148" s="150">
        <f>VLOOKUP(A148,'Standard Deviations'!A1:C731,3,FALSE)</f>
        <v>-2.23503141639521</v>
      </c>
      <c r="J148" s="150">
        <f>I148-VLOOKUP(B$2,H1:J228,2,FALSE)</f>
        <v>-7.61703028655845</v>
      </c>
    </row>
    <row r="149" ht="21.25" customHeight="1">
      <c r="A149" t="s" s="8">
        <v>553</v>
      </c>
      <c r="B149" t="s" s="159">
        <f>VLOOKUP(A149,'The List'!B1:D730,3,FALSE)</f>
        <v>129</v>
      </c>
      <c r="C149" s="160">
        <f>IF('Settings'!$E$15="POINTS",RANK(E149,E3:E228),H149)</f>
        <v>175</v>
      </c>
      <c r="D149" t="s" s="42">
        <f>VLOOKUP(A149,'The List'!B1:F730,5,FALSE)</f>
        <v>149</v>
      </c>
      <c r="E149" s="46">
        <f>VLOOKUP(A149,'The List'!B1:I730,8,FALSE)</f>
        <v>155.317571625664</v>
      </c>
      <c r="F149" s="46">
        <f>IF('Settings'!$E$15="POINTS",E149-VLOOKUP(B$2,C1:E228,3,FALSE),J149)</f>
        <v>-185.417567020859</v>
      </c>
      <c r="G149" s="46"/>
      <c r="H149" s="149">
        <f>RANK(I149,I3:I228)</f>
        <v>161</v>
      </c>
      <c r="I149" s="150">
        <f>VLOOKUP(A149,'Standard Deviations'!A1:C731,3,FALSE)</f>
        <v>-2.43374123144618</v>
      </c>
      <c r="J149" s="150">
        <f>I149-VLOOKUP(B$2,H1:J228,2,FALSE)</f>
        <v>-7.81574010160942</v>
      </c>
    </row>
    <row r="150" ht="21.25" customHeight="1">
      <c r="A150" t="s" s="8">
        <v>536</v>
      </c>
      <c r="B150" t="s" s="159">
        <f>VLOOKUP(A150,'The List'!B1:D730,3,FALSE)</f>
        <v>129</v>
      </c>
      <c r="C150" s="160">
        <f>IF('Settings'!$E$15="POINTS",RANK(E150,E3:E228),H150)</f>
        <v>115</v>
      </c>
      <c r="D150" t="s" s="42">
        <f>VLOOKUP(A150,'The List'!B1:F730,5,FALSE)</f>
        <v>258</v>
      </c>
      <c r="E150" s="46">
        <f>VLOOKUP(A150,'The List'!B1:I730,8,FALSE)</f>
        <v>205.436865439460</v>
      </c>
      <c r="F150" s="46">
        <f>IF('Settings'!$E$15="POINTS",E150-VLOOKUP(B$2,C1:E228,3,FALSE),J150)</f>
        <v>-135.298273207063</v>
      </c>
      <c r="G150" s="46"/>
      <c r="H150" s="149">
        <f>RANK(I150,I3:I228)</f>
        <v>168</v>
      </c>
      <c r="I150" s="150">
        <f>VLOOKUP(A150,'Standard Deviations'!A1:C731,3,FALSE)</f>
        <v>-2.92675428192062</v>
      </c>
      <c r="J150" s="150">
        <f>I150-VLOOKUP(B$2,H1:J228,2,FALSE)</f>
        <v>-8.30875315208386</v>
      </c>
    </row>
    <row r="151" ht="21.25" customHeight="1">
      <c r="A151" t="s" s="8">
        <v>555</v>
      </c>
      <c r="B151" t="s" s="159">
        <f>VLOOKUP(A151,'The List'!B1:D730,3,FALSE)</f>
        <v>129</v>
      </c>
      <c r="C151" s="160">
        <f>IF('Settings'!$E$15="POINTS",RANK(E151,E3:E228),H151)</f>
        <v>125</v>
      </c>
      <c r="D151" t="s" s="42">
        <f>VLOOKUP(A151,'The List'!B1:F730,5,FALSE)</f>
        <v>134</v>
      </c>
      <c r="E151" s="46">
        <f>VLOOKUP(A151,'The List'!B1:I730,8,FALSE)</f>
        <v>194.660783021593</v>
      </c>
      <c r="F151" s="46">
        <f>IF('Settings'!$E$15="POINTS",E151-VLOOKUP(B$2,C1:E228,3,FALSE),J151)</f>
        <v>-146.074355624930</v>
      </c>
      <c r="G151" s="46"/>
      <c r="H151" s="149">
        <f>RANK(I151,I3:I228)</f>
        <v>108</v>
      </c>
      <c r="I151" s="150">
        <f>VLOOKUP(A151,'Standard Deviations'!A1:C731,3,FALSE)</f>
        <v>-0.837865397887136</v>
      </c>
      <c r="J151" s="150">
        <f>I151-VLOOKUP(B$2,H1:J228,2,FALSE)</f>
        <v>-6.21986426805038</v>
      </c>
    </row>
    <row r="152" ht="21.25" customHeight="1">
      <c r="A152" t="s" s="8">
        <v>556</v>
      </c>
      <c r="B152" t="s" s="159">
        <f>VLOOKUP(A152,'The List'!B1:D730,3,FALSE)</f>
        <v>129</v>
      </c>
      <c r="C152" s="160">
        <f>IF('Settings'!$E$15="POINTS",RANK(E152,E3:E228),H152)</f>
        <v>144</v>
      </c>
      <c r="D152" t="s" s="42">
        <f>VLOOKUP(A152,'The List'!B1:F730,5,FALSE)</f>
        <v>119</v>
      </c>
      <c r="E152" s="46">
        <f>VLOOKUP(A152,'The List'!B1:I730,8,FALSE)</f>
        <v>181.891687219309</v>
      </c>
      <c r="F152" s="46">
        <f>IF('Settings'!$E$15="POINTS",E152-VLOOKUP(B$2,C1:E228,3,FALSE),J152)</f>
        <v>-158.843451427214</v>
      </c>
      <c r="G152" s="46"/>
      <c r="H152" s="149">
        <f>RANK(I152,I3:I228)</f>
        <v>131</v>
      </c>
      <c r="I152" s="150">
        <f>VLOOKUP(A152,'Standard Deviations'!A1:C731,3,FALSE)</f>
        <v>-1.55914654737598</v>
      </c>
      <c r="J152" s="150">
        <f>I152-VLOOKUP(B$2,H1:J228,2,FALSE)</f>
        <v>-6.94114541753922</v>
      </c>
    </row>
    <row r="153" ht="21.25" customHeight="1">
      <c r="A153" t="s" s="8">
        <v>559</v>
      </c>
      <c r="B153" t="s" s="159">
        <f>VLOOKUP(A153,'The List'!B1:D730,3,FALSE)</f>
        <v>129</v>
      </c>
      <c r="C153" s="160">
        <f>IF('Settings'!$E$15="POINTS",RANK(E153,E3:E228),H153)</f>
        <v>152</v>
      </c>
      <c r="D153" t="s" s="42">
        <f>VLOOKUP(A153,'The List'!B1:F730,5,FALSE)</f>
        <v>225</v>
      </c>
      <c r="E153" s="46">
        <f>VLOOKUP(A153,'The List'!B1:I730,8,FALSE)</f>
        <v>177.326024344734</v>
      </c>
      <c r="F153" s="46">
        <f>IF('Settings'!$E$15="POINTS",E153-VLOOKUP(B$2,C1:E228,3,FALSE),J153)</f>
        <v>-163.409114301789</v>
      </c>
      <c r="G153" s="46"/>
      <c r="H153" s="149">
        <f>RANK(I153,I3:I228)</f>
        <v>173</v>
      </c>
      <c r="I153" s="150">
        <f>VLOOKUP(A153,'Standard Deviations'!A1:C731,3,FALSE)</f>
        <v>-3.14775825397814</v>
      </c>
      <c r="J153" s="150">
        <f>I153-VLOOKUP(B$2,H1:J228,2,FALSE)</f>
        <v>-8.52975712414138</v>
      </c>
    </row>
    <row r="154" ht="21.25" customHeight="1">
      <c r="A154" t="s" s="8">
        <v>558</v>
      </c>
      <c r="B154" t="s" s="159">
        <f>VLOOKUP(A154,'The List'!B1:D730,3,FALSE)</f>
        <v>129</v>
      </c>
      <c r="C154" s="160">
        <f>IF('Settings'!$E$15="POINTS",RANK(E154,E3:E228),H154)</f>
        <v>146</v>
      </c>
      <c r="D154" t="s" s="42">
        <f>VLOOKUP(A154,'The List'!B1:F730,5,FALSE)</f>
        <v>248</v>
      </c>
      <c r="E154" s="46">
        <f>VLOOKUP(A154,'The List'!B1:I730,8,FALSE)</f>
        <v>179.504147353979</v>
      </c>
      <c r="F154" s="46">
        <f>IF('Settings'!$E$15="POINTS",E154-VLOOKUP(B$2,C1:E228,3,FALSE),J154)</f>
        <v>-161.230991292544</v>
      </c>
      <c r="G154" s="46"/>
      <c r="H154" s="149">
        <f>RANK(I154,I3:I228)</f>
        <v>159</v>
      </c>
      <c r="I154" s="150">
        <f>VLOOKUP(A154,'Standard Deviations'!A1:C731,3,FALSE)</f>
        <v>-2.36173731909545</v>
      </c>
      <c r="J154" s="150">
        <f>I154-VLOOKUP(B$2,H1:J228,2,FALSE)</f>
        <v>-7.74373618925869</v>
      </c>
    </row>
    <row r="155" ht="21.25" customHeight="1">
      <c r="A155" t="s" s="8">
        <v>563</v>
      </c>
      <c r="B155" t="s" s="159">
        <f>VLOOKUP(A155,'The List'!B1:D730,3,FALSE)</f>
        <v>129</v>
      </c>
      <c r="C155" s="160">
        <f>IF('Settings'!$E$15="POINTS",RANK(E155,E3:E228),H155)</f>
        <v>136</v>
      </c>
      <c r="D155" t="s" s="42">
        <f>VLOOKUP(A155,'The List'!B1:F730,5,FALSE)</f>
        <v>173</v>
      </c>
      <c r="E155" s="46">
        <f>VLOOKUP(A155,'The List'!B1:I730,8,FALSE)</f>
        <v>189.222934931659</v>
      </c>
      <c r="F155" s="46">
        <f>IF('Settings'!$E$15="POINTS",E155-VLOOKUP(B$2,C1:E228,3,FALSE),J155)</f>
        <v>-151.512203714864</v>
      </c>
      <c r="G155" s="46"/>
      <c r="H155" s="149">
        <f>RANK(I155,I3:I228)</f>
        <v>139</v>
      </c>
      <c r="I155" s="150">
        <f>VLOOKUP(A155,'Standard Deviations'!A1:C731,3,FALSE)</f>
        <v>-1.78461441627553</v>
      </c>
      <c r="J155" s="150">
        <f>I155-VLOOKUP(B$2,H1:J228,2,FALSE)</f>
        <v>-7.16661328643877</v>
      </c>
    </row>
    <row r="156" ht="21.25" customHeight="1">
      <c r="A156" t="s" s="8">
        <v>548</v>
      </c>
      <c r="B156" t="s" s="159">
        <f>VLOOKUP(A156,'The List'!B1:D730,3,FALSE)</f>
        <v>129</v>
      </c>
      <c r="C156" s="160">
        <f>IF('Settings'!$E$15="POINTS",RANK(E156,E3:E228),H156)</f>
        <v>154</v>
      </c>
      <c r="D156" t="s" s="42">
        <f>VLOOKUP(A156,'The List'!B1:F730,5,FALSE)</f>
        <v>258</v>
      </c>
      <c r="E156" s="46">
        <f>VLOOKUP(A156,'The List'!B1:I730,8,FALSE)</f>
        <v>176.055492524162</v>
      </c>
      <c r="F156" s="46">
        <f>IF('Settings'!$E$15="POINTS",E156-VLOOKUP(B$2,C1:E228,3,FALSE),J156)</f>
        <v>-164.679646122361</v>
      </c>
      <c r="G156" s="46"/>
      <c r="H156" s="149">
        <f>RANK(I156,I3:I228)</f>
        <v>184</v>
      </c>
      <c r="I156" s="150">
        <f>VLOOKUP(A156,'Standard Deviations'!A1:C731,3,FALSE)</f>
        <v>-3.45599435676374</v>
      </c>
      <c r="J156" s="150">
        <f>I156-VLOOKUP(B$2,H1:J228,2,FALSE)</f>
        <v>-8.837993226926979</v>
      </c>
    </row>
    <row r="157" ht="21.25" customHeight="1">
      <c r="A157" t="s" s="8">
        <v>570</v>
      </c>
      <c r="B157" t="s" s="159">
        <f>VLOOKUP(A157,'The List'!B1:D730,3,FALSE)</f>
        <v>129</v>
      </c>
      <c r="C157" s="160">
        <f>IF('Settings'!$E$15="POINTS",RANK(E157,E3:E228),H157)</f>
        <v>178</v>
      </c>
      <c r="D157" t="s" s="42">
        <f>VLOOKUP(A157,'The List'!B1:F730,5,FALSE)</f>
        <v>119</v>
      </c>
      <c r="E157" s="46">
        <f>VLOOKUP(A157,'The List'!B1:I730,8,FALSE)</f>
        <v>153.738193517388</v>
      </c>
      <c r="F157" s="46">
        <f>IF('Settings'!$E$15="POINTS",E157-VLOOKUP(B$2,C1:E228,3,FALSE),J157)</f>
        <v>-186.996945129135</v>
      </c>
      <c r="G157" s="46"/>
      <c r="H157" s="149">
        <f>RANK(I157,I3:I228)</f>
        <v>158</v>
      </c>
      <c r="I157" s="150">
        <f>VLOOKUP(A157,'Standard Deviations'!A1:C731,3,FALSE)</f>
        <v>-2.34611110832877</v>
      </c>
      <c r="J157" s="150">
        <f>I157-VLOOKUP(B$2,H1:J228,2,FALSE)</f>
        <v>-7.72810997849201</v>
      </c>
    </row>
    <row r="158" ht="21.25" customHeight="1">
      <c r="A158" t="s" s="8">
        <v>572</v>
      </c>
      <c r="B158" t="s" s="159">
        <f>VLOOKUP(A158,'The List'!B1:D730,3,FALSE)</f>
        <v>129</v>
      </c>
      <c r="C158" s="160">
        <f>IF('Settings'!$E$15="POINTS",RANK(E158,E3:E228),H158)</f>
        <v>147</v>
      </c>
      <c r="D158" t="s" s="42">
        <f>VLOOKUP(A158,'The List'!B1:F730,5,FALSE)</f>
        <v>113</v>
      </c>
      <c r="E158" s="46">
        <f>VLOOKUP(A158,'The List'!B1:I730,8,FALSE)</f>
        <v>179.481265597416</v>
      </c>
      <c r="F158" s="46">
        <f>IF('Settings'!$E$15="POINTS",E158-VLOOKUP(B$2,C1:E228,3,FALSE),J158)</f>
        <v>-161.253873049107</v>
      </c>
      <c r="G158" s="46"/>
      <c r="H158" s="149">
        <f>RANK(I158,I3:I228)</f>
        <v>135</v>
      </c>
      <c r="I158" s="150">
        <f>VLOOKUP(A158,'Standard Deviations'!A1:C731,3,FALSE)</f>
        <v>-1.6526453413817</v>
      </c>
      <c r="J158" s="150">
        <f>I158-VLOOKUP(B$2,H1:J228,2,FALSE)</f>
        <v>-7.03464421154494</v>
      </c>
    </row>
    <row r="159" ht="21.25" customHeight="1">
      <c r="A159" t="s" s="8">
        <v>585</v>
      </c>
      <c r="B159" t="s" s="159">
        <f>VLOOKUP(A159,'The List'!B1:D730,3,FALSE)</f>
        <v>129</v>
      </c>
      <c r="C159" s="160">
        <f>IF('Settings'!$E$15="POINTS",RANK(E159,E3:E228),H159)</f>
        <v>171</v>
      </c>
      <c r="D159" t="s" s="42">
        <f>VLOOKUP(A159,'The List'!B1:F730,5,FALSE)</f>
        <v>141</v>
      </c>
      <c r="E159" s="46">
        <f>VLOOKUP(A159,'The List'!B1:I730,8,FALSE)</f>
        <v>162.580732324475</v>
      </c>
      <c r="F159" s="46">
        <f>IF('Settings'!$E$15="POINTS",E159-VLOOKUP(B$2,C1:E228,3,FALSE),J159)</f>
        <v>-178.154406322048</v>
      </c>
      <c r="G159" s="46"/>
      <c r="H159" s="149">
        <f>RANK(I159,I3:I228)</f>
        <v>153</v>
      </c>
      <c r="I159" s="150">
        <f>VLOOKUP(A159,'Standard Deviations'!A1:C731,3,FALSE)</f>
        <v>-2.21087924058678</v>
      </c>
      <c r="J159" s="150">
        <f>I159-VLOOKUP(B$2,H1:J228,2,FALSE)</f>
        <v>-7.59287811075002</v>
      </c>
    </row>
    <row r="160" ht="21.25" customHeight="1">
      <c r="A160" t="s" s="8">
        <v>576</v>
      </c>
      <c r="B160" t="s" s="159">
        <f>VLOOKUP(A160,'The List'!B1:D730,3,FALSE)</f>
        <v>129</v>
      </c>
      <c r="C160" s="160">
        <f>IF('Settings'!$E$15="POINTS",RANK(E160,E3:E228),H160)</f>
        <v>181</v>
      </c>
      <c r="D160" t="s" s="42">
        <f>VLOOKUP(A160,'The List'!B1:F730,5,FALSE)</f>
        <v>194</v>
      </c>
      <c r="E160" s="46">
        <f>VLOOKUP(A160,'The List'!B1:I730,8,FALSE)</f>
        <v>150.990578545230</v>
      </c>
      <c r="F160" s="46">
        <f>IF('Settings'!$E$15="POINTS",E160-VLOOKUP(B$2,C1:E228,3,FALSE),J160)</f>
        <v>-189.744560101293</v>
      </c>
      <c r="G160" s="46"/>
      <c r="H160" s="149">
        <f>RANK(I160,I3:I228)</f>
        <v>199</v>
      </c>
      <c r="I160" s="150">
        <f>VLOOKUP(A160,'Standard Deviations'!A1:C731,3,FALSE)</f>
        <v>-3.92946631454729</v>
      </c>
      <c r="J160" s="150">
        <f>I160-VLOOKUP(B$2,H1:J228,2,FALSE)</f>
        <v>-9.31146518471053</v>
      </c>
    </row>
    <row r="161" ht="21.25" customHeight="1">
      <c r="A161" t="s" s="8">
        <v>577</v>
      </c>
      <c r="B161" t="s" s="159">
        <f>VLOOKUP(A161,'The List'!B1:D730,3,FALSE)</f>
        <v>129</v>
      </c>
      <c r="C161" s="160">
        <f>IF('Settings'!$E$15="POINTS",RANK(E161,E3:E228),H161)</f>
        <v>172</v>
      </c>
      <c r="D161" t="s" s="42">
        <f>VLOOKUP(A161,'The List'!B1:F730,5,FALSE)</f>
        <v>134</v>
      </c>
      <c r="E161" s="46">
        <f>VLOOKUP(A161,'The List'!B1:I730,8,FALSE)</f>
        <v>156.421699519327</v>
      </c>
      <c r="F161" s="46">
        <f>IF('Settings'!$E$15="POINTS",E161-VLOOKUP(B$2,C1:E228,3,FALSE),J161)</f>
        <v>-184.313439127196</v>
      </c>
      <c r="G161" s="46"/>
      <c r="H161" s="149">
        <f>RANK(I161,I3:I228)</f>
        <v>141</v>
      </c>
      <c r="I161" s="150">
        <f>VLOOKUP(A161,'Standard Deviations'!A1:C731,3,FALSE)</f>
        <v>-1.840913855560</v>
      </c>
      <c r="J161" s="150">
        <f>I161-VLOOKUP(B$2,H1:J228,2,FALSE)</f>
        <v>-7.22291272572324</v>
      </c>
    </row>
    <row r="162" ht="21.25" customHeight="1">
      <c r="A162" t="s" s="8">
        <v>578</v>
      </c>
      <c r="B162" t="s" s="159">
        <f>VLOOKUP(A162,'The List'!B1:D730,3,FALSE)</f>
        <v>129</v>
      </c>
      <c r="C162" s="160">
        <f>IF('Settings'!$E$15="POINTS",RANK(E162,E3:E228),H162)</f>
        <v>169</v>
      </c>
      <c r="D162" t="s" s="42">
        <f>VLOOKUP(A162,'The List'!B1:F730,5,FALSE)</f>
        <v>196</v>
      </c>
      <c r="E162" s="46">
        <f>VLOOKUP(A162,'The List'!B1:I730,8,FALSE)</f>
        <v>164.337551014146</v>
      </c>
      <c r="F162" s="46">
        <f>IF('Settings'!$E$15="POINTS",E162-VLOOKUP(B$2,C1:E228,3,FALSE),J162)</f>
        <v>-176.397587632377</v>
      </c>
      <c r="G162" s="46"/>
      <c r="H162" s="149">
        <f>RANK(I162,I3:I228)</f>
        <v>182</v>
      </c>
      <c r="I162" s="150">
        <f>VLOOKUP(A162,'Standard Deviations'!A1:C731,3,FALSE)</f>
        <v>-3.4429307228262</v>
      </c>
      <c r="J162" s="150">
        <f>I162-VLOOKUP(B$2,H1:J228,2,FALSE)</f>
        <v>-8.82492959298944</v>
      </c>
    </row>
    <row r="163" ht="21.25" customHeight="1">
      <c r="A163" t="s" s="8">
        <v>565</v>
      </c>
      <c r="B163" t="s" s="159">
        <f>VLOOKUP(A163,'The List'!B1:D730,3,FALSE)</f>
        <v>129</v>
      </c>
      <c r="C163" s="160">
        <f>IF('Settings'!$E$15="POINTS",RANK(E163,E3:E228),H163)</f>
        <v>122</v>
      </c>
      <c r="D163" t="s" s="42">
        <f>VLOOKUP(A163,'The List'!B1:F730,5,FALSE)</f>
        <v>236</v>
      </c>
      <c r="E163" s="46">
        <f>VLOOKUP(A163,'The List'!B1:I730,8,FALSE)</f>
        <v>198.054864955348</v>
      </c>
      <c r="F163" s="46">
        <f>IF('Settings'!$E$15="POINTS",E163-VLOOKUP(B$2,C1:E228,3,FALSE),J163)</f>
        <v>-142.680273691175</v>
      </c>
      <c r="G163" s="46"/>
      <c r="H163" s="149">
        <f>RANK(I163,I3:I228)</f>
        <v>157</v>
      </c>
      <c r="I163" s="150">
        <f>VLOOKUP(A163,'Standard Deviations'!A1:C731,3,FALSE)</f>
        <v>-2.34324099611281</v>
      </c>
      <c r="J163" s="150">
        <f>I163-VLOOKUP(B$2,H1:J228,2,FALSE)</f>
        <v>-7.72523986627605</v>
      </c>
    </row>
    <row r="164" ht="21.25" customHeight="1">
      <c r="A164" t="s" s="8">
        <v>580</v>
      </c>
      <c r="B164" t="s" s="159">
        <f>VLOOKUP(A164,'The List'!B1:D730,3,FALSE)</f>
        <v>129</v>
      </c>
      <c r="C164" s="160">
        <f>IF('Settings'!$E$15="POINTS",RANK(E164,E3:E228),H164)</f>
        <v>157</v>
      </c>
      <c r="D164" t="s" s="42">
        <f>VLOOKUP(A164,'The List'!B1:F730,5,FALSE)</f>
        <v>189</v>
      </c>
      <c r="E164" s="46">
        <f>VLOOKUP(A164,'The List'!B1:I730,8,FALSE)</f>
        <v>175.027155712832</v>
      </c>
      <c r="F164" s="46">
        <f>IF('Settings'!$E$15="POINTS",E164-VLOOKUP(B$2,C1:E228,3,FALSE),J164)</f>
        <v>-165.707982933691</v>
      </c>
      <c r="G164" s="46"/>
      <c r="H164" s="149">
        <f>RANK(I164,I3:I228)</f>
        <v>192</v>
      </c>
      <c r="I164" s="150">
        <f>VLOOKUP(A164,'Standard Deviations'!A1:C731,3,FALSE)</f>
        <v>-3.64324909742125</v>
      </c>
      <c r="J164" s="150">
        <f>I164-VLOOKUP(B$2,H1:J228,2,FALSE)</f>
        <v>-9.025247967584489</v>
      </c>
    </row>
    <row r="165" ht="21.25" customHeight="1">
      <c r="A165" t="s" s="8">
        <v>582</v>
      </c>
      <c r="B165" t="s" s="159">
        <f>VLOOKUP(A165,'The List'!B1:D730,3,FALSE)</f>
        <v>129</v>
      </c>
      <c r="C165" s="160">
        <f>IF('Settings'!$E$15="POINTS",RANK(E165,E3:E228),H165)</f>
        <v>183</v>
      </c>
      <c r="D165" t="s" s="42">
        <f>VLOOKUP(A165,'The List'!B1:F730,5,FALSE)</f>
        <v>136</v>
      </c>
      <c r="E165" s="46">
        <f>VLOOKUP(A165,'The List'!B1:I730,8,FALSE)</f>
        <v>149.996297985747</v>
      </c>
      <c r="F165" s="46">
        <f>IF('Settings'!$E$15="POINTS",E165-VLOOKUP(B$2,C1:E228,3,FALSE),J165)</f>
        <v>-190.738840660776</v>
      </c>
      <c r="G165" s="46"/>
      <c r="H165" s="149">
        <f>RANK(I165,I3:I228)</f>
        <v>143</v>
      </c>
      <c r="I165" s="150">
        <f>VLOOKUP(A165,'Standard Deviations'!A1:C731,3,FALSE)</f>
        <v>-1.93814856865248</v>
      </c>
      <c r="J165" s="150">
        <f>I165-VLOOKUP(B$2,H1:J228,2,FALSE)</f>
        <v>-7.32014743881572</v>
      </c>
    </row>
    <row r="166" ht="21.25" customHeight="1">
      <c r="A166" t="s" s="8">
        <v>583</v>
      </c>
      <c r="B166" t="s" s="159">
        <f>VLOOKUP(A166,'The List'!B1:D730,3,FALSE)</f>
        <v>129</v>
      </c>
      <c r="C166" s="160">
        <f>IF('Settings'!$E$15="POINTS",RANK(E166,E3:E228),H166)</f>
        <v>182</v>
      </c>
      <c r="D166" t="s" s="42">
        <f>VLOOKUP(A166,'The List'!B1:F730,5,FALSE)</f>
        <v>194</v>
      </c>
      <c r="E166" s="46">
        <f>VLOOKUP(A166,'The List'!B1:I730,8,FALSE)</f>
        <v>150.481150562695</v>
      </c>
      <c r="F166" s="46">
        <f>IF('Settings'!$E$15="POINTS",E166-VLOOKUP(B$2,C1:E228,3,FALSE),J166)</f>
        <v>-190.253988083828</v>
      </c>
      <c r="G166" s="46"/>
      <c r="H166" s="149">
        <f>RANK(I166,I3:I228)</f>
        <v>179</v>
      </c>
      <c r="I166" s="150">
        <f>VLOOKUP(A166,'Standard Deviations'!A1:C731,3,FALSE)</f>
        <v>-3.35688173221665</v>
      </c>
      <c r="J166" s="150">
        <f>I166-VLOOKUP(B$2,H1:J228,2,FALSE)</f>
        <v>-8.73888060237989</v>
      </c>
    </row>
    <row r="167" ht="21.25" customHeight="1">
      <c r="A167" t="s" s="8">
        <v>586</v>
      </c>
      <c r="B167" t="s" s="159">
        <f>VLOOKUP(A167,'The List'!B1:D730,3,FALSE)</f>
        <v>129</v>
      </c>
      <c r="C167" s="160">
        <f>IF('Settings'!$E$15="POINTS",RANK(E167,E3:E228),H167)</f>
        <v>158</v>
      </c>
      <c r="D167" t="s" s="42">
        <f>VLOOKUP(A167,'The List'!B1:F730,5,FALSE)</f>
        <v>151</v>
      </c>
      <c r="E167" s="46">
        <f>VLOOKUP(A167,'The List'!B1:I730,8,FALSE)</f>
        <v>174.261307159282</v>
      </c>
      <c r="F167" s="46">
        <f>IF('Settings'!$E$15="POINTS",E167-VLOOKUP(B$2,C1:E228,3,FALSE),J167)</f>
        <v>-166.473831487241</v>
      </c>
      <c r="G167" s="46"/>
      <c r="H167" s="149">
        <f>RANK(I167,I3:I228)</f>
        <v>129</v>
      </c>
      <c r="I167" s="150">
        <f>VLOOKUP(A167,'Standard Deviations'!A1:C731,3,FALSE)</f>
        <v>-1.53711298115874</v>
      </c>
      <c r="J167" s="150">
        <f>I167-VLOOKUP(B$2,H1:J228,2,FALSE)</f>
        <v>-6.91911185132198</v>
      </c>
    </row>
    <row r="168" ht="21.25" customHeight="1">
      <c r="A168" t="s" s="8">
        <v>575</v>
      </c>
      <c r="B168" t="s" s="159">
        <f>VLOOKUP(A168,'The List'!B1:D730,3,FALSE)</f>
        <v>129</v>
      </c>
      <c r="C168" s="160">
        <f>IF('Settings'!$E$15="POINTS",RANK(E168,E3:E228),H168)</f>
        <v>164</v>
      </c>
      <c r="D168" t="s" s="42">
        <f>VLOOKUP(A168,'The List'!B1:F730,5,FALSE)</f>
        <v>170</v>
      </c>
      <c r="E168" s="46">
        <f>VLOOKUP(A168,'The List'!B1:I730,8,FALSE)</f>
        <v>169.413577377377</v>
      </c>
      <c r="F168" s="46">
        <f>IF('Settings'!$E$15="POINTS",E168-VLOOKUP(B$2,C1:E228,3,FALSE),J168)</f>
        <v>-171.321561269146</v>
      </c>
      <c r="G168" s="46"/>
      <c r="H168" s="149">
        <f>RANK(I168,I3:I228)</f>
        <v>156</v>
      </c>
      <c r="I168" s="150">
        <f>VLOOKUP(A168,'Standard Deviations'!A1:C731,3,FALSE)</f>
        <v>-2.31520293419789</v>
      </c>
      <c r="J168" s="150">
        <f>I168-VLOOKUP(B$2,H1:J228,2,FALSE)</f>
        <v>-7.69720180436113</v>
      </c>
    </row>
    <row r="169" ht="21.25" customHeight="1">
      <c r="A169" t="s" s="8">
        <v>593</v>
      </c>
      <c r="B169" t="s" s="159">
        <f>VLOOKUP(A169,'The List'!B1:D730,3,FALSE)</f>
        <v>129</v>
      </c>
      <c r="C169" s="160">
        <f>IF('Settings'!$E$15="POINTS",RANK(E169,E3:E228),H169)</f>
        <v>119</v>
      </c>
      <c r="D169" t="s" s="42">
        <f>VLOOKUP(A169,'The List'!B1:F730,5,FALSE)</f>
        <v>136</v>
      </c>
      <c r="E169" s="46">
        <f>VLOOKUP(A169,'The List'!B1:I730,8,FALSE)</f>
        <v>201.212232038228</v>
      </c>
      <c r="F169" s="46">
        <f>IF('Settings'!$E$15="POINTS",E169-VLOOKUP(B$2,C1:E228,3,FALSE),J169)</f>
        <v>-139.522906608295</v>
      </c>
      <c r="G169" s="46"/>
      <c r="H169" s="149">
        <f>RANK(I169,I3:I228)</f>
        <v>113</v>
      </c>
      <c r="I169" s="150">
        <f>VLOOKUP(A169,'Standard Deviations'!A1:C731,3,FALSE)</f>
        <v>-1.03764860702179</v>
      </c>
      <c r="J169" s="150">
        <f>I169-VLOOKUP(B$2,H1:J228,2,FALSE)</f>
        <v>-6.41964747718503</v>
      </c>
    </row>
    <row r="170" ht="21.25" customHeight="1">
      <c r="A170" t="s" s="8">
        <v>592</v>
      </c>
      <c r="B170" t="s" s="159">
        <f>VLOOKUP(A170,'The List'!B1:D730,3,FALSE)</f>
        <v>129</v>
      </c>
      <c r="C170" s="160">
        <f>IF('Settings'!$E$15="POINTS",RANK(E170,E3:E228),H170)</f>
        <v>174</v>
      </c>
      <c r="D170" t="s" s="42">
        <f>VLOOKUP(A170,'The List'!B1:F730,5,FALSE)</f>
        <v>258</v>
      </c>
      <c r="E170" s="46">
        <f>VLOOKUP(A170,'The List'!B1:I730,8,FALSE)</f>
        <v>156.019003854029</v>
      </c>
      <c r="F170" s="46">
        <f>IF('Settings'!$E$15="POINTS",E170-VLOOKUP(B$2,C1:E228,3,FALSE),J170)</f>
        <v>-184.716134792494</v>
      </c>
      <c r="G170" s="46"/>
      <c r="H170" s="149">
        <f>RANK(I170,I3:I228)</f>
        <v>211</v>
      </c>
      <c r="I170" s="150">
        <f>VLOOKUP(A170,'Standard Deviations'!A1:C731,3,FALSE)</f>
        <v>-4.22484701386751</v>
      </c>
      <c r="J170" s="150">
        <f>I170-VLOOKUP(B$2,H1:J228,2,FALSE)</f>
        <v>-9.606845884030751</v>
      </c>
    </row>
    <row r="171" ht="21.25" customHeight="1">
      <c r="A171" t="s" s="8">
        <v>595</v>
      </c>
      <c r="B171" t="s" s="159">
        <f>VLOOKUP(A171,'The List'!B1:D730,3,FALSE)</f>
        <v>129</v>
      </c>
      <c r="C171" s="160">
        <f>IF('Settings'!$E$15="POINTS",RANK(E171,E3:E228),H171)</f>
        <v>193</v>
      </c>
      <c r="D171" t="s" s="42">
        <f>VLOOKUP(A171,'The List'!B1:F730,5,FALSE)</f>
        <v>238</v>
      </c>
      <c r="E171" s="46">
        <f>VLOOKUP(A171,'The List'!B1:I730,8,FALSE)</f>
        <v>134.615101850778</v>
      </c>
      <c r="F171" s="46">
        <f>IF('Settings'!$E$15="POINTS",E171-VLOOKUP(B$2,C1:E228,3,FALSE),J171)</f>
        <v>-206.120036795745</v>
      </c>
      <c r="G171" s="46"/>
      <c r="H171" s="149">
        <f>RANK(I171,I3:I228)</f>
        <v>167</v>
      </c>
      <c r="I171" s="150">
        <f>VLOOKUP(A171,'Standard Deviations'!A1:C731,3,FALSE)</f>
        <v>-2.77103220122628</v>
      </c>
      <c r="J171" s="150">
        <f>I171-VLOOKUP(B$2,H1:J228,2,FALSE)</f>
        <v>-8.15303107138952</v>
      </c>
    </row>
    <row r="172" ht="21.25" customHeight="1">
      <c r="A172" t="s" s="8">
        <v>597</v>
      </c>
      <c r="B172" t="s" s="159">
        <f>VLOOKUP(A172,'The List'!B1:D730,3,FALSE)</f>
        <v>129</v>
      </c>
      <c r="C172" s="160">
        <f>IF('Settings'!$E$15="POINTS",RANK(E172,E3:E228),H172)</f>
        <v>155</v>
      </c>
      <c r="D172" t="s" s="42">
        <f>VLOOKUP(A172,'The List'!B1:F730,5,FALSE)</f>
        <v>166</v>
      </c>
      <c r="E172" s="46">
        <f>VLOOKUP(A172,'The List'!B1:I730,8,FALSE)</f>
        <v>175.485806041466</v>
      </c>
      <c r="F172" s="46">
        <f>IF('Settings'!$E$15="POINTS",E172-VLOOKUP(B$2,C1:E228,3,FALSE),J172)</f>
        <v>-165.249332605057</v>
      </c>
      <c r="G172" s="46"/>
      <c r="H172" s="149">
        <f>RANK(I172,I3:I228)</f>
        <v>172</v>
      </c>
      <c r="I172" s="150">
        <f>VLOOKUP(A172,'Standard Deviations'!A1:C731,3,FALSE)</f>
        <v>-3.13719796633447</v>
      </c>
      <c r="J172" s="150">
        <f>I172-VLOOKUP(B$2,H1:J228,2,FALSE)</f>
        <v>-8.519196836497709</v>
      </c>
    </row>
    <row r="173" ht="21.25" customHeight="1">
      <c r="A173" t="s" s="8">
        <v>601</v>
      </c>
      <c r="B173" t="s" s="159">
        <f>VLOOKUP(A173,'The List'!B1:D730,3,FALSE)</f>
        <v>129</v>
      </c>
      <c r="C173" s="160">
        <f>IF('Settings'!$E$15="POINTS",RANK(E173,E3:E228),H173)</f>
        <v>163</v>
      </c>
      <c r="D173" t="s" s="42">
        <f>VLOOKUP(A173,'The List'!B1:F730,5,FALSE)</f>
        <v>164</v>
      </c>
      <c r="E173" s="46">
        <f>VLOOKUP(A173,'The List'!B1:I730,8,FALSE)</f>
        <v>169.510600583036</v>
      </c>
      <c r="F173" s="46">
        <f>IF('Settings'!$E$15="POINTS",E173-VLOOKUP(B$2,C1:E228,3,FALSE),J173)</f>
        <v>-171.224538063487</v>
      </c>
      <c r="G173" s="46"/>
      <c r="H173" s="149">
        <f>RANK(I173,I3:I228)</f>
        <v>137</v>
      </c>
      <c r="I173" s="150">
        <f>VLOOKUP(A173,'Standard Deviations'!A1:C731,3,FALSE)</f>
        <v>-1.74528330121765</v>
      </c>
      <c r="J173" s="150">
        <f>I173-VLOOKUP(B$2,H1:J228,2,FALSE)</f>
        <v>-7.12728217138089</v>
      </c>
    </row>
    <row r="174" ht="21.25" customHeight="1">
      <c r="A174" t="s" s="8">
        <v>602</v>
      </c>
      <c r="B174" t="s" s="159">
        <f>VLOOKUP(A174,'The List'!B1:D730,3,FALSE)</f>
        <v>129</v>
      </c>
      <c r="C174" s="160">
        <f>IF('Settings'!$E$15="POINTS",RANK(E174,E3:E228),H174)</f>
        <v>173</v>
      </c>
      <c r="D174" t="s" s="42">
        <f>VLOOKUP(A174,'The List'!B1:F730,5,FALSE)</f>
        <v>119</v>
      </c>
      <c r="E174" s="46">
        <f>VLOOKUP(A174,'The List'!B1:I730,8,FALSE)</f>
        <v>156.410490380698</v>
      </c>
      <c r="F174" s="46">
        <f>IF('Settings'!$E$15="POINTS",E174-VLOOKUP(B$2,C1:E228,3,FALSE),J174)</f>
        <v>-184.324648265825</v>
      </c>
      <c r="G174" s="46"/>
      <c r="H174" s="149">
        <f>RANK(I174,I3:I228)</f>
        <v>149</v>
      </c>
      <c r="I174" s="150">
        <f>VLOOKUP(A174,'Standard Deviations'!A1:C731,3,FALSE)</f>
        <v>-2.08803043291649</v>
      </c>
      <c r="J174" s="150">
        <f>I174-VLOOKUP(B$2,H1:J228,2,FALSE)</f>
        <v>-7.47002930307973</v>
      </c>
    </row>
    <row r="175" ht="21.25" customHeight="1">
      <c r="A175" t="s" s="8">
        <v>617</v>
      </c>
      <c r="B175" t="s" s="159">
        <f>VLOOKUP(A175,'The List'!B1:D730,3,FALSE)</f>
        <v>129</v>
      </c>
      <c r="C175" s="160">
        <f>IF('Settings'!$E$15="POINTS",RANK(E175,E3:E228),H175)</f>
        <v>149</v>
      </c>
      <c r="D175" t="s" s="42">
        <f>VLOOKUP(A175,'The List'!B1:F730,5,FALSE)</f>
        <v>141</v>
      </c>
      <c r="E175" s="46">
        <f>VLOOKUP(A175,'The List'!B1:I730,8,FALSE)</f>
        <v>177.877162580763</v>
      </c>
      <c r="F175" s="46">
        <f>IF('Settings'!$E$15="POINTS",E175-VLOOKUP(B$2,C1:E228,3,FALSE),J175)</f>
        <v>-162.857976065760</v>
      </c>
      <c r="G175" s="46"/>
      <c r="H175" s="149">
        <f>RANK(I175,I3:I228)</f>
        <v>164</v>
      </c>
      <c r="I175" s="150">
        <f>VLOOKUP(A175,'Standard Deviations'!A1:C731,3,FALSE)</f>
        <v>-2.64674065996303</v>
      </c>
      <c r="J175" s="150">
        <f>I175-VLOOKUP(B$2,H1:J228,2,FALSE)</f>
        <v>-8.02873953012627</v>
      </c>
    </row>
    <row r="176" ht="21.25" customHeight="1">
      <c r="A176" t="s" s="8">
        <v>610</v>
      </c>
      <c r="B176" t="s" s="159">
        <f>VLOOKUP(A176,'The List'!B1:D730,3,FALSE)</f>
        <v>129</v>
      </c>
      <c r="C176" s="160">
        <f>IF('Settings'!$E$15="POINTS",RANK(E176,E3:E228),H176)</f>
        <v>156</v>
      </c>
      <c r="D176" t="s" s="42">
        <f>VLOOKUP(A176,'The List'!B1:F730,5,FALSE)</f>
        <v>122</v>
      </c>
      <c r="E176" s="46">
        <f>VLOOKUP(A176,'The List'!B1:I730,8,FALSE)</f>
        <v>175.411132275015</v>
      </c>
      <c r="F176" s="46">
        <f>IF('Settings'!$E$15="POINTS",E176-VLOOKUP(B$2,C1:E228,3,FALSE),J176)</f>
        <v>-165.324006371508</v>
      </c>
      <c r="G176" s="46"/>
      <c r="H176" s="149">
        <f>RANK(I176,I3:I228)</f>
        <v>142</v>
      </c>
      <c r="I176" s="150">
        <f>VLOOKUP(A176,'Standard Deviations'!A1:C731,3,FALSE)</f>
        <v>-1.89232005972931</v>
      </c>
      <c r="J176" s="150">
        <f>I176-VLOOKUP(B$2,H1:J228,2,FALSE)</f>
        <v>-7.27431892989255</v>
      </c>
    </row>
    <row r="177" ht="21.25" customHeight="1">
      <c r="A177" t="s" s="8">
        <v>613</v>
      </c>
      <c r="B177" t="s" s="159">
        <f>VLOOKUP(A177,'The List'!B1:D730,3,FALSE)</f>
        <v>129</v>
      </c>
      <c r="C177" s="160">
        <f>IF('Settings'!$E$15="POINTS",RANK(E177,E3:E228),H177)</f>
        <v>159</v>
      </c>
      <c r="D177" t="s" s="42">
        <f>VLOOKUP(A177,'The List'!B1:F730,5,FALSE)</f>
        <v>234</v>
      </c>
      <c r="E177" s="46">
        <f>VLOOKUP(A177,'The List'!B1:I730,8,FALSE)</f>
        <v>173.504576707531</v>
      </c>
      <c r="F177" s="46">
        <f>IF('Settings'!$E$15="POINTS",E177-VLOOKUP(B$2,C1:E228,3,FALSE),J177)</f>
        <v>-167.230561938992</v>
      </c>
      <c r="G177" s="46"/>
      <c r="H177" s="149">
        <f>RANK(I177,I3:I228)</f>
        <v>210</v>
      </c>
      <c r="I177" s="150">
        <f>VLOOKUP(A177,'Standard Deviations'!A1:C731,3,FALSE)</f>
        <v>-4.20551601150016</v>
      </c>
      <c r="J177" s="150">
        <f>I177-VLOOKUP(B$2,H1:J228,2,FALSE)</f>
        <v>-9.587514881663401</v>
      </c>
    </row>
    <row r="178" ht="21.25" customHeight="1">
      <c r="A178" t="s" s="8">
        <v>614</v>
      </c>
      <c r="B178" t="s" s="159">
        <f>VLOOKUP(A178,'The List'!B1:D730,3,FALSE)</f>
        <v>129</v>
      </c>
      <c r="C178" s="160">
        <f>IF('Settings'!$E$15="POINTS",RANK(E178,E3:E228),H178)</f>
        <v>170</v>
      </c>
      <c r="D178" t="s" s="42">
        <f>VLOOKUP(A178,'The List'!B1:F730,5,FALSE)</f>
        <v>248</v>
      </c>
      <c r="E178" s="46">
        <f>VLOOKUP(A178,'The List'!B1:I730,8,FALSE)</f>
        <v>163.785200268863</v>
      </c>
      <c r="F178" s="46">
        <f>IF('Settings'!$E$15="POINTS",E178-VLOOKUP(B$2,C1:E228,3,FALSE),J178)</f>
        <v>-176.949938377660</v>
      </c>
      <c r="G178" s="46"/>
      <c r="H178" s="149">
        <f>RANK(I178,I3:I228)</f>
        <v>175</v>
      </c>
      <c r="I178" s="150">
        <f>VLOOKUP(A178,'Standard Deviations'!A1:C731,3,FALSE)</f>
        <v>-3.17345272731374</v>
      </c>
      <c r="J178" s="150">
        <f>I178-VLOOKUP(B$2,H1:J228,2,FALSE)</f>
        <v>-8.55545159747698</v>
      </c>
    </row>
    <row r="179" ht="21.25" customHeight="1">
      <c r="A179" t="s" s="8">
        <v>615</v>
      </c>
      <c r="B179" t="s" s="159">
        <f>VLOOKUP(A179,'The List'!B1:D730,3,FALSE)</f>
        <v>129</v>
      </c>
      <c r="C179" s="160">
        <f>IF('Settings'!$E$15="POINTS",RANK(E179,E3:E228),H179)</f>
        <v>198</v>
      </c>
      <c r="D179" t="s" s="42">
        <f>VLOOKUP(A179,'The List'!B1:F730,5,FALSE)</f>
        <v>202</v>
      </c>
      <c r="E179" s="46">
        <f>VLOOKUP(A179,'The List'!B1:I730,8,FALSE)</f>
        <v>128.139157568242</v>
      </c>
      <c r="F179" s="46">
        <f>IF('Settings'!$E$15="POINTS",E179-VLOOKUP(B$2,C1:E228,3,FALSE),J179)</f>
        <v>-212.595981078281</v>
      </c>
      <c r="G179" s="46"/>
      <c r="H179" s="149">
        <f>RANK(I179,I3:I228)</f>
        <v>183</v>
      </c>
      <c r="I179" s="150">
        <f>VLOOKUP(A179,'Standard Deviations'!A1:C731,3,FALSE)</f>
        <v>-3.45395290259955</v>
      </c>
      <c r="J179" s="150">
        <f>I179-VLOOKUP(B$2,H1:J228,2,FALSE)</f>
        <v>-8.83595177276279</v>
      </c>
    </row>
    <row r="180" ht="21.25" customHeight="1">
      <c r="A180" t="s" s="8">
        <v>606</v>
      </c>
      <c r="B180" t="s" s="159">
        <f>VLOOKUP(A180,'The List'!B1:D730,3,FALSE)</f>
        <v>129</v>
      </c>
      <c r="C180" s="160">
        <f>IF('Settings'!$E$15="POINTS",RANK(E180,E3:E228),H180)</f>
        <v>168</v>
      </c>
      <c r="D180" t="s" s="42">
        <f>VLOOKUP(A180,'The List'!B1:F730,5,FALSE)</f>
        <v>258</v>
      </c>
      <c r="E180" s="46">
        <f>VLOOKUP(A180,'The List'!B1:I730,8,FALSE)</f>
        <v>165.499975191761</v>
      </c>
      <c r="F180" s="46">
        <f>IF('Settings'!$E$15="POINTS",E180-VLOOKUP(B$2,C1:E228,3,FALSE),J180)</f>
        <v>-175.235163454762</v>
      </c>
      <c r="G180" s="46"/>
      <c r="H180" s="149">
        <f>RANK(I180,I3:I228)</f>
        <v>220</v>
      </c>
      <c r="I180" s="150">
        <f>VLOOKUP(A180,'Standard Deviations'!A1:C731,3,FALSE)</f>
        <v>-4.87621464916995</v>
      </c>
      <c r="J180" s="150">
        <f>I180-VLOOKUP(B$2,H1:J228,2,FALSE)</f>
        <v>-10.2582135193332</v>
      </c>
    </row>
    <row r="181" ht="21.25" customHeight="1">
      <c r="A181" t="s" s="8">
        <v>619</v>
      </c>
      <c r="B181" t="s" s="159">
        <f>VLOOKUP(A181,'The List'!B1:D730,3,FALSE)</f>
        <v>129</v>
      </c>
      <c r="C181" s="160">
        <f>IF('Settings'!$E$15="POINTS",RANK(E181,E3:E228),H181)</f>
        <v>148</v>
      </c>
      <c r="D181" t="s" s="42">
        <f>VLOOKUP(A181,'The List'!B1:F730,5,FALSE)</f>
        <v>131</v>
      </c>
      <c r="E181" s="46">
        <f>VLOOKUP(A181,'The List'!B1:I730,8,FALSE)</f>
        <v>177.877593729791</v>
      </c>
      <c r="F181" s="46">
        <f>IF('Settings'!$E$15="POINTS",E181-VLOOKUP(B$2,C1:E228,3,FALSE),J181)</f>
        <v>-162.857544916732</v>
      </c>
      <c r="G181" s="46"/>
      <c r="H181" s="149">
        <f>RANK(I181,I3:I228)</f>
        <v>194</v>
      </c>
      <c r="I181" s="150">
        <f>VLOOKUP(A181,'Standard Deviations'!A1:C731,3,FALSE)</f>
        <v>-3.80742529827439</v>
      </c>
      <c r="J181" s="150">
        <f>I181-VLOOKUP(B$2,H1:J228,2,FALSE)</f>
        <v>-9.189424168437631</v>
      </c>
    </row>
    <row r="182" ht="21.25" customHeight="1">
      <c r="A182" t="s" s="8">
        <v>620</v>
      </c>
      <c r="B182" t="s" s="159">
        <f>VLOOKUP(A182,'The List'!B1:D730,3,FALSE)</f>
        <v>129</v>
      </c>
      <c r="C182" s="160">
        <f>IF('Settings'!$E$15="POINTS",RANK(E182,E3:E228),H182)</f>
        <v>184</v>
      </c>
      <c r="D182" t="s" s="42">
        <f>VLOOKUP(A182,'The List'!B1:F730,5,FALSE)</f>
        <v>184</v>
      </c>
      <c r="E182" s="46">
        <f>VLOOKUP(A182,'The List'!B1:I730,8,FALSE)</f>
        <v>145.030830452438</v>
      </c>
      <c r="F182" s="46">
        <f>IF('Settings'!$E$15="POINTS",E182-VLOOKUP(B$2,C1:E228,3,FALSE),J182)</f>
        <v>-195.704308194085</v>
      </c>
      <c r="G182" s="46"/>
      <c r="H182" s="149">
        <f>RANK(I182,I3:I228)</f>
        <v>193</v>
      </c>
      <c r="I182" s="150">
        <f>VLOOKUP(A182,'Standard Deviations'!A1:C731,3,FALSE)</f>
        <v>-3.7352506367767</v>
      </c>
      <c r="J182" s="150">
        <f>I182-VLOOKUP(B$2,H1:J228,2,FALSE)</f>
        <v>-9.11724950693994</v>
      </c>
    </row>
    <row r="183" ht="21.25" customHeight="1">
      <c r="A183" t="s" s="8">
        <v>624</v>
      </c>
      <c r="B183" t="s" s="159">
        <f>VLOOKUP(A183,'The List'!B1:D730,3,FALSE)</f>
        <v>129</v>
      </c>
      <c r="C183" s="160">
        <f>IF('Settings'!$E$15="POINTS",RANK(E183,E3:E228),H183)</f>
        <v>197</v>
      </c>
      <c r="D183" t="s" s="42">
        <f>VLOOKUP(A183,'The List'!B1:F730,5,FALSE)</f>
        <v>292</v>
      </c>
      <c r="E183" s="46">
        <f>VLOOKUP(A183,'The List'!B1:I730,8,FALSE)</f>
        <v>128.301826947012</v>
      </c>
      <c r="F183" s="46">
        <f>IF('Settings'!$E$15="POINTS",E183-VLOOKUP(B$2,C1:E228,3,FALSE),J183)</f>
        <v>-212.433311699511</v>
      </c>
      <c r="G183" s="46"/>
      <c r="H183" s="149">
        <f>RANK(I183,I3:I228)</f>
        <v>187</v>
      </c>
      <c r="I183" s="150">
        <f>VLOOKUP(A183,'Standard Deviations'!A1:C731,3,FALSE)</f>
        <v>-3.53220172732904</v>
      </c>
      <c r="J183" s="150">
        <f>I183-VLOOKUP(B$2,H1:J228,2,FALSE)</f>
        <v>-8.914200597492281</v>
      </c>
    </row>
    <row r="184" ht="21.25" customHeight="1">
      <c r="A184" t="s" s="8">
        <v>625</v>
      </c>
      <c r="B184" t="s" s="159">
        <f>VLOOKUP(A184,'The List'!B1:D730,3,FALSE)</f>
        <v>129</v>
      </c>
      <c r="C184" s="160">
        <f>IF('Settings'!$E$15="POINTS",RANK(E184,E3:E228),H184)</f>
        <v>194</v>
      </c>
      <c r="D184" t="s" s="42">
        <f>VLOOKUP(A184,'The List'!B1:F730,5,FALSE)</f>
        <v>139</v>
      </c>
      <c r="E184" s="46">
        <f>VLOOKUP(A184,'The List'!B1:I730,8,FALSE)</f>
        <v>134.613248099804</v>
      </c>
      <c r="F184" s="46">
        <f>IF('Settings'!$E$15="POINTS",E184-VLOOKUP(B$2,C1:E228,3,FALSE),J184)</f>
        <v>-206.121890546719</v>
      </c>
      <c r="G184" s="46"/>
      <c r="H184" s="149">
        <f>RANK(I184,I3:I228)</f>
        <v>212</v>
      </c>
      <c r="I184" s="150">
        <f>VLOOKUP(A184,'Standard Deviations'!A1:C731,3,FALSE)</f>
        <v>-4.22986038832038</v>
      </c>
      <c r="J184" s="150">
        <f>I184-VLOOKUP(B$2,H1:J228,2,FALSE)</f>
        <v>-9.611859258483619</v>
      </c>
    </row>
    <row r="185" ht="21.25" customHeight="1">
      <c r="A185" t="s" s="8">
        <v>631</v>
      </c>
      <c r="B185" t="s" s="159">
        <f>VLOOKUP(A185,'The List'!B1:D730,3,FALSE)</f>
        <v>129</v>
      </c>
      <c r="C185" s="160">
        <f>IF('Settings'!$E$15="POINTS",RANK(E185,E3:E228),H185)</f>
        <v>204</v>
      </c>
      <c r="D185" t="s" s="42">
        <f>VLOOKUP(A185,'The List'!B1:F730,5,FALSE)</f>
        <v>149</v>
      </c>
      <c r="E185" s="46">
        <f>VLOOKUP(A185,'The List'!B1:I730,8,FALSE)</f>
        <v>122.124997915946</v>
      </c>
      <c r="F185" s="46">
        <f>IF('Settings'!$E$15="POINTS",E185-VLOOKUP(B$2,C1:E228,3,FALSE),J185)</f>
        <v>-218.610140730577</v>
      </c>
      <c r="G185" s="46"/>
      <c r="H185" s="149">
        <f>RANK(I185,I3:I228)</f>
        <v>188</v>
      </c>
      <c r="I185" s="150">
        <f>VLOOKUP(A185,'Standard Deviations'!A1:C731,3,FALSE)</f>
        <v>-3.53453143373498</v>
      </c>
      <c r="J185" s="150">
        <f>I185-VLOOKUP(B$2,H1:J228,2,FALSE)</f>
        <v>-8.91653030389822</v>
      </c>
    </row>
    <row r="186" ht="21.25" customHeight="1">
      <c r="A186" t="s" s="8">
        <v>633</v>
      </c>
      <c r="B186" t="s" s="159">
        <f>VLOOKUP(A186,'The List'!B1:D730,3,FALSE)</f>
        <v>129</v>
      </c>
      <c r="C186" s="160">
        <f>IF('Settings'!$E$15="POINTS",RANK(E186,E3:E228),H186)</f>
        <v>207</v>
      </c>
      <c r="D186" t="s" s="42">
        <f>VLOOKUP(A186,'The List'!B1:F730,5,FALSE)</f>
        <v>115</v>
      </c>
      <c r="E186" s="46">
        <f>VLOOKUP(A186,'The List'!B1:I730,8,FALSE)</f>
        <v>118.211515713560</v>
      </c>
      <c r="F186" s="46">
        <f>IF('Settings'!$E$15="POINTS",E186-VLOOKUP(B$2,C1:E228,3,FALSE),J186)</f>
        <v>-222.523622932963</v>
      </c>
      <c r="G186" s="46"/>
      <c r="H186" s="149">
        <f>RANK(I186,I3:I228)</f>
        <v>177</v>
      </c>
      <c r="I186" s="150">
        <f>VLOOKUP(A186,'Standard Deviations'!A1:C731,3,FALSE)</f>
        <v>-3.2976194977752</v>
      </c>
      <c r="J186" s="150">
        <f>I186-VLOOKUP(B$2,H1:J228,2,FALSE)</f>
        <v>-8.67961836793844</v>
      </c>
    </row>
    <row r="187" ht="21.25" customHeight="1">
      <c r="A187" t="s" s="8">
        <v>627</v>
      </c>
      <c r="B187" t="s" s="159">
        <f>VLOOKUP(A187,'The List'!B1:D730,3,FALSE)</f>
        <v>129</v>
      </c>
      <c r="C187" s="160">
        <f>IF('Settings'!$E$15="POINTS",RANK(E187,E3:E228),H187)</f>
        <v>176</v>
      </c>
      <c r="D187" t="s" s="42">
        <f>VLOOKUP(A187,'The List'!B1:F730,5,FALSE)</f>
        <v>236</v>
      </c>
      <c r="E187" s="46">
        <f>VLOOKUP(A187,'The List'!B1:I730,8,FALSE)</f>
        <v>154.906609270540</v>
      </c>
      <c r="F187" s="46">
        <f>IF('Settings'!$E$15="POINTS",E187-VLOOKUP(B$2,C1:E228,3,FALSE),J187)</f>
        <v>-185.828529375983</v>
      </c>
      <c r="G187" s="46"/>
      <c r="H187" s="149">
        <f>RANK(I187,I3:I228)</f>
        <v>207</v>
      </c>
      <c r="I187" s="150">
        <f>VLOOKUP(A187,'Standard Deviations'!A1:C731,3,FALSE)</f>
        <v>-4.14470348191571</v>
      </c>
      <c r="J187" s="150">
        <f>I187-VLOOKUP(B$2,H1:J228,2,FALSE)</f>
        <v>-9.526702352078949</v>
      </c>
    </row>
    <row r="188" ht="21.25" customHeight="1">
      <c r="A188" t="s" s="8">
        <v>636</v>
      </c>
      <c r="B188" t="s" s="159">
        <f>VLOOKUP(A188,'The List'!B1:D730,3,FALSE)</f>
        <v>129</v>
      </c>
      <c r="C188" s="160">
        <f>IF('Settings'!$E$15="POINTS",RANK(E188,E3:E228),H188)</f>
        <v>190</v>
      </c>
      <c r="D188" t="s" s="42">
        <f>VLOOKUP(A188,'The List'!B1:F730,5,FALSE)</f>
        <v>134</v>
      </c>
      <c r="E188" s="46">
        <f>VLOOKUP(A188,'The List'!B1:I730,8,FALSE)</f>
        <v>137.398934545462</v>
      </c>
      <c r="F188" s="46">
        <f>IF('Settings'!$E$15="POINTS",E188-VLOOKUP(B$2,C1:E228,3,FALSE),J188)</f>
        <v>-203.336204101061</v>
      </c>
      <c r="G188" s="46"/>
      <c r="H188" s="149">
        <f>RANK(I188,I3:I228)</f>
        <v>165</v>
      </c>
      <c r="I188" s="150">
        <f>VLOOKUP(A188,'Standard Deviations'!A1:C731,3,FALSE)</f>
        <v>-2.68479027148562</v>
      </c>
      <c r="J188" s="150">
        <f>I188-VLOOKUP(B$2,H1:J228,2,FALSE)</f>
        <v>-8.06678914164886</v>
      </c>
    </row>
    <row r="189" ht="21.25" customHeight="1">
      <c r="A189" t="s" s="8">
        <v>639</v>
      </c>
      <c r="B189" t="s" s="159">
        <f>VLOOKUP(A189,'The List'!B1:D730,3,FALSE)</f>
        <v>129</v>
      </c>
      <c r="C189" s="160">
        <f>IF('Settings'!$E$15="POINTS",RANK(E189,E3:E228),H189)</f>
        <v>202</v>
      </c>
      <c r="D189" t="s" s="42">
        <f>VLOOKUP(A189,'The List'!B1:F730,5,FALSE)</f>
        <v>196</v>
      </c>
      <c r="E189" s="46">
        <f>VLOOKUP(A189,'The List'!B1:I730,8,FALSE)</f>
        <v>122.362767185774</v>
      </c>
      <c r="F189" s="46">
        <f>IF('Settings'!$E$15="POINTS",E189-VLOOKUP(B$2,C1:E228,3,FALSE),J189)</f>
        <v>-218.372371460749</v>
      </c>
      <c r="G189" s="46"/>
      <c r="H189" s="149">
        <f>RANK(I189,I3:I228)</f>
        <v>209</v>
      </c>
      <c r="I189" s="150">
        <f>VLOOKUP(A189,'Standard Deviations'!A1:C731,3,FALSE)</f>
        <v>-4.16206506240518</v>
      </c>
      <c r="J189" s="150">
        <f>I189-VLOOKUP(B$2,H1:J228,2,FALSE)</f>
        <v>-9.54406393256842</v>
      </c>
    </row>
    <row r="190" ht="21.25" customHeight="1">
      <c r="A190" t="s" s="8">
        <v>640</v>
      </c>
      <c r="B190" t="s" s="159">
        <f>VLOOKUP(A190,'The List'!B1:D730,3,FALSE)</f>
        <v>129</v>
      </c>
      <c r="C190" s="160">
        <f>IF('Settings'!$E$15="POINTS",RANK(E190,E3:E228),H190)</f>
        <v>188</v>
      </c>
      <c r="D190" t="s" s="42">
        <f>VLOOKUP(A190,'The List'!B1:F730,5,FALSE)</f>
        <v>194</v>
      </c>
      <c r="E190" s="46">
        <f>VLOOKUP(A190,'The List'!B1:I730,8,FALSE)</f>
        <v>142.033707296273</v>
      </c>
      <c r="F190" s="46">
        <f>IF('Settings'!$E$15="POINTS",E190-VLOOKUP(B$2,C1:E228,3,FALSE),J190)</f>
        <v>-198.701431350250</v>
      </c>
      <c r="G190" s="46"/>
      <c r="H190" s="149">
        <f>RANK(I190,I3:I228)</f>
        <v>205</v>
      </c>
      <c r="I190" s="150">
        <f>VLOOKUP(A190,'Standard Deviations'!A1:C731,3,FALSE)</f>
        <v>-4.05225348476026</v>
      </c>
      <c r="J190" s="150">
        <f>I190-VLOOKUP(B$2,H1:J228,2,FALSE)</f>
        <v>-9.434252354923499</v>
      </c>
    </row>
    <row r="191" ht="21.25" customHeight="1">
      <c r="A191" t="s" s="8">
        <v>643</v>
      </c>
      <c r="B191" t="s" s="159">
        <f>VLOOKUP(A191,'The List'!B1:D730,3,FALSE)</f>
        <v>129</v>
      </c>
      <c r="C191" s="160">
        <f>IF('Settings'!$E$15="POINTS",RANK(E191,E3:E228),H191)</f>
        <v>177</v>
      </c>
      <c r="D191" t="s" s="42">
        <f>VLOOKUP(A191,'The List'!B1:F730,5,FALSE)</f>
        <v>225</v>
      </c>
      <c r="E191" s="46">
        <f>VLOOKUP(A191,'The List'!B1:I730,8,FALSE)</f>
        <v>154.635274224243</v>
      </c>
      <c r="F191" s="46">
        <f>IF('Settings'!$E$15="POINTS",E191-VLOOKUP(B$2,C1:E228,3,FALSE),J191)</f>
        <v>-186.099864422280</v>
      </c>
      <c r="G191" s="46"/>
      <c r="H191" s="149">
        <f>RANK(I191,I3:I228)</f>
        <v>217</v>
      </c>
      <c r="I191" s="150">
        <f>VLOOKUP(A191,'Standard Deviations'!A1:C731,3,FALSE)</f>
        <v>-4.66968469881513</v>
      </c>
      <c r="J191" s="150">
        <f>I191-VLOOKUP(B$2,H1:J228,2,FALSE)</f>
        <v>-10.0516835689784</v>
      </c>
    </row>
    <row r="192" ht="21.25" customHeight="1">
      <c r="A192" t="s" s="8">
        <v>645</v>
      </c>
      <c r="B192" t="s" s="159">
        <f>VLOOKUP(A192,'The List'!B1:D730,3,FALSE)</f>
        <v>129</v>
      </c>
      <c r="C192" s="160">
        <f>IF('Settings'!$E$15="POINTS",RANK(E192,E3:E228),H192)</f>
        <v>199</v>
      </c>
      <c r="D192" t="s" s="42">
        <f>VLOOKUP(A192,'The List'!B1:F730,5,FALSE)</f>
        <v>238</v>
      </c>
      <c r="E192" s="46">
        <f>VLOOKUP(A192,'The List'!B1:I730,8,FALSE)</f>
        <v>128.041848092584</v>
      </c>
      <c r="F192" s="46">
        <f>IF('Settings'!$E$15="POINTS",E192-VLOOKUP(B$2,C1:E228,3,FALSE),J192)</f>
        <v>-212.693290553939</v>
      </c>
      <c r="G192" s="46"/>
      <c r="H192" s="149">
        <f>RANK(I192,I3:I228)</f>
        <v>181</v>
      </c>
      <c r="I192" s="150">
        <f>VLOOKUP(A192,'Standard Deviations'!A1:C731,3,FALSE)</f>
        <v>-3.39279713160796</v>
      </c>
      <c r="J192" s="150">
        <f>I192-VLOOKUP(B$2,H1:J228,2,FALSE)</f>
        <v>-8.7747960017712</v>
      </c>
    </row>
    <row r="193" ht="21.25" customHeight="1">
      <c r="A193" t="s" s="8">
        <v>646</v>
      </c>
      <c r="B193" t="s" s="159">
        <f>VLOOKUP(A193,'The List'!B1:D730,3,FALSE)</f>
        <v>129</v>
      </c>
      <c r="C193" s="160">
        <f>IF('Settings'!$E$15="POINTS",RANK(E193,E3:E228),H193)</f>
        <v>189</v>
      </c>
      <c r="D193" t="s" s="42">
        <f>VLOOKUP(A193,'The List'!B1:F730,5,FALSE)</f>
        <v>127</v>
      </c>
      <c r="E193" s="46">
        <f>VLOOKUP(A193,'The List'!B1:I730,8,FALSE)</f>
        <v>139.268795368150</v>
      </c>
      <c r="F193" s="46">
        <f>IF('Settings'!$E$15="POINTS",E193-VLOOKUP(B$2,C1:E228,3,FALSE),J193)</f>
        <v>-201.466343278373</v>
      </c>
      <c r="G193" s="46"/>
      <c r="H193" s="149">
        <f>RANK(I193,I3:I228)</f>
        <v>190</v>
      </c>
      <c r="I193" s="150">
        <f>VLOOKUP(A193,'Standard Deviations'!A1:C731,3,FALSE)</f>
        <v>-3.56479103752262</v>
      </c>
      <c r="J193" s="150">
        <f>I193-VLOOKUP(B$2,H1:J228,2,FALSE)</f>
        <v>-8.94678990768586</v>
      </c>
    </row>
    <row r="194" ht="21.25" customHeight="1">
      <c r="A194" t="s" s="8">
        <v>647</v>
      </c>
      <c r="B194" t="s" s="159">
        <f>VLOOKUP(A194,'The List'!B1:D730,3,FALSE)</f>
        <v>129</v>
      </c>
      <c r="C194" s="160">
        <f>IF('Settings'!$E$15="POINTS",RANK(E194,E3:E228),H194)</f>
        <v>179</v>
      </c>
      <c r="D194" t="s" s="42">
        <f>VLOOKUP(A194,'The List'!B1:F730,5,FALSE)</f>
        <v>141</v>
      </c>
      <c r="E194" s="46">
        <f>VLOOKUP(A194,'The List'!B1:I730,8,FALSE)</f>
        <v>152.857488869655</v>
      </c>
      <c r="F194" s="46">
        <f>IF('Settings'!$E$15="POINTS",E194-VLOOKUP(B$2,C1:E228,3,FALSE),J194)</f>
        <v>-187.877649776868</v>
      </c>
      <c r="G194" s="46"/>
      <c r="H194" s="149">
        <f>RANK(I194,I3:I228)</f>
        <v>170</v>
      </c>
      <c r="I194" s="150">
        <f>VLOOKUP(A194,'Standard Deviations'!A1:C731,3,FALSE)</f>
        <v>-3.07763097099712</v>
      </c>
      <c r="J194" s="150">
        <f>I194-VLOOKUP(B$2,H1:J228,2,FALSE)</f>
        <v>-8.459629841160361</v>
      </c>
    </row>
    <row r="195" ht="21.25" customHeight="1">
      <c r="A195" t="s" s="8">
        <v>650</v>
      </c>
      <c r="B195" t="s" s="159">
        <f>VLOOKUP(A195,'The List'!B1:D730,3,FALSE)</f>
        <v>129</v>
      </c>
      <c r="C195" s="160">
        <f>IF('Settings'!$E$15="POINTS",RANK(E195,E3:E228),H195)</f>
        <v>212</v>
      </c>
      <c r="D195" t="s" s="42">
        <f>VLOOKUP(A195,'The List'!B1:F730,5,FALSE)</f>
        <v>156</v>
      </c>
      <c r="E195" s="46">
        <f>VLOOKUP(A195,'The List'!B1:I730,8,FALSE)</f>
        <v>114.221269781745</v>
      </c>
      <c r="F195" s="46">
        <f>IF('Settings'!$E$15="POINTS",E195-VLOOKUP(B$2,C1:E228,3,FALSE),J195)</f>
        <v>-226.513868864778</v>
      </c>
      <c r="G195" s="46"/>
      <c r="H195" s="149">
        <f>RANK(I195,I3:I228)</f>
        <v>196</v>
      </c>
      <c r="I195" s="150">
        <f>VLOOKUP(A195,'Standard Deviations'!A1:C731,3,FALSE)</f>
        <v>-3.84444457352819</v>
      </c>
      <c r="J195" s="150">
        <f>I195-VLOOKUP(B$2,H1:J228,2,FALSE)</f>
        <v>-9.22644344369143</v>
      </c>
    </row>
    <row r="196" ht="21.25" customHeight="1">
      <c r="A196" t="s" s="8">
        <v>651</v>
      </c>
      <c r="B196" t="s" s="159">
        <f>VLOOKUP(A196,'The List'!B1:D730,3,FALSE)</f>
        <v>129</v>
      </c>
      <c r="C196" s="160">
        <f>IF('Settings'!$E$15="POINTS",RANK(E196,E3:E228),H196)</f>
        <v>208</v>
      </c>
      <c r="D196" t="s" s="42">
        <f>VLOOKUP(A196,'The List'!B1:F730,5,FALSE)</f>
        <v>218</v>
      </c>
      <c r="E196" s="46">
        <f>VLOOKUP(A196,'The List'!B1:I730,8,FALSE)</f>
        <v>117.425881023585</v>
      </c>
      <c r="F196" s="46">
        <f>IF('Settings'!$E$15="POINTS",E196-VLOOKUP(B$2,C1:E228,3,FALSE),J196)</f>
        <v>-223.309257622938</v>
      </c>
      <c r="G196" s="46"/>
      <c r="H196" s="149">
        <f>RANK(I196,I3:I228)</f>
        <v>169</v>
      </c>
      <c r="I196" s="150">
        <f>VLOOKUP(A196,'Standard Deviations'!A1:C731,3,FALSE)</f>
        <v>-2.96579292632784</v>
      </c>
      <c r="J196" s="150">
        <f>I196-VLOOKUP(B$2,H1:J228,2,FALSE)</f>
        <v>-8.34779179649108</v>
      </c>
    </row>
    <row r="197" ht="21.25" customHeight="1">
      <c r="A197" t="s" s="8">
        <v>652</v>
      </c>
      <c r="B197" t="s" s="159">
        <f>VLOOKUP(A197,'The List'!B1:D730,3,FALSE)</f>
        <v>129</v>
      </c>
      <c r="C197" s="160">
        <f>IF('Settings'!$E$15="POINTS",RANK(E197,E3:E228),H197)</f>
        <v>209</v>
      </c>
      <c r="D197" t="s" s="42">
        <f>VLOOKUP(A197,'The List'!B1:F730,5,FALSE)</f>
        <v>141</v>
      </c>
      <c r="E197" s="46">
        <f>VLOOKUP(A197,'The List'!B1:I730,8,FALSE)</f>
        <v>116.405066678067</v>
      </c>
      <c r="F197" s="46">
        <f>IF('Settings'!$E$15="POINTS",E197-VLOOKUP(B$2,C1:E228,3,FALSE),J197)</f>
        <v>-224.330071968456</v>
      </c>
      <c r="G197" s="46"/>
      <c r="H197" s="149">
        <f>RANK(I197,I3:I228)</f>
        <v>204</v>
      </c>
      <c r="I197" s="150">
        <f>VLOOKUP(A197,'Standard Deviations'!A1:C731,3,FALSE)</f>
        <v>-4.00695619517812</v>
      </c>
      <c r="J197" s="150">
        <f>I197-VLOOKUP(B$2,H1:J228,2,FALSE)</f>
        <v>-9.38895506534136</v>
      </c>
    </row>
    <row r="198" ht="21.25" customHeight="1">
      <c r="A198" t="s" s="8">
        <v>654</v>
      </c>
      <c r="B198" t="s" s="159">
        <f>VLOOKUP(A198,'The List'!B1:D730,3,FALSE)</f>
        <v>129</v>
      </c>
      <c r="C198" s="160">
        <f>IF('Settings'!$E$15="POINTS",RANK(E198,E3:E228),H198)</f>
        <v>201</v>
      </c>
      <c r="D198" t="s" s="42">
        <f>VLOOKUP(A198,'The List'!B1:F730,5,FALSE)</f>
        <v>202</v>
      </c>
      <c r="E198" s="46">
        <f>VLOOKUP(A198,'The List'!B1:I730,8,FALSE)</f>
        <v>123.137905686396</v>
      </c>
      <c r="F198" s="46">
        <f>IF('Settings'!$E$15="POINTS",E198-VLOOKUP(B$2,C1:E228,3,FALSE),J198)</f>
        <v>-217.597232960127</v>
      </c>
      <c r="G198" s="46"/>
      <c r="H198" s="149">
        <f>RANK(I198,I3:I228)</f>
        <v>162</v>
      </c>
      <c r="I198" s="150">
        <f>VLOOKUP(A198,'Standard Deviations'!A1:C731,3,FALSE)</f>
        <v>-2.44776039744161</v>
      </c>
      <c r="J198" s="150">
        <f>I198-VLOOKUP(B$2,H1:J228,2,FALSE)</f>
        <v>-7.82975926760485</v>
      </c>
    </row>
    <row r="199" ht="21.25" customHeight="1">
      <c r="A199" t="s" s="8">
        <v>655</v>
      </c>
      <c r="B199" t="s" s="159">
        <f>VLOOKUP(A199,'The List'!B1:D730,3,FALSE)</f>
        <v>129</v>
      </c>
      <c r="C199" s="160">
        <f>IF('Settings'!$E$15="POINTS",RANK(E199,E3:E228),H199)</f>
        <v>196</v>
      </c>
      <c r="D199" t="s" s="42">
        <f>VLOOKUP(A199,'The List'!B1:F730,5,FALSE)</f>
        <v>248</v>
      </c>
      <c r="E199" s="46">
        <f>VLOOKUP(A199,'The List'!B1:I730,8,FALSE)</f>
        <v>129.843095387677</v>
      </c>
      <c r="F199" s="46">
        <f>IF('Settings'!$E$15="POINTS",E199-VLOOKUP(B$2,C1:E228,3,FALSE),J199)</f>
        <v>-210.892043258846</v>
      </c>
      <c r="G199" s="46"/>
      <c r="H199" s="149">
        <f>RANK(I199,I3:I228)</f>
        <v>189</v>
      </c>
      <c r="I199" s="150">
        <f>VLOOKUP(A199,'Standard Deviations'!A1:C731,3,FALSE)</f>
        <v>-3.54912994856107</v>
      </c>
      <c r="J199" s="150">
        <f>I199-VLOOKUP(B$2,H1:J228,2,FALSE)</f>
        <v>-8.931128818724311</v>
      </c>
    </row>
    <row r="200" ht="21.25" customHeight="1">
      <c r="A200" t="s" s="8">
        <v>656</v>
      </c>
      <c r="B200" t="s" s="159">
        <f>VLOOKUP(A200,'The List'!B1:D730,3,FALSE)</f>
        <v>129</v>
      </c>
      <c r="C200" s="160">
        <f>IF('Settings'!$E$15="POINTS",RANK(E200,E3:E228),H200)</f>
        <v>186</v>
      </c>
      <c r="D200" t="s" s="42">
        <f>VLOOKUP(A200,'The List'!B1:F730,5,FALSE)</f>
        <v>119</v>
      </c>
      <c r="E200" s="46">
        <f>VLOOKUP(A200,'The List'!B1:I730,8,FALSE)</f>
        <v>142.650218455877</v>
      </c>
      <c r="F200" s="46">
        <f>IF('Settings'!$E$15="POINTS",E200-VLOOKUP(B$2,C1:E228,3,FALSE),J200)</f>
        <v>-198.084920190646</v>
      </c>
      <c r="G200" s="46"/>
      <c r="H200" s="149">
        <f>RANK(I200,I3:I228)</f>
        <v>185</v>
      </c>
      <c r="I200" s="150">
        <f>VLOOKUP(A200,'Standard Deviations'!A1:C731,3,FALSE)</f>
        <v>-3.47969863292542</v>
      </c>
      <c r="J200" s="150">
        <f>I200-VLOOKUP(B$2,H1:J228,2,FALSE)</f>
        <v>-8.86169750308866</v>
      </c>
    </row>
    <row r="201" ht="21.25" customHeight="1">
      <c r="A201" t="s" s="8">
        <v>658</v>
      </c>
      <c r="B201" t="s" s="159">
        <f>VLOOKUP(A201,'The List'!B1:D730,3,FALSE)</f>
        <v>129</v>
      </c>
      <c r="C201" s="160">
        <f>IF('Settings'!$E$15="POINTS",RANK(E201,E3:E228),H201)</f>
        <v>185</v>
      </c>
      <c r="D201" t="s" s="42">
        <f>VLOOKUP(A201,'The List'!B1:F730,5,FALSE)</f>
        <v>139</v>
      </c>
      <c r="E201" s="46">
        <f>VLOOKUP(A201,'The List'!B1:I730,8,FALSE)</f>
        <v>143.670983592713</v>
      </c>
      <c r="F201" s="46">
        <f>IF('Settings'!$E$15="POINTS",E201-VLOOKUP(B$2,C1:E228,3,FALSE),J201)</f>
        <v>-197.064155053810</v>
      </c>
      <c r="G201" s="46"/>
      <c r="H201" s="149">
        <f>RANK(I201,I3:I228)</f>
        <v>203</v>
      </c>
      <c r="I201" s="150">
        <f>VLOOKUP(A201,'Standard Deviations'!A1:C731,3,FALSE)</f>
        <v>-3.96286087433605</v>
      </c>
      <c r="J201" s="150">
        <f>I201-VLOOKUP(B$2,H1:J228,2,FALSE)</f>
        <v>-9.34485974449929</v>
      </c>
    </row>
    <row r="202" ht="21.25" customHeight="1">
      <c r="A202" t="s" s="8">
        <v>657</v>
      </c>
      <c r="B202" t="s" s="159">
        <f>VLOOKUP(A202,'The List'!B1:D730,3,FALSE)</f>
        <v>129</v>
      </c>
      <c r="C202" s="160">
        <f>IF('Settings'!$E$15="POINTS",RANK(E202,E3:E228),H202)</f>
        <v>210</v>
      </c>
      <c r="D202" t="s" s="42">
        <f>VLOOKUP(A202,'The List'!B1:F730,5,FALSE)</f>
        <v>225</v>
      </c>
      <c r="E202" s="46">
        <f>VLOOKUP(A202,'The List'!B1:I730,8,FALSE)</f>
        <v>114.866348079240</v>
      </c>
      <c r="F202" s="46">
        <f>IF('Settings'!$E$15="POINTS",E202-VLOOKUP(B$2,C1:E228,3,FALSE),J202)</f>
        <v>-225.868790567283</v>
      </c>
      <c r="G202" s="46"/>
      <c r="H202" s="149">
        <f>RANK(I202,I3:I228)</f>
        <v>218</v>
      </c>
      <c r="I202" s="150">
        <f>VLOOKUP(A202,'Standard Deviations'!A1:C731,3,FALSE)</f>
        <v>-4.83870390882053</v>
      </c>
      <c r="J202" s="150">
        <f>I202-VLOOKUP(B$2,H1:J228,2,FALSE)</f>
        <v>-10.2207027789838</v>
      </c>
    </row>
    <row r="203" ht="21.25" customHeight="1">
      <c r="A203" t="s" s="8">
        <v>659</v>
      </c>
      <c r="B203" t="s" s="159">
        <f>VLOOKUP(A203,'The List'!B1:D730,3,FALSE)</f>
        <v>129</v>
      </c>
      <c r="C203" s="160">
        <f>IF('Settings'!$E$15="POINTS",RANK(E203,E3:E228),H203)</f>
        <v>192</v>
      </c>
      <c r="D203" t="s" s="42">
        <f>VLOOKUP(A203,'The List'!B1:F730,5,FALSE)</f>
        <v>164</v>
      </c>
      <c r="E203" s="46">
        <f>VLOOKUP(A203,'The List'!B1:I730,8,FALSE)</f>
        <v>134.628525703409</v>
      </c>
      <c r="F203" s="46">
        <f>IF('Settings'!$E$15="POINTS",E203-VLOOKUP(B$2,C1:E228,3,FALSE),J203)</f>
        <v>-206.106612943114</v>
      </c>
      <c r="G203" s="46"/>
      <c r="H203" s="149">
        <f>RANK(I203,I3:I228)</f>
        <v>186</v>
      </c>
      <c r="I203" s="150">
        <f>VLOOKUP(A203,'Standard Deviations'!A1:C731,3,FALSE)</f>
        <v>-3.52289022610572</v>
      </c>
      <c r="J203" s="150">
        <f>I203-VLOOKUP(B$2,H1:J228,2,FALSE)</f>
        <v>-8.90488909626896</v>
      </c>
    </row>
    <row r="204" ht="21.25" customHeight="1">
      <c r="A204" t="s" s="8">
        <v>662</v>
      </c>
      <c r="B204" t="s" s="159">
        <f>VLOOKUP(A204,'The List'!B1:D730,3,FALSE)</f>
        <v>129</v>
      </c>
      <c r="C204" s="160">
        <f>IF('Settings'!$E$15="POINTS",RANK(E204,E3:E228),H204)</f>
        <v>180</v>
      </c>
      <c r="D204" t="s" s="42">
        <f>VLOOKUP(A204,'The List'!B1:F730,5,FALSE)</f>
        <v>196</v>
      </c>
      <c r="E204" s="46">
        <f>VLOOKUP(A204,'The List'!B1:I730,8,FALSE)</f>
        <v>151.277883639377</v>
      </c>
      <c r="F204" s="46">
        <f>IF('Settings'!$E$15="POINTS",E204-VLOOKUP(B$2,C1:E228,3,FALSE),J204)</f>
        <v>-189.457255007146</v>
      </c>
      <c r="G204" s="46"/>
      <c r="H204" s="149">
        <f>RANK(I204,I3:I228)</f>
        <v>208</v>
      </c>
      <c r="I204" s="150">
        <f>VLOOKUP(A204,'Standard Deviations'!A1:C731,3,FALSE)</f>
        <v>-4.15385920789243</v>
      </c>
      <c r="J204" s="150">
        <f>I204-VLOOKUP(B$2,H1:J228,2,FALSE)</f>
        <v>-9.53585807805567</v>
      </c>
    </row>
    <row r="205" ht="21.25" customHeight="1">
      <c r="A205" t="s" s="8">
        <v>666</v>
      </c>
      <c r="B205" t="s" s="159">
        <f>VLOOKUP(A205,'The List'!B1:D730,3,FALSE)</f>
        <v>129</v>
      </c>
      <c r="C205" s="160">
        <f>IF('Settings'!$E$15="POINTS",RANK(E205,E3:E228),H205)</f>
        <v>191</v>
      </c>
      <c r="D205" t="s" s="42">
        <f>VLOOKUP(A205,'The List'!B1:F730,5,FALSE)</f>
        <v>124</v>
      </c>
      <c r="E205" s="46">
        <f>VLOOKUP(A205,'The List'!B1:I730,8,FALSE)</f>
        <v>136.957021821763</v>
      </c>
      <c r="F205" s="46">
        <f>IF('Settings'!$E$15="POINTS",E205-VLOOKUP(B$2,C1:E228,3,FALSE),J205)</f>
        <v>-203.778116824760</v>
      </c>
      <c r="G205" s="46"/>
      <c r="H205" s="149">
        <f>RANK(I205,I3:I228)</f>
        <v>201</v>
      </c>
      <c r="I205" s="150">
        <f>VLOOKUP(A205,'Standard Deviations'!A1:C731,3,FALSE)</f>
        <v>-3.95044045268618</v>
      </c>
      <c r="J205" s="150">
        <f>I205-VLOOKUP(B$2,H1:J228,2,FALSE)</f>
        <v>-9.332439322849419</v>
      </c>
    </row>
    <row r="206" ht="21.25" customHeight="1">
      <c r="A206" t="s" s="8">
        <v>670</v>
      </c>
      <c r="B206" t="s" s="159">
        <f>VLOOKUP(A206,'The List'!B1:D730,3,FALSE)</f>
        <v>129</v>
      </c>
      <c r="C206" s="160">
        <f>IF('Settings'!$E$15="POINTS",RANK(E206,E3:E228),H206)</f>
        <v>214</v>
      </c>
      <c r="D206" t="s" s="42">
        <f>VLOOKUP(A206,'The List'!B1:F730,5,FALSE)</f>
        <v>234</v>
      </c>
      <c r="E206" s="46">
        <f>VLOOKUP(A206,'The List'!B1:I730,8,FALSE)</f>
        <v>112.469217680578</v>
      </c>
      <c r="F206" s="46">
        <f>IF('Settings'!$E$15="POINTS",E206-VLOOKUP(B$2,C1:E228,3,FALSE),J206)</f>
        <v>-228.265920965945</v>
      </c>
      <c r="G206" s="46"/>
      <c r="H206" s="149">
        <f>RANK(I206,I3:I228)</f>
        <v>226</v>
      </c>
      <c r="I206" s="150">
        <f>VLOOKUP(A206,'Standard Deviations'!A1:C731,3,FALSE)</f>
        <v>-5.89373387699041</v>
      </c>
      <c r="J206" s="150">
        <f>I206-VLOOKUP(B$2,H1:J228,2,FALSE)</f>
        <v>-11.2757327471537</v>
      </c>
    </row>
    <row r="207" ht="21.25" customHeight="1">
      <c r="A207" t="s" s="8">
        <v>682</v>
      </c>
      <c r="B207" t="s" s="159">
        <f>VLOOKUP(A207,'The List'!B1:D730,3,FALSE)</f>
        <v>129</v>
      </c>
      <c r="C207" s="160">
        <f>IF('Settings'!$E$15="POINTS",RANK(E207,E3:E228),H207)</f>
        <v>218</v>
      </c>
      <c r="D207" t="s" s="42">
        <f>VLOOKUP(A207,'The List'!B1:F730,5,FALSE)</f>
        <v>258</v>
      </c>
      <c r="E207" s="46">
        <f>VLOOKUP(A207,'The List'!B1:I730,8,FALSE)</f>
        <v>106.100777060494</v>
      </c>
      <c r="F207" s="46">
        <f>IF('Settings'!$E$15="POINTS",E207-VLOOKUP(B$2,C1:E228,3,FALSE),J207)</f>
        <v>-234.634361586029</v>
      </c>
      <c r="G207" s="46"/>
      <c r="H207" s="149">
        <f>RANK(I207,I3:I228)</f>
        <v>224</v>
      </c>
      <c r="I207" s="150">
        <f>VLOOKUP(A207,'Standard Deviations'!A1:C731,3,FALSE)</f>
        <v>-5.80448960484071</v>
      </c>
      <c r="J207" s="150">
        <f>I207-VLOOKUP(B$2,H1:J228,2,FALSE)</f>
        <v>-11.186488475004</v>
      </c>
    </row>
    <row r="208" ht="21.25" customHeight="1">
      <c r="A208" t="s" s="8">
        <v>673</v>
      </c>
      <c r="B208" t="s" s="159">
        <f>VLOOKUP(A208,'The List'!B1:D730,3,FALSE)</f>
        <v>129</v>
      </c>
      <c r="C208" s="160">
        <f>IF('Settings'!$E$15="POINTS",RANK(E208,E3:E228),H208)</f>
        <v>200</v>
      </c>
      <c r="D208" t="s" s="42">
        <f>VLOOKUP(A208,'The List'!B1:F730,5,FALSE)</f>
        <v>124</v>
      </c>
      <c r="E208" s="46">
        <f>VLOOKUP(A208,'The List'!B1:I730,8,FALSE)</f>
        <v>124.117249378097</v>
      </c>
      <c r="F208" s="46">
        <f>IF('Settings'!$E$15="POINTS",E208-VLOOKUP(B$2,C1:E228,3,FALSE),J208)</f>
        <v>-216.617889268426</v>
      </c>
      <c r="G208" s="46"/>
      <c r="H208" s="149">
        <f>RANK(I208,I3:I228)</f>
        <v>195</v>
      </c>
      <c r="I208" s="150">
        <f>VLOOKUP(A208,'Standard Deviations'!A1:C731,3,FALSE)</f>
        <v>-3.84419677629199</v>
      </c>
      <c r="J208" s="150">
        <f>I208-VLOOKUP(B$2,H1:J228,2,FALSE)</f>
        <v>-9.226195646455229</v>
      </c>
    </row>
    <row r="209" ht="21.25" customHeight="1">
      <c r="A209" t="s" s="8">
        <v>674</v>
      </c>
      <c r="B209" t="s" s="159">
        <f>VLOOKUP(A209,'The List'!B1:D730,3,FALSE)</f>
        <v>129</v>
      </c>
      <c r="C209" s="160">
        <f>IF('Settings'!$E$15="POINTS",RANK(E209,E3:E228),H209)</f>
        <v>187</v>
      </c>
      <c r="D209" t="s" s="42">
        <f>VLOOKUP(A209,'The List'!B1:F730,5,FALSE)</f>
        <v>225</v>
      </c>
      <c r="E209" s="46">
        <f>VLOOKUP(A209,'The List'!B1:I730,8,FALSE)</f>
        <v>142.200719611373</v>
      </c>
      <c r="F209" s="46">
        <f>IF('Settings'!$E$15="POINTS",E209-VLOOKUP(B$2,C1:E228,3,FALSE),J209)</f>
        <v>-198.534419035150</v>
      </c>
      <c r="G209" s="46"/>
      <c r="H209" s="149">
        <f>RANK(I209,I3:I228)</f>
        <v>221</v>
      </c>
      <c r="I209" s="150">
        <f>VLOOKUP(A209,'Standard Deviations'!A1:C731,3,FALSE)</f>
        <v>-5.05630175602002</v>
      </c>
      <c r="J209" s="150">
        <f>I209-VLOOKUP(B$2,H1:J228,2,FALSE)</f>
        <v>-10.4383006261833</v>
      </c>
    </row>
    <row r="210" ht="21.25" customHeight="1">
      <c r="A210" t="s" s="8">
        <v>677</v>
      </c>
      <c r="B210" t="s" s="159">
        <f>VLOOKUP(A210,'The List'!B1:D730,3,FALSE)</f>
        <v>129</v>
      </c>
      <c r="C210" s="160">
        <f>IF('Settings'!$E$15="POINTS",RANK(E210,E3:E228),H210)</f>
        <v>211</v>
      </c>
      <c r="D210" t="s" s="42">
        <f>VLOOKUP(A210,'The List'!B1:F730,5,FALSE)</f>
        <v>166</v>
      </c>
      <c r="E210" s="46">
        <f>VLOOKUP(A210,'The List'!B1:I730,8,FALSE)</f>
        <v>114.614004925558</v>
      </c>
      <c r="F210" s="46">
        <f>IF('Settings'!$E$15="POINTS",E210-VLOOKUP(B$2,C1:E228,3,FALSE),J210)</f>
        <v>-226.121133720965</v>
      </c>
      <c r="G210" s="46"/>
      <c r="H210" s="149">
        <f>RANK(I210,I3:I228)</f>
        <v>214</v>
      </c>
      <c r="I210" s="150">
        <f>VLOOKUP(A210,'Standard Deviations'!A1:C731,3,FALSE)</f>
        <v>-4.5174745579403</v>
      </c>
      <c r="J210" s="150">
        <f>I210-VLOOKUP(B$2,H1:J228,2,FALSE)</f>
        <v>-9.899473428103541</v>
      </c>
    </row>
    <row r="211" ht="21.25" customHeight="1">
      <c r="A211" t="s" s="8">
        <v>680</v>
      </c>
      <c r="B211" t="s" s="159">
        <f>VLOOKUP(A211,'The List'!B1:D730,3,FALSE)</f>
        <v>129</v>
      </c>
      <c r="C211" s="160">
        <f>IF('Settings'!$E$15="POINTS",RANK(E211,E3:E228),H211)</f>
        <v>215</v>
      </c>
      <c r="D211" t="s" s="42">
        <f>VLOOKUP(A211,'The List'!B1:F730,5,FALSE)</f>
        <v>234</v>
      </c>
      <c r="E211" s="46">
        <f>VLOOKUP(A211,'The List'!B1:I730,8,FALSE)</f>
        <v>109.686134416247</v>
      </c>
      <c r="F211" s="46">
        <f>IF('Settings'!$E$15="POINTS",E211-VLOOKUP(B$2,C1:E228,3,FALSE),J211)</f>
        <v>-231.049004230276</v>
      </c>
      <c r="G211" s="46"/>
      <c r="H211" s="149">
        <f>RANK(I211,I3:I228)</f>
        <v>225</v>
      </c>
      <c r="I211" s="150">
        <f>VLOOKUP(A211,'Standard Deviations'!A1:C731,3,FALSE)</f>
        <v>-5.86347089814156</v>
      </c>
      <c r="J211" s="150">
        <f>I211-VLOOKUP(B$2,H1:J228,2,FALSE)</f>
        <v>-11.2454697683048</v>
      </c>
    </row>
    <row r="212" ht="21.25" customHeight="1">
      <c r="A212" t="s" s="8">
        <v>684</v>
      </c>
      <c r="B212" t="s" s="159">
        <f>VLOOKUP(A212,'The List'!B1:D730,3,FALSE)</f>
        <v>129</v>
      </c>
      <c r="C212" s="160">
        <f>IF('Settings'!$E$15="POINTS",RANK(E212,E3:E228),H212)</f>
        <v>195</v>
      </c>
      <c r="D212" t="s" s="42">
        <f>VLOOKUP(A212,'The List'!B1:F730,5,FALSE)</f>
        <v>170</v>
      </c>
      <c r="E212" s="46">
        <f>VLOOKUP(A212,'The List'!B1:I730,8,FALSE)</f>
        <v>130.829732983107</v>
      </c>
      <c r="F212" s="46">
        <f>IF('Settings'!$E$15="POINTS",E212-VLOOKUP(B$2,C1:E228,3,FALSE),J212)</f>
        <v>-209.905405663416</v>
      </c>
      <c r="G212" s="46"/>
      <c r="H212" s="149">
        <f>RANK(I212,I3:I228)</f>
        <v>180</v>
      </c>
      <c r="I212" s="150">
        <f>VLOOKUP(A212,'Standard Deviations'!A1:C731,3,FALSE)</f>
        <v>-3.35942458820104</v>
      </c>
      <c r="J212" s="150">
        <f>I212-VLOOKUP(B$2,H1:J228,2,FALSE)</f>
        <v>-8.741423458364279</v>
      </c>
    </row>
    <row r="213" ht="21.25" customHeight="1">
      <c r="A213" t="s" s="8">
        <v>686</v>
      </c>
      <c r="B213" t="s" s="159">
        <f>VLOOKUP(A213,'The List'!B1:D730,3,FALSE)</f>
        <v>129</v>
      </c>
      <c r="C213" s="160">
        <f>IF('Settings'!$E$15="POINTS",RANK(E213,E3:E228),H213)</f>
        <v>206</v>
      </c>
      <c r="D213" t="s" s="42">
        <f>VLOOKUP(A213,'The List'!B1:F730,5,FALSE)</f>
        <v>156</v>
      </c>
      <c r="E213" s="46">
        <f>VLOOKUP(A213,'The List'!B1:I730,8,FALSE)</f>
        <v>121.188926004857</v>
      </c>
      <c r="F213" s="46">
        <f>IF('Settings'!$E$15="POINTS",E213-VLOOKUP(B$2,C1:E228,3,FALSE),J213)</f>
        <v>-219.546212641666</v>
      </c>
      <c r="G213" s="46"/>
      <c r="H213" s="149">
        <f>RANK(I213,I3:I228)</f>
        <v>206</v>
      </c>
      <c r="I213" s="150">
        <f>VLOOKUP(A213,'Standard Deviations'!A1:C731,3,FALSE)</f>
        <v>-4.12495411797356</v>
      </c>
      <c r="J213" s="150">
        <f>I213-VLOOKUP(B$2,H1:J228,2,FALSE)</f>
        <v>-9.506952988136799</v>
      </c>
    </row>
    <row r="214" ht="21.25" customHeight="1">
      <c r="A214" t="s" s="8">
        <v>687</v>
      </c>
      <c r="B214" t="s" s="159">
        <f>VLOOKUP(A214,'The List'!B1:D730,3,FALSE)</f>
        <v>129</v>
      </c>
      <c r="C214" s="160">
        <f>IF('Settings'!$E$15="POINTS",RANK(E214,E3:E228),H214)</f>
        <v>221</v>
      </c>
      <c r="D214" t="s" s="42">
        <f>VLOOKUP(A214,'The List'!B1:F730,5,FALSE)</f>
        <v>113</v>
      </c>
      <c r="E214" s="46">
        <f>VLOOKUP(A214,'The List'!B1:I730,8,FALSE)</f>
        <v>97.47256073867131</v>
      </c>
      <c r="F214" s="46">
        <f>IF('Settings'!$E$15="POINTS",E214-VLOOKUP(B$2,C1:E228,3,FALSE),J214)</f>
        <v>-243.262577907852</v>
      </c>
      <c r="G214" s="46"/>
      <c r="H214" s="149">
        <f>RANK(I214,I3:I228)</f>
        <v>198</v>
      </c>
      <c r="I214" s="150">
        <f>VLOOKUP(A214,'Standard Deviations'!A1:C731,3,FALSE)</f>
        <v>-3.90639928137884</v>
      </c>
      <c r="J214" s="150">
        <f>I214-VLOOKUP(B$2,H1:J228,2,FALSE)</f>
        <v>-9.288398151542079</v>
      </c>
    </row>
    <row r="215" ht="21.25" customHeight="1">
      <c r="A215" t="s" s="8">
        <v>688</v>
      </c>
      <c r="B215" t="s" s="159">
        <f>VLOOKUP(A215,'The List'!B1:D730,3,FALSE)</f>
        <v>129</v>
      </c>
      <c r="C215" s="160">
        <f>IF('Settings'!$E$15="POINTS",RANK(E215,E3:E228),H215)</f>
        <v>203</v>
      </c>
      <c r="D215" t="s" s="42">
        <f>VLOOKUP(A215,'The List'!B1:F730,5,FALSE)</f>
        <v>127</v>
      </c>
      <c r="E215" s="46">
        <f>VLOOKUP(A215,'The List'!B1:I730,8,FALSE)</f>
        <v>122.211501654392</v>
      </c>
      <c r="F215" s="46">
        <f>IF('Settings'!$E$15="POINTS",E215-VLOOKUP(B$2,C1:E228,3,FALSE),J215)</f>
        <v>-218.523636992131</v>
      </c>
      <c r="G215" s="46"/>
      <c r="H215" s="149">
        <f>RANK(I215,I3:I228)</f>
        <v>202</v>
      </c>
      <c r="I215" s="150">
        <f>VLOOKUP(A215,'Standard Deviations'!A1:C731,3,FALSE)</f>
        <v>-3.96076169475203</v>
      </c>
      <c r="J215" s="150">
        <f>I215-VLOOKUP(B$2,H1:J228,2,FALSE)</f>
        <v>-9.34276056491527</v>
      </c>
    </row>
    <row r="216" ht="21.25" customHeight="1">
      <c r="A216" t="s" s="8">
        <v>692</v>
      </c>
      <c r="B216" t="s" s="159">
        <f>VLOOKUP(A216,'The List'!B1:D730,3,FALSE)</f>
        <v>129</v>
      </c>
      <c r="C216" s="160">
        <f>IF('Settings'!$E$15="POINTS",RANK(E216,E3:E228),H216)</f>
        <v>220</v>
      </c>
      <c r="D216" t="s" s="42">
        <f>VLOOKUP(A216,'The List'!B1:F730,5,FALSE)</f>
        <v>151</v>
      </c>
      <c r="E216" s="46">
        <f>VLOOKUP(A216,'The List'!B1:I730,8,FALSE)</f>
        <v>100.473353254952</v>
      </c>
      <c r="F216" s="46">
        <f>IF('Settings'!$E$15="POINTS",E216-VLOOKUP(B$2,C1:E228,3,FALSE),J216)</f>
        <v>-240.261785391571</v>
      </c>
      <c r="G216" s="46"/>
      <c r="H216" s="149">
        <f>RANK(I216,I3:I228)</f>
        <v>200</v>
      </c>
      <c r="I216" s="150">
        <f>VLOOKUP(A216,'Standard Deviations'!A1:C731,3,FALSE)</f>
        <v>-3.93373628092643</v>
      </c>
      <c r="J216" s="150">
        <f>I216-VLOOKUP(B$2,H1:J228,2,FALSE)</f>
        <v>-9.315735151089671</v>
      </c>
    </row>
    <row r="217" ht="21.25" customHeight="1">
      <c r="A217" t="s" s="8">
        <v>693</v>
      </c>
      <c r="B217" t="s" s="159">
        <f>VLOOKUP(A217,'The List'!B1:D730,3,FALSE)</f>
        <v>129</v>
      </c>
      <c r="C217" s="160">
        <f>IF('Settings'!$E$15="POINTS",RANK(E217,E3:E228),H217)</f>
        <v>217</v>
      </c>
      <c r="D217" t="s" s="42">
        <f>VLOOKUP(A217,'The List'!B1:F730,5,FALSE)</f>
        <v>173</v>
      </c>
      <c r="E217" s="46">
        <f>VLOOKUP(A217,'The List'!B1:I730,8,FALSE)</f>
        <v>107.212791844475</v>
      </c>
      <c r="F217" s="46">
        <f>IF('Settings'!$E$15="POINTS",E217-VLOOKUP(B$2,C1:E228,3,FALSE),J217)</f>
        <v>-233.522346802048</v>
      </c>
      <c r="G217" s="46"/>
      <c r="H217" s="149">
        <f>RANK(I217,I3:I228)</f>
        <v>213</v>
      </c>
      <c r="I217" s="150">
        <f>VLOOKUP(A217,'Standard Deviations'!A1:C731,3,FALSE)</f>
        <v>-4.26483726243566</v>
      </c>
      <c r="J217" s="150">
        <f>I217-VLOOKUP(B$2,H1:J228,2,FALSE)</f>
        <v>-9.646836132598899</v>
      </c>
    </row>
    <row r="218" ht="21.25" customHeight="1">
      <c r="A218" t="s" s="8">
        <v>695</v>
      </c>
      <c r="B218" t="s" s="159">
        <f>VLOOKUP(A218,'The List'!B1:D730,3,FALSE)</f>
        <v>129</v>
      </c>
      <c r="C218" s="160">
        <f>IF('Settings'!$E$15="POINTS",RANK(E218,E3:E228),H218)</f>
        <v>205</v>
      </c>
      <c r="D218" t="s" s="42">
        <f>VLOOKUP(A218,'The List'!B1:F730,5,FALSE)</f>
        <v>113</v>
      </c>
      <c r="E218" s="46">
        <f>VLOOKUP(A218,'The List'!B1:I730,8,FALSE)</f>
        <v>121.732087107139</v>
      </c>
      <c r="F218" s="46">
        <f>IF('Settings'!$E$15="POINTS",E218-VLOOKUP(B$2,C1:E228,3,FALSE),J218)</f>
        <v>-219.003051539384</v>
      </c>
      <c r="G218" s="46"/>
      <c r="H218" s="149">
        <f>RANK(I218,I3:I228)</f>
        <v>178</v>
      </c>
      <c r="I218" s="150">
        <f>VLOOKUP(A218,'Standard Deviations'!A1:C731,3,FALSE)</f>
        <v>-3.31410249051995</v>
      </c>
      <c r="J218" s="150">
        <f>I218-VLOOKUP(B$2,H1:J228,2,FALSE)</f>
        <v>-8.696101360683191</v>
      </c>
    </row>
    <row r="219" ht="21.25" customHeight="1">
      <c r="A219" t="s" s="8">
        <v>725</v>
      </c>
      <c r="B219" t="s" s="159">
        <f>VLOOKUP(A219,'The List'!B1:D730,3,FALSE)</f>
        <v>129</v>
      </c>
      <c r="C219" s="160">
        <f>IF('Settings'!$E$15="POINTS",RANK(E219,E3:E228),H219)</f>
        <v>226</v>
      </c>
      <c r="D219" t="s" s="42">
        <f>VLOOKUP(A219,'The List'!B1:F730,5,FALSE)</f>
        <v>122</v>
      </c>
      <c r="E219" s="46">
        <f>VLOOKUP(A219,'The List'!B1:I730,8,FALSE)</f>
        <v>88.47010185417059</v>
      </c>
      <c r="F219" s="46">
        <f>IF('Settings'!$E$15="POINTS",E219-VLOOKUP(B$2,C1:E228,3,FALSE),J219)</f>
        <v>-252.265036792352</v>
      </c>
      <c r="G219" s="46"/>
      <c r="H219" s="149">
        <f>RANK(I219,I3:I228)</f>
        <v>216</v>
      </c>
      <c r="I219" s="150">
        <f>VLOOKUP(A219,'Standard Deviations'!A1:C731,3,FALSE)</f>
        <v>-4.65447737461234</v>
      </c>
      <c r="J219" s="150">
        <f>I219-VLOOKUP(B$2,H1:J228,2,FALSE)</f>
        <v>-10.0364762447756</v>
      </c>
    </row>
    <row r="220" ht="21.25" customHeight="1">
      <c r="A220" t="s" s="8">
        <v>702</v>
      </c>
      <c r="B220" t="s" s="159">
        <f>VLOOKUP(A220,'The List'!B1:D730,3,FALSE)</f>
        <v>129</v>
      </c>
      <c r="C220" s="160">
        <f>IF('Settings'!$E$15="POINTS",RANK(E220,E3:E228),H220)</f>
        <v>222</v>
      </c>
      <c r="D220" t="s" s="42">
        <f>VLOOKUP(A220,'The List'!B1:F730,5,FALSE)</f>
        <v>108</v>
      </c>
      <c r="E220" s="46">
        <f>VLOOKUP(A220,'The List'!B1:I730,8,FALSE)</f>
        <v>96.3920793329148</v>
      </c>
      <c r="F220" s="46">
        <f>IF('Settings'!$E$15="POINTS",E220-VLOOKUP(B$2,C1:E228,3,FALSE),J220)</f>
        <v>-244.343059313608</v>
      </c>
      <c r="G220" s="46"/>
      <c r="H220" s="149">
        <f>RANK(I220,I3:I228)</f>
        <v>191</v>
      </c>
      <c r="I220" s="150">
        <f>VLOOKUP(A220,'Standard Deviations'!A1:C731,3,FALSE)</f>
        <v>-3.57560280099055</v>
      </c>
      <c r="J220" s="150">
        <f>I220-VLOOKUP(B$2,H1:J228,2,FALSE)</f>
        <v>-8.957601671153791</v>
      </c>
    </row>
    <row r="221" ht="21.25" customHeight="1">
      <c r="A221" t="s" s="8">
        <v>708</v>
      </c>
      <c r="B221" t="s" s="159">
        <f>VLOOKUP(A221,'The List'!B1:D730,3,FALSE)</f>
        <v>129</v>
      </c>
      <c r="C221" s="160">
        <f>IF('Settings'!$E$15="POINTS",RANK(E221,E3:E228),H221)</f>
        <v>219</v>
      </c>
      <c r="D221" t="s" s="42">
        <f>VLOOKUP(A221,'The List'!B1:F730,5,FALSE)</f>
        <v>204</v>
      </c>
      <c r="E221" s="46">
        <f>VLOOKUP(A221,'The List'!B1:I730,8,FALSE)</f>
        <v>100.655155101794</v>
      </c>
      <c r="F221" s="46">
        <f>IF('Settings'!$E$15="POINTS",E221-VLOOKUP(B$2,C1:E228,3,FALSE),J221)</f>
        <v>-240.079983544729</v>
      </c>
      <c r="G221" s="46"/>
      <c r="H221" s="149">
        <f>RANK(I221,I3:I228)</f>
        <v>215</v>
      </c>
      <c r="I221" s="150">
        <f>VLOOKUP(A221,'Standard Deviations'!A1:C731,3,FALSE)</f>
        <v>-4.63878259708861</v>
      </c>
      <c r="J221" s="150">
        <f>I221-VLOOKUP(B$2,H1:J228,2,FALSE)</f>
        <v>-10.0207814672519</v>
      </c>
    </row>
    <row r="222" ht="21.25" customHeight="1">
      <c r="A222" t="s" s="8">
        <v>715</v>
      </c>
      <c r="B222" t="s" s="159">
        <f>VLOOKUP(A222,'The List'!B1:D730,3,FALSE)</f>
        <v>129</v>
      </c>
      <c r="C222" s="160">
        <f>IF('Settings'!$E$15="POINTS",RANK(E222,E3:E228),H222)</f>
        <v>216</v>
      </c>
      <c r="D222" t="s" s="42">
        <f>VLOOKUP(A222,'The List'!B1:F730,5,FALSE)</f>
        <v>108</v>
      </c>
      <c r="E222" s="46">
        <f>VLOOKUP(A222,'The List'!B1:I730,8,FALSE)</f>
        <v>109.055032591645</v>
      </c>
      <c r="F222" s="46">
        <f>IF('Settings'!$E$15="POINTS",E222-VLOOKUP(B$2,C1:E228,3,FALSE),J222)</f>
        <v>-231.680106054878</v>
      </c>
      <c r="G222" s="46"/>
      <c r="H222" s="149">
        <f>RANK(I222,I3:I228)</f>
        <v>171</v>
      </c>
      <c r="I222" s="150">
        <f>VLOOKUP(A222,'Standard Deviations'!A1:C731,3,FALSE)</f>
        <v>-3.09135971956826</v>
      </c>
      <c r="J222" s="150">
        <f>I222-VLOOKUP(B$2,H1:J228,2,FALSE)</f>
        <v>-8.4733585897315</v>
      </c>
    </row>
    <row r="223" ht="21.25" customHeight="1">
      <c r="A223" t="s" s="8">
        <v>719</v>
      </c>
      <c r="B223" t="s" s="159">
        <f>VLOOKUP(A223,'The List'!B1:D730,3,FALSE)</f>
        <v>129</v>
      </c>
      <c r="C223" s="160">
        <f>IF('Settings'!$E$15="POINTS",RANK(E223,E3:E228),H223)</f>
        <v>223</v>
      </c>
      <c r="D223" t="s" s="42">
        <f>VLOOKUP(A223,'The List'!B1:F730,5,FALSE)</f>
        <v>236</v>
      </c>
      <c r="E223" s="46">
        <f>VLOOKUP(A223,'The List'!B1:I730,8,FALSE)</f>
        <v>94.0156490128937</v>
      </c>
      <c r="F223" s="46">
        <f>IF('Settings'!$E$15="POINTS",E223-VLOOKUP(B$2,C1:E228,3,FALSE),J223)</f>
        <v>-246.719489633629</v>
      </c>
      <c r="G223" s="46"/>
      <c r="H223" s="149">
        <f>RANK(I223,I3:I228)</f>
        <v>223</v>
      </c>
      <c r="I223" s="150">
        <f>VLOOKUP(A223,'Standard Deviations'!A1:C731,3,FALSE)</f>
        <v>-5.53993782278989</v>
      </c>
      <c r="J223" s="150">
        <f>I223-VLOOKUP(B$2,H1:J228,2,FALSE)</f>
        <v>-10.9219366929531</v>
      </c>
    </row>
    <row r="224" ht="21.25" customHeight="1">
      <c r="A224" t="s" s="8">
        <v>721</v>
      </c>
      <c r="B224" t="s" s="159">
        <f>VLOOKUP(A224,'The List'!B1:D730,3,FALSE)</f>
        <v>129</v>
      </c>
      <c r="C224" s="160">
        <f>IF('Settings'!$E$15="POINTS",RANK(E224,E3:E228),H224)</f>
        <v>213</v>
      </c>
      <c r="D224" t="s" s="42">
        <f>VLOOKUP(A224,'The List'!B1:F730,5,FALSE)</f>
        <v>194</v>
      </c>
      <c r="E224" s="46">
        <f>VLOOKUP(A224,'The List'!B1:I730,8,FALSE)</f>
        <v>113.423355158898</v>
      </c>
      <c r="F224" s="46">
        <f>IF('Settings'!$E$15="POINTS",E224-VLOOKUP(B$2,C1:E228,3,FALSE),J224)</f>
        <v>-227.311783487625</v>
      </c>
      <c r="G224" s="46"/>
      <c r="H224" s="149">
        <f>RANK(I224,I3:I228)</f>
        <v>219</v>
      </c>
      <c r="I224" s="150">
        <f>VLOOKUP(A224,'Standard Deviations'!A1:C731,3,FALSE)</f>
        <v>-4.86667800818838</v>
      </c>
      <c r="J224" s="150">
        <f>I224-VLOOKUP(B$2,H1:J228,2,FALSE)</f>
        <v>-10.2486768783516</v>
      </c>
    </row>
    <row r="225" ht="21.25" customHeight="1">
      <c r="A225" t="s" s="8">
        <v>726</v>
      </c>
      <c r="B225" t="s" s="159">
        <f>VLOOKUP(A225,'The List'!B1:D730,3,FALSE)</f>
        <v>129</v>
      </c>
      <c r="C225" s="160">
        <f>IF('Settings'!$E$15="POINTS",RANK(E225,E3:E228),H225)</f>
        <v>224</v>
      </c>
      <c r="D225" t="s" s="42">
        <f>VLOOKUP(A225,'The List'!B1:F730,5,FALSE)</f>
        <v>136</v>
      </c>
      <c r="E225" s="46">
        <f>VLOOKUP(A225,'The List'!B1:I730,8,FALSE)</f>
        <v>93.62025424277959</v>
      </c>
      <c r="F225" s="46">
        <f>IF('Settings'!$E$15="POINTS",E225-VLOOKUP(B$2,C1:E228,3,FALSE),J225)</f>
        <v>-247.114884403743</v>
      </c>
      <c r="G225" s="46"/>
      <c r="H225" s="149">
        <f>RANK(I225,I3:I228)</f>
        <v>197</v>
      </c>
      <c r="I225" s="150">
        <f>VLOOKUP(A225,'Standard Deviations'!A1:C731,3,FALSE)</f>
        <v>-3.88143064808504</v>
      </c>
      <c r="J225" s="150">
        <f>I225-VLOOKUP(B$2,H1:J228,2,FALSE)</f>
        <v>-9.26342951824828</v>
      </c>
    </row>
    <row r="226" ht="21.25" customHeight="1">
      <c r="A226" t="s" s="8">
        <v>745</v>
      </c>
      <c r="B226" t="s" s="159">
        <f>VLOOKUP(A226,'The List'!B1:D730,3,FALSE)</f>
        <v>129</v>
      </c>
      <c r="C226" s="160">
        <f>IF('Settings'!$E$15="POINTS",RANK(E226,E3:E228),H226)</f>
        <v>225</v>
      </c>
      <c r="D226" t="s" s="42">
        <f>VLOOKUP(A226,'The List'!B1:F730,5,FALSE)</f>
        <v>204</v>
      </c>
      <c r="E226" s="46">
        <f>VLOOKUP(A226,'The List'!B1:I730,8,FALSE)</f>
        <v>92.19823404320471</v>
      </c>
      <c r="F226" s="46">
        <f>IF('Settings'!$E$15="POINTS",E226-VLOOKUP(B$2,C1:E228,3,FALSE),J226)</f>
        <v>-248.536904603318</v>
      </c>
      <c r="G226" s="46"/>
      <c r="H226" s="149">
        <f>RANK(I226,I3:I228)</f>
        <v>222</v>
      </c>
      <c r="I226" s="150">
        <f>VLOOKUP(A226,'Standard Deviations'!A1:C731,3,FALSE)</f>
        <v>-5.18772651089224</v>
      </c>
      <c r="J226" s="150">
        <f>I226-VLOOKUP(B$2,H1:J228,2,FALSE)</f>
        <v>-10.5697253810555</v>
      </c>
    </row>
    <row r="227" ht="21.25" customHeight="1">
      <c r="A227" t="s" s="8">
        <v>392</v>
      </c>
      <c r="B227" t="s" s="159">
        <f>VLOOKUP(A227,'The List'!B1:D730,3,FALSE)</f>
        <v>129</v>
      </c>
      <c r="C227" s="160">
        <f>IF('Settings'!$E$15="POINTS",RANK(E227,E3:E228),H227)</f>
        <v>97</v>
      </c>
      <c r="D227" t="s" s="42">
        <f>VLOOKUP(A227,'The List'!B1:F730,5,FALSE)</f>
        <v>234</v>
      </c>
      <c r="E227" s="46">
        <f>VLOOKUP(A227,'The List'!B1:I730,8,FALSE)</f>
        <v>221.025375214585</v>
      </c>
      <c r="F227" s="46">
        <f>IF('Settings'!$E$15="POINTS",E227-VLOOKUP(B$2,C1:E228,3,FALSE),J227)</f>
        <v>-119.709763431938</v>
      </c>
      <c r="G227" s="46"/>
      <c r="H227" s="149">
        <f>RANK(I227,I3:I228)</f>
        <v>95</v>
      </c>
      <c r="I227" s="150">
        <f>VLOOKUP(A227,'Standard Deviations'!A1:C731,3,FALSE)</f>
        <v>-0.328814336617973</v>
      </c>
      <c r="J227" s="150">
        <f>I227-VLOOKUP(B$2,H1:J228,2,FALSE)</f>
        <v>-5.71081320678121</v>
      </c>
    </row>
    <row r="228" ht="21.25" customHeight="1">
      <c r="A228" t="s" s="8">
        <v>328</v>
      </c>
      <c r="B228" t="s" s="159">
        <f>VLOOKUP(A228,'The List'!B1:D730,3,FALSE)</f>
        <v>129</v>
      </c>
      <c r="C228" s="160">
        <f>IF('Settings'!$E$15="POINTS",RANK(E228,E3:E228),H228)</f>
        <v>49</v>
      </c>
      <c r="D228" t="s" s="42">
        <f>VLOOKUP(A228,'The List'!B1:F730,5,FALSE)</f>
        <v>234</v>
      </c>
      <c r="E228" s="46">
        <f>VLOOKUP(A228,'The List'!B1:I730,8,FALSE)</f>
        <v>272.734043612499</v>
      </c>
      <c r="F228" s="46">
        <f>IF('Settings'!$E$15="POINTS",E228-VLOOKUP(B$2,C1:E228,3,FALSE),J228)</f>
        <v>-68.001095034024</v>
      </c>
      <c r="G228" s="46"/>
      <c r="H228" s="149">
        <f>RANK(I228,I3:I228)</f>
        <v>55</v>
      </c>
      <c r="I228" s="150">
        <f>VLOOKUP(A228,'Standard Deviations'!A1:C731,3,FALSE)</f>
        <v>1.38158369177577</v>
      </c>
      <c r="J228" s="150">
        <f>I228-VLOOKUP(B$2,H1:J228,2,FALSE)</f>
        <v>-4.00041517838747</v>
      </c>
    </row>
  </sheetData>
  <conditionalFormatting sqref="C3:C228 H3:H228">
    <cfRule type="containsText" dxfId="47" priority="1" stopIfTrue="1" text="/">
      <formula>NOT(ISERROR(FIND(UPPER("/"),UPPER(C3))))</formula>
      <formula>"/"</formula>
    </cfRule>
    <cfRule type="containsText" dxfId="48" priority="2" stopIfTrue="1" text="C">
      <formula>NOT(ISERROR(FIND(UPPER("C"),UPPER(C3))))</formula>
      <formula>"C"</formula>
    </cfRule>
    <cfRule type="containsText" dxfId="49" priority="3" stopIfTrue="1" text="D">
      <formula>NOT(ISERROR(FIND(UPPER("D"),UPPER(C3))))</formula>
      <formula>"D"</formula>
    </cfRule>
    <cfRule type="containsText" dxfId="50" priority="4" stopIfTrue="1" text="LW">
      <formula>NOT(ISERROR(FIND(UPPER("LW"),UPPER(C3))))</formula>
      <formula>"LW"</formula>
    </cfRule>
    <cfRule type="containsText" dxfId="51" priority="5" stopIfTrue="1" text="RW">
      <formula>NOT(ISERROR(FIND(UPPER("RW"),UPPER(C3))))</formula>
      <formula>"RW"</formula>
    </cfRule>
    <cfRule type="containsText" dxfId="5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61" customWidth="1"/>
    <col min="2" max="2" width="7.10938" style="161" customWidth="1"/>
    <col min="3" max="3" width="5.92969" style="161" customWidth="1"/>
    <col min="4" max="6" width="8.28125" style="161" customWidth="1"/>
    <col min="7" max="10" width="1.35156" style="161" customWidth="1"/>
    <col min="11" max="16384" width="8" style="161" customWidth="1"/>
  </cols>
  <sheetData>
    <row r="1" ht="28.3" customHeight="1">
      <c r="A1" t="s" s="133">
        <v>919</v>
      </c>
      <c r="B1" t="s" s="134">
        <v>81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'Settings'!F6</f>
        <v>23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145</v>
      </c>
      <c r="B3" t="s" s="121">
        <f>VLOOKUP(A3,'The List'!B1:D730,3,FALSE)</f>
        <v>146</v>
      </c>
      <c r="C3" s="162">
        <f>RANK(E3,E3:E75)</f>
        <v>1</v>
      </c>
      <c r="D3" t="s" s="42">
        <f>VLOOKUP(A3,'The List'!B1:F730,5,FALSE)</f>
        <v>124</v>
      </c>
      <c r="E3" s="46">
        <f>VLOOKUP(A3,'The List'!B1:I730,8,FALSE)</f>
        <v>411.794855169476</v>
      </c>
      <c r="F3" s="46">
        <f>IF('Settings'!$E$15="POINTS",E3-VLOOKUP(B$2,C1:E75,3,FALSE),J3)</f>
        <v>146.491633669788</v>
      </c>
      <c r="G3" s="46"/>
      <c r="H3" s="154">
        <f>RANK(I3,I3:I75)</f>
        <v>5</v>
      </c>
      <c r="I3" s="155">
        <f>VLOOKUP(A3,'Standard Deviations'!A1:C731,3,FALSE)</f>
        <v>7.12747338209636</v>
      </c>
      <c r="J3" s="155">
        <f>I3-VLOOKUP(B$2,H1:J75,2,FALSE)</f>
        <v>5.74405269576206</v>
      </c>
    </row>
    <row r="4" ht="21.25" customHeight="1">
      <c r="A4" t="s" s="8">
        <v>148</v>
      </c>
      <c r="B4" t="s" s="121">
        <f>VLOOKUP(A4,'The List'!B1:D730,3,FALSE)</f>
        <v>146</v>
      </c>
      <c r="C4" s="162">
        <f>RANK(E4,E3:E75)</f>
        <v>4</v>
      </c>
      <c r="D4" t="s" s="42">
        <f>VLOOKUP(A4,'The List'!B1:F730,5,FALSE)</f>
        <v>149</v>
      </c>
      <c r="E4" s="46">
        <f>VLOOKUP(A4,'The List'!B1:I730,8,FALSE)</f>
        <v>397.881843763391</v>
      </c>
      <c r="F4" s="46">
        <f>IF('Settings'!$E$15="POINTS",E4-VLOOKUP(B$2,C1:E75,3,FALSE),J4)</f>
        <v>132.578622263703</v>
      </c>
      <c r="G4" s="46"/>
      <c r="H4" s="149">
        <f>RANK(I4,I3:I75)</f>
        <v>3</v>
      </c>
      <c r="I4" s="150">
        <f>VLOOKUP(A4,'Standard Deviations'!A1:C731,3,FALSE)</f>
        <v>8.66052006172804</v>
      </c>
      <c r="J4" s="150">
        <f>I4-VLOOKUP(B$2,H1:J75,2,FALSE)</f>
        <v>7.27709937539374</v>
      </c>
    </row>
    <row r="5" ht="21.25" customHeight="1">
      <c r="A5" t="s" s="8">
        <v>154</v>
      </c>
      <c r="B5" t="s" s="121">
        <f>VLOOKUP(A5,'The List'!B1:D730,3,FALSE)</f>
        <v>146</v>
      </c>
      <c r="C5" s="162">
        <f>RANK(E5,E3:E75)</f>
        <v>2</v>
      </c>
      <c r="D5" t="s" s="42">
        <f>VLOOKUP(A5,'The List'!B1:F730,5,FALSE)</f>
        <v>136</v>
      </c>
      <c r="E5" s="46">
        <f>VLOOKUP(A5,'The List'!B1:I730,8,FALSE)</f>
        <v>402.691033215601</v>
      </c>
      <c r="F5" s="46">
        <f>IF('Settings'!$E$15="POINTS",E5-VLOOKUP(B$2,C1:E75,3,FALSE),J5)</f>
        <v>137.387811715913</v>
      </c>
      <c r="G5" s="46"/>
      <c r="H5" s="149">
        <f>RANK(I5,I3:I75)</f>
        <v>2</v>
      </c>
      <c r="I5" s="150">
        <f>VLOOKUP(A5,'Standard Deviations'!A1:C731,3,FALSE)</f>
        <v>8.93195161600266</v>
      </c>
      <c r="J5" s="150">
        <f>I5-VLOOKUP(B$2,H1:J75,2,FALSE)</f>
        <v>7.54853092966836</v>
      </c>
    </row>
    <row r="6" ht="21.25" customHeight="1">
      <c r="A6" t="s" s="8">
        <v>174</v>
      </c>
      <c r="B6" t="s" s="121">
        <f>VLOOKUP(A6,'The List'!B1:D730,3,FALSE)</f>
        <v>146</v>
      </c>
      <c r="C6" s="162">
        <f>RANK(E6,E3:E75)</f>
        <v>6</v>
      </c>
      <c r="D6" t="s" s="42">
        <f>VLOOKUP(A6,'The List'!B1:F730,5,FALSE)</f>
        <v>131</v>
      </c>
      <c r="E6" s="46">
        <f>VLOOKUP(A6,'The List'!B1:I730,8,FALSE)</f>
        <v>378.725771309381</v>
      </c>
      <c r="F6" s="46">
        <f>IF('Settings'!$E$15="POINTS",E6-VLOOKUP(B$2,C1:E75,3,FALSE),J6)</f>
        <v>113.422549809693</v>
      </c>
      <c r="G6" s="46"/>
      <c r="H6" s="149">
        <f>RANK(I6,I3:I75)</f>
        <v>6</v>
      </c>
      <c r="I6" s="150">
        <f>VLOOKUP(A6,'Standard Deviations'!A1:C731,3,FALSE)</f>
        <v>6.26007212873455</v>
      </c>
      <c r="J6" s="150">
        <f>I6-VLOOKUP(B$2,H1:J75,2,FALSE)</f>
        <v>4.87665144240025</v>
      </c>
    </row>
    <row r="7" ht="21.25" customHeight="1">
      <c r="A7" t="s" s="8">
        <v>167</v>
      </c>
      <c r="B7" t="s" s="121">
        <f>VLOOKUP(A7,'The List'!B1:D730,3,FALSE)</f>
        <v>146</v>
      </c>
      <c r="C7" s="162">
        <f>RANK(E7,E3:E75)</f>
        <v>5</v>
      </c>
      <c r="D7" t="s" s="42">
        <f>VLOOKUP(A7,'The List'!B1:F730,5,FALSE)</f>
        <v>164</v>
      </c>
      <c r="E7" s="46">
        <f>VLOOKUP(A7,'The List'!B1:I730,8,FALSE)</f>
        <v>390.095487655647</v>
      </c>
      <c r="F7" s="46">
        <f>IF('Settings'!$E$15="POINTS",E7-VLOOKUP(B$2,C1:E75,3,FALSE),J7)</f>
        <v>124.792266155959</v>
      </c>
      <c r="G7" s="46"/>
      <c r="H7" s="149">
        <f>RANK(I7,I3:I75)</f>
        <v>4</v>
      </c>
      <c r="I7" s="150">
        <f>VLOOKUP(A7,'Standard Deviations'!A1:C731,3,FALSE)</f>
        <v>7.78333717019332</v>
      </c>
      <c r="J7" s="150">
        <f>I7-VLOOKUP(B$2,H1:J75,2,FALSE)</f>
        <v>6.39991648385902</v>
      </c>
    </row>
    <row r="8" ht="21.25" customHeight="1">
      <c r="A8" t="s" s="8">
        <v>153</v>
      </c>
      <c r="B8" t="s" s="121">
        <f>VLOOKUP(A8,'The List'!B1:D730,3,FALSE)</f>
        <v>146</v>
      </c>
      <c r="C8" s="162">
        <f>RANK(E8,E3:E75)</f>
        <v>3</v>
      </c>
      <c r="D8" t="s" s="42">
        <f>VLOOKUP(A8,'The List'!B1:F730,5,FALSE)</f>
        <v>151</v>
      </c>
      <c r="E8" s="46">
        <f>VLOOKUP(A8,'The List'!B1:I730,8,FALSE)</f>
        <v>397.945822615878</v>
      </c>
      <c r="F8" s="46">
        <f>IF('Settings'!$E$15="POINTS",E8-VLOOKUP(B$2,C1:E75,3,FALSE),J8)</f>
        <v>132.642601116190</v>
      </c>
      <c r="G8" s="46"/>
      <c r="H8" s="149">
        <f>RANK(I8,I3:I75)</f>
        <v>1</v>
      </c>
      <c r="I8" s="150">
        <f>VLOOKUP(A8,'Standard Deviations'!A1:C731,3,FALSE)</f>
        <v>9.208907083113809</v>
      </c>
      <c r="J8" s="150">
        <f>I8-VLOOKUP(B$2,H1:J75,2,FALSE)</f>
        <v>7.82548639677951</v>
      </c>
    </row>
    <row r="9" ht="21.25" customHeight="1">
      <c r="A9" t="s" s="8">
        <v>205</v>
      </c>
      <c r="B9" t="s" s="121">
        <f>VLOOKUP(A9,'The List'!B1:D730,3,FALSE)</f>
        <v>146</v>
      </c>
      <c r="C9" s="162">
        <f>RANK(E9,E3:E75)</f>
        <v>7</v>
      </c>
      <c r="D9" t="s" s="42">
        <f>VLOOKUP(A9,'The List'!B1:F730,5,FALSE)</f>
        <v>113</v>
      </c>
      <c r="E9" s="46">
        <f>VLOOKUP(A9,'The List'!B1:I730,8,FALSE)</f>
        <v>358.037882471751</v>
      </c>
      <c r="F9" s="46">
        <f>IF('Settings'!$E$15="POINTS",E9-VLOOKUP(B$2,C1:E75,3,FALSE),J9)</f>
        <v>92.734660972063</v>
      </c>
      <c r="G9" s="46"/>
      <c r="H9" s="149">
        <f>RANK(I9,I3:I75)</f>
        <v>7</v>
      </c>
      <c r="I9" s="150">
        <f>VLOOKUP(A9,'Standard Deviations'!A1:C731,3,FALSE)</f>
        <v>6.07152474561053</v>
      </c>
      <c r="J9" s="150">
        <f>I9-VLOOKUP(B$2,H1:J75,2,FALSE)</f>
        <v>4.68810405927623</v>
      </c>
    </row>
    <row r="10" ht="21.25" customHeight="1">
      <c r="A10" t="s" s="8">
        <v>213</v>
      </c>
      <c r="B10" t="s" s="121">
        <f>VLOOKUP(A10,'The List'!B1:D730,3,FALSE)</f>
        <v>146</v>
      </c>
      <c r="C10" s="162">
        <f>RANK(E10,E3:E75)</f>
        <v>10</v>
      </c>
      <c r="D10" t="s" s="42">
        <f>VLOOKUP(A10,'The List'!B1:F730,5,FALSE)</f>
        <v>134</v>
      </c>
      <c r="E10" s="46">
        <f>VLOOKUP(A10,'The List'!B1:I730,8,FALSE)</f>
        <v>339.830952181580</v>
      </c>
      <c r="F10" s="46">
        <f>IF('Settings'!$E$15="POINTS",E10-VLOOKUP(B$2,C1:E75,3,FALSE),J10)</f>
        <v>74.527730681892</v>
      </c>
      <c r="G10" s="46"/>
      <c r="H10" s="149">
        <f>RANK(I10,I3:I75)</f>
        <v>11</v>
      </c>
      <c r="I10" s="150">
        <f>VLOOKUP(A10,'Standard Deviations'!A1:C731,3,FALSE)</f>
        <v>4.65061187889793</v>
      </c>
      <c r="J10" s="150">
        <f>I10-VLOOKUP(B$2,H1:J75,2,FALSE)</f>
        <v>3.26719119256363</v>
      </c>
    </row>
    <row r="11" ht="21.25" customHeight="1">
      <c r="A11" t="s" s="8">
        <v>219</v>
      </c>
      <c r="B11" t="s" s="121">
        <f>VLOOKUP(A11,'The List'!B1:D730,3,FALSE)</f>
        <v>146</v>
      </c>
      <c r="C11" s="162">
        <f>RANK(E11,E3:E75)</f>
        <v>9</v>
      </c>
      <c r="D11" t="s" s="42">
        <f>VLOOKUP(A11,'The List'!B1:F730,5,FALSE)</f>
        <v>170</v>
      </c>
      <c r="E11" s="46">
        <f>VLOOKUP(A11,'The List'!B1:I730,8,FALSE)</f>
        <v>341.231795735982</v>
      </c>
      <c r="F11" s="46">
        <f>IF('Settings'!$E$15="POINTS",E11-VLOOKUP(B$2,C1:E75,3,FALSE),J11)</f>
        <v>75.928574236294</v>
      </c>
      <c r="G11" s="46"/>
      <c r="H11" s="149">
        <f>RANK(I11,I3:I75)</f>
        <v>9</v>
      </c>
      <c r="I11" s="150">
        <f>VLOOKUP(A11,'Standard Deviations'!A1:C731,3,FALSE)</f>
        <v>5.5871613290634</v>
      </c>
      <c r="J11" s="150">
        <f>I11-VLOOKUP(B$2,H1:J75,2,FALSE)</f>
        <v>4.2037406427291</v>
      </c>
    </row>
    <row r="12" ht="21.25" customHeight="1">
      <c r="A12" t="s" s="8">
        <v>200</v>
      </c>
      <c r="B12" t="s" s="121">
        <f>VLOOKUP(A12,'The List'!B1:D730,3,FALSE)</f>
        <v>146</v>
      </c>
      <c r="C12" s="162">
        <f>RANK(E12,E3:E75)</f>
        <v>8</v>
      </c>
      <c r="D12" t="s" s="42">
        <f>VLOOKUP(A12,'The List'!B1:F730,5,FALSE)</f>
        <v>156</v>
      </c>
      <c r="E12" s="46">
        <f>VLOOKUP(A12,'The List'!B1:I730,8,FALSE)</f>
        <v>356.243103872544</v>
      </c>
      <c r="F12" s="46">
        <f>IF('Settings'!$E$15="POINTS",E12-VLOOKUP(B$2,C1:E75,3,FALSE),J12)</f>
        <v>90.939882372856</v>
      </c>
      <c r="G12" s="46"/>
      <c r="H12" s="149">
        <f>RANK(I12,I3:I75)</f>
        <v>8</v>
      </c>
      <c r="I12" s="150">
        <f>VLOOKUP(A12,'Standard Deviations'!A1:C731,3,FALSE)</f>
        <v>5.60962363742527</v>
      </c>
      <c r="J12" s="150">
        <f>I12-VLOOKUP(B$2,H1:J75,2,FALSE)</f>
        <v>4.22620295109097</v>
      </c>
    </row>
    <row r="13" ht="21.25" customHeight="1">
      <c r="A13" t="s" s="8">
        <v>282</v>
      </c>
      <c r="B13" t="s" s="121">
        <f>VLOOKUP(A13,'The List'!B1:D730,3,FALSE)</f>
        <v>146</v>
      </c>
      <c r="C13" s="162">
        <f>RANK(E13,E3:E75)</f>
        <v>18</v>
      </c>
      <c r="D13" t="s" s="42">
        <f>VLOOKUP(A13,'The List'!B1:F730,5,FALSE)</f>
        <v>166</v>
      </c>
      <c r="E13" s="46">
        <f>VLOOKUP(A13,'The List'!B1:I730,8,FALSE)</f>
        <v>306.667076441350</v>
      </c>
      <c r="F13" s="46">
        <f>IF('Settings'!$E$15="POINTS",E13-VLOOKUP(B$2,C1:E75,3,FALSE),J13)</f>
        <v>41.363854941662</v>
      </c>
      <c r="G13" s="46"/>
      <c r="H13" s="149">
        <f>RANK(I13,I3:I75)</f>
        <v>18</v>
      </c>
      <c r="I13" s="150">
        <f>VLOOKUP(A13,'Standard Deviations'!A1:C731,3,FALSE)</f>
        <v>2.35807932116596</v>
      </c>
      <c r="J13" s="150">
        <f>I13-VLOOKUP(B$2,H1:J75,2,FALSE)</f>
        <v>0.97465863483166</v>
      </c>
    </row>
    <row r="14" ht="21.25" customHeight="1">
      <c r="A14" t="s" s="8">
        <v>271</v>
      </c>
      <c r="B14" t="s" s="121">
        <f>VLOOKUP(A14,'The List'!B1:D730,3,FALSE)</f>
        <v>146</v>
      </c>
      <c r="C14" s="162">
        <f>RANK(E14,E3:E75)</f>
        <v>12</v>
      </c>
      <c r="D14" t="s" s="42">
        <f>VLOOKUP(A14,'The List'!B1:F730,5,FALSE)</f>
        <v>194</v>
      </c>
      <c r="E14" s="46">
        <f>VLOOKUP(A14,'The List'!B1:I730,8,FALSE)</f>
        <v>322.506677092769</v>
      </c>
      <c r="F14" s="46">
        <f>IF('Settings'!$E$15="POINTS",E14-VLOOKUP(B$2,C1:E75,3,FALSE),J14)</f>
        <v>57.203455593081</v>
      </c>
      <c r="G14" s="46"/>
      <c r="H14" s="149">
        <f>RANK(I14,I3:I75)</f>
        <v>27</v>
      </c>
      <c r="I14" s="150">
        <f>VLOOKUP(A14,'Standard Deviations'!A1:C731,3,FALSE)</f>
        <v>0.9581549268241371</v>
      </c>
      <c r="J14" s="150">
        <f>I14-VLOOKUP(B$2,H1:J75,2,FALSE)</f>
        <v>-0.425265759510163</v>
      </c>
    </row>
    <row r="15" ht="21.25" customHeight="1">
      <c r="A15" t="s" s="8">
        <v>263</v>
      </c>
      <c r="B15" t="s" s="121">
        <f>VLOOKUP(A15,'The List'!B1:D730,3,FALSE)</f>
        <v>146</v>
      </c>
      <c r="C15" s="162">
        <f>RANK(E15,E3:E75)</f>
        <v>15</v>
      </c>
      <c r="D15" t="s" s="42">
        <f>VLOOKUP(A15,'The List'!B1:F730,5,FALSE)</f>
        <v>234</v>
      </c>
      <c r="E15" s="46">
        <f>VLOOKUP(A15,'The List'!B1:I730,8,FALSE)</f>
        <v>316.603907565174</v>
      </c>
      <c r="F15" s="46">
        <f>IF('Settings'!$E$15="POINTS",E15-VLOOKUP(B$2,C1:E75,3,FALSE),J15)</f>
        <v>51.300686065486</v>
      </c>
      <c r="G15" s="46"/>
      <c r="H15" s="149">
        <f>RANK(I15,I3:I75)</f>
        <v>33</v>
      </c>
      <c r="I15" s="150">
        <f>VLOOKUP(A15,'Standard Deviations'!A1:C731,3,FALSE)</f>
        <v>-0.499842556685465</v>
      </c>
      <c r="J15" s="150">
        <f>I15-VLOOKUP(B$2,H1:J75,2,FALSE)</f>
        <v>-1.88326324301977</v>
      </c>
    </row>
    <row r="16" ht="21.25" customHeight="1">
      <c r="A16" t="s" s="8">
        <v>280</v>
      </c>
      <c r="B16" t="s" s="121">
        <f>VLOOKUP(A16,'The List'!B1:D730,3,FALSE)</f>
        <v>146</v>
      </c>
      <c r="C16" s="162">
        <f>RANK(E16,E3:E75)</f>
        <v>14</v>
      </c>
      <c r="D16" t="s" s="42">
        <f>VLOOKUP(A16,'The List'!B1:F730,5,FALSE)</f>
        <v>119</v>
      </c>
      <c r="E16" s="46">
        <f>VLOOKUP(A16,'The List'!B1:I730,8,FALSE)</f>
        <v>316.877248742888</v>
      </c>
      <c r="F16" s="46">
        <f>IF('Settings'!$E$15="POINTS",E16-VLOOKUP(B$2,C1:E75,3,FALSE),J16)</f>
        <v>51.5740272432</v>
      </c>
      <c r="G16" s="46"/>
      <c r="H16" s="149">
        <f>RANK(I16,I3:I75)</f>
        <v>20</v>
      </c>
      <c r="I16" s="150">
        <f>VLOOKUP(A16,'Standard Deviations'!A1:C731,3,FALSE)</f>
        <v>1.92027526898999</v>
      </c>
      <c r="J16" s="150">
        <f>I16-VLOOKUP(B$2,H1:J75,2,FALSE)</f>
        <v>0.53685458265569</v>
      </c>
    </row>
    <row r="17" ht="21.25" customHeight="1">
      <c r="A17" t="s" s="8">
        <v>261</v>
      </c>
      <c r="B17" t="s" s="121">
        <f>VLOOKUP(A17,'The List'!B1:D730,3,FALSE)</f>
        <v>146</v>
      </c>
      <c r="C17" s="162">
        <f>RANK(E17,E3:E75)</f>
        <v>11</v>
      </c>
      <c r="D17" t="s" s="42">
        <f>VLOOKUP(A17,'The List'!B1:F730,5,FALSE)</f>
        <v>238</v>
      </c>
      <c r="E17" s="46">
        <f>VLOOKUP(A17,'The List'!B1:I730,8,FALSE)</f>
        <v>327.535220876138</v>
      </c>
      <c r="F17" s="46">
        <f>IF('Settings'!$E$15="POINTS",E17-VLOOKUP(B$2,C1:E75,3,FALSE),J17)</f>
        <v>62.231999376450</v>
      </c>
      <c r="G17" s="46"/>
      <c r="H17" s="149">
        <f>RANK(I17,I3:I75)</f>
        <v>14</v>
      </c>
      <c r="I17" s="150">
        <f>VLOOKUP(A17,'Standard Deviations'!A1:C731,3,FALSE)</f>
        <v>3.96778116592395</v>
      </c>
      <c r="J17" s="150">
        <f>I17-VLOOKUP(B$2,H1:J75,2,FALSE)</f>
        <v>2.58436047958965</v>
      </c>
    </row>
    <row r="18" ht="21.25" customHeight="1">
      <c r="A18" t="s" s="8">
        <v>287</v>
      </c>
      <c r="B18" t="s" s="121">
        <f>VLOOKUP(A18,'The List'!B1:D730,3,FALSE)</f>
        <v>146</v>
      </c>
      <c r="C18" s="162">
        <f>RANK(E18,E3:E75)</f>
        <v>17</v>
      </c>
      <c r="D18" t="s" s="42">
        <f>VLOOKUP(A18,'The List'!B1:F730,5,FALSE)</f>
        <v>108</v>
      </c>
      <c r="E18" s="46">
        <f>VLOOKUP(A18,'The List'!B1:I730,8,FALSE)</f>
        <v>308.000449518277</v>
      </c>
      <c r="F18" s="46">
        <f>IF('Settings'!$E$15="POINTS",E18-VLOOKUP(B$2,C1:E75,3,FALSE),J18)</f>
        <v>42.697228018589</v>
      </c>
      <c r="G18" s="46"/>
      <c r="H18" s="149">
        <f>RANK(I18,I3:I75)</f>
        <v>12</v>
      </c>
      <c r="I18" s="150">
        <f>VLOOKUP(A18,'Standard Deviations'!A1:C731,3,FALSE)</f>
        <v>4.40105067591554</v>
      </c>
      <c r="J18" s="150">
        <f>I18-VLOOKUP(B$2,H1:J75,2,FALSE)</f>
        <v>3.01762998958124</v>
      </c>
    </row>
    <row r="19" ht="21.25" customHeight="1">
      <c r="A19" t="s" s="8">
        <v>269</v>
      </c>
      <c r="B19" t="s" s="121">
        <f>VLOOKUP(A19,'The List'!B1:D730,3,FALSE)</f>
        <v>146</v>
      </c>
      <c r="C19" s="162">
        <f>RANK(E19,E3:E75)</f>
        <v>13</v>
      </c>
      <c r="D19" t="s" s="42">
        <f>VLOOKUP(A19,'The List'!B1:F730,5,FALSE)</f>
        <v>115</v>
      </c>
      <c r="E19" s="46">
        <f>VLOOKUP(A19,'The List'!B1:I730,8,FALSE)</f>
        <v>318.387124413970</v>
      </c>
      <c r="F19" s="46">
        <f>IF('Settings'!$E$15="POINTS",E19-VLOOKUP(B$2,C1:E75,3,FALSE),J19)</f>
        <v>53.083902914282</v>
      </c>
      <c r="G19" s="46"/>
      <c r="H19" s="149">
        <f>RANK(I19,I3:I75)</f>
        <v>16</v>
      </c>
      <c r="I19" s="150">
        <f>VLOOKUP(A19,'Standard Deviations'!A1:C731,3,FALSE)</f>
        <v>3.62192818362085</v>
      </c>
      <c r="J19" s="150">
        <f>I19-VLOOKUP(B$2,H1:J75,2,FALSE)</f>
        <v>2.23850749728655</v>
      </c>
    </row>
    <row r="20" ht="21.25" customHeight="1">
      <c r="A20" t="s" s="8">
        <v>294</v>
      </c>
      <c r="B20" t="s" s="121">
        <f>VLOOKUP(A20,'The List'!B1:D730,3,FALSE)</f>
        <v>146</v>
      </c>
      <c r="C20" s="162">
        <f>RANK(E20,E3:E75)</f>
        <v>19</v>
      </c>
      <c r="D20" t="s" s="42">
        <f>VLOOKUP(A20,'The List'!B1:F730,5,FALSE)</f>
        <v>122</v>
      </c>
      <c r="E20" s="46">
        <f>VLOOKUP(A20,'The List'!B1:I730,8,FALSE)</f>
        <v>294.911937454118</v>
      </c>
      <c r="F20" s="46">
        <f>IF('Settings'!$E$15="POINTS",E20-VLOOKUP(B$2,C1:E75,3,FALSE),J20)</f>
        <v>29.608715954430</v>
      </c>
      <c r="G20" s="46"/>
      <c r="H20" s="149">
        <f>RANK(I20,I3:I75)</f>
        <v>10</v>
      </c>
      <c r="I20" s="150">
        <f>VLOOKUP(A20,'Standard Deviations'!A1:C731,3,FALSE)</f>
        <v>5.50623838700249</v>
      </c>
      <c r="J20" s="150">
        <f>I20-VLOOKUP(B$2,H1:J75,2,FALSE)</f>
        <v>4.12281770066819</v>
      </c>
    </row>
    <row r="21" ht="21.25" customHeight="1">
      <c r="A21" t="s" s="8">
        <v>277</v>
      </c>
      <c r="B21" t="s" s="121">
        <f>VLOOKUP(A21,'The List'!B1:D730,3,FALSE)</f>
        <v>146</v>
      </c>
      <c r="C21" s="162">
        <f>RANK(E21,E3:E75)</f>
        <v>16</v>
      </c>
      <c r="D21" t="s" s="42">
        <f>VLOOKUP(A21,'The List'!B1:F730,5,FALSE)</f>
        <v>218</v>
      </c>
      <c r="E21" s="46">
        <f>VLOOKUP(A21,'The List'!B1:I730,8,FALSE)</f>
        <v>310.908216161166</v>
      </c>
      <c r="F21" s="46">
        <f>IF('Settings'!$E$15="POINTS",E21-VLOOKUP(B$2,C1:E75,3,FALSE),J21)</f>
        <v>45.604994661478</v>
      </c>
      <c r="G21" s="46"/>
      <c r="H21" s="149">
        <f>RANK(I21,I3:I75)</f>
        <v>13</v>
      </c>
      <c r="I21" s="150">
        <f>VLOOKUP(A21,'Standard Deviations'!A1:C731,3,FALSE)</f>
        <v>4.11888409480162</v>
      </c>
      <c r="J21" s="150">
        <f>I21-VLOOKUP(B$2,H1:J75,2,FALSE)</f>
        <v>2.73546340846732</v>
      </c>
    </row>
    <row r="22" ht="21.25" customHeight="1">
      <c r="A22" t="s" s="8">
        <v>341</v>
      </c>
      <c r="B22" t="s" s="121">
        <f>VLOOKUP(A22,'The List'!B1:D730,3,FALSE)</f>
        <v>146</v>
      </c>
      <c r="C22" s="162">
        <f>RANK(E22,E3:E75)</f>
        <v>23</v>
      </c>
      <c r="D22" t="s" s="42">
        <f>VLOOKUP(A22,'The List'!B1:F730,5,FALSE)</f>
        <v>236</v>
      </c>
      <c r="E22" s="46">
        <f>VLOOKUP(A22,'The List'!B1:I730,8,FALSE)</f>
        <v>265.303221499688</v>
      </c>
      <c r="F22" s="46">
        <f>IF('Settings'!$E$15="POINTS",E22-VLOOKUP(B$2,C1:E75,3,FALSE),J22)</f>
        <v>0</v>
      </c>
      <c r="G22" s="46"/>
      <c r="H22" s="149">
        <f>RANK(I22,I3:I75)</f>
        <v>25</v>
      </c>
      <c r="I22" s="150">
        <f>VLOOKUP(A22,'Standard Deviations'!A1:C731,3,FALSE)</f>
        <v>1.24882333162838</v>
      </c>
      <c r="J22" s="150">
        <f>I22-VLOOKUP(B$2,H1:J75,2,FALSE)</f>
        <v>-0.13459735470592</v>
      </c>
    </row>
    <row r="23" ht="21.25" customHeight="1">
      <c r="A23" t="s" s="8">
        <v>317</v>
      </c>
      <c r="B23" t="s" s="121">
        <f>VLOOKUP(A23,'The List'!B1:D730,3,FALSE)</f>
        <v>146</v>
      </c>
      <c r="C23" s="162">
        <f>RANK(E23,E3:E75)</f>
        <v>21</v>
      </c>
      <c r="D23" t="s" s="42">
        <f>VLOOKUP(A23,'The List'!B1:F730,5,FALSE)</f>
        <v>189</v>
      </c>
      <c r="E23" s="46">
        <f>VLOOKUP(A23,'The List'!B1:I730,8,FALSE)</f>
        <v>280.145179013595</v>
      </c>
      <c r="F23" s="46">
        <f>IF('Settings'!$E$15="POINTS",E23-VLOOKUP(B$2,C1:E75,3,FALSE),J23)</f>
        <v>14.841957513907</v>
      </c>
      <c r="G23" s="46"/>
      <c r="H23" s="149">
        <f>RANK(I23,I3:I75)</f>
        <v>35</v>
      </c>
      <c r="I23" s="150">
        <f>VLOOKUP(A23,'Standard Deviations'!A1:C731,3,FALSE)</f>
        <v>-0.724010907474024</v>
      </c>
      <c r="J23" s="150">
        <f>I23-VLOOKUP(B$2,H1:J75,2,FALSE)</f>
        <v>-2.10743159380832</v>
      </c>
    </row>
    <row r="24" ht="21.25" customHeight="1">
      <c r="A24" t="s" s="8">
        <v>338</v>
      </c>
      <c r="B24" t="s" s="121">
        <f>VLOOKUP(A24,'The List'!B1:D730,3,FALSE)</f>
        <v>146</v>
      </c>
      <c r="C24" s="162">
        <f>RANK(E24,E3:E75)</f>
        <v>22</v>
      </c>
      <c r="D24" t="s" s="42">
        <f>VLOOKUP(A24,'The List'!B1:F730,5,FALSE)</f>
        <v>139</v>
      </c>
      <c r="E24" s="46">
        <f>VLOOKUP(A24,'The List'!B1:I730,8,FALSE)</f>
        <v>272.677474212386</v>
      </c>
      <c r="F24" s="46">
        <f>IF('Settings'!$E$15="POINTS",E24-VLOOKUP(B$2,C1:E75,3,FALSE),J24)</f>
        <v>7.374252712698</v>
      </c>
      <c r="G24" s="46"/>
      <c r="H24" s="149">
        <f>RANK(I24,I3:I75)</f>
        <v>29</v>
      </c>
      <c r="I24" s="150">
        <f>VLOOKUP(A24,'Standard Deviations'!A1:C731,3,FALSE)</f>
        <v>0.746387144006544</v>
      </c>
      <c r="J24" s="150">
        <f>I24-VLOOKUP(B$2,H1:J75,2,FALSE)</f>
        <v>-0.637033542327756</v>
      </c>
    </row>
    <row r="25" ht="21.25" customHeight="1">
      <c r="A25" t="s" s="8">
        <v>320</v>
      </c>
      <c r="B25" t="s" s="121">
        <f>VLOOKUP(A25,'The List'!B1:D730,3,FALSE)</f>
        <v>146</v>
      </c>
      <c r="C25" s="162">
        <f>RANK(E25,E3:E75)</f>
        <v>20</v>
      </c>
      <c r="D25" t="s" s="42">
        <f>VLOOKUP(A25,'The List'!B1:F730,5,FALSE)</f>
        <v>127</v>
      </c>
      <c r="E25" s="46">
        <f>VLOOKUP(A25,'The List'!B1:I730,8,FALSE)</f>
        <v>281.325764729872</v>
      </c>
      <c r="F25" s="46">
        <f>IF('Settings'!$E$15="POINTS",E25-VLOOKUP(B$2,C1:E75,3,FALSE),J25)</f>
        <v>16.022543230184</v>
      </c>
      <c r="G25" s="46"/>
      <c r="H25" s="149">
        <f>RANK(I25,I3:I75)</f>
        <v>15</v>
      </c>
      <c r="I25" s="150">
        <f>VLOOKUP(A25,'Standard Deviations'!A1:C731,3,FALSE)</f>
        <v>3.78151816976793</v>
      </c>
      <c r="J25" s="150">
        <f>I25-VLOOKUP(B$2,H1:J75,2,FALSE)</f>
        <v>2.39809748343363</v>
      </c>
    </row>
    <row r="26" ht="21.25" customHeight="1">
      <c r="A26" t="s" s="8">
        <v>363</v>
      </c>
      <c r="B26" t="s" s="121">
        <f>VLOOKUP(A26,'The List'!B1:D730,3,FALSE)</f>
        <v>146</v>
      </c>
      <c r="C26" s="162">
        <f>RANK(E26,E3:E75)</f>
        <v>25</v>
      </c>
      <c r="D26" t="s" s="42">
        <f>VLOOKUP(A26,'The List'!B1:F730,5,FALSE)</f>
        <v>173</v>
      </c>
      <c r="E26" s="46">
        <f>VLOOKUP(A26,'The List'!B1:I730,8,FALSE)</f>
        <v>255.129276140326</v>
      </c>
      <c r="F26" s="46">
        <f>IF('Settings'!$E$15="POINTS",E26-VLOOKUP(B$2,C1:E75,3,FALSE),J26)</f>
        <v>-10.173945359362</v>
      </c>
      <c r="G26" s="46"/>
      <c r="H26" s="149">
        <f>RANK(I26,I3:I75)</f>
        <v>23</v>
      </c>
      <c r="I26" s="150">
        <f>VLOOKUP(A26,'Standard Deviations'!A1:C731,3,FALSE)</f>
        <v>1.3834206863343</v>
      </c>
      <c r="J26" s="150">
        <f>I26-VLOOKUP(B$2,H1:J75,2,FALSE)</f>
        <v>0</v>
      </c>
    </row>
    <row r="27" ht="21.25" customHeight="1">
      <c r="A27" t="s" s="8">
        <v>379</v>
      </c>
      <c r="B27" t="s" s="121">
        <f>VLOOKUP(A27,'The List'!B1:D730,3,FALSE)</f>
        <v>146</v>
      </c>
      <c r="C27" s="162">
        <f>RANK(E27,E3:E75)</f>
        <v>27</v>
      </c>
      <c r="D27" t="s" s="42">
        <f>VLOOKUP(A27,'The List'!B1:F730,5,FALSE)</f>
        <v>184</v>
      </c>
      <c r="E27" s="46">
        <f>VLOOKUP(A27,'The List'!B1:I730,8,FALSE)</f>
        <v>247.549453148857</v>
      </c>
      <c r="F27" s="46">
        <f>IF('Settings'!$E$15="POINTS",E27-VLOOKUP(B$2,C1:E75,3,FALSE),J27)</f>
        <v>-17.753768350831</v>
      </c>
      <c r="G27" s="46"/>
      <c r="H27" s="149">
        <f>RANK(I27,I3:I75)</f>
        <v>21</v>
      </c>
      <c r="I27" s="150">
        <f>VLOOKUP(A27,'Standard Deviations'!A1:C731,3,FALSE)</f>
        <v>1.83977356608382</v>
      </c>
      <c r="J27" s="150">
        <f>I27-VLOOKUP(B$2,H1:J75,2,FALSE)</f>
        <v>0.45635287974952</v>
      </c>
    </row>
    <row r="28" ht="21.25" customHeight="1">
      <c r="A28" t="s" s="8">
        <v>382</v>
      </c>
      <c r="B28" t="s" s="121">
        <f>VLOOKUP(A28,'The List'!B1:D730,3,FALSE)</f>
        <v>146</v>
      </c>
      <c r="C28" s="162">
        <f>RANK(E28,E3:E75)</f>
        <v>26</v>
      </c>
      <c r="D28" t="s" s="42">
        <f>VLOOKUP(A28,'The List'!B1:F730,5,FALSE)</f>
        <v>202</v>
      </c>
      <c r="E28" s="46">
        <f>VLOOKUP(A28,'The List'!B1:I730,8,FALSE)</f>
        <v>250.870903957769</v>
      </c>
      <c r="F28" s="46">
        <f>IF('Settings'!$E$15="POINTS",E28-VLOOKUP(B$2,C1:E75,3,FALSE),J28)</f>
        <v>-14.432317541919</v>
      </c>
      <c r="G28" s="46"/>
      <c r="H28" s="149">
        <f>RANK(I28,I3:I75)</f>
        <v>17</v>
      </c>
      <c r="I28" s="150">
        <f>VLOOKUP(A28,'Standard Deviations'!A1:C731,3,FALSE)</f>
        <v>2.80928100197081</v>
      </c>
      <c r="J28" s="150">
        <f>I28-VLOOKUP(B$2,H1:J75,2,FALSE)</f>
        <v>1.42586031563651</v>
      </c>
    </row>
    <row r="29" ht="21.25" customHeight="1">
      <c r="A29" t="s" s="8">
        <v>359</v>
      </c>
      <c r="B29" t="s" s="121">
        <f>VLOOKUP(A29,'The List'!B1:D730,3,FALSE)</f>
        <v>146</v>
      </c>
      <c r="C29" s="162">
        <f>RANK(E29,E3:E75)</f>
        <v>24</v>
      </c>
      <c r="D29" t="s" s="42">
        <f>VLOOKUP(A29,'The List'!B1:F730,5,FALSE)</f>
        <v>248</v>
      </c>
      <c r="E29" s="46">
        <f>VLOOKUP(A29,'The List'!B1:I730,8,FALSE)</f>
        <v>260.795211721021</v>
      </c>
      <c r="F29" s="46">
        <f>IF('Settings'!$E$15="POINTS",E29-VLOOKUP(B$2,C1:E75,3,FALSE),J29)</f>
        <v>-4.508009778667</v>
      </c>
      <c r="G29" s="46"/>
      <c r="H29" s="149">
        <f>RANK(I29,I3:I75)</f>
        <v>22</v>
      </c>
      <c r="I29" s="150">
        <f>VLOOKUP(A29,'Standard Deviations'!A1:C731,3,FALSE)</f>
        <v>1.55907460117045</v>
      </c>
      <c r="J29" s="150">
        <f>I29-VLOOKUP(B$2,H1:J75,2,FALSE)</f>
        <v>0.17565391483615</v>
      </c>
    </row>
    <row r="30" ht="21.25" customHeight="1">
      <c r="A30" t="s" s="8">
        <v>444</v>
      </c>
      <c r="B30" t="s" s="121">
        <f>VLOOKUP(A30,'The List'!B1:D730,3,FALSE)</f>
        <v>146</v>
      </c>
      <c r="C30" s="162">
        <f>RANK(E30,E3:E75)</f>
        <v>31</v>
      </c>
      <c r="D30" t="s" s="42">
        <f>VLOOKUP(A30,'The List'!B1:F730,5,FALSE)</f>
        <v>141</v>
      </c>
      <c r="E30" s="46">
        <f>VLOOKUP(A30,'The List'!B1:I730,8,FALSE)</f>
        <v>225.216557940041</v>
      </c>
      <c r="F30" s="46">
        <f>IF('Settings'!$E$15="POINTS",E30-VLOOKUP(B$2,C1:E75,3,FALSE),J30)</f>
        <v>-40.086663559647</v>
      </c>
      <c r="G30" s="46"/>
      <c r="H30" s="149">
        <f>RANK(I30,I3:I75)</f>
        <v>47</v>
      </c>
      <c r="I30" s="150">
        <f>VLOOKUP(A30,'Standard Deviations'!A1:C731,3,FALSE)</f>
        <v>-2.29280822636248</v>
      </c>
      <c r="J30" s="150">
        <f>I30-VLOOKUP(B$2,H1:J75,2,FALSE)</f>
        <v>-3.67622891269678</v>
      </c>
    </row>
    <row r="31" ht="21.25" customHeight="1">
      <c r="A31" t="s" s="8">
        <v>417</v>
      </c>
      <c r="B31" t="s" s="121">
        <f>VLOOKUP(A31,'The List'!B1:D730,3,FALSE)</f>
        <v>146</v>
      </c>
      <c r="C31" s="162">
        <f>RANK(E31,E3:E75)</f>
        <v>29</v>
      </c>
      <c r="D31" t="s" s="42">
        <f>VLOOKUP(A31,'The List'!B1:F730,5,FALSE)</f>
        <v>196</v>
      </c>
      <c r="E31" s="46">
        <f>VLOOKUP(A31,'The List'!B1:I730,8,FALSE)</f>
        <v>232.764551652868</v>
      </c>
      <c r="F31" s="46">
        <f>IF('Settings'!$E$15="POINTS",E31-VLOOKUP(B$2,C1:E75,3,FALSE),J31)</f>
        <v>-32.538669846820</v>
      </c>
      <c r="G31" s="46"/>
      <c r="H31" s="149">
        <f>RANK(I31,I3:I75)</f>
        <v>31</v>
      </c>
      <c r="I31" s="150">
        <f>VLOOKUP(A31,'Standard Deviations'!A1:C731,3,FALSE)</f>
        <v>0.42984307089246</v>
      </c>
      <c r="J31" s="150">
        <f>I31-VLOOKUP(B$2,H1:J75,2,FALSE)</f>
        <v>-0.9535776154418401</v>
      </c>
    </row>
    <row r="32" ht="21.25" customHeight="1">
      <c r="A32" t="s" s="8">
        <v>423</v>
      </c>
      <c r="B32" t="s" s="121">
        <f>VLOOKUP(A32,'The List'!B1:D730,3,FALSE)</f>
        <v>146</v>
      </c>
      <c r="C32" s="162">
        <f>RANK(E32,E3:E75)</f>
        <v>28</v>
      </c>
      <c r="D32" t="s" s="42">
        <f>VLOOKUP(A32,'The List'!B1:F730,5,FALSE)</f>
        <v>204</v>
      </c>
      <c r="E32" s="46">
        <f>VLOOKUP(A32,'The List'!B1:I730,8,FALSE)</f>
        <v>235.932171289788</v>
      </c>
      <c r="F32" s="46">
        <f>IF('Settings'!$E$15="POINTS",E32-VLOOKUP(B$2,C1:E75,3,FALSE),J32)</f>
        <v>-29.3710502099</v>
      </c>
      <c r="G32" s="46"/>
      <c r="H32" s="149">
        <f>RANK(I32,I3:I75)</f>
        <v>30</v>
      </c>
      <c r="I32" s="150">
        <f>VLOOKUP(A32,'Standard Deviations'!A1:C731,3,FALSE)</f>
        <v>0.688815854783256</v>
      </c>
      <c r="J32" s="150">
        <f>I32-VLOOKUP(B$2,H1:J75,2,FALSE)</f>
        <v>-0.694604831551044</v>
      </c>
    </row>
    <row r="33" ht="21.25" customHeight="1">
      <c r="A33" t="s" s="8">
        <v>426</v>
      </c>
      <c r="B33" t="s" s="121">
        <f>VLOOKUP(A33,'The List'!B1:D730,3,FALSE)</f>
        <v>146</v>
      </c>
      <c r="C33" s="162">
        <f>RANK(E33,E3:E75)</f>
        <v>30</v>
      </c>
      <c r="D33" t="s" s="42">
        <f>VLOOKUP(A33,'The List'!B1:F730,5,FALSE)</f>
        <v>122</v>
      </c>
      <c r="E33" s="46">
        <f>VLOOKUP(A33,'The List'!B1:I730,8,FALSE)</f>
        <v>226.699296585714</v>
      </c>
      <c r="F33" s="46">
        <f>IF('Settings'!$E$15="POINTS",E33-VLOOKUP(B$2,C1:E75,3,FALSE),J33)</f>
        <v>-38.603924913974</v>
      </c>
      <c r="G33" s="46"/>
      <c r="H33" s="149">
        <f>RANK(I33,I3:I75)</f>
        <v>19</v>
      </c>
      <c r="I33" s="150">
        <f>VLOOKUP(A33,'Standard Deviations'!A1:C731,3,FALSE)</f>
        <v>2.33964588359492</v>
      </c>
      <c r="J33" s="150">
        <f>I33-VLOOKUP(B$2,H1:J75,2,FALSE)</f>
        <v>0.9562251972606201</v>
      </c>
    </row>
    <row r="34" ht="21.25" customHeight="1">
      <c r="A34" t="s" s="8">
        <v>566</v>
      </c>
      <c r="B34" t="s" s="121">
        <f>VLOOKUP(A34,'The List'!B1:D730,3,FALSE)</f>
        <v>146</v>
      </c>
      <c r="C34" s="162">
        <f>RANK(E34,E3:E75)</f>
        <v>35</v>
      </c>
      <c r="D34" t="s" s="42">
        <f>VLOOKUP(A34,'The List'!B1:F730,5,FALSE)</f>
        <v>127</v>
      </c>
      <c r="E34" s="46">
        <f>VLOOKUP(A34,'The List'!B1:I730,8,FALSE)</f>
        <v>191.651485848983</v>
      </c>
      <c r="F34" s="46">
        <f>IF('Settings'!$E$15="POINTS",E34-VLOOKUP(B$2,C1:E75,3,FALSE),J34)</f>
        <v>-73.65173565070501</v>
      </c>
      <c r="G34" s="46"/>
      <c r="H34" s="149">
        <f>RANK(I34,I3:I75)</f>
        <v>26</v>
      </c>
      <c r="I34" s="150">
        <f>VLOOKUP(A34,'Standard Deviations'!A1:C731,3,FALSE)</f>
        <v>0.9694276876586549</v>
      </c>
      <c r="J34" s="150">
        <f>I34-VLOOKUP(B$2,H1:J75,2,FALSE)</f>
        <v>-0.413992998675645</v>
      </c>
    </row>
    <row r="35" ht="21.25" customHeight="1">
      <c r="A35" t="s" s="8">
        <v>598</v>
      </c>
      <c r="B35" t="s" s="121">
        <f>VLOOKUP(A35,'The List'!B1:D730,3,FALSE)</f>
        <v>146</v>
      </c>
      <c r="C35" s="162">
        <f>RANK(E35,E3:E75)</f>
        <v>37</v>
      </c>
      <c r="D35" t="s" s="42">
        <f>VLOOKUP(A35,'The List'!B1:F730,5,FALSE)</f>
        <v>225</v>
      </c>
      <c r="E35" s="46">
        <f>VLOOKUP(A35,'The List'!B1:I730,8,FALSE)</f>
        <v>186.170467526290</v>
      </c>
      <c r="F35" s="46">
        <f>IF('Settings'!$E$15="POINTS",E35-VLOOKUP(B$2,C1:E75,3,FALSE),J35)</f>
        <v>-79.132753973398</v>
      </c>
      <c r="G35" s="46"/>
      <c r="H35" s="149">
        <f>RANK(I35,I3:I75)</f>
        <v>52</v>
      </c>
      <c r="I35" s="150">
        <f>VLOOKUP(A35,'Standard Deviations'!A1:C731,3,FALSE)</f>
        <v>-2.58290567101769</v>
      </c>
      <c r="J35" s="150">
        <f>I35-VLOOKUP(B$2,H1:J75,2,FALSE)</f>
        <v>-3.96632635735199</v>
      </c>
    </row>
    <row r="36" ht="21.25" customHeight="1">
      <c r="A36" t="s" s="8">
        <v>525</v>
      </c>
      <c r="B36" t="s" s="121">
        <f>VLOOKUP(A36,'The List'!B1:D730,3,FALSE)</f>
        <v>146</v>
      </c>
      <c r="C36" s="162">
        <f>RANK(E36,E3:E75)</f>
        <v>32</v>
      </c>
      <c r="D36" t="s" s="42">
        <f>VLOOKUP(A36,'The List'!B1:F730,5,FALSE)</f>
        <v>173</v>
      </c>
      <c r="E36" s="46">
        <f>VLOOKUP(A36,'The List'!B1:I730,8,FALSE)</f>
        <v>199.227585314225</v>
      </c>
      <c r="F36" s="46">
        <f>IF('Settings'!$E$15="POINTS",E36-VLOOKUP(B$2,C1:E75,3,FALSE),J36)</f>
        <v>-66.075636185463</v>
      </c>
      <c r="G36" s="46"/>
      <c r="H36" s="149">
        <f>RANK(I36,I3:I75)</f>
        <v>28</v>
      </c>
      <c r="I36" s="150">
        <f>VLOOKUP(A36,'Standard Deviations'!A1:C731,3,FALSE)</f>
        <v>0.752894343966607</v>
      </c>
      <c r="J36" s="150">
        <f>I36-VLOOKUP(B$2,H1:J75,2,FALSE)</f>
        <v>-0.630526342367693</v>
      </c>
    </row>
    <row r="37" ht="21.25" customHeight="1">
      <c r="A37" t="s" s="8">
        <v>537</v>
      </c>
      <c r="B37" t="s" s="121">
        <f>VLOOKUP(A37,'The List'!B1:D730,3,FALSE)</f>
        <v>146</v>
      </c>
      <c r="C37" s="162">
        <f>RANK(E37,E3:E75)</f>
        <v>33</v>
      </c>
      <c r="D37" t="s" s="42">
        <f>VLOOKUP(A37,'The List'!B1:F730,5,FALSE)</f>
        <v>218</v>
      </c>
      <c r="E37" s="46">
        <f>VLOOKUP(A37,'The List'!B1:I730,8,FALSE)</f>
        <v>195.911614039462</v>
      </c>
      <c r="F37" s="46">
        <f>IF('Settings'!$E$15="POINTS",E37-VLOOKUP(B$2,C1:E75,3,FALSE),J37)</f>
        <v>-69.391607460226</v>
      </c>
      <c r="G37" s="46"/>
      <c r="H37" s="149">
        <f>RANK(I37,I3:I75)</f>
        <v>24</v>
      </c>
      <c r="I37" s="150">
        <f>VLOOKUP(A37,'Standard Deviations'!A1:C731,3,FALSE)</f>
        <v>1.26929770666248</v>
      </c>
      <c r="J37" s="150">
        <f>I37-VLOOKUP(B$2,H1:J75,2,FALSE)</f>
        <v>-0.11412297967182</v>
      </c>
    </row>
    <row r="38" ht="21.25" customHeight="1">
      <c r="A38" t="s" s="8">
        <v>545</v>
      </c>
      <c r="B38" t="s" s="121">
        <f>VLOOKUP(A38,'The List'!B1:D730,3,FALSE)</f>
        <v>146</v>
      </c>
      <c r="C38" s="162">
        <f>RANK(E38,E3:E75)</f>
        <v>34</v>
      </c>
      <c r="D38" t="s" s="42">
        <f>VLOOKUP(A38,'The List'!B1:F730,5,FALSE)</f>
        <v>196</v>
      </c>
      <c r="E38" s="46">
        <f>VLOOKUP(A38,'The List'!B1:I730,8,FALSE)</f>
        <v>194.682405213058</v>
      </c>
      <c r="F38" s="46">
        <f>IF('Settings'!$E$15="POINTS",E38-VLOOKUP(B$2,C1:E75,3,FALSE),J38)</f>
        <v>-70.620816286630</v>
      </c>
      <c r="G38" s="46"/>
      <c r="H38" s="149">
        <f>RANK(I38,I3:I75)</f>
        <v>32</v>
      </c>
      <c r="I38" s="150">
        <f>VLOOKUP(A38,'Standard Deviations'!A1:C731,3,FALSE)</f>
        <v>-0.0125923787961992</v>
      </c>
      <c r="J38" s="150">
        <f>I38-VLOOKUP(B$2,H1:J75,2,FALSE)</f>
        <v>-1.3960130651305</v>
      </c>
    </row>
    <row r="39" ht="21.25" customHeight="1">
      <c r="A39" t="s" s="8">
        <v>599</v>
      </c>
      <c r="B39" t="s" s="121">
        <f>VLOOKUP(A39,'The List'!B1:D730,3,FALSE)</f>
        <v>146</v>
      </c>
      <c r="C39" s="162">
        <f>RANK(E39,E3:E75)</f>
        <v>38</v>
      </c>
      <c r="D39" t="s" s="42">
        <f>VLOOKUP(A39,'The List'!B1:F730,5,FALSE)</f>
        <v>108</v>
      </c>
      <c r="E39" s="46">
        <f>VLOOKUP(A39,'The List'!B1:I730,8,FALSE)</f>
        <v>185.772691832983</v>
      </c>
      <c r="F39" s="46">
        <f>IF('Settings'!$E$15="POINTS",E39-VLOOKUP(B$2,C1:E75,3,FALSE),J39)</f>
        <v>-79.53052966670499</v>
      </c>
      <c r="G39" s="46"/>
      <c r="H39" s="149">
        <f>RANK(I39,I3:I75)</f>
        <v>34</v>
      </c>
      <c r="I39" s="150">
        <f>VLOOKUP(A39,'Standard Deviations'!A1:C731,3,FALSE)</f>
        <v>-0.643667120283212</v>
      </c>
      <c r="J39" s="150">
        <f>I39-VLOOKUP(B$2,H1:J75,2,FALSE)</f>
        <v>-2.02708780661751</v>
      </c>
    </row>
    <row r="40" ht="21.25" customHeight="1">
      <c r="A40" t="s" s="8">
        <v>564</v>
      </c>
      <c r="B40" t="s" s="121">
        <f>VLOOKUP(A40,'The List'!B1:D730,3,FALSE)</f>
        <v>146</v>
      </c>
      <c r="C40" s="162">
        <f>RANK(E40,E3:E75)</f>
        <v>36</v>
      </c>
      <c r="D40" t="s" s="42">
        <f>VLOOKUP(A40,'The List'!B1:F730,5,FALSE)</f>
        <v>225</v>
      </c>
      <c r="E40" s="46">
        <f>VLOOKUP(A40,'The List'!B1:I730,8,FALSE)</f>
        <v>191.174267146606</v>
      </c>
      <c r="F40" s="46">
        <f>IF('Settings'!$E$15="POINTS",E40-VLOOKUP(B$2,C1:E75,3,FALSE),J40)</f>
        <v>-74.12895435308199</v>
      </c>
      <c r="G40" s="46"/>
      <c r="H40" s="149">
        <f>RANK(I40,I3:I75)</f>
        <v>38</v>
      </c>
      <c r="I40" s="150">
        <f>VLOOKUP(A40,'Standard Deviations'!A1:C731,3,FALSE)</f>
        <v>-1.59280533701957</v>
      </c>
      <c r="J40" s="150">
        <f>I40-VLOOKUP(B$2,H1:J75,2,FALSE)</f>
        <v>-2.97622602335387</v>
      </c>
    </row>
    <row r="41" ht="21.25" customHeight="1">
      <c r="A41" t="s" s="8">
        <v>603</v>
      </c>
      <c r="B41" t="s" s="121">
        <f>VLOOKUP(A41,'The List'!B1:D730,3,FALSE)</f>
        <v>146</v>
      </c>
      <c r="C41" s="162">
        <f>RANK(E41,E3:E75)</f>
        <v>39</v>
      </c>
      <c r="D41" t="s" s="42">
        <f>VLOOKUP(A41,'The List'!B1:F730,5,FALSE)</f>
        <v>258</v>
      </c>
      <c r="E41" s="46">
        <f>VLOOKUP(A41,'The List'!B1:I730,8,FALSE)</f>
        <v>183.757105785557</v>
      </c>
      <c r="F41" s="46">
        <f>IF('Settings'!$E$15="POINTS",E41-VLOOKUP(B$2,C1:E75,3,FALSE),J41)</f>
        <v>-81.54611571413101</v>
      </c>
      <c r="G41" s="46"/>
      <c r="H41" s="149">
        <f>RANK(I41,I3:I75)</f>
        <v>50</v>
      </c>
      <c r="I41" s="150">
        <f>VLOOKUP(A41,'Standard Deviations'!A1:C731,3,FALSE)</f>
        <v>-2.536502364895</v>
      </c>
      <c r="J41" s="150">
        <f>I41-VLOOKUP(B$2,H1:J75,2,FALSE)</f>
        <v>-3.9199230512293</v>
      </c>
    </row>
    <row r="42" ht="21.25" customHeight="1">
      <c r="A42" t="s" s="8">
        <v>637</v>
      </c>
      <c r="B42" t="s" s="121">
        <f>VLOOKUP(A42,'The List'!B1:D730,3,FALSE)</f>
        <v>146</v>
      </c>
      <c r="C42" s="162">
        <f>RANK(E42,E3:E75)</f>
        <v>41</v>
      </c>
      <c r="D42" t="s" s="42">
        <f>VLOOKUP(A42,'The List'!B1:F730,5,FALSE)</f>
        <v>258</v>
      </c>
      <c r="E42" s="46">
        <f>VLOOKUP(A42,'The List'!B1:I730,8,FALSE)</f>
        <v>168.361917921922</v>
      </c>
      <c r="F42" s="46">
        <f>IF('Settings'!$E$15="POINTS",E42-VLOOKUP(B$2,C1:E75,3,FALSE),J42)</f>
        <v>-96.94130357776601</v>
      </c>
      <c r="G42" s="46"/>
      <c r="H42" s="149">
        <f>RANK(I42,I3:I75)</f>
        <v>43</v>
      </c>
      <c r="I42" s="150">
        <f>VLOOKUP(A42,'Standard Deviations'!A1:C731,3,FALSE)</f>
        <v>-1.83440542728758</v>
      </c>
      <c r="J42" s="150">
        <f>I42-VLOOKUP(B$2,H1:J75,2,FALSE)</f>
        <v>-3.21782611362188</v>
      </c>
    </row>
    <row r="43" ht="21.25" customHeight="1">
      <c r="A43" t="s" s="8">
        <v>623</v>
      </c>
      <c r="B43" t="s" s="121">
        <f>VLOOKUP(A43,'The List'!B1:D730,3,FALSE)</f>
        <v>146</v>
      </c>
      <c r="C43" s="162">
        <f>RANK(E43,E3:E75)</f>
        <v>40</v>
      </c>
      <c r="D43" t="s" s="42">
        <f>VLOOKUP(A43,'The List'!B1:F730,5,FALSE)</f>
        <v>204</v>
      </c>
      <c r="E43" s="46">
        <f>VLOOKUP(A43,'The List'!B1:I730,8,FALSE)</f>
        <v>180.684279380537</v>
      </c>
      <c r="F43" s="46">
        <f>IF('Settings'!$E$15="POINTS",E43-VLOOKUP(B$2,C1:E75,3,FALSE),J43)</f>
        <v>-84.618942119151</v>
      </c>
      <c r="G43" s="46"/>
      <c r="H43" s="149">
        <f>RANK(I43,I3:I75)</f>
        <v>42</v>
      </c>
      <c r="I43" s="150">
        <f>VLOOKUP(A43,'Standard Deviations'!A1:C731,3,FALSE)</f>
        <v>-1.80322062013139</v>
      </c>
      <c r="J43" s="150">
        <f>I43-VLOOKUP(B$2,H1:J75,2,FALSE)</f>
        <v>-3.18664130646569</v>
      </c>
    </row>
    <row r="44" ht="21.25" customHeight="1">
      <c r="A44" t="s" s="8">
        <v>679</v>
      </c>
      <c r="B44" t="s" s="121">
        <f>VLOOKUP(A44,'The List'!B1:D730,3,FALSE)</f>
        <v>146</v>
      </c>
      <c r="C44" s="162">
        <f>RANK(E44,E3:E75)</f>
        <v>43</v>
      </c>
      <c r="D44" t="s" s="42">
        <f>VLOOKUP(A44,'The List'!B1:F730,5,FALSE)</f>
        <v>141</v>
      </c>
      <c r="E44" s="46">
        <f>VLOOKUP(A44,'The List'!B1:I730,8,FALSE)</f>
        <v>157.033884120751</v>
      </c>
      <c r="F44" s="46">
        <f>IF('Settings'!$E$15="POINTS",E44-VLOOKUP(B$2,C1:E75,3,FALSE),J44)</f>
        <v>-108.269337378937</v>
      </c>
      <c r="G44" s="46"/>
      <c r="H44" s="149">
        <f>RANK(I44,I3:I75)</f>
        <v>56</v>
      </c>
      <c r="I44" s="150">
        <f>VLOOKUP(A44,'Standard Deviations'!A1:C731,3,FALSE)</f>
        <v>-3.05726714219026</v>
      </c>
      <c r="J44" s="150">
        <f>I44-VLOOKUP(B$2,H1:J75,2,FALSE)</f>
        <v>-4.44068782852456</v>
      </c>
    </row>
    <row r="45" ht="21.25" customHeight="1">
      <c r="A45" t="s" s="8">
        <v>669</v>
      </c>
      <c r="B45" t="s" s="121">
        <f>VLOOKUP(A45,'The List'!B1:D730,3,FALSE)</f>
        <v>146</v>
      </c>
      <c r="C45" s="162">
        <f>RANK(E45,E3:E75)</f>
        <v>42</v>
      </c>
      <c r="D45" t="s" s="42">
        <f>VLOOKUP(A45,'The List'!B1:F730,5,FALSE)</f>
        <v>134</v>
      </c>
      <c r="E45" s="46">
        <f>VLOOKUP(A45,'The List'!B1:I730,8,FALSE)</f>
        <v>161.292061082318</v>
      </c>
      <c r="F45" s="46">
        <f>IF('Settings'!$E$15="POINTS",E45-VLOOKUP(B$2,C1:E75,3,FALSE),J45)</f>
        <v>-104.011160417370</v>
      </c>
      <c r="G45" s="46"/>
      <c r="H45" s="149">
        <f>RANK(I45,I3:I75)</f>
        <v>45</v>
      </c>
      <c r="I45" s="150">
        <f>VLOOKUP(A45,'Standard Deviations'!A1:C731,3,FALSE)</f>
        <v>-1.93394778955043</v>
      </c>
      <c r="J45" s="150">
        <f>I45-VLOOKUP(B$2,H1:J75,2,FALSE)</f>
        <v>-3.31736847588473</v>
      </c>
    </row>
    <row r="46" ht="21.25" customHeight="1">
      <c r="A46" t="s" s="8">
        <v>737</v>
      </c>
      <c r="B46" t="s" s="121">
        <f>VLOOKUP(A46,'The List'!B1:D730,3,FALSE)</f>
        <v>146</v>
      </c>
      <c r="C46" s="162">
        <f>RANK(E46,E3:E75)</f>
        <v>44</v>
      </c>
      <c r="D46" t="s" s="42">
        <f>VLOOKUP(A46,'The List'!B1:F730,5,FALSE)</f>
        <v>115</v>
      </c>
      <c r="E46" s="46">
        <f>VLOOKUP(A46,'The List'!B1:I730,8,FALSE)</f>
        <v>140.588108898553</v>
      </c>
      <c r="F46" s="46">
        <f>IF('Settings'!$E$15="POINTS",E46-VLOOKUP(B$2,C1:E75,3,FALSE),J46)</f>
        <v>-124.715112601135</v>
      </c>
      <c r="G46" s="46"/>
      <c r="H46" s="149">
        <f>RANK(I46,I3:I75)</f>
        <v>40</v>
      </c>
      <c r="I46" s="150">
        <f>VLOOKUP(A46,'Standard Deviations'!A1:C731,3,FALSE)</f>
        <v>-1.65149474611218</v>
      </c>
      <c r="J46" s="150">
        <f>I46-VLOOKUP(B$2,H1:J75,2,FALSE)</f>
        <v>-3.03491543244648</v>
      </c>
    </row>
    <row r="47" ht="21.25" customHeight="1">
      <c r="A47" t="s" s="8">
        <v>749</v>
      </c>
      <c r="B47" t="s" s="121">
        <f>VLOOKUP(A47,'The List'!B1:D730,3,FALSE)</f>
        <v>146</v>
      </c>
      <c r="C47" s="162">
        <f>RANK(E47,E3:E75)</f>
        <v>45</v>
      </c>
      <c r="D47" t="s" s="42">
        <f>VLOOKUP(A47,'The List'!B1:F730,5,FALSE)</f>
        <v>189</v>
      </c>
      <c r="E47" s="46">
        <f>VLOOKUP(A47,'The List'!B1:I730,8,FALSE)</f>
        <v>134.988791031934</v>
      </c>
      <c r="F47" s="46">
        <f>IF('Settings'!$E$15="POINTS",E47-VLOOKUP(B$2,C1:E75,3,FALSE),J47)</f>
        <v>-130.314430467754</v>
      </c>
      <c r="G47" s="46"/>
      <c r="H47" s="149">
        <f>RANK(I47,I3:I75)</f>
        <v>65</v>
      </c>
      <c r="I47" s="150">
        <f>VLOOKUP(A47,'Standard Deviations'!A1:C731,3,FALSE)</f>
        <v>-3.88703681310445</v>
      </c>
      <c r="J47" s="150">
        <f>I47-VLOOKUP(B$2,H1:J75,2,FALSE)</f>
        <v>-5.27045749943875</v>
      </c>
    </row>
    <row r="48" ht="21.25" customHeight="1">
      <c r="A48" t="s" s="8">
        <v>758</v>
      </c>
      <c r="B48" t="s" s="121">
        <f>VLOOKUP(A48,'The List'!B1:D730,3,FALSE)</f>
        <v>146</v>
      </c>
      <c r="C48" s="162">
        <f>RANK(E48,E3:E75)</f>
        <v>47</v>
      </c>
      <c r="D48" t="s" s="42">
        <f>VLOOKUP(A48,'The List'!B1:F730,5,FALSE)</f>
        <v>170</v>
      </c>
      <c r="E48" s="46">
        <f>VLOOKUP(A48,'The List'!B1:I730,8,FALSE)</f>
        <v>133.815834944129</v>
      </c>
      <c r="F48" s="46">
        <f>IF('Settings'!$E$15="POINTS",E48-VLOOKUP(B$2,C1:E75,3,FALSE),J48)</f>
        <v>-131.487386555559</v>
      </c>
      <c r="G48" s="46"/>
      <c r="H48" s="149">
        <f>RANK(I48,I3:I75)</f>
        <v>39</v>
      </c>
      <c r="I48" s="150">
        <f>VLOOKUP(A48,'Standard Deviations'!A1:C731,3,FALSE)</f>
        <v>-1.61982956080486</v>
      </c>
      <c r="J48" s="150">
        <f>I48-VLOOKUP(B$2,H1:J75,2,FALSE)</f>
        <v>-3.00325024713916</v>
      </c>
    </row>
    <row r="49" ht="21.25" customHeight="1">
      <c r="A49" t="s" s="8">
        <v>762</v>
      </c>
      <c r="B49" t="s" s="121">
        <f>VLOOKUP(A49,'The List'!B1:D730,3,FALSE)</f>
        <v>146</v>
      </c>
      <c r="C49" s="162">
        <f>RANK(E49,E3:E75)</f>
        <v>46</v>
      </c>
      <c r="D49" t="s" s="42">
        <f>VLOOKUP(A49,'The List'!B1:F730,5,FALSE)</f>
        <v>113</v>
      </c>
      <c r="E49" s="46">
        <f>VLOOKUP(A49,'The List'!B1:I730,8,FALSE)</f>
        <v>134.541599485923</v>
      </c>
      <c r="F49" s="46">
        <f>IF('Settings'!$E$15="POINTS",E49-VLOOKUP(B$2,C1:E75,3,FALSE),J49)</f>
        <v>-130.761622013765</v>
      </c>
      <c r="G49" s="46"/>
      <c r="H49" s="149">
        <f>RANK(I49,I3:I75)</f>
        <v>41</v>
      </c>
      <c r="I49" s="150">
        <f>VLOOKUP(A49,'Standard Deviations'!A1:C731,3,FALSE)</f>
        <v>-1.75169350725191</v>
      </c>
      <c r="J49" s="150">
        <f>I49-VLOOKUP(B$2,H1:J75,2,FALSE)</f>
        <v>-3.13511419358621</v>
      </c>
    </row>
    <row r="50" ht="21.25" customHeight="1">
      <c r="A50" t="s" s="8">
        <v>772</v>
      </c>
      <c r="B50" t="s" s="121">
        <f>VLOOKUP(A50,'The List'!B1:D730,3,FALSE)</f>
        <v>146</v>
      </c>
      <c r="C50" s="162">
        <f>RANK(E50,E3:E75)</f>
        <v>48</v>
      </c>
      <c r="D50" t="s" s="42">
        <f>VLOOKUP(A50,'The List'!B1:F730,5,FALSE)</f>
        <v>166</v>
      </c>
      <c r="E50" s="46">
        <f>VLOOKUP(A50,'The List'!B1:I730,8,FALSE)</f>
        <v>128.731633829477</v>
      </c>
      <c r="F50" s="46">
        <f>IF('Settings'!$E$15="POINTS",E50-VLOOKUP(B$2,C1:E75,3,FALSE),J50)</f>
        <v>-136.571587670211</v>
      </c>
      <c r="G50" s="46"/>
      <c r="H50" s="149">
        <f>RANK(I50,I3:I75)</f>
        <v>59</v>
      </c>
      <c r="I50" s="150">
        <f>VLOOKUP(A50,'Standard Deviations'!A1:C731,3,FALSE)</f>
        <v>-3.20367816618912</v>
      </c>
      <c r="J50" s="150">
        <f>I50-VLOOKUP(B$2,H1:J75,2,FALSE)</f>
        <v>-4.58709885252342</v>
      </c>
    </row>
    <row r="51" ht="21.25" customHeight="1">
      <c r="A51" t="s" s="8">
        <v>794</v>
      </c>
      <c r="B51" t="s" s="121">
        <f>VLOOKUP(A51,'The List'!B1:D730,3,FALSE)</f>
        <v>146</v>
      </c>
      <c r="C51" s="162">
        <f>RANK(E51,E3:E75)</f>
        <v>49</v>
      </c>
      <c r="D51" t="s" s="42">
        <f>VLOOKUP(A51,'The List'!B1:F730,5,FALSE)</f>
        <v>151</v>
      </c>
      <c r="E51" s="46">
        <f>VLOOKUP(A51,'The List'!B1:I730,8,FALSE)</f>
        <v>126.403435391137</v>
      </c>
      <c r="F51" s="46">
        <f>IF('Settings'!$E$15="POINTS",E51-VLOOKUP(B$2,C1:E75,3,FALSE),J51)</f>
        <v>-138.899786108551</v>
      </c>
      <c r="G51" s="46"/>
      <c r="H51" s="149">
        <f>RANK(I51,I3:I75)</f>
        <v>66</v>
      </c>
      <c r="I51" s="150">
        <f>VLOOKUP(A51,'Standard Deviations'!A1:C731,3,FALSE)</f>
        <v>-3.91645427360008</v>
      </c>
      <c r="J51" s="150">
        <f>I51-VLOOKUP(B$2,H1:J75,2,FALSE)</f>
        <v>-5.29987495993438</v>
      </c>
    </row>
    <row r="52" ht="21.25" customHeight="1">
      <c r="A52" t="s" s="8">
        <v>798</v>
      </c>
      <c r="B52" t="s" s="121">
        <f>VLOOKUP(A52,'The List'!B1:D730,3,FALSE)</f>
        <v>146</v>
      </c>
      <c r="C52" s="162">
        <f>RANK(E52,E3:E75)</f>
        <v>50</v>
      </c>
      <c r="D52" t="s" s="42">
        <f>VLOOKUP(A52,'The List'!B1:F730,5,FALSE)</f>
        <v>236</v>
      </c>
      <c r="E52" s="46">
        <f>VLOOKUP(A52,'The List'!B1:I730,8,FALSE)</f>
        <v>120.261108249830</v>
      </c>
      <c r="F52" s="46">
        <f>IF('Settings'!$E$15="POINTS",E52-VLOOKUP(B$2,C1:E75,3,FALSE),J52)</f>
        <v>-145.042113249858</v>
      </c>
      <c r="G52" s="46"/>
      <c r="H52" s="149">
        <f>RANK(I52,I3:I75)</f>
        <v>63</v>
      </c>
      <c r="I52" s="150">
        <f>VLOOKUP(A52,'Standard Deviations'!A1:C731,3,FALSE)</f>
        <v>-3.84097419860669</v>
      </c>
      <c r="J52" s="150">
        <f>I52-VLOOKUP(B$2,H1:J75,2,FALSE)</f>
        <v>-5.22439488494099</v>
      </c>
    </row>
    <row r="53" ht="21.25" customHeight="1">
      <c r="A53" t="s" s="8">
        <v>839</v>
      </c>
      <c r="B53" t="s" s="121">
        <f>VLOOKUP(A53,'The List'!B1:D730,3,FALSE)</f>
        <v>146</v>
      </c>
      <c r="C53" s="162">
        <f>RANK(E53,E3:E75)</f>
        <v>59</v>
      </c>
      <c r="D53" t="s" s="42">
        <f>VLOOKUP(A53,'The List'!B1:F730,5,FALSE)</f>
        <v>234</v>
      </c>
      <c r="E53" s="46">
        <f>VLOOKUP(A53,'The List'!B1:I730,8,FALSE)</f>
        <v>97.13858604710499</v>
      </c>
      <c r="F53" s="46">
        <f>IF('Settings'!$E$15="POINTS",E53-VLOOKUP(B$2,C1:E75,3,FALSE),J53)</f>
        <v>-168.164635452583</v>
      </c>
      <c r="G53" s="46"/>
      <c r="H53" s="149">
        <f>RANK(I53,I3:I75)</f>
        <v>71</v>
      </c>
      <c r="I53" s="150">
        <f>VLOOKUP(A53,'Standard Deviations'!A1:C731,3,FALSE)</f>
        <v>-4.90453977478707</v>
      </c>
      <c r="J53" s="150">
        <f>I53-VLOOKUP(B$2,H1:J75,2,FALSE)</f>
        <v>-6.28796046112137</v>
      </c>
    </row>
    <row r="54" ht="21.25" customHeight="1">
      <c r="A54" t="s" s="8">
        <v>806</v>
      </c>
      <c r="B54" t="s" s="121">
        <f>VLOOKUP(A54,'The List'!B1:D730,3,FALSE)</f>
        <v>146</v>
      </c>
      <c r="C54" s="162">
        <f>RANK(E54,E3:E75)</f>
        <v>52</v>
      </c>
      <c r="D54" t="s" s="42">
        <f>VLOOKUP(A54,'The List'!B1:F730,5,FALSE)</f>
        <v>202</v>
      </c>
      <c r="E54" s="46">
        <f>VLOOKUP(A54,'The List'!B1:I730,8,FALSE)</f>
        <v>118.411006844185</v>
      </c>
      <c r="F54" s="46">
        <f>IF('Settings'!$E$15="POINTS",E54-VLOOKUP(B$2,C1:E75,3,FALSE),J54)</f>
        <v>-146.892214655503</v>
      </c>
      <c r="G54" s="46"/>
      <c r="H54" s="149">
        <f>RANK(I54,I3:I75)</f>
        <v>44</v>
      </c>
      <c r="I54" s="150">
        <f>VLOOKUP(A54,'Standard Deviations'!A1:C731,3,FALSE)</f>
        <v>-1.92325371617245</v>
      </c>
      <c r="J54" s="150">
        <f>I54-VLOOKUP(B$2,H1:J75,2,FALSE)</f>
        <v>-3.30667440250675</v>
      </c>
    </row>
    <row r="55" ht="21.25" customHeight="1">
      <c r="A55" t="s" s="8">
        <v>800</v>
      </c>
      <c r="B55" t="s" s="121">
        <f>VLOOKUP(A55,'The List'!B1:D730,3,FALSE)</f>
        <v>146</v>
      </c>
      <c r="C55" s="162">
        <f>RANK(E55,E3:E75)</f>
        <v>51</v>
      </c>
      <c r="D55" t="s" s="42">
        <f>VLOOKUP(A55,'The List'!B1:F730,5,FALSE)</f>
        <v>202</v>
      </c>
      <c r="E55" s="46">
        <f>VLOOKUP(A55,'The List'!B1:I730,8,FALSE)</f>
        <v>118.893391215749</v>
      </c>
      <c r="F55" s="46">
        <f>IF('Settings'!$E$15="POINTS",E55-VLOOKUP(B$2,C1:E75,3,FALSE),J55)</f>
        <v>-146.409830283939</v>
      </c>
      <c r="G55" s="46"/>
      <c r="H55" s="149">
        <f>RANK(I55,I3:I75)</f>
        <v>36</v>
      </c>
      <c r="I55" s="150">
        <f>VLOOKUP(A55,'Standard Deviations'!A1:C731,3,FALSE)</f>
        <v>-0.8921724498886821</v>
      </c>
      <c r="J55" s="150">
        <f>I55-VLOOKUP(B$2,H1:J75,2,FALSE)</f>
        <v>-2.27559313622298</v>
      </c>
    </row>
    <row r="56" ht="21.25" customHeight="1">
      <c r="A56" t="s" s="8">
        <v>818</v>
      </c>
      <c r="B56" t="s" s="121">
        <f>VLOOKUP(A56,'The List'!B1:D730,3,FALSE)</f>
        <v>146</v>
      </c>
      <c r="C56" s="162">
        <f>RANK(E56,E3:E75)</f>
        <v>54</v>
      </c>
      <c r="D56" t="s" s="42">
        <f>VLOOKUP(A56,'The List'!B1:F730,5,FALSE)</f>
        <v>149</v>
      </c>
      <c r="E56" s="46">
        <f>VLOOKUP(A56,'The List'!B1:I730,8,FALSE)</f>
        <v>107.415970269098</v>
      </c>
      <c r="F56" s="46">
        <f>IF('Settings'!$E$15="POINTS",E56-VLOOKUP(B$2,C1:E75,3,FALSE),J56)</f>
        <v>-157.887251230590</v>
      </c>
      <c r="G56" s="46"/>
      <c r="H56" s="149">
        <f>RANK(I56,I3:I75)</f>
        <v>48</v>
      </c>
      <c r="I56" s="150">
        <f>VLOOKUP(A56,'Standard Deviations'!A1:C731,3,FALSE)</f>
        <v>-2.36980778873178</v>
      </c>
      <c r="J56" s="150">
        <f>I56-VLOOKUP(B$2,H1:J75,2,FALSE)</f>
        <v>-3.75322847506608</v>
      </c>
    </row>
    <row r="57" ht="21.25" customHeight="1">
      <c r="A57" t="s" s="8">
        <v>804</v>
      </c>
      <c r="B57" t="s" s="121">
        <f>VLOOKUP(A57,'The List'!B1:D730,3,FALSE)</f>
        <v>146</v>
      </c>
      <c r="C57" s="162">
        <f>RANK(E57,E3:E75)</f>
        <v>53</v>
      </c>
      <c r="D57" t="s" s="42">
        <f>VLOOKUP(A57,'The List'!B1:F730,5,FALSE)</f>
        <v>139</v>
      </c>
      <c r="E57" s="46">
        <f>VLOOKUP(A57,'The List'!B1:I730,8,FALSE)</f>
        <v>117.395036393461</v>
      </c>
      <c r="F57" s="46">
        <f>IF('Settings'!$E$15="POINTS",E57-VLOOKUP(B$2,C1:E75,3,FALSE),J57)</f>
        <v>-147.908185106227</v>
      </c>
      <c r="G57" s="46"/>
      <c r="H57" s="149">
        <f>RANK(I57,I3:I75)</f>
        <v>57</v>
      </c>
      <c r="I57" s="150">
        <f>VLOOKUP(A57,'Standard Deviations'!A1:C731,3,FALSE)</f>
        <v>-3.18294529425041</v>
      </c>
      <c r="J57" s="150">
        <f>I57-VLOOKUP(B$2,H1:J75,2,FALSE)</f>
        <v>-4.56636598058471</v>
      </c>
    </row>
    <row r="58" ht="21.25" customHeight="1">
      <c r="A58" t="s" s="8">
        <v>834</v>
      </c>
      <c r="B58" t="s" s="121">
        <f>VLOOKUP(A58,'The List'!B1:D730,3,FALSE)</f>
        <v>146</v>
      </c>
      <c r="C58" s="162">
        <f>RANK(E58,E3:E75)</f>
        <v>55</v>
      </c>
      <c r="D58" t="s" s="42">
        <f>VLOOKUP(A58,'The List'!B1:F730,5,FALSE)</f>
        <v>194</v>
      </c>
      <c r="E58" s="46">
        <f>VLOOKUP(A58,'The List'!B1:I730,8,FALSE)</f>
        <v>102.575611205235</v>
      </c>
      <c r="F58" s="46">
        <f>IF('Settings'!$E$15="POINTS",E58-VLOOKUP(B$2,C1:E75,3,FALSE),J58)</f>
        <v>-162.727610294453</v>
      </c>
      <c r="G58" s="46"/>
      <c r="H58" s="149">
        <f>RANK(I58,I3:I75)</f>
        <v>62</v>
      </c>
      <c r="I58" s="150">
        <f>VLOOKUP(A58,'Standard Deviations'!A1:C731,3,FALSE)</f>
        <v>-3.80658221412238</v>
      </c>
      <c r="J58" s="150">
        <f>I58-VLOOKUP(B$2,H1:J75,2,FALSE)</f>
        <v>-5.19000290045668</v>
      </c>
    </row>
    <row r="59" ht="21.25" customHeight="1">
      <c r="A59" t="s" s="8">
        <v>836</v>
      </c>
      <c r="B59" t="s" s="121">
        <f>VLOOKUP(A59,'The List'!B1:D730,3,FALSE)</f>
        <v>146</v>
      </c>
      <c r="C59" s="162">
        <f>RANK(E59,E3:E75)</f>
        <v>58</v>
      </c>
      <c r="D59" t="s" s="42">
        <f>VLOOKUP(A59,'The List'!B1:F730,5,FALSE)</f>
        <v>136</v>
      </c>
      <c r="E59" s="46">
        <f>VLOOKUP(A59,'The List'!B1:I730,8,FALSE)</f>
        <v>100.351289166438</v>
      </c>
      <c r="F59" s="46">
        <f>IF('Settings'!$E$15="POINTS",E59-VLOOKUP(B$2,C1:E75,3,FALSE),J59)</f>
        <v>-164.951932333250</v>
      </c>
      <c r="G59" s="46"/>
      <c r="H59" s="149">
        <f>RANK(I59,I3:I75)</f>
        <v>37</v>
      </c>
      <c r="I59" s="150">
        <f>VLOOKUP(A59,'Standard Deviations'!A1:C731,3,FALSE)</f>
        <v>-1.42232621825562</v>
      </c>
      <c r="J59" s="150">
        <f>I59-VLOOKUP(B$2,H1:J75,2,FALSE)</f>
        <v>-2.80574690458992</v>
      </c>
    </row>
    <row r="60" ht="21.25" customHeight="1">
      <c r="A60" t="s" s="8">
        <v>841</v>
      </c>
      <c r="B60" t="s" s="121">
        <f>VLOOKUP(A60,'The List'!B1:D730,3,FALSE)</f>
        <v>146</v>
      </c>
      <c r="C60" s="162">
        <f>RANK(E60,E3:E75)</f>
        <v>57</v>
      </c>
      <c r="D60" t="s" s="42">
        <f>VLOOKUP(A60,'The List'!B1:F730,5,FALSE)</f>
        <v>184</v>
      </c>
      <c r="E60" s="46">
        <f>VLOOKUP(A60,'The List'!B1:I730,8,FALSE)</f>
        <v>101.214646955122</v>
      </c>
      <c r="F60" s="46">
        <f>IF('Settings'!$E$15="POINTS",E60-VLOOKUP(B$2,C1:E75,3,FALSE),J60)</f>
        <v>-164.088574544566</v>
      </c>
      <c r="G60" s="46"/>
      <c r="H60" s="149">
        <f>RANK(I60,I3:I75)</f>
        <v>60</v>
      </c>
      <c r="I60" s="150">
        <f>VLOOKUP(A60,'Standard Deviations'!A1:C731,3,FALSE)</f>
        <v>-3.50760724083681</v>
      </c>
      <c r="J60" s="150">
        <f>I60-VLOOKUP(B$2,H1:J75,2,FALSE)</f>
        <v>-4.89102792717111</v>
      </c>
    </row>
    <row r="61" ht="21.25" customHeight="1">
      <c r="A61" t="s" s="8">
        <v>842</v>
      </c>
      <c r="B61" t="s" s="121">
        <f>VLOOKUP(A61,'The List'!B1:D730,3,FALSE)</f>
        <v>146</v>
      </c>
      <c r="C61" s="162">
        <f>RANK(E61,E3:E75)</f>
        <v>56</v>
      </c>
      <c r="D61" t="s" s="42">
        <f>VLOOKUP(A61,'The List'!B1:F730,5,FALSE)</f>
        <v>248</v>
      </c>
      <c r="E61" s="46">
        <f>VLOOKUP(A61,'The List'!B1:I730,8,FALSE)</f>
        <v>101.328364345897</v>
      </c>
      <c r="F61" s="46">
        <f>IF('Settings'!$E$15="POINTS",E61-VLOOKUP(B$2,C1:E75,3,FALSE),J61)</f>
        <v>-163.974857153791</v>
      </c>
      <c r="G61" s="46"/>
      <c r="H61" s="149">
        <f>RANK(I61,I3:I75)</f>
        <v>53</v>
      </c>
      <c r="I61" s="150">
        <f>VLOOKUP(A61,'Standard Deviations'!A1:C731,3,FALSE)</f>
        <v>-2.76489910087298</v>
      </c>
      <c r="J61" s="150">
        <f>I61-VLOOKUP(B$2,H1:J75,2,FALSE)</f>
        <v>-4.14831978720728</v>
      </c>
    </row>
    <row r="62" ht="21.25" customHeight="1">
      <c r="A62" t="s" s="8">
        <v>882</v>
      </c>
      <c r="B62" t="s" s="121">
        <f>VLOOKUP(A62,'The List'!B1:D730,3,FALSE)</f>
        <v>146</v>
      </c>
      <c r="C62" s="162">
        <f>RANK(E62,E3:E75)</f>
        <v>73</v>
      </c>
      <c r="D62" t="s" s="42">
        <f>VLOOKUP(A62,'The List'!B1:F730,5,FALSE)</f>
        <v>156</v>
      </c>
      <c r="E62" s="46">
        <f>VLOOKUP(A62,'The List'!B1:I730,8,FALSE)</f>
        <v>40.4520108482961</v>
      </c>
      <c r="F62" s="46">
        <f>IF('Settings'!$E$15="POINTS",E62-VLOOKUP(B$2,C1:E75,3,FALSE),J62)</f>
        <v>-224.851210651392</v>
      </c>
      <c r="G62" s="46"/>
      <c r="H62" s="149">
        <f>RANK(I62,I3:I75)</f>
        <v>72</v>
      </c>
      <c r="I62" s="150">
        <f>VLOOKUP(A62,'Standard Deviations'!A1:C731,3,FALSE)</f>
        <v>-4.98421626691582</v>
      </c>
      <c r="J62" s="150">
        <f>I62-VLOOKUP(B$2,H1:J75,2,FALSE)</f>
        <v>-6.36763695325012</v>
      </c>
    </row>
    <row r="63" ht="21.25" customHeight="1">
      <c r="A63" t="s" s="8">
        <v>851</v>
      </c>
      <c r="B63" t="s" s="121">
        <f>VLOOKUP(A63,'The List'!B1:D730,3,FALSE)</f>
        <v>146</v>
      </c>
      <c r="C63" s="162">
        <f>RANK(E63,E3:E75)</f>
        <v>61</v>
      </c>
      <c r="D63" t="s" s="42">
        <f>VLOOKUP(A63,'The List'!B1:F730,5,FALSE)</f>
        <v>164</v>
      </c>
      <c r="E63" s="46">
        <f>VLOOKUP(A63,'The List'!B1:I730,8,FALSE)</f>
        <v>94.94202695627909</v>
      </c>
      <c r="F63" s="46">
        <f>IF('Settings'!$E$15="POINTS",E63-VLOOKUP(B$2,C1:E75,3,FALSE),J63)</f>
        <v>-170.361194543409</v>
      </c>
      <c r="G63" s="46"/>
      <c r="H63" s="149">
        <f>RANK(I63,I3:I75)</f>
        <v>49</v>
      </c>
      <c r="I63" s="150">
        <f>VLOOKUP(A63,'Standard Deviations'!A1:C731,3,FALSE)</f>
        <v>-2.39969381518003</v>
      </c>
      <c r="J63" s="150">
        <f>I63-VLOOKUP(B$2,H1:J75,2,FALSE)</f>
        <v>-3.78311450151433</v>
      </c>
    </row>
    <row r="64" ht="21.25" customHeight="1">
      <c r="A64" t="s" s="8">
        <v>854</v>
      </c>
      <c r="B64" t="s" s="121">
        <f>VLOOKUP(A64,'The List'!B1:D730,3,FALSE)</f>
        <v>146</v>
      </c>
      <c r="C64" s="162">
        <f>RANK(E64,E3:E75)</f>
        <v>63</v>
      </c>
      <c r="D64" t="s" s="42">
        <f>VLOOKUP(A64,'The List'!B1:F730,5,FALSE)</f>
        <v>184</v>
      </c>
      <c r="E64" s="46">
        <f>VLOOKUP(A64,'The List'!B1:I730,8,FALSE)</f>
        <v>92.9161922089307</v>
      </c>
      <c r="F64" s="46">
        <f>IF('Settings'!$E$15="POINTS",E64-VLOOKUP(B$2,C1:E75,3,FALSE),J64)</f>
        <v>-172.387029290757</v>
      </c>
      <c r="G64" s="46"/>
      <c r="H64" s="149">
        <f>RANK(I64,I3:I75)</f>
        <v>55</v>
      </c>
      <c r="I64" s="150">
        <f>VLOOKUP(A64,'Standard Deviations'!A1:C731,3,FALSE)</f>
        <v>-3.01625913082561</v>
      </c>
      <c r="J64" s="150">
        <f>I64-VLOOKUP(B$2,H1:J75,2,FALSE)</f>
        <v>-4.39967981715991</v>
      </c>
    </row>
    <row r="65" ht="21.25" customHeight="1">
      <c r="A65" t="s" s="8">
        <v>855</v>
      </c>
      <c r="B65" t="s" s="121">
        <f>VLOOKUP(A65,'The List'!B1:D730,3,FALSE)</f>
        <v>146</v>
      </c>
      <c r="C65" s="162">
        <f>RANK(E65,E3:E75)</f>
        <v>62</v>
      </c>
      <c r="D65" t="s" s="42">
        <f>VLOOKUP(A65,'The List'!B1:F730,5,FALSE)</f>
        <v>124</v>
      </c>
      <c r="E65" s="46">
        <f>VLOOKUP(A65,'The List'!B1:I730,8,FALSE)</f>
        <v>94.2514537258463</v>
      </c>
      <c r="F65" s="46">
        <f>IF('Settings'!$E$15="POINTS",E65-VLOOKUP(B$2,C1:E75,3,FALSE),J65)</f>
        <v>-171.051767773842</v>
      </c>
      <c r="G65" s="46"/>
      <c r="H65" s="149">
        <f>RANK(I65,I3:I75)</f>
        <v>69</v>
      </c>
      <c r="I65" s="150">
        <f>VLOOKUP(A65,'Standard Deviations'!A1:C731,3,FALSE)</f>
        <v>-4.58074076754969</v>
      </c>
      <c r="J65" s="150">
        <f>I65-VLOOKUP(B$2,H1:J75,2,FALSE)</f>
        <v>-5.96416145388399</v>
      </c>
    </row>
    <row r="66" ht="21.25" customHeight="1">
      <c r="A66" t="s" s="8">
        <v>866</v>
      </c>
      <c r="B66" t="s" s="121">
        <f>VLOOKUP(A66,'The List'!B1:D730,3,FALSE)</f>
        <v>146</v>
      </c>
      <c r="C66" s="162">
        <f>RANK(E66,E3:E75)</f>
        <v>64</v>
      </c>
      <c r="D66" t="s" s="42">
        <f>VLOOKUP(A66,'The List'!B1:F730,5,FALSE)</f>
        <v>119</v>
      </c>
      <c r="E66" s="46">
        <f>VLOOKUP(A66,'The List'!B1:I730,8,FALSE)</f>
        <v>85.9115253343037</v>
      </c>
      <c r="F66" s="46">
        <f>IF('Settings'!$E$15="POINTS",E66-VLOOKUP(B$2,C1:E75,3,FALSE),J66)</f>
        <v>-179.391696165384</v>
      </c>
      <c r="G66" s="46"/>
      <c r="H66" s="149">
        <f>RANK(I66,I3:I75)</f>
        <v>58</v>
      </c>
      <c r="I66" s="150">
        <f>VLOOKUP(A66,'Standard Deviations'!A1:C731,3,FALSE)</f>
        <v>-3.20278992540743</v>
      </c>
      <c r="J66" s="150">
        <f>I66-VLOOKUP(B$2,H1:J75,2,FALSE)</f>
        <v>-4.58621061174173</v>
      </c>
    </row>
    <row r="67" ht="21.25" customHeight="1">
      <c r="A67" t="s" s="8">
        <v>868</v>
      </c>
      <c r="B67" t="s" s="121">
        <f>VLOOKUP(A67,'The List'!B1:D730,3,FALSE)</f>
        <v>146</v>
      </c>
      <c r="C67" s="162">
        <f>RANK(E67,E3:E75)</f>
        <v>65</v>
      </c>
      <c r="D67" t="s" s="42">
        <f>VLOOKUP(A67,'The List'!B1:F730,5,FALSE)</f>
        <v>119</v>
      </c>
      <c r="E67" s="46">
        <f>VLOOKUP(A67,'The List'!B1:I730,8,FALSE)</f>
        <v>84.5889525705819</v>
      </c>
      <c r="F67" s="46">
        <f>IF('Settings'!$E$15="POINTS",E67-VLOOKUP(B$2,C1:E75,3,FALSE),J67)</f>
        <v>-180.714268929106</v>
      </c>
      <c r="G67" s="46"/>
      <c r="H67" s="149">
        <f>RANK(I67,I3:I75)</f>
        <v>61</v>
      </c>
      <c r="I67" s="150">
        <f>VLOOKUP(A67,'Standard Deviations'!A1:C731,3,FALSE)</f>
        <v>-3.56860968718762</v>
      </c>
      <c r="J67" s="150">
        <f>I67-VLOOKUP(B$2,H1:J75,2,FALSE)</f>
        <v>-4.95203037352192</v>
      </c>
    </row>
    <row r="68" ht="21.25" customHeight="1">
      <c r="A68" t="s" s="8">
        <v>852</v>
      </c>
      <c r="B68" t="s" s="121">
        <f>VLOOKUP(A68,'The List'!B1:D730,3,FALSE)</f>
        <v>146</v>
      </c>
      <c r="C68" s="162">
        <f>RANK(E68,E3:E75)</f>
        <v>60</v>
      </c>
      <c r="D68" t="s" s="42">
        <f>VLOOKUP(A68,'The List'!B1:F730,5,FALSE)</f>
        <v>238</v>
      </c>
      <c r="E68" s="46">
        <f>VLOOKUP(A68,'The List'!B1:I730,8,FALSE)</f>
        <v>95.2578255617243</v>
      </c>
      <c r="F68" s="46">
        <f>IF('Settings'!$E$15="POINTS",E68-VLOOKUP(B$2,C1:E75,3,FALSE),J68)</f>
        <v>-170.045395937964</v>
      </c>
      <c r="G68" s="46"/>
      <c r="H68" s="149">
        <f>RANK(I68,I3:I75)</f>
        <v>51</v>
      </c>
      <c r="I68" s="150">
        <f>VLOOKUP(A68,'Standard Deviations'!A1:C731,3,FALSE)</f>
        <v>-2.53810847458663</v>
      </c>
      <c r="J68" s="150">
        <f>I68-VLOOKUP(B$2,H1:J75,2,FALSE)</f>
        <v>-3.92152916092093</v>
      </c>
    </row>
    <row r="69" ht="21.25" customHeight="1">
      <c r="A69" t="s" s="8">
        <v>878</v>
      </c>
      <c r="B69" t="s" s="121">
        <f>VLOOKUP(A69,'The List'!B1:D730,3,FALSE)</f>
        <v>146</v>
      </c>
      <c r="C69" s="162">
        <f>RANK(E69,E3:E75)</f>
        <v>69</v>
      </c>
      <c r="D69" t="s" s="42">
        <f>VLOOKUP(A69,'The List'!B1:F730,5,FALSE)</f>
        <v>139</v>
      </c>
      <c r="E69" s="46">
        <f>VLOOKUP(A69,'The List'!B1:I730,8,FALSE)</f>
        <v>62.4273957209848</v>
      </c>
      <c r="F69" s="46">
        <f>IF('Settings'!$E$15="POINTS",E69-VLOOKUP(B$2,C1:E75,3,FALSE),J69)</f>
        <v>-202.875825778703</v>
      </c>
      <c r="G69" s="46"/>
      <c r="H69" s="149">
        <f>RANK(I69,I3:I75)</f>
        <v>68</v>
      </c>
      <c r="I69" s="150">
        <f>VLOOKUP(A69,'Standard Deviations'!A1:C731,3,FALSE)</f>
        <v>-4.44283414148109</v>
      </c>
      <c r="J69" s="150">
        <f>I69-VLOOKUP(B$2,H1:J75,2,FALSE)</f>
        <v>-5.82625482781539</v>
      </c>
    </row>
    <row r="70" ht="21.25" customHeight="1">
      <c r="A70" t="s" s="8">
        <v>875</v>
      </c>
      <c r="B70" t="s" s="121">
        <f>VLOOKUP(A70,'The List'!B1:D730,3,FALSE)</f>
        <v>146</v>
      </c>
      <c r="C70" s="162">
        <f>RANK(E70,E3:E75)</f>
        <v>67</v>
      </c>
      <c r="D70" t="s" s="42">
        <f>VLOOKUP(A70,'The List'!B1:F730,5,FALSE)</f>
        <v>248</v>
      </c>
      <c r="E70" s="46">
        <f>VLOOKUP(A70,'The List'!B1:I730,8,FALSE)</f>
        <v>77.0849741720215</v>
      </c>
      <c r="F70" s="46">
        <f>IF('Settings'!$E$15="POINTS",E70-VLOOKUP(B$2,C1:E75,3,FALSE),J70)</f>
        <v>-188.218247327667</v>
      </c>
      <c r="G70" s="46"/>
      <c r="H70" s="149">
        <f>RANK(I70,I3:I75)</f>
        <v>54</v>
      </c>
      <c r="I70" s="150">
        <f>VLOOKUP(A70,'Standard Deviations'!A1:C731,3,FALSE)</f>
        <v>-2.86868113922221</v>
      </c>
      <c r="J70" s="150">
        <f>I70-VLOOKUP(B$2,H1:J75,2,FALSE)</f>
        <v>-4.25210182555651</v>
      </c>
    </row>
    <row r="71" ht="21.25" customHeight="1">
      <c r="A71" t="s" s="8">
        <v>867</v>
      </c>
      <c r="B71" t="s" s="121">
        <f>VLOOKUP(A71,'The List'!B1:D730,3,FALSE)</f>
        <v>146</v>
      </c>
      <c r="C71" s="162">
        <f>RANK(E71,E3:E75)</f>
        <v>66</v>
      </c>
      <c r="D71" t="s" s="42">
        <f>VLOOKUP(A71,'The List'!B1:F730,5,FALSE)</f>
        <v>131</v>
      </c>
      <c r="E71" s="46">
        <f>VLOOKUP(A71,'The List'!B1:I730,8,FALSE)</f>
        <v>83.979020380111</v>
      </c>
      <c r="F71" s="46">
        <f>IF('Settings'!$E$15="POINTS",E71-VLOOKUP(B$2,C1:E75,3,FALSE),J71)</f>
        <v>-181.324201119577</v>
      </c>
      <c r="G71" s="46"/>
      <c r="H71" s="149">
        <f>RANK(I71,I3:I75)</f>
        <v>64</v>
      </c>
      <c r="I71" s="150">
        <f>VLOOKUP(A71,'Standard Deviations'!A1:C731,3,FALSE)</f>
        <v>-3.86708073021523</v>
      </c>
      <c r="J71" s="150">
        <f>I71-VLOOKUP(B$2,H1:J75,2,FALSE)</f>
        <v>-5.25050141654953</v>
      </c>
    </row>
    <row r="72" ht="21.25" customHeight="1">
      <c r="A72" t="s" s="8">
        <v>877</v>
      </c>
      <c r="B72" t="s" s="121">
        <f>VLOOKUP(A72,'The List'!B1:D730,3,FALSE)</f>
        <v>146</v>
      </c>
      <c r="C72" s="162">
        <f>RANK(E72,E3:E75)</f>
        <v>68</v>
      </c>
      <c r="D72" t="s" s="42">
        <f>VLOOKUP(A72,'The List'!B1:F730,5,FALSE)</f>
        <v>258</v>
      </c>
      <c r="E72" s="46">
        <f>VLOOKUP(A72,'The List'!B1:I730,8,FALSE)</f>
        <v>69.4677267023314</v>
      </c>
      <c r="F72" s="46">
        <f>IF('Settings'!$E$15="POINTS",E72-VLOOKUP(B$2,C1:E75,3,FALSE),J72)</f>
        <v>-195.835494797357</v>
      </c>
      <c r="G72" s="46"/>
      <c r="H72" s="149">
        <f>RANK(I72,I3:I75)</f>
        <v>70</v>
      </c>
      <c r="I72" s="150">
        <f>VLOOKUP(A72,'Standard Deviations'!A1:C731,3,FALSE)</f>
        <v>-4.61633424691055</v>
      </c>
      <c r="J72" s="150">
        <f>I72-VLOOKUP(B$2,H1:J75,2,FALSE)</f>
        <v>-5.99975493324485</v>
      </c>
    </row>
    <row r="73" ht="21.25" customHeight="1">
      <c r="A73" t="s" s="8">
        <v>880</v>
      </c>
      <c r="B73" t="s" s="121">
        <f>VLOOKUP(A73,'The List'!B1:D730,3,FALSE)</f>
        <v>146</v>
      </c>
      <c r="C73" s="162">
        <f>IF('Settings'!$E$15="POINTS",RANK(E73,E3:E75),H73)</f>
        <v>72</v>
      </c>
      <c r="D73" t="s" s="42">
        <f>VLOOKUP(A73,'The List'!B1:F730,5,FALSE)</f>
        <v>238</v>
      </c>
      <c r="E73" s="46">
        <f>VLOOKUP(A73,'The List'!B1:I730,8,FALSE)</f>
        <v>44.596536705218</v>
      </c>
      <c r="F73" s="46">
        <f>IF('Settings'!$E$15="POINTS",E73-VLOOKUP(B$2,C1:E75,3,FALSE),J73)</f>
        <v>-220.706684794470</v>
      </c>
      <c r="G73" s="46"/>
      <c r="H73" s="149">
        <f>RANK(I73,I3:I75)</f>
        <v>46</v>
      </c>
      <c r="I73" s="150">
        <f>VLOOKUP(A73,'Standard Deviations'!A1:C731,3,FALSE)</f>
        <v>-2.27730853474384</v>
      </c>
      <c r="J73" s="150">
        <f>I73-VLOOKUP(B$2,H1:J75,2,FALSE)</f>
        <v>-3.66072922107814</v>
      </c>
    </row>
    <row r="74" ht="21.25" customHeight="1">
      <c r="A74" t="s" s="8">
        <v>881</v>
      </c>
      <c r="B74" t="s" s="121">
        <f>VLOOKUP(A74,'The List'!B1:D730,3,FALSE)</f>
        <v>146</v>
      </c>
      <c r="C74" s="162">
        <f>RANK(E74,E3:E75)</f>
        <v>71</v>
      </c>
      <c r="D74" t="s" s="42">
        <f>VLOOKUP(A74,'The List'!B1:F730,5,FALSE)</f>
        <v>115</v>
      </c>
      <c r="E74" s="46">
        <f>VLOOKUP(A74,'The List'!B1:I730,8,FALSE)</f>
        <v>44.7561002849079</v>
      </c>
      <c r="F74" s="46">
        <f>IF('Settings'!$E$15="POINTS",E74-VLOOKUP(B$2,C1:E75,3,FALSE),J74)</f>
        <v>-220.547121214780</v>
      </c>
      <c r="G74" s="46"/>
      <c r="H74" s="149">
        <f>RANK(I74,I3:I75)</f>
        <v>67</v>
      </c>
      <c r="I74" s="150">
        <f>VLOOKUP(A74,'Standard Deviations'!A1:C731,3,FALSE)</f>
        <v>-4.29337400234803</v>
      </c>
      <c r="J74" s="150">
        <f>I74-VLOOKUP(B$2,H1:J75,2,FALSE)</f>
        <v>-5.67679468868233</v>
      </c>
    </row>
    <row r="75" ht="21.25" customHeight="1">
      <c r="A75" t="s" s="8">
        <v>879</v>
      </c>
      <c r="B75" t="s" s="121">
        <f>VLOOKUP(A75,'The List'!B1:D730,3,FALSE)</f>
        <v>146</v>
      </c>
      <c r="C75" s="162">
        <f>RANK(E75,E3:E75)</f>
        <v>70</v>
      </c>
      <c r="D75" t="s" s="42">
        <f>VLOOKUP(A75,'The List'!B1:F730,5,FALSE)</f>
        <v>236</v>
      </c>
      <c r="E75" s="46">
        <f>VLOOKUP(A75,'The List'!B1:I730,8,FALSE)</f>
        <v>47.7900855249467</v>
      </c>
      <c r="F75" s="46">
        <f>IF('Settings'!$E$15="POINTS",E75-VLOOKUP(B$2,C1:E75,3,FALSE),J75)</f>
        <v>-217.513135974741</v>
      </c>
      <c r="G75" s="46"/>
      <c r="H75" s="149">
        <f>RANK(I75,I3:I75)</f>
        <v>73</v>
      </c>
      <c r="I75" s="150">
        <f>VLOOKUP(A75,'Standard Deviations'!A1:C731,3,FALSE)</f>
        <v>-5.74647663777647</v>
      </c>
      <c r="J75" s="150">
        <f>I75-VLOOKUP(B$2,H1:J75,2,FALSE)</f>
        <v>-7.12989732411077</v>
      </c>
    </row>
  </sheetData>
  <conditionalFormatting sqref="C3:C75 H3:H75">
    <cfRule type="containsText" dxfId="53" priority="1" stopIfTrue="1" text="/">
      <formula>NOT(ISERROR(FIND(UPPER("/"),UPPER(C3))))</formula>
      <formula>"/"</formula>
    </cfRule>
    <cfRule type="containsText" dxfId="54" priority="2" stopIfTrue="1" text="C">
      <formula>NOT(ISERROR(FIND(UPPER("C"),UPPER(C3))))</formula>
      <formula>"C"</formula>
    </cfRule>
    <cfRule type="containsText" dxfId="55" priority="3" stopIfTrue="1" text="D">
      <formula>NOT(ISERROR(FIND(UPPER("D"),UPPER(C3))))</formula>
      <formula>"D"</formula>
    </cfRule>
    <cfRule type="containsText" dxfId="56" priority="4" stopIfTrue="1" text="LW">
      <formula>NOT(ISERROR(FIND(UPPER("LW"),UPPER(C3))))</formula>
      <formula>"LW"</formula>
    </cfRule>
    <cfRule type="containsText" dxfId="57" priority="5" stopIfTrue="1" text="RW">
      <formula>NOT(ISERROR(FIND(UPPER("RW"),UPPER(C3))))</formula>
      <formula>"RW"</formula>
    </cfRule>
    <cfRule type="containsText" dxfId="5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